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mylius\"/>
    </mc:Choice>
  </mc:AlternateContent>
  <bookViews>
    <workbookView xWindow="0" yWindow="0" windowWidth="28800" windowHeight="12500"/>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externalReferences>
    <externalReference r:id="rId59"/>
  </externalReference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J680" i="3"/>
  <c r="I680" i="3"/>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I660" i="3"/>
  <c r="J660" i="3" s="1"/>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I648" i="3"/>
  <c r="J648" i="3" s="1"/>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I481" i="3"/>
  <c r="J481" i="3" s="1"/>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I457" i="3"/>
  <c r="J457" i="3" s="1"/>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I441" i="3"/>
  <c r="J441" i="3" s="1"/>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J425" i="3"/>
  <c r="I425" i="3"/>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I409" i="3"/>
  <c r="J409" i="3" s="1"/>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I393" i="3"/>
  <c r="J393" i="3" s="1"/>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I379" i="3"/>
  <c r="J379" i="3" s="1"/>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I377" i="3"/>
  <c r="J377" i="3" s="1"/>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I361" i="3"/>
  <c r="J361" i="3" s="1"/>
  <c r="AH360" i="3"/>
  <c r="AI360" i="3" s="1"/>
  <c r="AF360" i="3"/>
  <c r="AE360" i="3"/>
  <c r="AC360" i="3"/>
  <c r="AD360" i="3" s="1"/>
  <c r="AB360" i="3"/>
  <c r="AA360" i="3"/>
  <c r="Y360" i="3"/>
  <c r="Z360" i="3" s="1"/>
  <c r="W360" i="3"/>
  <c r="V360" i="3"/>
  <c r="T360" i="3"/>
  <c r="U360" i="3" s="1"/>
  <c r="S360" i="3"/>
  <c r="R360" i="3"/>
  <c r="Q360" i="3"/>
  <c r="P360" i="3"/>
  <c r="O360" i="3"/>
  <c r="N360" i="3"/>
  <c r="M360" i="3"/>
  <c r="L360" i="3"/>
  <c r="I360" i="3"/>
  <c r="J360" i="3" s="1"/>
  <c r="AI359" i="3"/>
  <c r="AH359" i="3"/>
  <c r="AF359" i="3"/>
  <c r="AE359" i="3"/>
  <c r="AD359" i="3"/>
  <c r="AC359" i="3"/>
  <c r="AB359" i="3"/>
  <c r="AA359" i="3"/>
  <c r="Z359" i="3"/>
  <c r="Y359" i="3"/>
  <c r="W359" i="3"/>
  <c r="V359" i="3"/>
  <c r="U359" i="3"/>
  <c r="T359" i="3"/>
  <c r="S359" i="3"/>
  <c r="R359" i="3"/>
  <c r="Q359" i="3"/>
  <c r="P359" i="3"/>
  <c r="O359" i="3"/>
  <c r="N359" i="3"/>
  <c r="M359" i="3"/>
  <c r="L359" i="3"/>
  <c r="I359" i="3"/>
  <c r="J359" i="3" s="1"/>
  <c r="AI358" i="3"/>
  <c r="AH358" i="3"/>
  <c r="AF358" i="3"/>
  <c r="AE358" i="3"/>
  <c r="AD358" i="3"/>
  <c r="AC358" i="3"/>
  <c r="AB358" i="3"/>
  <c r="AA358" i="3"/>
  <c r="Z358" i="3"/>
  <c r="Y358" i="3"/>
  <c r="W358" i="3"/>
  <c r="V358" i="3"/>
  <c r="U358" i="3"/>
  <c r="T358" i="3"/>
  <c r="S358" i="3"/>
  <c r="R358" i="3"/>
  <c r="Q358" i="3"/>
  <c r="P358" i="3"/>
  <c r="O358" i="3"/>
  <c r="N358" i="3"/>
  <c r="M358" i="3"/>
  <c r="L358" i="3"/>
  <c r="I358" i="3"/>
  <c r="J358" i="3" s="1"/>
  <c r="AI357" i="3"/>
  <c r="AH357" i="3"/>
  <c r="AF357" i="3"/>
  <c r="AE357" i="3"/>
  <c r="AD357" i="3"/>
  <c r="AC357" i="3"/>
  <c r="AB357" i="3"/>
  <c r="AA357" i="3"/>
  <c r="Z357" i="3"/>
  <c r="Y357" i="3"/>
  <c r="W357" i="3"/>
  <c r="V357" i="3"/>
  <c r="U357" i="3"/>
  <c r="T357" i="3"/>
  <c r="S357" i="3"/>
  <c r="R357" i="3"/>
  <c r="Q357" i="3"/>
  <c r="P357" i="3"/>
  <c r="O357" i="3"/>
  <c r="N357" i="3"/>
  <c r="M357" i="3"/>
  <c r="L357" i="3"/>
  <c r="I357" i="3"/>
  <c r="J357" i="3" s="1"/>
  <c r="AI356" i="3"/>
  <c r="AH356" i="3"/>
  <c r="AF356" i="3"/>
  <c r="AE356" i="3"/>
  <c r="AD356" i="3"/>
  <c r="AC356" i="3"/>
  <c r="AB356" i="3"/>
  <c r="AA356" i="3"/>
  <c r="Z356" i="3"/>
  <c r="Y356" i="3"/>
  <c r="W356" i="3"/>
  <c r="V356" i="3"/>
  <c r="U356" i="3"/>
  <c r="T356" i="3"/>
  <c r="S356" i="3"/>
  <c r="R356" i="3"/>
  <c r="Q356" i="3"/>
  <c r="P356" i="3"/>
  <c r="O356" i="3"/>
  <c r="N356" i="3"/>
  <c r="M356" i="3"/>
  <c r="L356" i="3"/>
  <c r="I356" i="3"/>
  <c r="J356" i="3" s="1"/>
  <c r="AI355" i="3"/>
  <c r="AH355" i="3"/>
  <c r="AF355" i="3"/>
  <c r="AE355" i="3"/>
  <c r="AD355" i="3"/>
  <c r="AC355" i="3"/>
  <c r="AB355" i="3"/>
  <c r="AA355" i="3"/>
  <c r="Z355" i="3"/>
  <c r="Y355" i="3"/>
  <c r="W355" i="3"/>
  <c r="V355" i="3"/>
  <c r="U355" i="3"/>
  <c r="T355" i="3"/>
  <c r="S355" i="3"/>
  <c r="R355" i="3"/>
  <c r="Q355" i="3"/>
  <c r="P355" i="3"/>
  <c r="O355" i="3"/>
  <c r="N355" i="3"/>
  <c r="M355" i="3"/>
  <c r="L355" i="3"/>
  <c r="I355" i="3"/>
  <c r="J355" i="3" s="1"/>
  <c r="AI354" i="3"/>
  <c r="AH354" i="3"/>
  <c r="AF354" i="3"/>
  <c r="AE354" i="3"/>
  <c r="AD354" i="3"/>
  <c r="AC354" i="3"/>
  <c r="AB354" i="3"/>
  <c r="AA354" i="3"/>
  <c r="Z354" i="3"/>
  <c r="Y354" i="3"/>
  <c r="W354" i="3"/>
  <c r="V354" i="3"/>
  <c r="U354" i="3"/>
  <c r="T354" i="3"/>
  <c r="S354" i="3"/>
  <c r="R354" i="3"/>
  <c r="Q354" i="3"/>
  <c r="P354" i="3"/>
  <c r="O354" i="3"/>
  <c r="N354" i="3"/>
  <c r="M354" i="3"/>
  <c r="L354" i="3"/>
  <c r="I354" i="3"/>
  <c r="J354" i="3" s="1"/>
  <c r="AI353" i="3"/>
  <c r="AH353" i="3"/>
  <c r="AF353" i="3"/>
  <c r="AE353" i="3"/>
  <c r="AD353" i="3"/>
  <c r="AC353" i="3"/>
  <c r="AB353" i="3"/>
  <c r="AA353" i="3"/>
  <c r="Z353" i="3"/>
  <c r="Y353" i="3"/>
  <c r="W353" i="3"/>
  <c r="V353" i="3"/>
  <c r="U353" i="3"/>
  <c r="T353" i="3"/>
  <c r="S353" i="3"/>
  <c r="R353" i="3"/>
  <c r="Q353" i="3"/>
  <c r="P353" i="3"/>
  <c r="O353" i="3"/>
  <c r="N353" i="3"/>
  <c r="M353" i="3"/>
  <c r="L353" i="3"/>
  <c r="I353" i="3"/>
  <c r="J353" i="3" s="1"/>
  <c r="AI352" i="3"/>
  <c r="AH352" i="3"/>
  <c r="AF352" i="3"/>
  <c r="AE352" i="3"/>
  <c r="AD352" i="3"/>
  <c r="AC352" i="3"/>
  <c r="AB352" i="3"/>
  <c r="AA352" i="3"/>
  <c r="Z352" i="3"/>
  <c r="Y352" i="3"/>
  <c r="W352" i="3"/>
  <c r="V352" i="3"/>
  <c r="U352" i="3"/>
  <c r="T352" i="3"/>
  <c r="S352" i="3"/>
  <c r="R352" i="3"/>
  <c r="Q352" i="3"/>
  <c r="P352" i="3"/>
  <c r="O352" i="3"/>
  <c r="N352" i="3"/>
  <c r="M352" i="3"/>
  <c r="L352" i="3"/>
  <c r="I352" i="3"/>
  <c r="J352" i="3" s="1"/>
  <c r="AI351" i="3"/>
  <c r="AH351" i="3"/>
  <c r="AF351" i="3"/>
  <c r="AE351" i="3"/>
  <c r="AD351" i="3"/>
  <c r="AC351" i="3"/>
  <c r="AB351" i="3"/>
  <c r="AA351" i="3"/>
  <c r="Z351" i="3"/>
  <c r="Y351" i="3"/>
  <c r="W351" i="3"/>
  <c r="V351" i="3"/>
  <c r="U351" i="3"/>
  <c r="T351" i="3"/>
  <c r="S351" i="3"/>
  <c r="R351" i="3"/>
  <c r="Q351" i="3"/>
  <c r="P351" i="3"/>
  <c r="O351" i="3"/>
  <c r="N351" i="3"/>
  <c r="M351" i="3"/>
  <c r="L351" i="3"/>
  <c r="I351" i="3"/>
  <c r="J351" i="3" s="1"/>
  <c r="AI350" i="3"/>
  <c r="AH350" i="3"/>
  <c r="AF350" i="3"/>
  <c r="AE350" i="3"/>
  <c r="AD350" i="3"/>
  <c r="AC350" i="3"/>
  <c r="AB350" i="3"/>
  <c r="AA350" i="3"/>
  <c r="Z350" i="3"/>
  <c r="Y350" i="3"/>
  <c r="W350" i="3"/>
  <c r="V350" i="3"/>
  <c r="U350" i="3"/>
  <c r="T350" i="3"/>
  <c r="S350" i="3"/>
  <c r="R350" i="3"/>
  <c r="Q350" i="3"/>
  <c r="P350" i="3"/>
  <c r="O350" i="3"/>
  <c r="N350" i="3"/>
  <c r="M350" i="3"/>
  <c r="L350" i="3"/>
  <c r="I350" i="3"/>
  <c r="J350" i="3" s="1"/>
  <c r="AI349" i="3"/>
  <c r="AH349" i="3"/>
  <c r="AF349" i="3"/>
  <c r="AE349" i="3"/>
  <c r="AD349" i="3"/>
  <c r="AC349" i="3"/>
  <c r="AB349" i="3"/>
  <c r="AA349" i="3"/>
  <c r="Z349" i="3"/>
  <c r="Y349" i="3"/>
  <c r="W349" i="3"/>
  <c r="V349" i="3"/>
  <c r="U349" i="3"/>
  <c r="T349" i="3"/>
  <c r="S349" i="3"/>
  <c r="R349" i="3"/>
  <c r="Q349" i="3"/>
  <c r="P349" i="3"/>
  <c r="O349" i="3"/>
  <c r="N349" i="3"/>
  <c r="M349" i="3"/>
  <c r="L349" i="3"/>
  <c r="I349" i="3"/>
  <c r="J349" i="3" s="1"/>
  <c r="AI348" i="3"/>
  <c r="AH348" i="3"/>
  <c r="AF348" i="3"/>
  <c r="AE348" i="3"/>
  <c r="AD348" i="3"/>
  <c r="AC348" i="3"/>
  <c r="AB348" i="3"/>
  <c r="AA348" i="3"/>
  <c r="Z348" i="3"/>
  <c r="Y348" i="3"/>
  <c r="W348" i="3"/>
  <c r="V348" i="3"/>
  <c r="U348" i="3"/>
  <c r="T348" i="3"/>
  <c r="S348" i="3"/>
  <c r="R348" i="3"/>
  <c r="Q348" i="3"/>
  <c r="P348" i="3"/>
  <c r="O348" i="3"/>
  <c r="N348" i="3"/>
  <c r="M348" i="3"/>
  <c r="L348" i="3"/>
  <c r="I348" i="3"/>
  <c r="J348" i="3" s="1"/>
  <c r="AI347" i="3"/>
  <c r="AH347" i="3"/>
  <c r="AF347" i="3"/>
  <c r="AE347" i="3"/>
  <c r="AD347" i="3"/>
  <c r="AC347" i="3"/>
  <c r="AB347" i="3"/>
  <c r="AA347" i="3"/>
  <c r="Z347" i="3"/>
  <c r="Y347" i="3"/>
  <c r="W347" i="3"/>
  <c r="V347" i="3"/>
  <c r="U347" i="3"/>
  <c r="T347" i="3"/>
  <c r="S347" i="3"/>
  <c r="R347" i="3"/>
  <c r="Q347" i="3"/>
  <c r="P347" i="3"/>
  <c r="O347" i="3"/>
  <c r="N347" i="3"/>
  <c r="M347" i="3"/>
  <c r="L347" i="3"/>
  <c r="I347" i="3"/>
  <c r="J347" i="3" s="1"/>
  <c r="AI346" i="3"/>
  <c r="AH346" i="3"/>
  <c r="AF346" i="3"/>
  <c r="AE346" i="3"/>
  <c r="AD346" i="3"/>
  <c r="AC346" i="3"/>
  <c r="AB346" i="3"/>
  <c r="AA346" i="3"/>
  <c r="Z346" i="3"/>
  <c r="Y346" i="3"/>
  <c r="W346" i="3"/>
  <c r="V346" i="3"/>
  <c r="U346" i="3"/>
  <c r="T346" i="3"/>
  <c r="S346" i="3"/>
  <c r="R346" i="3"/>
  <c r="Q346" i="3"/>
  <c r="P346" i="3"/>
  <c r="O346" i="3"/>
  <c r="N346" i="3"/>
  <c r="M346" i="3"/>
  <c r="L346" i="3"/>
  <c r="I346" i="3"/>
  <c r="J346" i="3" s="1"/>
  <c r="AI345" i="3"/>
  <c r="AH345" i="3"/>
  <c r="AF345" i="3"/>
  <c r="AE345" i="3"/>
  <c r="AD345" i="3"/>
  <c r="AC345" i="3"/>
  <c r="AB345" i="3"/>
  <c r="AA345" i="3"/>
  <c r="Z345" i="3"/>
  <c r="Y345" i="3"/>
  <c r="W345" i="3"/>
  <c r="V345" i="3"/>
  <c r="U345" i="3"/>
  <c r="T345" i="3"/>
  <c r="S345" i="3"/>
  <c r="R345" i="3"/>
  <c r="Q345" i="3"/>
  <c r="P345" i="3"/>
  <c r="O345" i="3"/>
  <c r="N345" i="3"/>
  <c r="M345" i="3"/>
  <c r="L345" i="3"/>
  <c r="I345" i="3"/>
  <c r="J345" i="3" s="1"/>
  <c r="AI344" i="3"/>
  <c r="AH344" i="3"/>
  <c r="AF344" i="3"/>
  <c r="AE344" i="3"/>
  <c r="AD344" i="3"/>
  <c r="AC344" i="3"/>
  <c r="AB344" i="3"/>
  <c r="AA344" i="3"/>
  <c r="Z344" i="3"/>
  <c r="Y344" i="3"/>
  <c r="W344" i="3"/>
  <c r="V344" i="3"/>
  <c r="U344" i="3"/>
  <c r="T344" i="3"/>
  <c r="S344" i="3"/>
  <c r="R344" i="3"/>
  <c r="Q344" i="3"/>
  <c r="P344" i="3"/>
  <c r="O344" i="3"/>
  <c r="N344" i="3"/>
  <c r="M344" i="3"/>
  <c r="L344" i="3"/>
  <c r="I344" i="3"/>
  <c r="J344" i="3" s="1"/>
  <c r="AI343" i="3"/>
  <c r="AH343" i="3"/>
  <c r="AF343" i="3"/>
  <c r="AE343" i="3"/>
  <c r="AD343" i="3"/>
  <c r="AC343" i="3"/>
  <c r="AB343" i="3"/>
  <c r="AA343" i="3"/>
  <c r="Z343" i="3"/>
  <c r="Y343" i="3"/>
  <c r="W343" i="3"/>
  <c r="V343" i="3"/>
  <c r="U343" i="3"/>
  <c r="T343" i="3"/>
  <c r="S343" i="3"/>
  <c r="R343" i="3"/>
  <c r="Q343" i="3"/>
  <c r="P343" i="3"/>
  <c r="O343" i="3"/>
  <c r="N343" i="3"/>
  <c r="M343" i="3"/>
  <c r="L343" i="3"/>
  <c r="I343" i="3"/>
  <c r="J343" i="3" s="1"/>
  <c r="AI342" i="3"/>
  <c r="AH342" i="3"/>
  <c r="AF342" i="3"/>
  <c r="AE342" i="3"/>
  <c r="AD342" i="3"/>
  <c r="AC342" i="3"/>
  <c r="AB342" i="3"/>
  <c r="AA342" i="3"/>
  <c r="Z342" i="3"/>
  <c r="Y342" i="3"/>
  <c r="W342" i="3"/>
  <c r="V342" i="3"/>
  <c r="U342" i="3"/>
  <c r="T342" i="3"/>
  <c r="S342" i="3"/>
  <c r="R342" i="3"/>
  <c r="Q342" i="3"/>
  <c r="P342" i="3"/>
  <c r="O342" i="3"/>
  <c r="N342" i="3"/>
  <c r="M342" i="3"/>
  <c r="L342" i="3"/>
  <c r="I342" i="3"/>
  <c r="J342" i="3" s="1"/>
  <c r="AI341" i="3"/>
  <c r="AH341" i="3"/>
  <c r="AF341" i="3"/>
  <c r="AE341" i="3"/>
  <c r="AD341" i="3"/>
  <c r="AC341" i="3"/>
  <c r="AB341" i="3"/>
  <c r="AA341" i="3"/>
  <c r="Z341" i="3"/>
  <c r="Y341" i="3"/>
  <c r="W341" i="3"/>
  <c r="V341" i="3"/>
  <c r="U341" i="3"/>
  <c r="T341" i="3"/>
  <c r="S341" i="3"/>
  <c r="R341" i="3"/>
  <c r="Q341" i="3"/>
  <c r="P341" i="3"/>
  <c r="O341" i="3"/>
  <c r="N341" i="3"/>
  <c r="M341" i="3"/>
  <c r="L341" i="3"/>
  <c r="I341" i="3"/>
  <c r="J341" i="3" s="1"/>
  <c r="AI340" i="3"/>
  <c r="AH340" i="3"/>
  <c r="AF340" i="3"/>
  <c r="AE340" i="3"/>
  <c r="AD340" i="3"/>
  <c r="AC340" i="3"/>
  <c r="AB340" i="3"/>
  <c r="AA340" i="3"/>
  <c r="Z340" i="3"/>
  <c r="Y340" i="3"/>
  <c r="W340" i="3"/>
  <c r="V340" i="3"/>
  <c r="U340" i="3"/>
  <c r="T340" i="3"/>
  <c r="S340" i="3"/>
  <c r="R340" i="3"/>
  <c r="Q340" i="3"/>
  <c r="P340" i="3"/>
  <c r="O340" i="3"/>
  <c r="N340" i="3"/>
  <c r="M340" i="3"/>
  <c r="L340" i="3"/>
  <c r="I340" i="3"/>
  <c r="J340" i="3" s="1"/>
  <c r="AI339" i="3"/>
  <c r="AH339" i="3"/>
  <c r="AF339" i="3"/>
  <c r="AE339" i="3"/>
  <c r="AD339" i="3"/>
  <c r="AC339" i="3"/>
  <c r="AB339" i="3"/>
  <c r="AA339" i="3"/>
  <c r="Z339" i="3"/>
  <c r="Y339" i="3"/>
  <c r="W339" i="3"/>
  <c r="V339" i="3"/>
  <c r="U339" i="3"/>
  <c r="T339" i="3"/>
  <c r="S339" i="3"/>
  <c r="R339" i="3"/>
  <c r="Q339" i="3"/>
  <c r="P339" i="3"/>
  <c r="O339" i="3"/>
  <c r="N339" i="3"/>
  <c r="M339" i="3"/>
  <c r="L339" i="3"/>
  <c r="I339" i="3"/>
  <c r="J339" i="3" s="1"/>
  <c r="AI338" i="3"/>
  <c r="AH338" i="3"/>
  <c r="AF338" i="3"/>
  <c r="AE338" i="3"/>
  <c r="AD338" i="3"/>
  <c r="AC338" i="3"/>
  <c r="AB338" i="3"/>
  <c r="AA338" i="3"/>
  <c r="Z338" i="3"/>
  <c r="Y338" i="3"/>
  <c r="W338" i="3"/>
  <c r="V338" i="3"/>
  <c r="U338" i="3"/>
  <c r="T338" i="3"/>
  <c r="S338" i="3"/>
  <c r="R338" i="3"/>
  <c r="Q338" i="3"/>
  <c r="P338" i="3"/>
  <c r="O338" i="3"/>
  <c r="N338" i="3"/>
  <c r="M338" i="3"/>
  <c r="L338" i="3"/>
  <c r="I338" i="3"/>
  <c r="J338" i="3" s="1"/>
  <c r="AI337" i="3"/>
  <c r="AH337" i="3"/>
  <c r="AF337" i="3"/>
  <c r="AE337" i="3"/>
  <c r="AD337" i="3"/>
  <c r="AC337" i="3"/>
  <c r="AB337" i="3"/>
  <c r="AA337" i="3"/>
  <c r="Z337" i="3"/>
  <c r="Y337" i="3"/>
  <c r="W337" i="3"/>
  <c r="V337" i="3"/>
  <c r="U337" i="3"/>
  <c r="T337" i="3"/>
  <c r="S337" i="3"/>
  <c r="R337" i="3"/>
  <c r="Q337" i="3"/>
  <c r="P337" i="3"/>
  <c r="O337" i="3"/>
  <c r="N337" i="3"/>
  <c r="M337" i="3"/>
  <c r="L337" i="3"/>
  <c r="I337" i="3"/>
  <c r="J337" i="3" s="1"/>
  <c r="AI336" i="3"/>
  <c r="AH336" i="3"/>
  <c r="AF336" i="3"/>
  <c r="AE336" i="3"/>
  <c r="AD336" i="3"/>
  <c r="AC336" i="3"/>
  <c r="AB336" i="3"/>
  <c r="AA336" i="3"/>
  <c r="Z336" i="3"/>
  <c r="Y336" i="3"/>
  <c r="W336" i="3"/>
  <c r="V336" i="3"/>
  <c r="U336" i="3"/>
  <c r="T336" i="3"/>
  <c r="S336" i="3"/>
  <c r="R336" i="3"/>
  <c r="Q336" i="3"/>
  <c r="P336" i="3"/>
  <c r="O336" i="3"/>
  <c r="N336" i="3"/>
  <c r="M336" i="3"/>
  <c r="L336" i="3"/>
  <c r="I336" i="3"/>
  <c r="J336" i="3" s="1"/>
  <c r="AI335" i="3"/>
  <c r="AH335" i="3"/>
  <c r="AF335" i="3"/>
  <c r="AE335" i="3"/>
  <c r="AD335" i="3"/>
  <c r="AC335" i="3"/>
  <c r="AB335" i="3"/>
  <c r="AA335" i="3"/>
  <c r="Z335" i="3"/>
  <c r="Y335" i="3"/>
  <c r="W335" i="3"/>
  <c r="V335" i="3"/>
  <c r="U335" i="3"/>
  <c r="T335" i="3"/>
  <c r="S335" i="3"/>
  <c r="R335" i="3"/>
  <c r="Q335" i="3"/>
  <c r="P335" i="3"/>
  <c r="O335" i="3"/>
  <c r="N335" i="3"/>
  <c r="M335" i="3"/>
  <c r="L335" i="3"/>
  <c r="I335" i="3"/>
  <c r="J335" i="3" s="1"/>
  <c r="AI334" i="3"/>
  <c r="AH334" i="3"/>
  <c r="AF334" i="3"/>
  <c r="AE334" i="3"/>
  <c r="AD334" i="3"/>
  <c r="AC334" i="3"/>
  <c r="AB334" i="3"/>
  <c r="AA334" i="3"/>
  <c r="Z334" i="3"/>
  <c r="Y334" i="3"/>
  <c r="W334" i="3"/>
  <c r="V334" i="3"/>
  <c r="U334" i="3"/>
  <c r="T334" i="3"/>
  <c r="S334" i="3"/>
  <c r="R334" i="3"/>
  <c r="Q334" i="3"/>
  <c r="P334" i="3"/>
  <c r="O334" i="3"/>
  <c r="N334" i="3"/>
  <c r="M334" i="3"/>
  <c r="L334" i="3"/>
  <c r="I334" i="3"/>
  <c r="J334" i="3" s="1"/>
  <c r="AI333" i="3"/>
  <c r="AH333" i="3"/>
  <c r="AF333" i="3"/>
  <c r="AE333" i="3"/>
  <c r="AD333" i="3"/>
  <c r="AC333" i="3"/>
  <c r="AB333" i="3"/>
  <c r="AA333" i="3"/>
  <c r="Z333" i="3"/>
  <c r="Y333" i="3"/>
  <c r="W333" i="3"/>
  <c r="V333" i="3"/>
  <c r="U333" i="3"/>
  <c r="T333" i="3"/>
  <c r="S333" i="3"/>
  <c r="R333" i="3"/>
  <c r="Q333" i="3"/>
  <c r="P333" i="3"/>
  <c r="O333" i="3"/>
  <c r="N333" i="3"/>
  <c r="M333" i="3"/>
  <c r="L333" i="3"/>
  <c r="I333" i="3"/>
  <c r="J333" i="3" s="1"/>
  <c r="AI332" i="3"/>
  <c r="AH332" i="3"/>
  <c r="AF332" i="3"/>
  <c r="AE332" i="3"/>
  <c r="AD332" i="3"/>
  <c r="AC332" i="3"/>
  <c r="AB332" i="3"/>
  <c r="AA332" i="3"/>
  <c r="Z332" i="3"/>
  <c r="Y332" i="3"/>
  <c r="W332" i="3"/>
  <c r="V332" i="3"/>
  <c r="U332" i="3"/>
  <c r="T332" i="3"/>
  <c r="S332" i="3"/>
  <c r="R332" i="3"/>
  <c r="Q332" i="3"/>
  <c r="P332" i="3"/>
  <c r="O332" i="3"/>
  <c r="N332" i="3"/>
  <c r="M332" i="3"/>
  <c r="L332" i="3"/>
  <c r="I332" i="3"/>
  <c r="J332" i="3" s="1"/>
  <c r="AI331" i="3"/>
  <c r="AH331" i="3"/>
  <c r="AF331" i="3"/>
  <c r="AE331" i="3"/>
  <c r="AD331" i="3"/>
  <c r="AC331" i="3"/>
  <c r="AB331" i="3"/>
  <c r="AA331" i="3"/>
  <c r="Z331" i="3"/>
  <c r="Y331" i="3"/>
  <c r="W331" i="3"/>
  <c r="V331" i="3"/>
  <c r="U331" i="3"/>
  <c r="T331" i="3"/>
  <c r="S331" i="3"/>
  <c r="R331" i="3"/>
  <c r="Q331" i="3"/>
  <c r="P331" i="3"/>
  <c r="O331" i="3"/>
  <c r="N331" i="3"/>
  <c r="M331" i="3"/>
  <c r="L331" i="3"/>
  <c r="I331" i="3"/>
  <c r="J331" i="3" s="1"/>
  <c r="AI330" i="3"/>
  <c r="AH330" i="3"/>
  <c r="AF330" i="3"/>
  <c r="AE330" i="3"/>
  <c r="AD330" i="3"/>
  <c r="AC330" i="3"/>
  <c r="AB330" i="3"/>
  <c r="AA330" i="3"/>
  <c r="Z330" i="3"/>
  <c r="Y330" i="3"/>
  <c r="W330" i="3"/>
  <c r="V330" i="3"/>
  <c r="U330" i="3"/>
  <c r="T330" i="3"/>
  <c r="S330" i="3"/>
  <c r="R330" i="3"/>
  <c r="Q330" i="3"/>
  <c r="P330" i="3"/>
  <c r="O330" i="3"/>
  <c r="N330" i="3"/>
  <c r="M330" i="3"/>
  <c r="L330" i="3"/>
  <c r="I330" i="3"/>
  <c r="J330" i="3" s="1"/>
  <c r="AI329" i="3"/>
  <c r="AH329" i="3"/>
  <c r="AF329" i="3"/>
  <c r="AE329" i="3"/>
  <c r="AD329" i="3"/>
  <c r="AC329" i="3"/>
  <c r="AB329" i="3"/>
  <c r="AA329" i="3"/>
  <c r="Z329" i="3"/>
  <c r="Y329" i="3"/>
  <c r="W329" i="3"/>
  <c r="V329" i="3"/>
  <c r="U329" i="3"/>
  <c r="T329" i="3"/>
  <c r="S329" i="3"/>
  <c r="R329" i="3"/>
  <c r="Q329" i="3"/>
  <c r="P329" i="3"/>
  <c r="O329" i="3"/>
  <c r="N329" i="3"/>
  <c r="M329" i="3"/>
  <c r="L329" i="3"/>
  <c r="I329" i="3"/>
  <c r="J329" i="3" s="1"/>
  <c r="AI328" i="3"/>
  <c r="AH328" i="3"/>
  <c r="AF328" i="3"/>
  <c r="AE328" i="3"/>
  <c r="AD328" i="3"/>
  <c r="AC328" i="3"/>
  <c r="AB328" i="3"/>
  <c r="AA328" i="3"/>
  <c r="Z328" i="3"/>
  <c r="Y328" i="3"/>
  <c r="W328" i="3"/>
  <c r="V328" i="3"/>
  <c r="U328" i="3"/>
  <c r="T328" i="3"/>
  <c r="S328" i="3"/>
  <c r="R328" i="3"/>
  <c r="Q328" i="3"/>
  <c r="P328" i="3"/>
  <c r="O328" i="3"/>
  <c r="N328" i="3"/>
  <c r="M328" i="3"/>
  <c r="L328" i="3"/>
  <c r="I328" i="3"/>
  <c r="J328" i="3" s="1"/>
  <c r="AI327" i="3"/>
  <c r="AH327" i="3"/>
  <c r="AF327" i="3"/>
  <c r="AE327" i="3"/>
  <c r="AD327" i="3"/>
  <c r="AC327" i="3"/>
  <c r="AB327" i="3"/>
  <c r="AA327" i="3"/>
  <c r="Z327" i="3"/>
  <c r="Y327" i="3"/>
  <c r="W327" i="3"/>
  <c r="V327" i="3"/>
  <c r="U327" i="3"/>
  <c r="T327" i="3"/>
  <c r="S327" i="3"/>
  <c r="R327" i="3"/>
  <c r="Q327" i="3"/>
  <c r="P327" i="3"/>
  <c r="O327" i="3"/>
  <c r="N327" i="3"/>
  <c r="M327" i="3"/>
  <c r="L327" i="3"/>
  <c r="I327" i="3"/>
  <c r="J327" i="3" s="1"/>
  <c r="AI326" i="3"/>
  <c r="AH326" i="3"/>
  <c r="AF326" i="3"/>
  <c r="AE326" i="3"/>
  <c r="AD326" i="3"/>
  <c r="AC326" i="3"/>
  <c r="AB326" i="3"/>
  <c r="AA326" i="3"/>
  <c r="Z326" i="3"/>
  <c r="Y326" i="3"/>
  <c r="W326" i="3"/>
  <c r="V326" i="3"/>
  <c r="U326" i="3"/>
  <c r="T326" i="3"/>
  <c r="S326" i="3"/>
  <c r="R326" i="3"/>
  <c r="Q326" i="3"/>
  <c r="P326" i="3"/>
  <c r="O326" i="3"/>
  <c r="N326" i="3"/>
  <c r="M326" i="3"/>
  <c r="L326" i="3"/>
  <c r="I326" i="3"/>
  <c r="J326" i="3" s="1"/>
  <c r="AI325" i="3"/>
  <c r="AH325" i="3"/>
  <c r="AF325" i="3"/>
  <c r="AE325" i="3"/>
  <c r="AD325" i="3"/>
  <c r="AC325" i="3"/>
  <c r="AB325" i="3"/>
  <c r="AA325" i="3"/>
  <c r="Z325" i="3"/>
  <c r="Y325" i="3"/>
  <c r="W325" i="3"/>
  <c r="V325" i="3"/>
  <c r="U325" i="3"/>
  <c r="T325" i="3"/>
  <c r="S325" i="3"/>
  <c r="R325" i="3"/>
  <c r="Q325" i="3"/>
  <c r="P325" i="3"/>
  <c r="O325" i="3"/>
  <c r="N325" i="3"/>
  <c r="M325" i="3"/>
  <c r="L325" i="3"/>
  <c r="I325" i="3"/>
  <c r="J325" i="3" s="1"/>
  <c r="AI324" i="3"/>
  <c r="AH324" i="3"/>
  <c r="AF324" i="3"/>
  <c r="AE324" i="3"/>
  <c r="AD324" i="3"/>
  <c r="AC324" i="3"/>
  <c r="AB324" i="3"/>
  <c r="AA324" i="3"/>
  <c r="Z324" i="3"/>
  <c r="Y324" i="3"/>
  <c r="W324" i="3"/>
  <c r="V324" i="3"/>
  <c r="U324" i="3"/>
  <c r="T324" i="3"/>
  <c r="S324" i="3"/>
  <c r="R324" i="3"/>
  <c r="Q324" i="3"/>
  <c r="P324" i="3"/>
  <c r="O324" i="3"/>
  <c r="N324" i="3"/>
  <c r="M324" i="3"/>
  <c r="L324" i="3"/>
  <c r="I324" i="3"/>
  <c r="J324" i="3" s="1"/>
  <c r="AI323" i="3"/>
  <c r="AH323" i="3"/>
  <c r="AF323" i="3"/>
  <c r="AE323" i="3"/>
  <c r="AD323" i="3"/>
  <c r="AC323" i="3"/>
  <c r="AB323" i="3"/>
  <c r="AA323" i="3"/>
  <c r="Z323" i="3"/>
  <c r="Y323" i="3"/>
  <c r="W323" i="3"/>
  <c r="V323" i="3"/>
  <c r="U323" i="3"/>
  <c r="T323" i="3"/>
  <c r="S323" i="3"/>
  <c r="R323" i="3"/>
  <c r="Q323" i="3"/>
  <c r="P323" i="3"/>
  <c r="O323" i="3"/>
  <c r="N323" i="3"/>
  <c r="M323" i="3"/>
  <c r="L323" i="3"/>
  <c r="I323" i="3"/>
  <c r="J323" i="3" s="1"/>
  <c r="AI322" i="3"/>
  <c r="AH322" i="3"/>
  <c r="AF322" i="3"/>
  <c r="AE322" i="3"/>
  <c r="AD322" i="3"/>
  <c r="AC322" i="3"/>
  <c r="AB322" i="3"/>
  <c r="AA322" i="3"/>
  <c r="Z322" i="3"/>
  <c r="Y322" i="3"/>
  <c r="W322" i="3"/>
  <c r="V322" i="3"/>
  <c r="U322" i="3"/>
  <c r="T322" i="3"/>
  <c r="S322" i="3"/>
  <c r="R322" i="3"/>
  <c r="Q322" i="3"/>
  <c r="P322" i="3"/>
  <c r="O322" i="3"/>
  <c r="N322" i="3"/>
  <c r="M322" i="3"/>
  <c r="L322" i="3"/>
  <c r="I322" i="3"/>
  <c r="J322" i="3" s="1"/>
  <c r="AI321" i="3"/>
  <c r="AH321" i="3"/>
  <c r="AF321" i="3"/>
  <c r="AE321" i="3"/>
  <c r="AD321" i="3"/>
  <c r="AC321" i="3"/>
  <c r="AB321" i="3"/>
  <c r="AA321" i="3"/>
  <c r="Z321" i="3"/>
  <c r="Y321" i="3"/>
  <c r="W321" i="3"/>
  <c r="V321" i="3"/>
  <c r="U321" i="3"/>
  <c r="T321" i="3"/>
  <c r="S321" i="3"/>
  <c r="R321" i="3"/>
  <c r="Q321" i="3"/>
  <c r="P321" i="3"/>
  <c r="O321" i="3"/>
  <c r="N321" i="3"/>
  <c r="M321" i="3"/>
  <c r="L321" i="3"/>
  <c r="I321" i="3"/>
  <c r="J321" i="3" s="1"/>
  <c r="AI320" i="3"/>
  <c r="AH320" i="3"/>
  <c r="AF320" i="3"/>
  <c r="AE320" i="3"/>
  <c r="AD320" i="3"/>
  <c r="AC320" i="3"/>
  <c r="AB320" i="3"/>
  <c r="AA320" i="3"/>
  <c r="Z320" i="3"/>
  <c r="Y320" i="3"/>
  <c r="W320" i="3"/>
  <c r="V320" i="3"/>
  <c r="U320" i="3"/>
  <c r="T320" i="3"/>
  <c r="S320" i="3"/>
  <c r="R320" i="3"/>
  <c r="Q320" i="3"/>
  <c r="P320" i="3"/>
  <c r="O320" i="3"/>
  <c r="N320" i="3"/>
  <c r="M320" i="3"/>
  <c r="L320" i="3"/>
  <c r="I320" i="3"/>
  <c r="J320" i="3" s="1"/>
  <c r="AI319" i="3"/>
  <c r="AH319" i="3"/>
  <c r="AF319" i="3"/>
  <c r="AE319" i="3"/>
  <c r="AD319" i="3"/>
  <c r="AC319" i="3"/>
  <c r="AB319" i="3"/>
  <c r="AA319" i="3"/>
  <c r="Z319" i="3"/>
  <c r="Y319" i="3"/>
  <c r="W319" i="3"/>
  <c r="V319" i="3"/>
  <c r="U319" i="3"/>
  <c r="T319" i="3"/>
  <c r="S319" i="3"/>
  <c r="R319" i="3"/>
  <c r="Q319" i="3"/>
  <c r="P319" i="3"/>
  <c r="O319" i="3"/>
  <c r="N319" i="3"/>
  <c r="M319" i="3"/>
  <c r="L319" i="3"/>
  <c r="I319" i="3"/>
  <c r="J319" i="3" s="1"/>
  <c r="AI318" i="3"/>
  <c r="AH318" i="3"/>
  <c r="AF318" i="3"/>
  <c r="AE318" i="3"/>
  <c r="AD318" i="3"/>
  <c r="AC318" i="3"/>
  <c r="AB318" i="3"/>
  <c r="AA318" i="3"/>
  <c r="Z318" i="3"/>
  <c r="Y318" i="3"/>
  <c r="W318" i="3"/>
  <c r="V318" i="3"/>
  <c r="U318" i="3"/>
  <c r="T318" i="3"/>
  <c r="S318" i="3"/>
  <c r="R318" i="3"/>
  <c r="Q318" i="3"/>
  <c r="P318" i="3"/>
  <c r="O318" i="3"/>
  <c r="N318" i="3"/>
  <c r="M318" i="3"/>
  <c r="L318" i="3"/>
  <c r="I318" i="3"/>
  <c r="J318" i="3" s="1"/>
  <c r="AI317" i="3"/>
  <c r="AH317" i="3"/>
  <c r="AF317" i="3"/>
  <c r="AE317" i="3"/>
  <c r="AD317" i="3"/>
  <c r="AC317" i="3"/>
  <c r="AB317" i="3"/>
  <c r="AA317" i="3"/>
  <c r="Z317" i="3"/>
  <c r="Y317" i="3"/>
  <c r="W317" i="3"/>
  <c r="V317" i="3"/>
  <c r="U317" i="3"/>
  <c r="T317" i="3"/>
  <c r="S317" i="3"/>
  <c r="R317" i="3"/>
  <c r="Q317" i="3"/>
  <c r="P317" i="3"/>
  <c r="O317" i="3"/>
  <c r="N317" i="3"/>
  <c r="M317" i="3"/>
  <c r="L317" i="3"/>
  <c r="I317" i="3"/>
  <c r="J317" i="3" s="1"/>
  <c r="AI316" i="3"/>
  <c r="AH316" i="3"/>
  <c r="AF316" i="3"/>
  <c r="AE316" i="3"/>
  <c r="AD316" i="3"/>
  <c r="AC316" i="3"/>
  <c r="AB316" i="3"/>
  <c r="AA316" i="3"/>
  <c r="Z316" i="3"/>
  <c r="Y316" i="3"/>
  <c r="W316" i="3"/>
  <c r="V316" i="3"/>
  <c r="U316" i="3"/>
  <c r="T316" i="3"/>
  <c r="S316" i="3"/>
  <c r="R316" i="3"/>
  <c r="Q316" i="3"/>
  <c r="P316" i="3"/>
  <c r="O316" i="3"/>
  <c r="N316" i="3"/>
  <c r="M316" i="3"/>
  <c r="L316" i="3"/>
  <c r="I316" i="3"/>
  <c r="J316" i="3" s="1"/>
  <c r="AI315" i="3"/>
  <c r="AH315" i="3"/>
  <c r="AF315" i="3"/>
  <c r="AE315" i="3"/>
  <c r="AD315" i="3"/>
  <c r="AC315" i="3"/>
  <c r="AB315" i="3"/>
  <c r="AA315" i="3"/>
  <c r="Z315" i="3"/>
  <c r="Y315" i="3"/>
  <c r="W315" i="3"/>
  <c r="V315" i="3"/>
  <c r="U315" i="3"/>
  <c r="T315" i="3"/>
  <c r="S315" i="3"/>
  <c r="R315" i="3"/>
  <c r="Q315" i="3"/>
  <c r="P315" i="3"/>
  <c r="O315" i="3"/>
  <c r="N315" i="3"/>
  <c r="M315" i="3"/>
  <c r="L315" i="3"/>
  <c r="I315" i="3"/>
  <c r="J315" i="3" s="1"/>
  <c r="AI314" i="3"/>
  <c r="AH314" i="3"/>
  <c r="AF314" i="3"/>
  <c r="AE314" i="3"/>
  <c r="AD314" i="3"/>
  <c r="AC314" i="3"/>
  <c r="AB314" i="3"/>
  <c r="AA314" i="3"/>
  <c r="Z314" i="3"/>
  <c r="Y314" i="3"/>
  <c r="W314" i="3"/>
  <c r="V314" i="3"/>
  <c r="U314" i="3"/>
  <c r="T314" i="3"/>
  <c r="S314" i="3"/>
  <c r="R314" i="3"/>
  <c r="Q314" i="3"/>
  <c r="P314" i="3"/>
  <c r="O314" i="3"/>
  <c r="N314" i="3"/>
  <c r="M314" i="3"/>
  <c r="L314" i="3"/>
  <c r="I314" i="3"/>
  <c r="J314" i="3" s="1"/>
  <c r="AI313" i="3"/>
  <c r="AH313" i="3"/>
  <c r="AF313" i="3"/>
  <c r="AE313" i="3"/>
  <c r="AD313" i="3"/>
  <c r="AC313" i="3"/>
  <c r="AB313" i="3"/>
  <c r="AA313" i="3"/>
  <c r="Z313" i="3"/>
  <c r="Y313" i="3"/>
  <c r="W313" i="3"/>
  <c r="V313" i="3"/>
  <c r="U313" i="3"/>
  <c r="T313" i="3"/>
  <c r="S313" i="3"/>
  <c r="R313" i="3"/>
  <c r="Q313" i="3"/>
  <c r="P313" i="3"/>
  <c r="O313" i="3"/>
  <c r="N313" i="3"/>
  <c r="M313" i="3"/>
  <c r="L313" i="3"/>
  <c r="I313" i="3"/>
  <c r="J313" i="3" s="1"/>
  <c r="AI312" i="3"/>
  <c r="AH312" i="3"/>
  <c r="AF312" i="3"/>
  <c r="AE312" i="3"/>
  <c r="AD312" i="3"/>
  <c r="AC312" i="3"/>
  <c r="AB312" i="3"/>
  <c r="AA312" i="3"/>
  <c r="Z312" i="3"/>
  <c r="Y312" i="3"/>
  <c r="W312" i="3"/>
  <c r="V312" i="3"/>
  <c r="U312" i="3"/>
  <c r="T312" i="3"/>
  <c r="S312" i="3"/>
  <c r="R312" i="3"/>
  <c r="Q312" i="3"/>
  <c r="P312" i="3"/>
  <c r="O312" i="3"/>
  <c r="N312" i="3"/>
  <c r="M312" i="3"/>
  <c r="L312" i="3"/>
  <c r="I312" i="3"/>
  <c r="J312" i="3" s="1"/>
  <c r="AI311" i="3"/>
  <c r="AH311" i="3"/>
  <c r="AF311" i="3"/>
  <c r="AE311" i="3"/>
  <c r="AD311" i="3"/>
  <c r="AC311" i="3"/>
  <c r="AB311" i="3"/>
  <c r="AA311" i="3"/>
  <c r="Z311" i="3"/>
  <c r="Y311" i="3"/>
  <c r="W311" i="3"/>
  <c r="V311" i="3"/>
  <c r="U311" i="3"/>
  <c r="T311" i="3"/>
  <c r="S311" i="3"/>
  <c r="R311" i="3"/>
  <c r="Q311" i="3"/>
  <c r="P311" i="3"/>
  <c r="O311" i="3"/>
  <c r="N311" i="3"/>
  <c r="M311" i="3"/>
  <c r="L311" i="3"/>
  <c r="I311" i="3"/>
  <c r="J311" i="3" s="1"/>
  <c r="AI310" i="3"/>
  <c r="AH310" i="3"/>
  <c r="AF310" i="3"/>
  <c r="AE310" i="3"/>
  <c r="AD310" i="3"/>
  <c r="AC310" i="3"/>
  <c r="AB310" i="3"/>
  <c r="AA310" i="3"/>
  <c r="Z310" i="3"/>
  <c r="Y310" i="3"/>
  <c r="W310" i="3"/>
  <c r="V310" i="3"/>
  <c r="U310" i="3"/>
  <c r="T310" i="3"/>
  <c r="S310" i="3"/>
  <c r="R310" i="3"/>
  <c r="Q310" i="3"/>
  <c r="P310" i="3"/>
  <c r="O310" i="3"/>
  <c r="N310" i="3"/>
  <c r="M310" i="3"/>
  <c r="L310" i="3"/>
  <c r="I310" i="3"/>
  <c r="J310" i="3" s="1"/>
  <c r="AI309" i="3"/>
  <c r="AH309" i="3"/>
  <c r="AF309" i="3"/>
  <c r="AE309" i="3"/>
  <c r="AD309" i="3"/>
  <c r="AC309" i="3"/>
  <c r="AB309" i="3"/>
  <c r="AA309" i="3"/>
  <c r="Z309" i="3"/>
  <c r="Y309" i="3"/>
  <c r="W309" i="3"/>
  <c r="V309" i="3"/>
  <c r="U309" i="3"/>
  <c r="T309" i="3"/>
  <c r="S309" i="3"/>
  <c r="R309" i="3"/>
  <c r="Q309" i="3"/>
  <c r="P309" i="3"/>
  <c r="O309" i="3"/>
  <c r="N309" i="3"/>
  <c r="M309" i="3"/>
  <c r="L309" i="3"/>
  <c r="I309" i="3"/>
  <c r="J309" i="3" s="1"/>
  <c r="AI308" i="3"/>
  <c r="AH308" i="3"/>
  <c r="AF308" i="3"/>
  <c r="AE308" i="3"/>
  <c r="AD308" i="3"/>
  <c r="AC308" i="3"/>
  <c r="AB308" i="3"/>
  <c r="AA308" i="3"/>
  <c r="Z308" i="3"/>
  <c r="Y308" i="3"/>
  <c r="W308" i="3"/>
  <c r="V308" i="3"/>
  <c r="U308" i="3"/>
  <c r="T308" i="3"/>
  <c r="S308" i="3"/>
  <c r="R308" i="3"/>
  <c r="Q308" i="3"/>
  <c r="P308" i="3"/>
  <c r="O308" i="3"/>
  <c r="N308" i="3"/>
  <c r="M308" i="3"/>
  <c r="L308" i="3"/>
  <c r="I308" i="3"/>
  <c r="J308" i="3" s="1"/>
  <c r="AI307" i="3"/>
  <c r="AH307" i="3"/>
  <c r="AF307" i="3"/>
  <c r="AE307" i="3"/>
  <c r="AD307" i="3"/>
  <c r="AC307" i="3"/>
  <c r="AB307" i="3"/>
  <c r="AA307" i="3"/>
  <c r="Z307" i="3"/>
  <c r="Y307" i="3"/>
  <c r="W307" i="3"/>
  <c r="V307" i="3"/>
  <c r="U307" i="3"/>
  <c r="T307" i="3"/>
  <c r="S307" i="3"/>
  <c r="R307" i="3"/>
  <c r="Q307" i="3"/>
  <c r="P307" i="3"/>
  <c r="O307" i="3"/>
  <c r="N307" i="3"/>
  <c r="M307" i="3"/>
  <c r="L307" i="3"/>
  <c r="I307" i="3"/>
  <c r="J307" i="3" s="1"/>
  <c r="AI306" i="3"/>
  <c r="AH306" i="3"/>
  <c r="AF306" i="3"/>
  <c r="AE306" i="3"/>
  <c r="AD306" i="3"/>
  <c r="AC306" i="3"/>
  <c r="AB306" i="3"/>
  <c r="AA306" i="3"/>
  <c r="Z306" i="3"/>
  <c r="Y306" i="3"/>
  <c r="W306" i="3"/>
  <c r="V306" i="3"/>
  <c r="U306" i="3"/>
  <c r="T306" i="3"/>
  <c r="S306" i="3"/>
  <c r="R306" i="3"/>
  <c r="Q306" i="3"/>
  <c r="P306" i="3"/>
  <c r="O306" i="3"/>
  <c r="N306" i="3"/>
  <c r="M306" i="3"/>
  <c r="L306" i="3"/>
  <c r="I306" i="3"/>
  <c r="J306" i="3" s="1"/>
  <c r="AI305" i="3"/>
  <c r="AH305" i="3"/>
  <c r="AF305" i="3"/>
  <c r="AE305" i="3"/>
  <c r="AD305" i="3"/>
  <c r="AC305" i="3"/>
  <c r="AB305" i="3"/>
  <c r="AA305" i="3"/>
  <c r="Z305" i="3"/>
  <c r="Y305" i="3"/>
  <c r="W305" i="3"/>
  <c r="V305" i="3"/>
  <c r="U305" i="3"/>
  <c r="T305" i="3"/>
  <c r="S305" i="3"/>
  <c r="R305" i="3"/>
  <c r="Q305" i="3"/>
  <c r="P305" i="3"/>
  <c r="O305" i="3"/>
  <c r="N305" i="3"/>
  <c r="M305" i="3"/>
  <c r="L305" i="3"/>
  <c r="I305" i="3"/>
  <c r="J305" i="3" s="1"/>
  <c r="AI304" i="3"/>
  <c r="AH304" i="3"/>
  <c r="AF304" i="3"/>
  <c r="AE304" i="3"/>
  <c r="AD304" i="3"/>
  <c r="AC304" i="3"/>
  <c r="AB304" i="3"/>
  <c r="AA304" i="3"/>
  <c r="Z304" i="3"/>
  <c r="Y304" i="3"/>
  <c r="W304" i="3"/>
  <c r="V304" i="3"/>
  <c r="U304" i="3"/>
  <c r="T304" i="3"/>
  <c r="S304" i="3"/>
  <c r="R304" i="3"/>
  <c r="Q304" i="3"/>
  <c r="P304" i="3"/>
  <c r="O304" i="3"/>
  <c r="N304" i="3"/>
  <c r="M304" i="3"/>
  <c r="L304" i="3"/>
  <c r="I304" i="3"/>
  <c r="J304" i="3" s="1"/>
  <c r="AI303" i="3"/>
  <c r="AH303" i="3"/>
  <c r="AF303" i="3"/>
  <c r="AE303" i="3"/>
  <c r="AD303" i="3"/>
  <c r="AC303" i="3"/>
  <c r="AB303" i="3"/>
  <c r="AA303" i="3"/>
  <c r="Z303" i="3"/>
  <c r="Y303" i="3"/>
  <c r="W303" i="3"/>
  <c r="V303" i="3"/>
  <c r="U303" i="3"/>
  <c r="T303" i="3"/>
  <c r="S303" i="3"/>
  <c r="R303" i="3"/>
  <c r="Q303" i="3"/>
  <c r="P303" i="3"/>
  <c r="O303" i="3"/>
  <c r="N303" i="3"/>
  <c r="M303" i="3"/>
  <c r="L303" i="3"/>
  <c r="I303" i="3"/>
  <c r="J303" i="3" s="1"/>
  <c r="AI302" i="3"/>
  <c r="AH302" i="3"/>
  <c r="AF302" i="3"/>
  <c r="AE302" i="3"/>
  <c r="AD302" i="3"/>
  <c r="AC302" i="3"/>
  <c r="AB302" i="3"/>
  <c r="AA302" i="3"/>
  <c r="Z302" i="3"/>
  <c r="Y302" i="3"/>
  <c r="W302" i="3"/>
  <c r="V302" i="3"/>
  <c r="U302" i="3"/>
  <c r="T302" i="3"/>
  <c r="S302" i="3"/>
  <c r="R302" i="3"/>
  <c r="Q302" i="3"/>
  <c r="P302" i="3"/>
  <c r="O302" i="3"/>
  <c r="N302" i="3"/>
  <c r="M302" i="3"/>
  <c r="L302" i="3"/>
  <c r="I302" i="3"/>
  <c r="J302" i="3" s="1"/>
  <c r="AI301" i="3"/>
  <c r="AH301" i="3"/>
  <c r="AF301" i="3"/>
  <c r="AE301" i="3"/>
  <c r="AD301" i="3"/>
  <c r="AC301" i="3"/>
  <c r="AB301" i="3"/>
  <c r="AA301" i="3"/>
  <c r="Z301" i="3"/>
  <c r="Y301" i="3"/>
  <c r="W301" i="3"/>
  <c r="V301" i="3"/>
  <c r="U301" i="3"/>
  <c r="T301" i="3"/>
  <c r="S301" i="3"/>
  <c r="R301" i="3"/>
  <c r="Q301" i="3"/>
  <c r="P301" i="3"/>
  <c r="O301" i="3"/>
  <c r="N301" i="3"/>
  <c r="M301" i="3"/>
  <c r="L301" i="3"/>
  <c r="I301" i="3"/>
  <c r="J301" i="3" s="1"/>
  <c r="AI300" i="3"/>
  <c r="AH300" i="3"/>
  <c r="AF300" i="3"/>
  <c r="AE300" i="3"/>
  <c r="AD300" i="3"/>
  <c r="AC300" i="3"/>
  <c r="AB300" i="3"/>
  <c r="AA300" i="3"/>
  <c r="Z300" i="3"/>
  <c r="Y300" i="3"/>
  <c r="W300" i="3"/>
  <c r="V300" i="3"/>
  <c r="U300" i="3"/>
  <c r="T300" i="3"/>
  <c r="S300" i="3"/>
  <c r="R300" i="3"/>
  <c r="Q300" i="3"/>
  <c r="P300" i="3"/>
  <c r="O300" i="3"/>
  <c r="N300" i="3"/>
  <c r="M300" i="3"/>
  <c r="L300" i="3"/>
  <c r="I300" i="3"/>
  <c r="J300" i="3" s="1"/>
  <c r="AI299" i="3"/>
  <c r="AH299" i="3"/>
  <c r="AF299" i="3"/>
  <c r="AE299" i="3"/>
  <c r="AD299" i="3"/>
  <c r="AC299" i="3"/>
  <c r="AB299" i="3"/>
  <c r="AA299" i="3"/>
  <c r="Z299" i="3"/>
  <c r="Y299" i="3"/>
  <c r="W299" i="3"/>
  <c r="V299" i="3"/>
  <c r="U299" i="3"/>
  <c r="T299" i="3"/>
  <c r="S299" i="3"/>
  <c r="R299" i="3"/>
  <c r="Q299" i="3"/>
  <c r="P299" i="3"/>
  <c r="O299" i="3"/>
  <c r="N299" i="3"/>
  <c r="M299" i="3"/>
  <c r="L299" i="3"/>
  <c r="I299" i="3"/>
  <c r="J299" i="3" s="1"/>
  <c r="AI298" i="3"/>
  <c r="AH298" i="3"/>
  <c r="AF298" i="3"/>
  <c r="AE298" i="3"/>
  <c r="AD298" i="3"/>
  <c r="AC298" i="3"/>
  <c r="AB298" i="3"/>
  <c r="AA298" i="3"/>
  <c r="Z298" i="3"/>
  <c r="Y298" i="3"/>
  <c r="W298" i="3"/>
  <c r="V298" i="3"/>
  <c r="U298" i="3"/>
  <c r="T298" i="3"/>
  <c r="S298" i="3"/>
  <c r="R298" i="3"/>
  <c r="Q298" i="3"/>
  <c r="P298" i="3"/>
  <c r="O298" i="3"/>
  <c r="N298" i="3"/>
  <c r="M298" i="3"/>
  <c r="L298" i="3"/>
  <c r="I298" i="3"/>
  <c r="J298" i="3" s="1"/>
  <c r="AI297" i="3"/>
  <c r="AH297" i="3"/>
  <c r="AF297" i="3"/>
  <c r="AE297" i="3"/>
  <c r="AD297" i="3"/>
  <c r="AC297" i="3"/>
  <c r="AB297" i="3"/>
  <c r="AA297" i="3"/>
  <c r="Z297" i="3"/>
  <c r="Y297" i="3"/>
  <c r="W297" i="3"/>
  <c r="V297" i="3"/>
  <c r="U297" i="3"/>
  <c r="T297" i="3"/>
  <c r="S297" i="3"/>
  <c r="R297" i="3"/>
  <c r="Q297" i="3"/>
  <c r="P297" i="3"/>
  <c r="O297" i="3"/>
  <c r="N297" i="3"/>
  <c r="M297" i="3"/>
  <c r="L297" i="3"/>
  <c r="I297" i="3"/>
  <c r="J297" i="3" s="1"/>
  <c r="AI296" i="3"/>
  <c r="AH296" i="3"/>
  <c r="AF296" i="3"/>
  <c r="AE296" i="3"/>
  <c r="AD296" i="3"/>
  <c r="AC296" i="3"/>
  <c r="AB296" i="3"/>
  <c r="AA296" i="3"/>
  <c r="Z296" i="3"/>
  <c r="Y296" i="3"/>
  <c r="W296" i="3"/>
  <c r="V296" i="3"/>
  <c r="U296" i="3"/>
  <c r="T296" i="3"/>
  <c r="S296" i="3"/>
  <c r="R296" i="3"/>
  <c r="Q296" i="3"/>
  <c r="P296" i="3"/>
  <c r="O296" i="3"/>
  <c r="N296" i="3"/>
  <c r="M296" i="3"/>
  <c r="L296" i="3"/>
  <c r="I296" i="3"/>
  <c r="J296" i="3" s="1"/>
  <c r="AI295" i="3"/>
  <c r="AH295" i="3"/>
  <c r="AF295" i="3"/>
  <c r="AE295" i="3"/>
  <c r="AD295" i="3"/>
  <c r="AC295" i="3"/>
  <c r="AB295" i="3"/>
  <c r="AA295" i="3"/>
  <c r="Z295" i="3"/>
  <c r="Y295" i="3"/>
  <c r="W295" i="3"/>
  <c r="V295" i="3"/>
  <c r="U295" i="3"/>
  <c r="T295" i="3"/>
  <c r="S295" i="3"/>
  <c r="R295" i="3"/>
  <c r="Q295" i="3"/>
  <c r="P295" i="3"/>
  <c r="O295" i="3"/>
  <c r="N295" i="3"/>
  <c r="M295" i="3"/>
  <c r="L295" i="3"/>
  <c r="I295" i="3"/>
  <c r="J295" i="3" s="1"/>
  <c r="AI294" i="3"/>
  <c r="AH294" i="3"/>
  <c r="AF294" i="3"/>
  <c r="AE294" i="3"/>
  <c r="AD294" i="3"/>
  <c r="AC294" i="3"/>
  <c r="AB294" i="3"/>
  <c r="AA294" i="3"/>
  <c r="Z294" i="3"/>
  <c r="Y294" i="3"/>
  <c r="W294" i="3"/>
  <c r="V294" i="3"/>
  <c r="U294" i="3"/>
  <c r="T294" i="3"/>
  <c r="S294" i="3"/>
  <c r="R294" i="3"/>
  <c r="Q294" i="3"/>
  <c r="P294" i="3"/>
  <c r="O294" i="3"/>
  <c r="N294" i="3"/>
  <c r="M294" i="3"/>
  <c r="L294" i="3"/>
  <c r="I294" i="3"/>
  <c r="J294" i="3" s="1"/>
  <c r="AI293" i="3"/>
  <c r="AH293" i="3"/>
  <c r="AF293" i="3"/>
  <c r="AE293" i="3"/>
  <c r="AD293" i="3"/>
  <c r="AC293" i="3"/>
  <c r="AB293" i="3"/>
  <c r="AA293" i="3"/>
  <c r="Z293" i="3"/>
  <c r="Y293" i="3"/>
  <c r="W293" i="3"/>
  <c r="V293" i="3"/>
  <c r="U293" i="3"/>
  <c r="T293" i="3"/>
  <c r="S293" i="3"/>
  <c r="R293" i="3"/>
  <c r="Q293" i="3"/>
  <c r="P293" i="3"/>
  <c r="O293" i="3"/>
  <c r="N293" i="3"/>
  <c r="M293" i="3"/>
  <c r="L293" i="3"/>
  <c r="I293" i="3"/>
  <c r="J293" i="3" s="1"/>
  <c r="AI292" i="3"/>
  <c r="AH292" i="3"/>
  <c r="AF292" i="3"/>
  <c r="AE292" i="3"/>
  <c r="AD292" i="3"/>
  <c r="AC292" i="3"/>
  <c r="AB292" i="3"/>
  <c r="AA292" i="3"/>
  <c r="Z292" i="3"/>
  <c r="Y292" i="3"/>
  <c r="W292" i="3"/>
  <c r="V292" i="3"/>
  <c r="U292" i="3"/>
  <c r="T292" i="3"/>
  <c r="S292" i="3"/>
  <c r="R292" i="3"/>
  <c r="Q292" i="3"/>
  <c r="P292" i="3"/>
  <c r="O292" i="3"/>
  <c r="N292" i="3"/>
  <c r="M292" i="3"/>
  <c r="L292" i="3"/>
  <c r="I292" i="3"/>
  <c r="J292" i="3" s="1"/>
  <c r="AI291" i="3"/>
  <c r="AH291" i="3"/>
  <c r="AF291" i="3"/>
  <c r="AE291" i="3"/>
  <c r="AD291" i="3"/>
  <c r="AC291" i="3"/>
  <c r="AB291" i="3"/>
  <c r="AA291" i="3"/>
  <c r="Z291" i="3"/>
  <c r="Y291" i="3"/>
  <c r="W291" i="3"/>
  <c r="V291" i="3"/>
  <c r="U291" i="3"/>
  <c r="T291" i="3"/>
  <c r="S291" i="3"/>
  <c r="R291" i="3"/>
  <c r="Q291" i="3"/>
  <c r="P291" i="3"/>
  <c r="O291" i="3"/>
  <c r="N291" i="3"/>
  <c r="M291" i="3"/>
  <c r="L291" i="3"/>
  <c r="I291" i="3"/>
  <c r="J291" i="3" s="1"/>
  <c r="AI290" i="3"/>
  <c r="AH290" i="3"/>
  <c r="AF290" i="3"/>
  <c r="AE290" i="3"/>
  <c r="AD290" i="3"/>
  <c r="AC290" i="3"/>
  <c r="AB290" i="3"/>
  <c r="AA290" i="3"/>
  <c r="Z290" i="3"/>
  <c r="Y290" i="3"/>
  <c r="W290" i="3"/>
  <c r="V290" i="3"/>
  <c r="U290" i="3"/>
  <c r="T290" i="3"/>
  <c r="S290" i="3"/>
  <c r="R290" i="3"/>
  <c r="Q290" i="3"/>
  <c r="P290" i="3"/>
  <c r="O290" i="3"/>
  <c r="N290" i="3"/>
  <c r="M290" i="3"/>
  <c r="L290" i="3"/>
  <c r="I290" i="3"/>
  <c r="J290" i="3" s="1"/>
  <c r="AI289" i="3"/>
  <c r="AH289" i="3"/>
  <c r="AF289" i="3"/>
  <c r="AE289" i="3"/>
  <c r="AD289" i="3"/>
  <c r="AC289" i="3"/>
  <c r="AB289" i="3"/>
  <c r="AA289" i="3"/>
  <c r="Z289" i="3"/>
  <c r="Y289" i="3"/>
  <c r="W289" i="3"/>
  <c r="V289" i="3"/>
  <c r="U289" i="3"/>
  <c r="T289" i="3"/>
  <c r="S289" i="3"/>
  <c r="R289" i="3"/>
  <c r="Q289" i="3"/>
  <c r="P289" i="3"/>
  <c r="O289" i="3"/>
  <c r="N289" i="3"/>
  <c r="M289" i="3"/>
  <c r="L289" i="3"/>
  <c r="I289" i="3"/>
  <c r="J289" i="3" s="1"/>
  <c r="AI288" i="3"/>
  <c r="AH288" i="3"/>
  <c r="AF288" i="3"/>
  <c r="AE288" i="3"/>
  <c r="AD288" i="3"/>
  <c r="AC288" i="3"/>
  <c r="AB288" i="3"/>
  <c r="AA288" i="3"/>
  <c r="Z288" i="3"/>
  <c r="Y288" i="3"/>
  <c r="W288" i="3"/>
  <c r="V288" i="3"/>
  <c r="U288" i="3"/>
  <c r="T288" i="3"/>
  <c r="S288" i="3"/>
  <c r="R288" i="3"/>
  <c r="Q288" i="3"/>
  <c r="P288" i="3"/>
  <c r="O288" i="3"/>
  <c r="N288" i="3"/>
  <c r="M288" i="3"/>
  <c r="L288" i="3"/>
  <c r="I288" i="3"/>
  <c r="J288" i="3" s="1"/>
  <c r="AI287" i="3"/>
  <c r="AH287" i="3"/>
  <c r="AF287" i="3"/>
  <c r="AE287" i="3"/>
  <c r="AD287" i="3"/>
  <c r="AC287" i="3"/>
  <c r="AB287" i="3"/>
  <c r="AA287" i="3"/>
  <c r="Z287" i="3"/>
  <c r="Y287" i="3"/>
  <c r="W287" i="3"/>
  <c r="V287" i="3"/>
  <c r="U287" i="3"/>
  <c r="T287" i="3"/>
  <c r="S287" i="3"/>
  <c r="R287" i="3"/>
  <c r="Q287" i="3"/>
  <c r="P287" i="3"/>
  <c r="O287" i="3"/>
  <c r="N287" i="3"/>
  <c r="M287" i="3"/>
  <c r="L287" i="3"/>
  <c r="I287" i="3"/>
  <c r="J287" i="3" s="1"/>
  <c r="AI286" i="3"/>
  <c r="AH286" i="3"/>
  <c r="AF286" i="3"/>
  <c r="AE286" i="3"/>
  <c r="AD286" i="3"/>
  <c r="AC286" i="3"/>
  <c r="AB286" i="3"/>
  <c r="AA286" i="3"/>
  <c r="Z286" i="3"/>
  <c r="Y286" i="3"/>
  <c r="W286" i="3"/>
  <c r="V286" i="3"/>
  <c r="U286" i="3"/>
  <c r="T286" i="3"/>
  <c r="S286" i="3"/>
  <c r="R286" i="3"/>
  <c r="Q286" i="3"/>
  <c r="P286" i="3"/>
  <c r="O286" i="3"/>
  <c r="N286" i="3"/>
  <c r="M286" i="3"/>
  <c r="L286" i="3"/>
  <c r="I286" i="3"/>
  <c r="J286" i="3" s="1"/>
  <c r="AI285" i="3"/>
  <c r="AH285" i="3"/>
  <c r="AF285" i="3"/>
  <c r="AE285" i="3"/>
  <c r="AD285" i="3"/>
  <c r="AC285" i="3"/>
  <c r="AB285" i="3"/>
  <c r="AA285" i="3"/>
  <c r="Z285" i="3"/>
  <c r="Y285" i="3"/>
  <c r="W285" i="3"/>
  <c r="V285" i="3"/>
  <c r="U285" i="3"/>
  <c r="T285" i="3"/>
  <c r="S285" i="3"/>
  <c r="R285" i="3"/>
  <c r="Q285" i="3"/>
  <c r="P285" i="3"/>
  <c r="O285" i="3"/>
  <c r="N285" i="3"/>
  <c r="M285" i="3"/>
  <c r="L285" i="3"/>
  <c r="I285" i="3"/>
  <c r="J285" i="3" s="1"/>
  <c r="AI284" i="3"/>
  <c r="AH284" i="3"/>
  <c r="AF284" i="3"/>
  <c r="AE284" i="3"/>
  <c r="AD284" i="3"/>
  <c r="AC284" i="3"/>
  <c r="AB284" i="3"/>
  <c r="AA284" i="3"/>
  <c r="Z284" i="3"/>
  <c r="Y284" i="3"/>
  <c r="W284" i="3"/>
  <c r="V284" i="3"/>
  <c r="U284" i="3"/>
  <c r="T284" i="3"/>
  <c r="S284" i="3"/>
  <c r="R284" i="3"/>
  <c r="Q284" i="3"/>
  <c r="P284" i="3"/>
  <c r="O284" i="3"/>
  <c r="N284" i="3"/>
  <c r="M284" i="3"/>
  <c r="L284" i="3"/>
  <c r="I284" i="3"/>
  <c r="J284" i="3" s="1"/>
  <c r="AI283" i="3"/>
  <c r="AH283" i="3"/>
  <c r="AF283" i="3"/>
  <c r="AE283" i="3"/>
  <c r="AD283" i="3"/>
  <c r="AC283" i="3"/>
  <c r="AB283" i="3"/>
  <c r="AA283" i="3"/>
  <c r="Z283" i="3"/>
  <c r="Y283" i="3"/>
  <c r="W283" i="3"/>
  <c r="V283" i="3"/>
  <c r="U283" i="3"/>
  <c r="T283" i="3"/>
  <c r="S283" i="3"/>
  <c r="R283" i="3"/>
  <c r="Q283" i="3"/>
  <c r="P283" i="3"/>
  <c r="O283" i="3"/>
  <c r="N283" i="3"/>
  <c r="M283" i="3"/>
  <c r="L283" i="3"/>
  <c r="I283" i="3"/>
  <c r="J283" i="3" s="1"/>
  <c r="AI282" i="3"/>
  <c r="AH282" i="3"/>
  <c r="AF282" i="3"/>
  <c r="AE282" i="3"/>
  <c r="AD282" i="3"/>
  <c r="AC282" i="3"/>
  <c r="AB282" i="3"/>
  <c r="AA282" i="3"/>
  <c r="Z282" i="3"/>
  <c r="Y282" i="3"/>
  <c r="W282" i="3"/>
  <c r="V282" i="3"/>
  <c r="U282" i="3"/>
  <c r="T282" i="3"/>
  <c r="S282" i="3"/>
  <c r="R282" i="3"/>
  <c r="Q282" i="3"/>
  <c r="P282" i="3"/>
  <c r="O282" i="3"/>
  <c r="N282" i="3"/>
  <c r="M282" i="3"/>
  <c r="L282" i="3"/>
  <c r="I282" i="3"/>
  <c r="J282" i="3" s="1"/>
  <c r="AI281" i="3"/>
  <c r="AH281" i="3"/>
  <c r="AF281" i="3"/>
  <c r="AE281" i="3"/>
  <c r="AD281" i="3"/>
  <c r="AC281" i="3"/>
  <c r="AB281" i="3"/>
  <c r="AA281" i="3"/>
  <c r="Z281" i="3"/>
  <c r="Y281" i="3"/>
  <c r="W281" i="3"/>
  <c r="V281" i="3"/>
  <c r="U281" i="3"/>
  <c r="T281" i="3"/>
  <c r="S281" i="3"/>
  <c r="R281" i="3"/>
  <c r="Q281" i="3"/>
  <c r="P281" i="3"/>
  <c r="O281" i="3"/>
  <c r="N281" i="3"/>
  <c r="M281" i="3"/>
  <c r="L281" i="3"/>
  <c r="I281" i="3"/>
  <c r="J281" i="3" s="1"/>
  <c r="AI280" i="3"/>
  <c r="AH280" i="3"/>
  <c r="AF280" i="3"/>
  <c r="AE280" i="3"/>
  <c r="AD280" i="3"/>
  <c r="AC280" i="3"/>
  <c r="AB280" i="3"/>
  <c r="AA280" i="3"/>
  <c r="Z280" i="3"/>
  <c r="Y280" i="3"/>
  <c r="W280" i="3"/>
  <c r="V280" i="3"/>
  <c r="U280" i="3"/>
  <c r="T280" i="3"/>
  <c r="S280" i="3"/>
  <c r="R280" i="3"/>
  <c r="Q280" i="3"/>
  <c r="P280" i="3"/>
  <c r="O280" i="3"/>
  <c r="N280" i="3"/>
  <c r="M280" i="3"/>
  <c r="L280" i="3"/>
  <c r="I280" i="3"/>
  <c r="J280" i="3" s="1"/>
  <c r="AI279" i="3"/>
  <c r="AH279" i="3"/>
  <c r="AF279" i="3"/>
  <c r="AE279" i="3"/>
  <c r="AD279" i="3"/>
  <c r="AC279" i="3"/>
  <c r="AB279" i="3"/>
  <c r="AA279" i="3"/>
  <c r="Z279" i="3"/>
  <c r="Y279" i="3"/>
  <c r="W279" i="3"/>
  <c r="V279" i="3"/>
  <c r="U279" i="3"/>
  <c r="T279" i="3"/>
  <c r="S279" i="3"/>
  <c r="R279" i="3"/>
  <c r="Q279" i="3"/>
  <c r="P279" i="3"/>
  <c r="O279" i="3"/>
  <c r="N279" i="3"/>
  <c r="M279" i="3"/>
  <c r="L279" i="3"/>
  <c r="I279" i="3"/>
  <c r="J279" i="3" s="1"/>
  <c r="AI278" i="3"/>
  <c r="AH278" i="3"/>
  <c r="AF278" i="3"/>
  <c r="AE278" i="3"/>
  <c r="AD278" i="3"/>
  <c r="AC278" i="3"/>
  <c r="AB278" i="3"/>
  <c r="AA278" i="3"/>
  <c r="Z278" i="3"/>
  <c r="Y278" i="3"/>
  <c r="W278" i="3"/>
  <c r="V278" i="3"/>
  <c r="U278" i="3"/>
  <c r="T278" i="3"/>
  <c r="S278" i="3"/>
  <c r="R278" i="3"/>
  <c r="Q278" i="3"/>
  <c r="P278" i="3"/>
  <c r="O278" i="3"/>
  <c r="N278" i="3"/>
  <c r="M278" i="3"/>
  <c r="L278" i="3"/>
  <c r="I278" i="3"/>
  <c r="J278" i="3" s="1"/>
  <c r="AI277" i="3"/>
  <c r="AH277" i="3"/>
  <c r="AF277" i="3"/>
  <c r="AE277" i="3"/>
  <c r="AD277" i="3"/>
  <c r="AC277" i="3"/>
  <c r="AB277" i="3"/>
  <c r="AA277" i="3"/>
  <c r="Z277" i="3"/>
  <c r="Y277" i="3"/>
  <c r="W277" i="3"/>
  <c r="V277" i="3"/>
  <c r="U277" i="3"/>
  <c r="T277" i="3"/>
  <c r="S277" i="3"/>
  <c r="R277" i="3"/>
  <c r="Q277" i="3"/>
  <c r="P277" i="3"/>
  <c r="O277" i="3"/>
  <c r="N277" i="3"/>
  <c r="M277" i="3"/>
  <c r="L277" i="3"/>
  <c r="I277" i="3"/>
  <c r="J277" i="3" s="1"/>
  <c r="AI276" i="3"/>
  <c r="AH276" i="3"/>
  <c r="AF276" i="3"/>
  <c r="AE276" i="3"/>
  <c r="AD276" i="3"/>
  <c r="AC276" i="3"/>
  <c r="AB276" i="3"/>
  <c r="AA276" i="3"/>
  <c r="Z276" i="3"/>
  <c r="Y276" i="3"/>
  <c r="W276" i="3"/>
  <c r="V276" i="3"/>
  <c r="U276" i="3"/>
  <c r="T276" i="3"/>
  <c r="S276" i="3"/>
  <c r="R276" i="3"/>
  <c r="Q276" i="3"/>
  <c r="P276" i="3"/>
  <c r="O276" i="3"/>
  <c r="N276" i="3"/>
  <c r="M276" i="3"/>
  <c r="L276" i="3"/>
  <c r="J276" i="3"/>
  <c r="I276" i="3"/>
  <c r="AI275" i="3"/>
  <c r="AH275" i="3"/>
  <c r="AF275" i="3"/>
  <c r="AE275" i="3"/>
  <c r="AD275" i="3"/>
  <c r="AC275" i="3"/>
  <c r="AB275" i="3"/>
  <c r="AA275" i="3"/>
  <c r="Z275" i="3"/>
  <c r="Y275" i="3"/>
  <c r="W275" i="3"/>
  <c r="V275" i="3"/>
  <c r="U275" i="3"/>
  <c r="T275" i="3"/>
  <c r="S275" i="3"/>
  <c r="R275" i="3"/>
  <c r="Q275" i="3"/>
  <c r="P275" i="3"/>
  <c r="O275" i="3"/>
  <c r="N275" i="3"/>
  <c r="M275" i="3"/>
  <c r="L275" i="3"/>
  <c r="J275" i="3"/>
  <c r="I275" i="3"/>
  <c r="AI274" i="3"/>
  <c r="AH274" i="3"/>
  <c r="AF274" i="3"/>
  <c r="AE274" i="3"/>
  <c r="AD274" i="3"/>
  <c r="AC274" i="3"/>
  <c r="AB274" i="3"/>
  <c r="AA274" i="3"/>
  <c r="Z274" i="3"/>
  <c r="Y274" i="3"/>
  <c r="W274" i="3"/>
  <c r="V274" i="3"/>
  <c r="U274" i="3"/>
  <c r="T274" i="3"/>
  <c r="S274" i="3"/>
  <c r="R274" i="3"/>
  <c r="Q274" i="3"/>
  <c r="P274" i="3"/>
  <c r="O274" i="3"/>
  <c r="N274" i="3"/>
  <c r="M274" i="3"/>
  <c r="L274" i="3"/>
  <c r="J274" i="3"/>
  <c r="I274" i="3"/>
  <c r="AI273" i="3"/>
  <c r="AH273" i="3"/>
  <c r="AF273" i="3"/>
  <c r="AE273" i="3"/>
  <c r="AD273" i="3"/>
  <c r="AC273" i="3"/>
  <c r="AB273" i="3"/>
  <c r="AA273" i="3"/>
  <c r="Z273" i="3"/>
  <c r="Y273" i="3"/>
  <c r="W273" i="3"/>
  <c r="V273" i="3"/>
  <c r="U273" i="3"/>
  <c r="T273" i="3"/>
  <c r="S273" i="3"/>
  <c r="R273" i="3"/>
  <c r="Q273" i="3"/>
  <c r="P273" i="3"/>
  <c r="O273" i="3"/>
  <c r="N273" i="3"/>
  <c r="M273" i="3"/>
  <c r="L273" i="3"/>
  <c r="J273" i="3"/>
  <c r="I273" i="3"/>
  <c r="AI272" i="3"/>
  <c r="AH272" i="3"/>
  <c r="AF272" i="3"/>
  <c r="AE272" i="3"/>
  <c r="AD272" i="3"/>
  <c r="AC272" i="3"/>
  <c r="AB272" i="3"/>
  <c r="AA272" i="3"/>
  <c r="Z272" i="3"/>
  <c r="Y272" i="3"/>
  <c r="W272" i="3"/>
  <c r="V272" i="3"/>
  <c r="U272" i="3"/>
  <c r="T272" i="3"/>
  <c r="S272" i="3"/>
  <c r="R272" i="3"/>
  <c r="Q272" i="3"/>
  <c r="P272" i="3"/>
  <c r="O272" i="3"/>
  <c r="N272" i="3"/>
  <c r="M272" i="3"/>
  <c r="L272" i="3"/>
  <c r="J272" i="3"/>
  <c r="I272" i="3"/>
  <c r="AI271" i="3"/>
  <c r="AH271" i="3"/>
  <c r="AF271" i="3"/>
  <c r="AE271" i="3"/>
  <c r="AD271" i="3"/>
  <c r="AC271" i="3"/>
  <c r="AB271" i="3"/>
  <c r="AA271" i="3"/>
  <c r="Z271" i="3"/>
  <c r="Y271" i="3"/>
  <c r="W271" i="3"/>
  <c r="V271" i="3"/>
  <c r="U271" i="3"/>
  <c r="T271" i="3"/>
  <c r="S271" i="3"/>
  <c r="R271" i="3"/>
  <c r="Q271" i="3"/>
  <c r="P271" i="3"/>
  <c r="O271" i="3"/>
  <c r="N271" i="3"/>
  <c r="M271" i="3"/>
  <c r="L271" i="3"/>
  <c r="J271" i="3"/>
  <c r="I271" i="3"/>
  <c r="AI270" i="3"/>
  <c r="AH270" i="3"/>
  <c r="AF270" i="3"/>
  <c r="AE270" i="3"/>
  <c r="AD270" i="3"/>
  <c r="AC270" i="3"/>
  <c r="AB270" i="3"/>
  <c r="AA270" i="3"/>
  <c r="Z270" i="3"/>
  <c r="Y270" i="3"/>
  <c r="W270" i="3"/>
  <c r="V270" i="3"/>
  <c r="U270" i="3"/>
  <c r="T270" i="3"/>
  <c r="S270" i="3"/>
  <c r="R270" i="3"/>
  <c r="Q270" i="3"/>
  <c r="P270" i="3"/>
  <c r="O270" i="3"/>
  <c r="N270" i="3"/>
  <c r="M270" i="3"/>
  <c r="L270" i="3"/>
  <c r="J270" i="3"/>
  <c r="I270" i="3"/>
  <c r="AI269" i="3"/>
  <c r="AH269" i="3"/>
  <c r="AF269" i="3"/>
  <c r="AE269" i="3"/>
  <c r="AD269" i="3"/>
  <c r="AC269" i="3"/>
  <c r="AB269" i="3"/>
  <c r="AA269" i="3"/>
  <c r="Z269" i="3"/>
  <c r="Y269" i="3"/>
  <c r="W269" i="3"/>
  <c r="V269" i="3"/>
  <c r="U269" i="3"/>
  <c r="T269" i="3"/>
  <c r="S269" i="3"/>
  <c r="R269" i="3"/>
  <c r="Q269" i="3"/>
  <c r="P269" i="3"/>
  <c r="O269" i="3"/>
  <c r="N269" i="3"/>
  <c r="M269" i="3"/>
  <c r="L269" i="3"/>
  <c r="J269" i="3"/>
  <c r="I269" i="3"/>
  <c r="AI268" i="3"/>
  <c r="AH268" i="3"/>
  <c r="AF268" i="3"/>
  <c r="AE268" i="3"/>
  <c r="AD268" i="3"/>
  <c r="AC268" i="3"/>
  <c r="AB268" i="3"/>
  <c r="AA268" i="3"/>
  <c r="Z268" i="3"/>
  <c r="Y268" i="3"/>
  <c r="W268" i="3"/>
  <c r="V268" i="3"/>
  <c r="U268" i="3"/>
  <c r="T268" i="3"/>
  <c r="S268" i="3"/>
  <c r="R268" i="3"/>
  <c r="Q268" i="3"/>
  <c r="P268" i="3"/>
  <c r="O268" i="3"/>
  <c r="N268" i="3"/>
  <c r="M268" i="3"/>
  <c r="L268" i="3"/>
  <c r="J268" i="3"/>
  <c r="I268" i="3"/>
  <c r="AI267" i="3"/>
  <c r="AH267" i="3"/>
  <c r="AF267" i="3"/>
  <c r="AE267" i="3"/>
  <c r="AD267" i="3"/>
  <c r="AC267" i="3"/>
  <c r="AB267" i="3"/>
  <c r="AA267" i="3"/>
  <c r="Z267" i="3"/>
  <c r="Y267" i="3"/>
  <c r="W267" i="3"/>
  <c r="V267" i="3"/>
  <c r="U267" i="3"/>
  <c r="T267" i="3"/>
  <c r="S267" i="3"/>
  <c r="R267" i="3"/>
  <c r="Q267" i="3"/>
  <c r="P267" i="3"/>
  <c r="O267" i="3"/>
  <c r="N267" i="3"/>
  <c r="M267" i="3"/>
  <c r="L267" i="3"/>
  <c r="J267" i="3"/>
  <c r="I267" i="3"/>
  <c r="AI266" i="3"/>
  <c r="AH266" i="3"/>
  <c r="AF266" i="3"/>
  <c r="AE266" i="3"/>
  <c r="AD266" i="3"/>
  <c r="AC266" i="3"/>
  <c r="AB266" i="3"/>
  <c r="AA266" i="3"/>
  <c r="Z266" i="3"/>
  <c r="Y266" i="3"/>
  <c r="W266" i="3"/>
  <c r="V266" i="3"/>
  <c r="U266" i="3"/>
  <c r="T266" i="3"/>
  <c r="S266" i="3"/>
  <c r="R266" i="3"/>
  <c r="Q266" i="3"/>
  <c r="P266" i="3"/>
  <c r="O266" i="3"/>
  <c r="N266" i="3"/>
  <c r="M266" i="3"/>
  <c r="L266" i="3"/>
  <c r="J266" i="3"/>
  <c r="I266" i="3"/>
  <c r="AI265" i="3"/>
  <c r="AH265" i="3"/>
  <c r="AF265" i="3"/>
  <c r="AE265" i="3"/>
  <c r="AD265" i="3"/>
  <c r="AC265" i="3"/>
  <c r="AB265" i="3"/>
  <c r="AA265" i="3"/>
  <c r="Z265" i="3"/>
  <c r="Y265" i="3"/>
  <c r="W265" i="3"/>
  <c r="V265" i="3"/>
  <c r="U265" i="3"/>
  <c r="T265" i="3"/>
  <c r="S265" i="3"/>
  <c r="R265" i="3"/>
  <c r="Q265" i="3"/>
  <c r="P265" i="3"/>
  <c r="O265" i="3"/>
  <c r="N265" i="3"/>
  <c r="M265" i="3"/>
  <c r="L265" i="3"/>
  <c r="J265" i="3"/>
  <c r="I265" i="3"/>
  <c r="AI264" i="3"/>
  <c r="AH264" i="3"/>
  <c r="AF264" i="3"/>
  <c r="AE264" i="3"/>
  <c r="AD264" i="3"/>
  <c r="AC264" i="3"/>
  <c r="AB264" i="3"/>
  <c r="AA264" i="3"/>
  <c r="Z264" i="3"/>
  <c r="Y264" i="3"/>
  <c r="W264" i="3"/>
  <c r="V264" i="3"/>
  <c r="U264" i="3"/>
  <c r="T264" i="3"/>
  <c r="S264" i="3"/>
  <c r="R264" i="3"/>
  <c r="Q264" i="3"/>
  <c r="P264" i="3"/>
  <c r="O264" i="3"/>
  <c r="N264" i="3"/>
  <c r="M264" i="3"/>
  <c r="L264" i="3"/>
  <c r="J264" i="3"/>
  <c r="I264" i="3"/>
  <c r="AI263" i="3"/>
  <c r="AH263" i="3"/>
  <c r="AF263" i="3"/>
  <c r="AE263" i="3"/>
  <c r="AD263" i="3"/>
  <c r="AC263" i="3"/>
  <c r="AB263" i="3"/>
  <c r="AA263" i="3"/>
  <c r="Z263" i="3"/>
  <c r="Y263" i="3"/>
  <c r="W263" i="3"/>
  <c r="V263" i="3"/>
  <c r="U263" i="3"/>
  <c r="T263" i="3"/>
  <c r="S263" i="3"/>
  <c r="R263" i="3"/>
  <c r="Q263" i="3"/>
  <c r="P263" i="3"/>
  <c r="O263" i="3"/>
  <c r="N263" i="3"/>
  <c r="M263" i="3"/>
  <c r="L263" i="3"/>
  <c r="J263" i="3"/>
  <c r="I263" i="3"/>
  <c r="AI262" i="3"/>
  <c r="AH262" i="3"/>
  <c r="AF262" i="3"/>
  <c r="AE262" i="3"/>
  <c r="AD262" i="3"/>
  <c r="AC262" i="3"/>
  <c r="AB262" i="3"/>
  <c r="AA262" i="3"/>
  <c r="Z262" i="3"/>
  <c r="Y262" i="3"/>
  <c r="W262" i="3"/>
  <c r="V262" i="3"/>
  <c r="U262" i="3"/>
  <c r="T262" i="3"/>
  <c r="S262" i="3"/>
  <c r="R262" i="3"/>
  <c r="Q262" i="3"/>
  <c r="P262" i="3"/>
  <c r="O262" i="3"/>
  <c r="N262" i="3"/>
  <c r="M262" i="3"/>
  <c r="L262" i="3"/>
  <c r="J262" i="3"/>
  <c r="I262" i="3"/>
  <c r="AI261" i="3"/>
  <c r="AH261" i="3"/>
  <c r="AF261" i="3"/>
  <c r="AE261" i="3"/>
  <c r="AD261" i="3"/>
  <c r="AC261" i="3"/>
  <c r="AB261" i="3"/>
  <c r="AA261" i="3"/>
  <c r="Z261" i="3"/>
  <c r="Y261" i="3"/>
  <c r="W261" i="3"/>
  <c r="V261" i="3"/>
  <c r="U261" i="3"/>
  <c r="T261" i="3"/>
  <c r="S261" i="3"/>
  <c r="R261" i="3"/>
  <c r="Q261" i="3"/>
  <c r="P261" i="3"/>
  <c r="O261" i="3"/>
  <c r="N261" i="3"/>
  <c r="M261" i="3"/>
  <c r="L261" i="3"/>
  <c r="J261" i="3"/>
  <c r="I261" i="3"/>
  <c r="AI260" i="3"/>
  <c r="AH260" i="3"/>
  <c r="AF260" i="3"/>
  <c r="AE260" i="3"/>
  <c r="AD260" i="3"/>
  <c r="AC260" i="3"/>
  <c r="AB260" i="3"/>
  <c r="AA260" i="3"/>
  <c r="Z260" i="3"/>
  <c r="Y260" i="3"/>
  <c r="W260" i="3"/>
  <c r="V260" i="3"/>
  <c r="U260" i="3"/>
  <c r="T260" i="3"/>
  <c r="S260" i="3"/>
  <c r="R260" i="3"/>
  <c r="Q260" i="3"/>
  <c r="P260" i="3"/>
  <c r="O260" i="3"/>
  <c r="N260" i="3"/>
  <c r="M260" i="3"/>
  <c r="L260" i="3"/>
  <c r="J260" i="3"/>
  <c r="I260" i="3"/>
  <c r="AI259" i="3"/>
  <c r="AH259" i="3"/>
  <c r="AF259" i="3"/>
  <c r="AE259" i="3"/>
  <c r="AD259" i="3"/>
  <c r="AC259" i="3"/>
  <c r="AB259" i="3"/>
  <c r="AA259" i="3"/>
  <c r="Z259" i="3"/>
  <c r="Y259" i="3"/>
  <c r="W259" i="3"/>
  <c r="V259" i="3"/>
  <c r="U259" i="3"/>
  <c r="T259" i="3"/>
  <c r="S259" i="3"/>
  <c r="R259" i="3"/>
  <c r="Q259" i="3"/>
  <c r="P259" i="3"/>
  <c r="O259" i="3"/>
  <c r="N259" i="3"/>
  <c r="M259" i="3"/>
  <c r="L259" i="3"/>
  <c r="J259" i="3"/>
  <c r="I259" i="3"/>
  <c r="AI258" i="3"/>
  <c r="AH258" i="3"/>
  <c r="AF258" i="3"/>
  <c r="AE258" i="3"/>
  <c r="AD258" i="3"/>
  <c r="AC258" i="3"/>
  <c r="AB258" i="3"/>
  <c r="AA258" i="3"/>
  <c r="Z258" i="3"/>
  <c r="Y258" i="3"/>
  <c r="W258" i="3"/>
  <c r="V258" i="3"/>
  <c r="U258" i="3"/>
  <c r="T258" i="3"/>
  <c r="S258" i="3"/>
  <c r="R258" i="3"/>
  <c r="Q258" i="3"/>
  <c r="P258" i="3"/>
  <c r="O258" i="3"/>
  <c r="N258" i="3"/>
  <c r="M258" i="3"/>
  <c r="L258" i="3"/>
  <c r="J258" i="3"/>
  <c r="I258" i="3"/>
  <c r="AI257" i="3"/>
  <c r="AH257" i="3"/>
  <c r="AF257" i="3"/>
  <c r="AE257" i="3"/>
  <c r="AD257" i="3"/>
  <c r="AC257" i="3"/>
  <c r="AB257" i="3"/>
  <c r="AA257" i="3"/>
  <c r="Z257" i="3"/>
  <c r="Y257" i="3"/>
  <c r="W257" i="3"/>
  <c r="V257" i="3"/>
  <c r="U257" i="3"/>
  <c r="T257" i="3"/>
  <c r="S257" i="3"/>
  <c r="R257" i="3"/>
  <c r="Q257" i="3"/>
  <c r="P257" i="3"/>
  <c r="O257" i="3"/>
  <c r="N257" i="3"/>
  <c r="M257" i="3"/>
  <c r="L257" i="3"/>
  <c r="J257" i="3"/>
  <c r="I257" i="3"/>
  <c r="AI256" i="3"/>
  <c r="AH256" i="3"/>
  <c r="AF256" i="3"/>
  <c r="AE256" i="3"/>
  <c r="AD256" i="3"/>
  <c r="AC256" i="3"/>
  <c r="AB256" i="3"/>
  <c r="AA256" i="3"/>
  <c r="Z256" i="3"/>
  <c r="Y256" i="3"/>
  <c r="W256" i="3"/>
  <c r="V256" i="3"/>
  <c r="U256" i="3"/>
  <c r="T256" i="3"/>
  <c r="S256" i="3"/>
  <c r="R256" i="3"/>
  <c r="Q256" i="3"/>
  <c r="P256" i="3"/>
  <c r="O256" i="3"/>
  <c r="N256" i="3"/>
  <c r="M256" i="3"/>
  <c r="L256" i="3"/>
  <c r="J256" i="3"/>
  <c r="I256" i="3"/>
  <c r="AI255" i="3"/>
  <c r="AH255" i="3"/>
  <c r="AF255" i="3"/>
  <c r="AE255" i="3"/>
  <c r="AD255" i="3"/>
  <c r="AC255" i="3"/>
  <c r="AB255" i="3"/>
  <c r="AA255" i="3"/>
  <c r="Z255" i="3"/>
  <c r="Y255" i="3"/>
  <c r="W255" i="3"/>
  <c r="V255" i="3"/>
  <c r="U255" i="3"/>
  <c r="T255" i="3"/>
  <c r="S255" i="3"/>
  <c r="R255" i="3"/>
  <c r="Q255" i="3"/>
  <c r="P255" i="3"/>
  <c r="O255" i="3"/>
  <c r="N255" i="3"/>
  <c r="M255" i="3"/>
  <c r="L255" i="3"/>
  <c r="J255" i="3"/>
  <c r="I255" i="3"/>
  <c r="AI254" i="3"/>
  <c r="AH254" i="3"/>
  <c r="AF254" i="3"/>
  <c r="AE254" i="3"/>
  <c r="AD254" i="3"/>
  <c r="AC254" i="3"/>
  <c r="AB254" i="3"/>
  <c r="AA254" i="3"/>
  <c r="Z254" i="3"/>
  <c r="Y254" i="3"/>
  <c r="W254" i="3"/>
  <c r="V254" i="3"/>
  <c r="U254" i="3"/>
  <c r="T254" i="3"/>
  <c r="S254" i="3"/>
  <c r="R254" i="3"/>
  <c r="Q254" i="3"/>
  <c r="P254" i="3"/>
  <c r="O254" i="3"/>
  <c r="N254" i="3"/>
  <c r="M254" i="3"/>
  <c r="L254" i="3"/>
  <c r="J254" i="3"/>
  <c r="I254" i="3"/>
  <c r="AI253" i="3"/>
  <c r="AH253" i="3"/>
  <c r="AF253" i="3"/>
  <c r="AE253" i="3"/>
  <c r="AD253" i="3"/>
  <c r="AC253" i="3"/>
  <c r="AB253" i="3"/>
  <c r="AA253" i="3"/>
  <c r="Z253" i="3"/>
  <c r="Y253" i="3"/>
  <c r="W253" i="3"/>
  <c r="V253" i="3"/>
  <c r="U253" i="3"/>
  <c r="T253" i="3"/>
  <c r="S253" i="3"/>
  <c r="R253" i="3"/>
  <c r="Q253" i="3"/>
  <c r="P253" i="3"/>
  <c r="O253" i="3"/>
  <c r="N253" i="3"/>
  <c r="M253" i="3"/>
  <c r="L253" i="3"/>
  <c r="J253" i="3"/>
  <c r="I253" i="3"/>
  <c r="AI252" i="3"/>
  <c r="AH252" i="3"/>
  <c r="AF252" i="3"/>
  <c r="AE252" i="3"/>
  <c r="AD252" i="3"/>
  <c r="AC252" i="3"/>
  <c r="AB252" i="3"/>
  <c r="AA252" i="3"/>
  <c r="Z252" i="3"/>
  <c r="Y252" i="3"/>
  <c r="W252" i="3"/>
  <c r="V252" i="3"/>
  <c r="U252" i="3"/>
  <c r="T252" i="3"/>
  <c r="S252" i="3"/>
  <c r="R252" i="3"/>
  <c r="Q252" i="3"/>
  <c r="P252" i="3"/>
  <c r="O252" i="3"/>
  <c r="N252" i="3"/>
  <c r="M252" i="3"/>
  <c r="L252" i="3"/>
  <c r="J252" i="3"/>
  <c r="I252" i="3"/>
  <c r="AI251" i="3"/>
  <c r="AH251" i="3"/>
  <c r="AF251" i="3"/>
  <c r="AE251" i="3"/>
  <c r="AD251" i="3"/>
  <c r="AC251" i="3"/>
  <c r="AB251" i="3"/>
  <c r="AA251" i="3"/>
  <c r="Z251" i="3"/>
  <c r="Y251" i="3"/>
  <c r="W251" i="3"/>
  <c r="V251" i="3"/>
  <c r="U251" i="3"/>
  <c r="T251" i="3"/>
  <c r="S251" i="3"/>
  <c r="R251" i="3"/>
  <c r="Q251" i="3"/>
  <c r="P251" i="3"/>
  <c r="O251" i="3"/>
  <c r="N251" i="3"/>
  <c r="M251" i="3"/>
  <c r="L251" i="3"/>
  <c r="J251" i="3"/>
  <c r="I251" i="3"/>
  <c r="AI250" i="3"/>
  <c r="AH250" i="3"/>
  <c r="AF250" i="3"/>
  <c r="AE250" i="3"/>
  <c r="AD250" i="3"/>
  <c r="AC250" i="3"/>
  <c r="AB250" i="3"/>
  <c r="AA250" i="3"/>
  <c r="Z250" i="3"/>
  <c r="Y250" i="3"/>
  <c r="W250" i="3"/>
  <c r="V250" i="3"/>
  <c r="U250" i="3"/>
  <c r="T250" i="3"/>
  <c r="S250" i="3"/>
  <c r="R250" i="3"/>
  <c r="Q250" i="3"/>
  <c r="P250" i="3"/>
  <c r="O250" i="3"/>
  <c r="N250" i="3"/>
  <c r="M250" i="3"/>
  <c r="L250" i="3"/>
  <c r="J250" i="3"/>
  <c r="I250" i="3"/>
  <c r="AI249" i="3"/>
  <c r="AH249" i="3"/>
  <c r="AF249" i="3"/>
  <c r="AE249" i="3"/>
  <c r="AD249" i="3"/>
  <c r="AC249" i="3"/>
  <c r="AB249" i="3"/>
  <c r="AA249" i="3"/>
  <c r="Z249" i="3"/>
  <c r="Y249" i="3"/>
  <c r="W249" i="3"/>
  <c r="V249" i="3"/>
  <c r="U249" i="3"/>
  <c r="T249" i="3"/>
  <c r="S249" i="3"/>
  <c r="R249" i="3"/>
  <c r="Q249" i="3"/>
  <c r="P249" i="3"/>
  <c r="O249" i="3"/>
  <c r="N249" i="3"/>
  <c r="M249" i="3"/>
  <c r="L249" i="3"/>
  <c r="J249" i="3"/>
  <c r="I249" i="3"/>
  <c r="AI248" i="3"/>
  <c r="AH248" i="3"/>
  <c r="AF248" i="3"/>
  <c r="AE248" i="3"/>
  <c r="AD248" i="3"/>
  <c r="AC248" i="3"/>
  <c r="AB248" i="3"/>
  <c r="AA248" i="3"/>
  <c r="Z248" i="3"/>
  <c r="Y248" i="3"/>
  <c r="W248" i="3"/>
  <c r="V248" i="3"/>
  <c r="U248" i="3"/>
  <c r="T248" i="3"/>
  <c r="S248" i="3"/>
  <c r="R248" i="3"/>
  <c r="Q248" i="3"/>
  <c r="P248" i="3"/>
  <c r="O248" i="3"/>
  <c r="N248" i="3"/>
  <c r="M248" i="3"/>
  <c r="L248" i="3"/>
  <c r="J248" i="3"/>
  <c r="I248" i="3"/>
  <c r="AI247" i="3"/>
  <c r="AH247" i="3"/>
  <c r="AF247" i="3"/>
  <c r="AE247" i="3"/>
  <c r="AD247" i="3"/>
  <c r="AC247" i="3"/>
  <c r="AB247" i="3"/>
  <c r="AA247" i="3"/>
  <c r="Z247" i="3"/>
  <c r="Y247" i="3"/>
  <c r="W247" i="3"/>
  <c r="V247" i="3"/>
  <c r="U247" i="3"/>
  <c r="T247" i="3"/>
  <c r="S247" i="3"/>
  <c r="R247" i="3"/>
  <c r="Q247" i="3"/>
  <c r="P247" i="3"/>
  <c r="O247" i="3"/>
  <c r="N247" i="3"/>
  <c r="M247" i="3"/>
  <c r="L247" i="3"/>
  <c r="J247" i="3"/>
  <c r="I247" i="3"/>
  <c r="AI246" i="3"/>
  <c r="AH246" i="3"/>
  <c r="AF246" i="3"/>
  <c r="AE246" i="3"/>
  <c r="AD246" i="3"/>
  <c r="AC246" i="3"/>
  <c r="AB246" i="3"/>
  <c r="AA246" i="3"/>
  <c r="Z246" i="3"/>
  <c r="Y246" i="3"/>
  <c r="W246" i="3"/>
  <c r="V246" i="3"/>
  <c r="U246" i="3"/>
  <c r="T246" i="3"/>
  <c r="S246" i="3"/>
  <c r="R246" i="3"/>
  <c r="Q246" i="3"/>
  <c r="P246" i="3"/>
  <c r="O246" i="3"/>
  <c r="N246" i="3"/>
  <c r="M246" i="3"/>
  <c r="L246" i="3"/>
  <c r="J246" i="3"/>
  <c r="I246" i="3"/>
  <c r="AI245" i="3"/>
  <c r="AH245" i="3"/>
  <c r="AF245" i="3"/>
  <c r="AE245" i="3"/>
  <c r="AD245" i="3"/>
  <c r="AC245" i="3"/>
  <c r="AB245" i="3"/>
  <c r="AA245" i="3"/>
  <c r="Z245" i="3"/>
  <c r="Y245" i="3"/>
  <c r="W245" i="3"/>
  <c r="V245" i="3"/>
  <c r="U245" i="3"/>
  <c r="T245" i="3"/>
  <c r="S245" i="3"/>
  <c r="R245" i="3"/>
  <c r="Q245" i="3"/>
  <c r="P245" i="3"/>
  <c r="O245" i="3"/>
  <c r="N245" i="3"/>
  <c r="M245" i="3"/>
  <c r="L245" i="3"/>
  <c r="J245" i="3"/>
  <c r="I245" i="3"/>
  <c r="AI244" i="3"/>
  <c r="AH244" i="3"/>
  <c r="AF244" i="3"/>
  <c r="AE244" i="3"/>
  <c r="AD244" i="3"/>
  <c r="AC244" i="3"/>
  <c r="AB244" i="3"/>
  <c r="AA244" i="3"/>
  <c r="Z244" i="3"/>
  <c r="Y244" i="3"/>
  <c r="W244" i="3"/>
  <c r="V244" i="3"/>
  <c r="U244" i="3"/>
  <c r="T244" i="3"/>
  <c r="S244" i="3"/>
  <c r="R244" i="3"/>
  <c r="Q244" i="3"/>
  <c r="P244" i="3"/>
  <c r="O244" i="3"/>
  <c r="N244" i="3"/>
  <c r="M244" i="3"/>
  <c r="L244" i="3"/>
  <c r="J244" i="3"/>
  <c r="I244" i="3"/>
  <c r="AI243" i="3"/>
  <c r="AH243" i="3"/>
  <c r="AF243" i="3"/>
  <c r="AE243" i="3"/>
  <c r="AD243" i="3"/>
  <c r="AC243" i="3"/>
  <c r="AB243" i="3"/>
  <c r="AA243" i="3"/>
  <c r="Z243" i="3"/>
  <c r="Y243" i="3"/>
  <c r="W243" i="3"/>
  <c r="V243" i="3"/>
  <c r="U243" i="3"/>
  <c r="T243" i="3"/>
  <c r="S243" i="3"/>
  <c r="R243" i="3"/>
  <c r="Q243" i="3"/>
  <c r="P243" i="3"/>
  <c r="O243" i="3"/>
  <c r="N243" i="3"/>
  <c r="M243" i="3"/>
  <c r="L243" i="3"/>
  <c r="J243" i="3"/>
  <c r="I243" i="3"/>
  <c r="AI242" i="3"/>
  <c r="AH242" i="3"/>
  <c r="AF242" i="3"/>
  <c r="AE242" i="3"/>
  <c r="AD242" i="3"/>
  <c r="AC242" i="3"/>
  <c r="AB242" i="3"/>
  <c r="AA242" i="3"/>
  <c r="Z242" i="3"/>
  <c r="Y242" i="3"/>
  <c r="W242" i="3"/>
  <c r="V242" i="3"/>
  <c r="U242" i="3"/>
  <c r="T242" i="3"/>
  <c r="S242" i="3"/>
  <c r="R242" i="3"/>
  <c r="Q242" i="3"/>
  <c r="P242" i="3"/>
  <c r="O242" i="3"/>
  <c r="N242" i="3"/>
  <c r="M242" i="3"/>
  <c r="L242" i="3"/>
  <c r="J242" i="3"/>
  <c r="I242" i="3"/>
  <c r="AI241" i="3"/>
  <c r="AH241" i="3"/>
  <c r="AF241" i="3"/>
  <c r="AE241" i="3"/>
  <c r="AD241" i="3"/>
  <c r="AC241" i="3"/>
  <c r="AB241" i="3"/>
  <c r="AA241" i="3"/>
  <c r="Z241" i="3"/>
  <c r="Y241" i="3"/>
  <c r="W241" i="3"/>
  <c r="V241" i="3"/>
  <c r="U241" i="3"/>
  <c r="T241" i="3"/>
  <c r="S241" i="3"/>
  <c r="R241" i="3"/>
  <c r="Q241" i="3"/>
  <c r="P241" i="3"/>
  <c r="O241" i="3"/>
  <c r="N241" i="3"/>
  <c r="M241" i="3"/>
  <c r="L241" i="3"/>
  <c r="J241" i="3"/>
  <c r="I241" i="3"/>
  <c r="AI240" i="3"/>
  <c r="AH240" i="3"/>
  <c r="AF240" i="3"/>
  <c r="AE240" i="3"/>
  <c r="AD240" i="3"/>
  <c r="AC240" i="3"/>
  <c r="AB240" i="3"/>
  <c r="AA240" i="3"/>
  <c r="Z240" i="3"/>
  <c r="Y240" i="3"/>
  <c r="W240" i="3"/>
  <c r="V240" i="3"/>
  <c r="U240" i="3"/>
  <c r="T240" i="3"/>
  <c r="S240" i="3"/>
  <c r="R240" i="3"/>
  <c r="Q240" i="3"/>
  <c r="P240" i="3"/>
  <c r="O240" i="3"/>
  <c r="N240" i="3"/>
  <c r="M240" i="3"/>
  <c r="L240" i="3"/>
  <c r="J240" i="3"/>
  <c r="I240" i="3"/>
  <c r="AI239" i="3"/>
  <c r="AH239" i="3"/>
  <c r="AF239" i="3"/>
  <c r="AE239" i="3"/>
  <c r="AD239" i="3"/>
  <c r="AC239" i="3"/>
  <c r="AB239" i="3"/>
  <c r="AA239" i="3"/>
  <c r="Z239" i="3"/>
  <c r="Y239" i="3"/>
  <c r="W239" i="3"/>
  <c r="V239" i="3"/>
  <c r="U239" i="3"/>
  <c r="T239" i="3"/>
  <c r="S239" i="3"/>
  <c r="R239" i="3"/>
  <c r="Q239" i="3"/>
  <c r="P239" i="3"/>
  <c r="O239" i="3"/>
  <c r="N239" i="3"/>
  <c r="M239" i="3"/>
  <c r="L239" i="3"/>
  <c r="J239" i="3"/>
  <c r="I239" i="3"/>
  <c r="AI238" i="3"/>
  <c r="AH238" i="3"/>
  <c r="AF238" i="3"/>
  <c r="AE238" i="3"/>
  <c r="AD238" i="3"/>
  <c r="AC238" i="3"/>
  <c r="AB238" i="3"/>
  <c r="AA238" i="3"/>
  <c r="Z238" i="3"/>
  <c r="Y238" i="3"/>
  <c r="W238" i="3"/>
  <c r="V238" i="3"/>
  <c r="U238" i="3"/>
  <c r="T238" i="3"/>
  <c r="S238" i="3"/>
  <c r="R238" i="3"/>
  <c r="Q238" i="3"/>
  <c r="P238" i="3"/>
  <c r="O238" i="3"/>
  <c r="N238" i="3"/>
  <c r="M238" i="3"/>
  <c r="L238" i="3"/>
  <c r="J238" i="3"/>
  <c r="I238" i="3"/>
  <c r="AI237" i="3"/>
  <c r="AH237" i="3"/>
  <c r="AF237" i="3"/>
  <c r="AE237" i="3"/>
  <c r="AD237" i="3"/>
  <c r="AC237" i="3"/>
  <c r="AB237" i="3"/>
  <c r="AA237" i="3"/>
  <c r="Z237" i="3"/>
  <c r="Y237" i="3"/>
  <c r="W237" i="3"/>
  <c r="V237" i="3"/>
  <c r="U237" i="3"/>
  <c r="T237" i="3"/>
  <c r="S237" i="3"/>
  <c r="R237" i="3"/>
  <c r="Q237" i="3"/>
  <c r="P237" i="3"/>
  <c r="O237" i="3"/>
  <c r="N237" i="3"/>
  <c r="M237" i="3"/>
  <c r="L237" i="3"/>
  <c r="J237" i="3"/>
  <c r="I237" i="3"/>
  <c r="AI236" i="3"/>
  <c r="AH236" i="3"/>
  <c r="AF236" i="3"/>
  <c r="AE236" i="3"/>
  <c r="AD236" i="3"/>
  <c r="AC236" i="3"/>
  <c r="AB236" i="3"/>
  <c r="AA236" i="3"/>
  <c r="Z236" i="3"/>
  <c r="Y236" i="3"/>
  <c r="W236" i="3"/>
  <c r="V236" i="3"/>
  <c r="U236" i="3"/>
  <c r="T236" i="3"/>
  <c r="S236" i="3"/>
  <c r="R236" i="3"/>
  <c r="Q236" i="3"/>
  <c r="P236" i="3"/>
  <c r="O236" i="3"/>
  <c r="N236" i="3"/>
  <c r="M236" i="3"/>
  <c r="L236" i="3"/>
  <c r="J236" i="3"/>
  <c r="I236" i="3"/>
  <c r="AI235" i="3"/>
  <c r="AH235" i="3"/>
  <c r="AF235" i="3"/>
  <c r="AE235" i="3"/>
  <c r="AD235" i="3"/>
  <c r="AC235" i="3"/>
  <c r="AB235" i="3"/>
  <c r="AA235" i="3"/>
  <c r="Z235" i="3"/>
  <c r="Y235" i="3"/>
  <c r="W235" i="3"/>
  <c r="V235" i="3"/>
  <c r="U235" i="3"/>
  <c r="T235" i="3"/>
  <c r="S235" i="3"/>
  <c r="R235" i="3"/>
  <c r="Q235" i="3"/>
  <c r="P235" i="3"/>
  <c r="O235" i="3"/>
  <c r="N235" i="3"/>
  <c r="M235" i="3"/>
  <c r="L235" i="3"/>
  <c r="J235" i="3"/>
  <c r="I235" i="3"/>
  <c r="AI234" i="3"/>
  <c r="AH234" i="3"/>
  <c r="AF234" i="3"/>
  <c r="AE234" i="3"/>
  <c r="AD234" i="3"/>
  <c r="AC234" i="3"/>
  <c r="AB234" i="3"/>
  <c r="AA234" i="3"/>
  <c r="Z234" i="3"/>
  <c r="Y234" i="3"/>
  <c r="W234" i="3"/>
  <c r="V234" i="3"/>
  <c r="U234" i="3"/>
  <c r="T234" i="3"/>
  <c r="S234" i="3"/>
  <c r="R234" i="3"/>
  <c r="Q234" i="3"/>
  <c r="P234" i="3"/>
  <c r="O234" i="3"/>
  <c r="N234" i="3"/>
  <c r="M234" i="3"/>
  <c r="L234" i="3"/>
  <c r="J234" i="3"/>
  <c r="I234" i="3"/>
  <c r="AI233" i="3"/>
  <c r="AH233" i="3"/>
  <c r="AF233" i="3"/>
  <c r="AE233" i="3"/>
  <c r="AD233" i="3"/>
  <c r="AC233" i="3"/>
  <c r="AB233" i="3"/>
  <c r="AA233" i="3"/>
  <c r="Z233" i="3"/>
  <c r="Y233" i="3"/>
  <c r="W233" i="3"/>
  <c r="V233" i="3"/>
  <c r="U233" i="3"/>
  <c r="T233" i="3"/>
  <c r="S233" i="3"/>
  <c r="R233" i="3"/>
  <c r="Q233" i="3"/>
  <c r="P233" i="3"/>
  <c r="O233" i="3"/>
  <c r="N233" i="3"/>
  <c r="M233" i="3"/>
  <c r="L233" i="3"/>
  <c r="J233" i="3"/>
  <c r="I233" i="3"/>
  <c r="AI232" i="3"/>
  <c r="AH232" i="3"/>
  <c r="AF232" i="3"/>
  <c r="AE232" i="3"/>
  <c r="AD232" i="3"/>
  <c r="AC232" i="3"/>
  <c r="AB232" i="3"/>
  <c r="AA232" i="3"/>
  <c r="Z232" i="3"/>
  <c r="Y232" i="3"/>
  <c r="W232" i="3"/>
  <c r="V232" i="3"/>
  <c r="U232" i="3"/>
  <c r="T232" i="3"/>
  <c r="S232" i="3"/>
  <c r="R232" i="3"/>
  <c r="Q232" i="3"/>
  <c r="P232" i="3"/>
  <c r="O232" i="3"/>
  <c r="N232" i="3"/>
  <c r="M232" i="3"/>
  <c r="L232" i="3"/>
  <c r="J232" i="3"/>
  <c r="I232" i="3"/>
  <c r="AI231" i="3"/>
  <c r="AH231" i="3"/>
  <c r="AF231" i="3"/>
  <c r="AE231" i="3"/>
  <c r="AD231" i="3"/>
  <c r="AC231" i="3"/>
  <c r="AB231" i="3"/>
  <c r="AA231" i="3"/>
  <c r="Z231" i="3"/>
  <c r="Y231" i="3"/>
  <c r="W231" i="3"/>
  <c r="V231" i="3"/>
  <c r="U231" i="3"/>
  <c r="T231" i="3"/>
  <c r="S231" i="3"/>
  <c r="R231" i="3"/>
  <c r="Q231" i="3"/>
  <c r="P231" i="3"/>
  <c r="O231" i="3"/>
  <c r="N231" i="3"/>
  <c r="M231" i="3"/>
  <c r="L231" i="3"/>
  <c r="J231" i="3"/>
  <c r="I231" i="3"/>
  <c r="AI230" i="3"/>
  <c r="AH230" i="3"/>
  <c r="AF230" i="3"/>
  <c r="AE230" i="3"/>
  <c r="AD230" i="3"/>
  <c r="AC230" i="3"/>
  <c r="AB230" i="3"/>
  <c r="AA230" i="3"/>
  <c r="Z230" i="3"/>
  <c r="Y230" i="3"/>
  <c r="W230" i="3"/>
  <c r="V230" i="3"/>
  <c r="U230" i="3"/>
  <c r="T230" i="3"/>
  <c r="S230" i="3"/>
  <c r="R230" i="3"/>
  <c r="Q230" i="3"/>
  <c r="P230" i="3"/>
  <c r="O230" i="3"/>
  <c r="N230" i="3"/>
  <c r="M230" i="3"/>
  <c r="L230" i="3"/>
  <c r="J230" i="3"/>
  <c r="I230" i="3"/>
  <c r="AI229" i="3"/>
  <c r="AH229" i="3"/>
  <c r="AF229" i="3"/>
  <c r="AE229" i="3"/>
  <c r="AD229" i="3"/>
  <c r="AC229" i="3"/>
  <c r="AB229" i="3"/>
  <c r="AA229" i="3"/>
  <c r="Z229" i="3"/>
  <c r="Y229" i="3"/>
  <c r="W229" i="3"/>
  <c r="V229" i="3"/>
  <c r="U229" i="3"/>
  <c r="T229" i="3"/>
  <c r="S229" i="3"/>
  <c r="R229" i="3"/>
  <c r="Q229" i="3"/>
  <c r="P229" i="3"/>
  <c r="O229" i="3"/>
  <c r="N229" i="3"/>
  <c r="M229" i="3"/>
  <c r="L229" i="3"/>
  <c r="J229" i="3"/>
  <c r="I229" i="3"/>
  <c r="AI228" i="3"/>
  <c r="AH228" i="3"/>
  <c r="AF228" i="3"/>
  <c r="AE228" i="3"/>
  <c r="AD228" i="3"/>
  <c r="AC228" i="3"/>
  <c r="AB228" i="3"/>
  <c r="AA228" i="3"/>
  <c r="Z228" i="3"/>
  <c r="Y228" i="3"/>
  <c r="W228" i="3"/>
  <c r="V228" i="3"/>
  <c r="U228" i="3"/>
  <c r="T228" i="3"/>
  <c r="S228" i="3"/>
  <c r="R228" i="3"/>
  <c r="Q228" i="3"/>
  <c r="P228" i="3"/>
  <c r="O228" i="3"/>
  <c r="N228" i="3"/>
  <c r="M228" i="3"/>
  <c r="L228" i="3"/>
  <c r="J228" i="3"/>
  <c r="I228" i="3"/>
  <c r="AI227" i="3"/>
  <c r="AH227" i="3"/>
  <c r="AF227" i="3"/>
  <c r="AE227" i="3"/>
  <c r="AD227" i="3"/>
  <c r="AC227" i="3"/>
  <c r="AB227" i="3"/>
  <c r="AA227" i="3"/>
  <c r="Z227" i="3"/>
  <c r="Y227" i="3"/>
  <c r="W227" i="3"/>
  <c r="V227" i="3"/>
  <c r="U227" i="3"/>
  <c r="T227" i="3"/>
  <c r="S227" i="3"/>
  <c r="R227" i="3"/>
  <c r="Q227" i="3"/>
  <c r="P227" i="3"/>
  <c r="O227" i="3"/>
  <c r="N227" i="3"/>
  <c r="M227" i="3"/>
  <c r="L227" i="3"/>
  <c r="J227" i="3"/>
  <c r="I227" i="3"/>
  <c r="AI226" i="3"/>
  <c r="AH226" i="3"/>
  <c r="AF226" i="3"/>
  <c r="AE226" i="3"/>
  <c r="AD226" i="3"/>
  <c r="AC226" i="3"/>
  <c r="AB226" i="3"/>
  <c r="AA226" i="3"/>
  <c r="Z226" i="3"/>
  <c r="Y226" i="3"/>
  <c r="W226" i="3"/>
  <c r="V226" i="3"/>
  <c r="U226" i="3"/>
  <c r="T226" i="3"/>
  <c r="S226" i="3"/>
  <c r="R226" i="3"/>
  <c r="Q226" i="3"/>
  <c r="P226" i="3"/>
  <c r="O226" i="3"/>
  <c r="N226" i="3"/>
  <c r="M226" i="3"/>
  <c r="L226" i="3"/>
  <c r="J226" i="3"/>
  <c r="I226" i="3"/>
  <c r="AI225" i="3"/>
  <c r="AH225" i="3"/>
  <c r="AF225" i="3"/>
  <c r="AE225" i="3"/>
  <c r="AD225" i="3"/>
  <c r="AC225" i="3"/>
  <c r="AB225" i="3"/>
  <c r="AA225" i="3"/>
  <c r="Z225" i="3"/>
  <c r="Y225" i="3"/>
  <c r="W225" i="3"/>
  <c r="V225" i="3"/>
  <c r="U225" i="3"/>
  <c r="T225" i="3"/>
  <c r="S225" i="3"/>
  <c r="R225" i="3"/>
  <c r="Q225" i="3"/>
  <c r="P225" i="3"/>
  <c r="O225" i="3"/>
  <c r="N225" i="3"/>
  <c r="M225" i="3"/>
  <c r="L225" i="3"/>
  <c r="J225" i="3"/>
  <c r="I225" i="3"/>
  <c r="AI224" i="3"/>
  <c r="AH224" i="3"/>
  <c r="AF224" i="3"/>
  <c r="AE224" i="3"/>
  <c r="AD224" i="3"/>
  <c r="AC224" i="3"/>
  <c r="AB224" i="3"/>
  <c r="AA224" i="3"/>
  <c r="Z224" i="3"/>
  <c r="Y224" i="3"/>
  <c r="W224" i="3"/>
  <c r="V224" i="3"/>
  <c r="U224" i="3"/>
  <c r="T224" i="3"/>
  <c r="S224" i="3"/>
  <c r="R224" i="3"/>
  <c r="Q224" i="3"/>
  <c r="P224" i="3"/>
  <c r="O224" i="3"/>
  <c r="N224" i="3"/>
  <c r="M224" i="3"/>
  <c r="L224" i="3"/>
  <c r="J224" i="3"/>
  <c r="I224" i="3"/>
  <c r="AI223" i="3"/>
  <c r="AH223" i="3"/>
  <c r="AF223" i="3"/>
  <c r="AE223" i="3"/>
  <c r="AD223" i="3"/>
  <c r="AC223" i="3"/>
  <c r="AB223" i="3"/>
  <c r="AA223" i="3"/>
  <c r="Z223" i="3"/>
  <c r="Y223" i="3"/>
  <c r="W223" i="3"/>
  <c r="V223" i="3"/>
  <c r="U223" i="3"/>
  <c r="T223" i="3"/>
  <c r="S223" i="3"/>
  <c r="R223" i="3"/>
  <c r="Q223" i="3"/>
  <c r="P223" i="3"/>
  <c r="O223" i="3"/>
  <c r="N223" i="3"/>
  <c r="M223" i="3"/>
  <c r="L223" i="3"/>
  <c r="J223" i="3"/>
  <c r="I223" i="3"/>
  <c r="AI222" i="3"/>
  <c r="AH222" i="3"/>
  <c r="AF222" i="3"/>
  <c r="AE222" i="3"/>
  <c r="AD222" i="3"/>
  <c r="AC222" i="3"/>
  <c r="AB222" i="3"/>
  <c r="AA222" i="3"/>
  <c r="Z222" i="3"/>
  <c r="Y222" i="3"/>
  <c r="W222" i="3"/>
  <c r="V222" i="3"/>
  <c r="U222" i="3"/>
  <c r="T222" i="3"/>
  <c r="S222" i="3"/>
  <c r="R222" i="3"/>
  <c r="Q222" i="3"/>
  <c r="P222" i="3"/>
  <c r="O222" i="3"/>
  <c r="N222" i="3"/>
  <c r="M222" i="3"/>
  <c r="L222" i="3"/>
  <c r="J222" i="3"/>
  <c r="I222" i="3"/>
  <c r="AI221" i="3"/>
  <c r="AH221" i="3"/>
  <c r="AF221" i="3"/>
  <c r="AE221" i="3"/>
  <c r="AD221" i="3"/>
  <c r="AC221" i="3"/>
  <c r="AB221" i="3"/>
  <c r="AA221" i="3"/>
  <c r="Z221" i="3"/>
  <c r="Y221" i="3"/>
  <c r="W221" i="3"/>
  <c r="V221" i="3"/>
  <c r="U221" i="3"/>
  <c r="T221" i="3"/>
  <c r="S221" i="3"/>
  <c r="R221" i="3"/>
  <c r="Q221" i="3"/>
  <c r="P221" i="3"/>
  <c r="O221" i="3"/>
  <c r="N221" i="3"/>
  <c r="M221" i="3"/>
  <c r="L221" i="3"/>
  <c r="J221" i="3"/>
  <c r="I221" i="3"/>
  <c r="AI220" i="3"/>
  <c r="AH220" i="3"/>
  <c r="AF220" i="3"/>
  <c r="AE220" i="3"/>
  <c r="AD220" i="3"/>
  <c r="AC220" i="3"/>
  <c r="AB220" i="3"/>
  <c r="AA220" i="3"/>
  <c r="Z220" i="3"/>
  <c r="Y220" i="3"/>
  <c r="W220" i="3"/>
  <c r="V220" i="3"/>
  <c r="U220" i="3"/>
  <c r="T220" i="3"/>
  <c r="S220" i="3"/>
  <c r="R220" i="3"/>
  <c r="Q220" i="3"/>
  <c r="P220" i="3"/>
  <c r="O220" i="3"/>
  <c r="N220" i="3"/>
  <c r="M220" i="3"/>
  <c r="L220" i="3"/>
  <c r="J220" i="3"/>
  <c r="I220" i="3"/>
  <c r="AI219" i="3"/>
  <c r="AH219" i="3"/>
  <c r="AF219" i="3"/>
  <c r="AE219" i="3"/>
  <c r="AD219" i="3"/>
  <c r="AC219" i="3"/>
  <c r="AB219" i="3"/>
  <c r="AA219" i="3"/>
  <c r="Z219" i="3"/>
  <c r="Y219" i="3"/>
  <c r="W219" i="3"/>
  <c r="V219" i="3"/>
  <c r="U219" i="3"/>
  <c r="T219" i="3"/>
  <c r="S219" i="3"/>
  <c r="R219" i="3"/>
  <c r="Q219" i="3"/>
  <c r="P219" i="3"/>
  <c r="O219" i="3"/>
  <c r="N219" i="3"/>
  <c r="M219" i="3"/>
  <c r="L219" i="3"/>
  <c r="J219" i="3"/>
  <c r="I219" i="3"/>
  <c r="AI218" i="3"/>
  <c r="AH218" i="3"/>
  <c r="AF218" i="3"/>
  <c r="AE218" i="3"/>
  <c r="AD218" i="3"/>
  <c r="AC218" i="3"/>
  <c r="AB218" i="3"/>
  <c r="AA218" i="3"/>
  <c r="Z218" i="3"/>
  <c r="Y218" i="3"/>
  <c r="W218" i="3"/>
  <c r="V218" i="3"/>
  <c r="U218" i="3"/>
  <c r="T218" i="3"/>
  <c r="S218" i="3"/>
  <c r="R218" i="3"/>
  <c r="Q218" i="3"/>
  <c r="P218" i="3"/>
  <c r="O218" i="3"/>
  <c r="N218" i="3"/>
  <c r="M218" i="3"/>
  <c r="L218" i="3"/>
  <c r="J218" i="3"/>
  <c r="I218" i="3"/>
  <c r="AI217" i="3"/>
  <c r="AH217" i="3"/>
  <c r="AF217" i="3"/>
  <c r="AE217" i="3"/>
  <c r="AD217" i="3"/>
  <c r="AC217" i="3"/>
  <c r="AB217" i="3"/>
  <c r="AA217" i="3"/>
  <c r="Z217" i="3"/>
  <c r="Y217" i="3"/>
  <c r="W217" i="3"/>
  <c r="V217" i="3"/>
  <c r="U217" i="3"/>
  <c r="T217" i="3"/>
  <c r="S217" i="3"/>
  <c r="R217" i="3"/>
  <c r="Q217" i="3"/>
  <c r="P217" i="3"/>
  <c r="O217" i="3"/>
  <c r="N217" i="3"/>
  <c r="M217" i="3"/>
  <c r="L217" i="3"/>
  <c r="J217" i="3"/>
  <c r="I217" i="3"/>
  <c r="AI216" i="3"/>
  <c r="AH216" i="3"/>
  <c r="AF216" i="3"/>
  <c r="AE216" i="3"/>
  <c r="AD216" i="3"/>
  <c r="AC216" i="3"/>
  <c r="AB216" i="3"/>
  <c r="AA216" i="3"/>
  <c r="Z216" i="3"/>
  <c r="Y216" i="3"/>
  <c r="W216" i="3"/>
  <c r="V216" i="3"/>
  <c r="U216" i="3"/>
  <c r="T216" i="3"/>
  <c r="S216" i="3"/>
  <c r="R216" i="3"/>
  <c r="Q216" i="3"/>
  <c r="P216" i="3"/>
  <c r="O216" i="3"/>
  <c r="N216" i="3"/>
  <c r="M216" i="3"/>
  <c r="L216" i="3"/>
  <c r="J216" i="3"/>
  <c r="I216" i="3"/>
  <c r="AI215" i="3"/>
  <c r="AH215" i="3"/>
  <c r="AF215" i="3"/>
  <c r="AE215" i="3"/>
  <c r="AD215" i="3"/>
  <c r="AC215" i="3"/>
  <c r="AB215" i="3"/>
  <c r="AA215" i="3"/>
  <c r="Z215" i="3"/>
  <c r="Y215" i="3"/>
  <c r="W215" i="3"/>
  <c r="V215" i="3"/>
  <c r="U215" i="3"/>
  <c r="T215" i="3"/>
  <c r="S215" i="3"/>
  <c r="R215" i="3"/>
  <c r="Q215" i="3"/>
  <c r="P215" i="3"/>
  <c r="O215" i="3"/>
  <c r="N215" i="3"/>
  <c r="M215" i="3"/>
  <c r="L215" i="3"/>
  <c r="J215" i="3"/>
  <c r="I215" i="3"/>
  <c r="AI214" i="3"/>
  <c r="AH214" i="3"/>
  <c r="AF214" i="3"/>
  <c r="AE214" i="3"/>
  <c r="AD214" i="3"/>
  <c r="AC214" i="3"/>
  <c r="AB214" i="3"/>
  <c r="AA214" i="3"/>
  <c r="Z214" i="3"/>
  <c r="Y214" i="3"/>
  <c r="W214" i="3"/>
  <c r="V214" i="3"/>
  <c r="U214" i="3"/>
  <c r="T214" i="3"/>
  <c r="S214" i="3"/>
  <c r="R214" i="3"/>
  <c r="Q214" i="3"/>
  <c r="P214" i="3"/>
  <c r="O214" i="3"/>
  <c r="N214" i="3"/>
  <c r="M214" i="3"/>
  <c r="L214" i="3"/>
  <c r="J214" i="3"/>
  <c r="I214" i="3"/>
  <c r="AI213" i="3"/>
  <c r="AH213" i="3"/>
  <c r="AF213" i="3"/>
  <c r="AE213" i="3"/>
  <c r="AD213" i="3"/>
  <c r="AC213" i="3"/>
  <c r="AB213" i="3"/>
  <c r="AA213" i="3"/>
  <c r="Z213" i="3"/>
  <c r="Y213" i="3"/>
  <c r="W213" i="3"/>
  <c r="V213" i="3"/>
  <c r="U213" i="3"/>
  <c r="T213" i="3"/>
  <c r="S213" i="3"/>
  <c r="R213" i="3"/>
  <c r="Q213" i="3"/>
  <c r="P213" i="3"/>
  <c r="O213" i="3"/>
  <c r="N213" i="3"/>
  <c r="M213" i="3"/>
  <c r="L213" i="3"/>
  <c r="J213" i="3"/>
  <c r="I213" i="3"/>
  <c r="AI212" i="3"/>
  <c r="AH212" i="3"/>
  <c r="AF212" i="3"/>
  <c r="AE212" i="3"/>
  <c r="AD212" i="3"/>
  <c r="AC212" i="3"/>
  <c r="AB212" i="3"/>
  <c r="AA212" i="3"/>
  <c r="Z212" i="3"/>
  <c r="Y212" i="3"/>
  <c r="W212" i="3"/>
  <c r="V212" i="3"/>
  <c r="U212" i="3"/>
  <c r="T212" i="3"/>
  <c r="S212" i="3"/>
  <c r="R212" i="3"/>
  <c r="Q212" i="3"/>
  <c r="P212" i="3"/>
  <c r="O212" i="3"/>
  <c r="N212" i="3"/>
  <c r="M212" i="3"/>
  <c r="L212" i="3"/>
  <c r="J212" i="3"/>
  <c r="I212" i="3"/>
  <c r="AI211" i="3"/>
  <c r="AH211" i="3"/>
  <c r="AF211" i="3"/>
  <c r="AE211" i="3"/>
  <c r="AD211" i="3"/>
  <c r="AC211" i="3"/>
  <c r="AB211" i="3"/>
  <c r="AA211" i="3"/>
  <c r="Z211" i="3"/>
  <c r="Y211" i="3"/>
  <c r="W211" i="3"/>
  <c r="V211" i="3"/>
  <c r="U211" i="3"/>
  <c r="T211" i="3"/>
  <c r="S211" i="3"/>
  <c r="R211" i="3"/>
  <c r="Q211" i="3"/>
  <c r="P211" i="3"/>
  <c r="O211" i="3"/>
  <c r="N211" i="3"/>
  <c r="M211" i="3"/>
  <c r="L211" i="3"/>
  <c r="J211" i="3"/>
  <c r="I211" i="3"/>
  <c r="AI210" i="3"/>
  <c r="AH210" i="3"/>
  <c r="AF210" i="3"/>
  <c r="AE210" i="3"/>
  <c r="AD210" i="3"/>
  <c r="AC210" i="3"/>
  <c r="AB210" i="3"/>
  <c r="AA210" i="3"/>
  <c r="Z210" i="3"/>
  <c r="Y210" i="3"/>
  <c r="W210" i="3"/>
  <c r="V210" i="3"/>
  <c r="U210" i="3"/>
  <c r="T210" i="3"/>
  <c r="S210" i="3"/>
  <c r="R210" i="3"/>
  <c r="Q210" i="3"/>
  <c r="P210" i="3"/>
  <c r="O210" i="3"/>
  <c r="N210" i="3"/>
  <c r="M210" i="3"/>
  <c r="L210" i="3"/>
  <c r="J210" i="3"/>
  <c r="I210" i="3"/>
  <c r="AI209" i="3"/>
  <c r="AH209" i="3"/>
  <c r="AF209" i="3"/>
  <c r="AE209" i="3"/>
  <c r="AD209" i="3"/>
  <c r="AC209" i="3"/>
  <c r="AB209" i="3"/>
  <c r="AA209" i="3"/>
  <c r="Z209" i="3"/>
  <c r="Y209" i="3"/>
  <c r="W209" i="3"/>
  <c r="V209" i="3"/>
  <c r="U209" i="3"/>
  <c r="T209" i="3"/>
  <c r="S209" i="3"/>
  <c r="R209" i="3"/>
  <c r="Q209" i="3"/>
  <c r="P209" i="3"/>
  <c r="O209" i="3"/>
  <c r="N209" i="3"/>
  <c r="M209" i="3"/>
  <c r="L209" i="3"/>
  <c r="J209" i="3"/>
  <c r="I209" i="3"/>
  <c r="AI208" i="3"/>
  <c r="AH208" i="3"/>
  <c r="AF208" i="3"/>
  <c r="AE208" i="3"/>
  <c r="AD208" i="3"/>
  <c r="AC208" i="3"/>
  <c r="AB208" i="3"/>
  <c r="AA208" i="3"/>
  <c r="Z208" i="3"/>
  <c r="Y208" i="3"/>
  <c r="W208" i="3"/>
  <c r="V208" i="3"/>
  <c r="U208" i="3"/>
  <c r="T208" i="3"/>
  <c r="S208" i="3"/>
  <c r="R208" i="3"/>
  <c r="Q208" i="3"/>
  <c r="P208" i="3"/>
  <c r="O208" i="3"/>
  <c r="N208" i="3"/>
  <c r="M208" i="3"/>
  <c r="L208" i="3"/>
  <c r="J208" i="3"/>
  <c r="I208" i="3"/>
  <c r="AI207" i="3"/>
  <c r="AH207" i="3"/>
  <c r="AF207" i="3"/>
  <c r="AE207" i="3"/>
  <c r="AD207" i="3"/>
  <c r="AC207" i="3"/>
  <c r="AB207" i="3"/>
  <c r="AA207" i="3"/>
  <c r="Z207" i="3"/>
  <c r="Y207" i="3"/>
  <c r="W207" i="3"/>
  <c r="V207" i="3"/>
  <c r="U207" i="3"/>
  <c r="T207" i="3"/>
  <c r="S207" i="3"/>
  <c r="R207" i="3"/>
  <c r="Q207" i="3"/>
  <c r="P207" i="3"/>
  <c r="O207" i="3"/>
  <c r="N207" i="3"/>
  <c r="M207" i="3"/>
  <c r="L207" i="3"/>
  <c r="J207" i="3"/>
  <c r="I207" i="3"/>
  <c r="AI206" i="3"/>
  <c r="AH206" i="3"/>
  <c r="AF206" i="3"/>
  <c r="AE206" i="3"/>
  <c r="AD206" i="3"/>
  <c r="AC206" i="3"/>
  <c r="AB206" i="3"/>
  <c r="AA206" i="3"/>
  <c r="Z206" i="3"/>
  <c r="Y206" i="3"/>
  <c r="W206" i="3"/>
  <c r="V206" i="3"/>
  <c r="U206" i="3"/>
  <c r="T206" i="3"/>
  <c r="S206" i="3"/>
  <c r="R206" i="3"/>
  <c r="Q206" i="3"/>
  <c r="P206" i="3"/>
  <c r="O206" i="3"/>
  <c r="N206" i="3"/>
  <c r="M206" i="3"/>
  <c r="L206" i="3"/>
  <c r="J206" i="3"/>
  <c r="I206" i="3"/>
  <c r="AI205" i="3"/>
  <c r="AH205" i="3"/>
  <c r="AF205" i="3"/>
  <c r="AE205" i="3"/>
  <c r="AD205" i="3"/>
  <c r="AC205" i="3"/>
  <c r="AB205" i="3"/>
  <c r="AA205" i="3"/>
  <c r="Z205" i="3"/>
  <c r="Y205" i="3"/>
  <c r="W205" i="3"/>
  <c r="V205" i="3"/>
  <c r="U205" i="3"/>
  <c r="T205" i="3"/>
  <c r="S205" i="3"/>
  <c r="R205" i="3"/>
  <c r="Q205" i="3"/>
  <c r="P205" i="3"/>
  <c r="O205" i="3"/>
  <c r="N205" i="3"/>
  <c r="M205" i="3"/>
  <c r="L205" i="3"/>
  <c r="J205" i="3"/>
  <c r="I205" i="3"/>
  <c r="AI204" i="3"/>
  <c r="AH204" i="3"/>
  <c r="AF204" i="3"/>
  <c r="AE204" i="3"/>
  <c r="AD204" i="3"/>
  <c r="AC204" i="3"/>
  <c r="AB204" i="3"/>
  <c r="AA204" i="3"/>
  <c r="Z204" i="3"/>
  <c r="Y204" i="3"/>
  <c r="W204" i="3"/>
  <c r="V204" i="3"/>
  <c r="U204" i="3"/>
  <c r="T204" i="3"/>
  <c r="S204" i="3"/>
  <c r="R204" i="3"/>
  <c r="Q204" i="3"/>
  <c r="P204" i="3"/>
  <c r="O204" i="3"/>
  <c r="N204" i="3"/>
  <c r="M204" i="3"/>
  <c r="L204" i="3"/>
  <c r="J204" i="3"/>
  <c r="I204" i="3"/>
  <c r="AI203" i="3"/>
  <c r="AH203" i="3"/>
  <c r="AF203" i="3"/>
  <c r="AE203" i="3"/>
  <c r="AD203" i="3"/>
  <c r="AC203" i="3"/>
  <c r="AB203" i="3"/>
  <c r="AA203" i="3"/>
  <c r="Z203" i="3"/>
  <c r="Y203" i="3"/>
  <c r="W203" i="3"/>
  <c r="V203" i="3"/>
  <c r="U203" i="3"/>
  <c r="T203" i="3"/>
  <c r="S203" i="3"/>
  <c r="R203" i="3"/>
  <c r="Q203" i="3"/>
  <c r="P203" i="3"/>
  <c r="O203" i="3"/>
  <c r="N203" i="3"/>
  <c r="M203" i="3"/>
  <c r="L203" i="3"/>
  <c r="J203" i="3"/>
  <c r="I203" i="3"/>
  <c r="AI202" i="3"/>
  <c r="AH202" i="3"/>
  <c r="AF202" i="3"/>
  <c r="AE202" i="3"/>
  <c r="AD202" i="3"/>
  <c r="AC202" i="3"/>
  <c r="AB202" i="3"/>
  <c r="AA202" i="3"/>
  <c r="Z202" i="3"/>
  <c r="Y202" i="3"/>
  <c r="W202" i="3"/>
  <c r="V202" i="3"/>
  <c r="U202" i="3"/>
  <c r="T202" i="3"/>
  <c r="S202" i="3"/>
  <c r="R202" i="3"/>
  <c r="Q202" i="3"/>
  <c r="P202" i="3"/>
  <c r="O202" i="3"/>
  <c r="N202" i="3"/>
  <c r="M202" i="3"/>
  <c r="L202" i="3"/>
  <c r="J202" i="3"/>
  <c r="I202" i="3"/>
  <c r="AI201" i="3"/>
  <c r="AH201" i="3"/>
  <c r="AF201" i="3"/>
  <c r="AE201" i="3"/>
  <c r="AD201" i="3"/>
  <c r="AC201" i="3"/>
  <c r="AB201" i="3"/>
  <c r="AA201" i="3"/>
  <c r="Z201" i="3"/>
  <c r="Y201" i="3"/>
  <c r="W201" i="3"/>
  <c r="V201" i="3"/>
  <c r="U201" i="3"/>
  <c r="T201" i="3"/>
  <c r="S201" i="3"/>
  <c r="R201" i="3"/>
  <c r="Q201" i="3"/>
  <c r="P201" i="3"/>
  <c r="O201" i="3"/>
  <c r="N201" i="3"/>
  <c r="M201" i="3"/>
  <c r="L201" i="3"/>
  <c r="J201" i="3"/>
  <c r="I201" i="3"/>
  <c r="AI200" i="3"/>
  <c r="AH200" i="3"/>
  <c r="AF200" i="3"/>
  <c r="AE200" i="3"/>
  <c r="AD200" i="3"/>
  <c r="AC200" i="3"/>
  <c r="AB200" i="3"/>
  <c r="AA200" i="3"/>
  <c r="Z200" i="3"/>
  <c r="Y200" i="3"/>
  <c r="W200" i="3"/>
  <c r="V200" i="3"/>
  <c r="U200" i="3"/>
  <c r="T200" i="3"/>
  <c r="S200" i="3"/>
  <c r="R200" i="3"/>
  <c r="Q200" i="3"/>
  <c r="P200" i="3"/>
  <c r="O200" i="3"/>
  <c r="N200" i="3"/>
  <c r="M200" i="3"/>
  <c r="L200" i="3"/>
  <c r="J200" i="3"/>
  <c r="I200" i="3"/>
  <c r="AI199" i="3"/>
  <c r="AH199" i="3"/>
  <c r="AF199" i="3"/>
  <c r="AE199" i="3"/>
  <c r="AD199" i="3"/>
  <c r="AC199" i="3"/>
  <c r="AB199" i="3"/>
  <c r="AA199" i="3"/>
  <c r="Z199" i="3"/>
  <c r="Y199" i="3"/>
  <c r="W199" i="3"/>
  <c r="V199" i="3"/>
  <c r="U199" i="3"/>
  <c r="T199" i="3"/>
  <c r="S199" i="3"/>
  <c r="R199" i="3"/>
  <c r="Q199" i="3"/>
  <c r="P199" i="3"/>
  <c r="O199" i="3"/>
  <c r="N199" i="3"/>
  <c r="M199" i="3"/>
  <c r="L199" i="3"/>
  <c r="J199" i="3"/>
  <c r="I199" i="3"/>
  <c r="AI198" i="3"/>
  <c r="AH198" i="3"/>
  <c r="AF198" i="3"/>
  <c r="AE198" i="3"/>
  <c r="AD198" i="3"/>
  <c r="AC198" i="3"/>
  <c r="AB198" i="3"/>
  <c r="AA198" i="3"/>
  <c r="Z198" i="3"/>
  <c r="Y198" i="3"/>
  <c r="W198" i="3"/>
  <c r="V198" i="3"/>
  <c r="U198" i="3"/>
  <c r="T198" i="3"/>
  <c r="S198" i="3"/>
  <c r="R198" i="3"/>
  <c r="Q198" i="3"/>
  <c r="P198" i="3"/>
  <c r="O198" i="3"/>
  <c r="N198" i="3"/>
  <c r="M198" i="3"/>
  <c r="L198" i="3"/>
  <c r="J198" i="3"/>
  <c r="I198" i="3"/>
  <c r="AI197" i="3"/>
  <c r="AH197" i="3"/>
  <c r="AF197" i="3"/>
  <c r="AE197" i="3"/>
  <c r="AD197" i="3"/>
  <c r="AC197" i="3"/>
  <c r="AB197" i="3"/>
  <c r="AA197" i="3"/>
  <c r="Z197" i="3"/>
  <c r="Y197" i="3"/>
  <c r="W197" i="3"/>
  <c r="V197" i="3"/>
  <c r="U197" i="3"/>
  <c r="T197" i="3"/>
  <c r="S197" i="3"/>
  <c r="R197" i="3"/>
  <c r="Q197" i="3"/>
  <c r="P197" i="3"/>
  <c r="O197" i="3"/>
  <c r="N197" i="3"/>
  <c r="M197" i="3"/>
  <c r="L197" i="3"/>
  <c r="J197" i="3"/>
  <c r="I197" i="3"/>
  <c r="AI196" i="3"/>
  <c r="AH196" i="3"/>
  <c r="AF196" i="3"/>
  <c r="AE196" i="3"/>
  <c r="AD196" i="3"/>
  <c r="AC196" i="3"/>
  <c r="AB196" i="3"/>
  <c r="AA196" i="3"/>
  <c r="Z196" i="3"/>
  <c r="Y196" i="3"/>
  <c r="W196" i="3"/>
  <c r="V196" i="3"/>
  <c r="U196" i="3"/>
  <c r="T196" i="3"/>
  <c r="S196" i="3"/>
  <c r="R196" i="3"/>
  <c r="Q196" i="3"/>
  <c r="P196" i="3"/>
  <c r="O196" i="3"/>
  <c r="N196" i="3"/>
  <c r="M196" i="3"/>
  <c r="L196" i="3"/>
  <c r="J196" i="3"/>
  <c r="I196" i="3"/>
  <c r="AI195" i="3"/>
  <c r="AH195" i="3"/>
  <c r="AF195" i="3"/>
  <c r="AE195" i="3"/>
  <c r="AD195" i="3"/>
  <c r="AC195" i="3"/>
  <c r="AB195" i="3"/>
  <c r="AA195" i="3"/>
  <c r="Z195" i="3"/>
  <c r="Y195" i="3"/>
  <c r="W195" i="3"/>
  <c r="V195" i="3"/>
  <c r="U195" i="3"/>
  <c r="T195" i="3"/>
  <c r="S195" i="3"/>
  <c r="R195" i="3"/>
  <c r="Q195" i="3"/>
  <c r="P195" i="3"/>
  <c r="O195" i="3"/>
  <c r="N195" i="3"/>
  <c r="M195" i="3"/>
  <c r="L195" i="3"/>
  <c r="J195" i="3"/>
  <c r="I195" i="3"/>
  <c r="AI194" i="3"/>
  <c r="AH194" i="3"/>
  <c r="AF194" i="3"/>
  <c r="AE194" i="3"/>
  <c r="AD194" i="3"/>
  <c r="AC194" i="3"/>
  <c r="AB194" i="3"/>
  <c r="AA194" i="3"/>
  <c r="Z194" i="3"/>
  <c r="Y194" i="3"/>
  <c r="W194" i="3"/>
  <c r="V194" i="3"/>
  <c r="U194" i="3"/>
  <c r="T194" i="3"/>
  <c r="S194" i="3"/>
  <c r="R194" i="3"/>
  <c r="Q194" i="3"/>
  <c r="P194" i="3"/>
  <c r="O194" i="3"/>
  <c r="N194" i="3"/>
  <c r="M194" i="3"/>
  <c r="L194" i="3"/>
  <c r="J194" i="3"/>
  <c r="I194" i="3"/>
  <c r="AI193" i="3"/>
  <c r="AH193" i="3"/>
  <c r="AF193" i="3"/>
  <c r="AE193" i="3"/>
  <c r="AD193" i="3"/>
  <c r="AC193" i="3"/>
  <c r="AB193" i="3"/>
  <c r="AA193" i="3"/>
  <c r="Z193" i="3"/>
  <c r="Y193" i="3"/>
  <c r="W193" i="3"/>
  <c r="V193" i="3"/>
  <c r="U193" i="3"/>
  <c r="T193" i="3"/>
  <c r="S193" i="3"/>
  <c r="R193" i="3"/>
  <c r="Q193" i="3"/>
  <c r="P193" i="3"/>
  <c r="O193" i="3"/>
  <c r="N193" i="3"/>
  <c r="M193" i="3"/>
  <c r="L193" i="3"/>
  <c r="J193" i="3"/>
  <c r="I193" i="3"/>
  <c r="AI192" i="3"/>
  <c r="AH192" i="3"/>
  <c r="AF192" i="3"/>
  <c r="AE192" i="3"/>
  <c r="AD192" i="3"/>
  <c r="AC192" i="3"/>
  <c r="AB192" i="3"/>
  <c r="AA192" i="3"/>
  <c r="Z192" i="3"/>
  <c r="Y192" i="3"/>
  <c r="W192" i="3"/>
  <c r="V192" i="3"/>
  <c r="U192" i="3"/>
  <c r="T192" i="3"/>
  <c r="S192" i="3"/>
  <c r="R192" i="3"/>
  <c r="Q192" i="3"/>
  <c r="P192" i="3"/>
  <c r="O192" i="3"/>
  <c r="N192" i="3"/>
  <c r="M192" i="3"/>
  <c r="L192" i="3"/>
  <c r="J192" i="3"/>
  <c r="I192" i="3"/>
  <c r="AI191" i="3"/>
  <c r="AH191" i="3"/>
  <c r="AF191" i="3"/>
  <c r="AE191" i="3"/>
  <c r="AD191" i="3"/>
  <c r="AC191" i="3"/>
  <c r="AB191" i="3"/>
  <c r="AA191" i="3"/>
  <c r="Z191" i="3"/>
  <c r="Y191" i="3"/>
  <c r="W191" i="3"/>
  <c r="V191" i="3"/>
  <c r="U191" i="3"/>
  <c r="T191" i="3"/>
  <c r="S191" i="3"/>
  <c r="R191" i="3"/>
  <c r="Q191" i="3"/>
  <c r="P191" i="3"/>
  <c r="O191" i="3"/>
  <c r="N191" i="3"/>
  <c r="M191" i="3"/>
  <c r="L191" i="3"/>
  <c r="J191" i="3"/>
  <c r="I191" i="3"/>
  <c r="AI190" i="3"/>
  <c r="AH190" i="3"/>
  <c r="AF190" i="3"/>
  <c r="AE190" i="3"/>
  <c r="AD190" i="3"/>
  <c r="AC190" i="3"/>
  <c r="AB190" i="3"/>
  <c r="AA190" i="3"/>
  <c r="Z190" i="3"/>
  <c r="Y190" i="3"/>
  <c r="W190" i="3"/>
  <c r="V190" i="3"/>
  <c r="U190" i="3"/>
  <c r="T190" i="3"/>
  <c r="S190" i="3"/>
  <c r="R190" i="3"/>
  <c r="Q190" i="3"/>
  <c r="P190" i="3"/>
  <c r="O190" i="3"/>
  <c r="N190" i="3"/>
  <c r="M190" i="3"/>
  <c r="L190" i="3"/>
  <c r="J190" i="3"/>
  <c r="I190" i="3"/>
  <c r="AI189" i="3"/>
  <c r="AH189" i="3"/>
  <c r="AF189" i="3"/>
  <c r="AE189" i="3"/>
  <c r="AD189" i="3"/>
  <c r="AC189" i="3"/>
  <c r="AB189" i="3"/>
  <c r="AA189" i="3"/>
  <c r="Z189" i="3"/>
  <c r="Y189" i="3"/>
  <c r="W189" i="3"/>
  <c r="V189" i="3"/>
  <c r="U189" i="3"/>
  <c r="T189" i="3"/>
  <c r="S189" i="3"/>
  <c r="R189" i="3"/>
  <c r="Q189" i="3"/>
  <c r="P189" i="3"/>
  <c r="O189" i="3"/>
  <c r="N189" i="3"/>
  <c r="M189" i="3"/>
  <c r="L189" i="3"/>
  <c r="J189" i="3"/>
  <c r="I189" i="3"/>
  <c r="AI188" i="3"/>
  <c r="AH188" i="3"/>
  <c r="AF188" i="3"/>
  <c r="AE188" i="3"/>
  <c r="AD188" i="3"/>
  <c r="AC188" i="3"/>
  <c r="AB188" i="3"/>
  <c r="AA188" i="3"/>
  <c r="Z188" i="3"/>
  <c r="Y188" i="3"/>
  <c r="W188" i="3"/>
  <c r="V188" i="3"/>
  <c r="U188" i="3"/>
  <c r="T188" i="3"/>
  <c r="S188" i="3"/>
  <c r="R188" i="3"/>
  <c r="Q188" i="3"/>
  <c r="P188" i="3"/>
  <c r="O188" i="3"/>
  <c r="N188" i="3"/>
  <c r="M188" i="3"/>
  <c r="L188" i="3"/>
  <c r="J188" i="3"/>
  <c r="I188" i="3"/>
  <c r="AI187" i="3"/>
  <c r="AH187" i="3"/>
  <c r="AF187" i="3"/>
  <c r="AE187" i="3"/>
  <c r="AD187" i="3"/>
  <c r="AC187" i="3"/>
  <c r="AB187" i="3"/>
  <c r="AA187" i="3"/>
  <c r="Z187" i="3"/>
  <c r="Y187" i="3"/>
  <c r="W187" i="3"/>
  <c r="V187" i="3"/>
  <c r="U187" i="3"/>
  <c r="T187" i="3"/>
  <c r="S187" i="3"/>
  <c r="R187" i="3"/>
  <c r="Q187" i="3"/>
  <c r="P187" i="3"/>
  <c r="O187" i="3"/>
  <c r="N187" i="3"/>
  <c r="M187" i="3"/>
  <c r="L187" i="3"/>
  <c r="J187" i="3"/>
  <c r="I187" i="3"/>
  <c r="AI186" i="3"/>
  <c r="AH186" i="3"/>
  <c r="AF186" i="3"/>
  <c r="AE186" i="3"/>
  <c r="AD186" i="3"/>
  <c r="AC186" i="3"/>
  <c r="AB186" i="3"/>
  <c r="AA186" i="3"/>
  <c r="Z186" i="3"/>
  <c r="Y186" i="3"/>
  <c r="W186" i="3"/>
  <c r="V186" i="3"/>
  <c r="U186" i="3"/>
  <c r="T186" i="3"/>
  <c r="S186" i="3"/>
  <c r="R186" i="3"/>
  <c r="Q186" i="3"/>
  <c r="P186" i="3"/>
  <c r="O186" i="3"/>
  <c r="N186" i="3"/>
  <c r="M186" i="3"/>
  <c r="L186" i="3"/>
  <c r="J186" i="3"/>
  <c r="I186" i="3"/>
  <c r="AI185" i="3"/>
  <c r="AH185" i="3"/>
  <c r="AF185" i="3"/>
  <c r="AE185" i="3"/>
  <c r="AD185" i="3"/>
  <c r="AC185" i="3"/>
  <c r="AB185" i="3"/>
  <c r="AA185" i="3"/>
  <c r="Z185" i="3"/>
  <c r="Y185" i="3"/>
  <c r="W185" i="3"/>
  <c r="V185" i="3"/>
  <c r="U185" i="3"/>
  <c r="T185" i="3"/>
  <c r="S185" i="3"/>
  <c r="R185" i="3"/>
  <c r="Q185" i="3"/>
  <c r="P185" i="3"/>
  <c r="O185" i="3"/>
  <c r="N185" i="3"/>
  <c r="M185" i="3"/>
  <c r="L185" i="3"/>
  <c r="J185" i="3"/>
  <c r="I185" i="3"/>
  <c r="AI184" i="3"/>
  <c r="AH184" i="3"/>
  <c r="AF184" i="3"/>
  <c r="AE184" i="3"/>
  <c r="AD184" i="3"/>
  <c r="AC184" i="3"/>
  <c r="AB184" i="3"/>
  <c r="AA184" i="3"/>
  <c r="Z184" i="3"/>
  <c r="Y184" i="3"/>
  <c r="W184" i="3"/>
  <c r="V184" i="3"/>
  <c r="U184" i="3"/>
  <c r="T184" i="3"/>
  <c r="S184" i="3"/>
  <c r="R184" i="3"/>
  <c r="Q184" i="3"/>
  <c r="P184" i="3"/>
  <c r="O184" i="3"/>
  <c r="N184" i="3"/>
  <c r="M184" i="3"/>
  <c r="L184" i="3"/>
  <c r="J184" i="3"/>
  <c r="I184" i="3"/>
  <c r="AI183" i="3"/>
  <c r="AH183" i="3"/>
  <c r="AF183" i="3"/>
  <c r="AE183" i="3"/>
  <c r="AD183" i="3"/>
  <c r="AC183" i="3"/>
  <c r="AB183" i="3"/>
  <c r="AA183" i="3"/>
  <c r="Z183" i="3"/>
  <c r="Y183" i="3"/>
  <c r="W183" i="3"/>
  <c r="V183" i="3"/>
  <c r="U183" i="3"/>
  <c r="T183" i="3"/>
  <c r="S183" i="3"/>
  <c r="R183" i="3"/>
  <c r="Q183" i="3"/>
  <c r="P183" i="3"/>
  <c r="O183" i="3"/>
  <c r="N183" i="3"/>
  <c r="M183" i="3"/>
  <c r="L183" i="3"/>
  <c r="J183" i="3"/>
  <c r="I183" i="3"/>
  <c r="AI182" i="3"/>
  <c r="AH182" i="3"/>
  <c r="AF182" i="3"/>
  <c r="AE182" i="3"/>
  <c r="AD182" i="3"/>
  <c r="AC182" i="3"/>
  <c r="AB182" i="3"/>
  <c r="AA182" i="3"/>
  <c r="Z182" i="3"/>
  <c r="Y182" i="3"/>
  <c r="W182" i="3"/>
  <c r="V182" i="3"/>
  <c r="U182" i="3"/>
  <c r="T182" i="3"/>
  <c r="S182" i="3"/>
  <c r="R182" i="3"/>
  <c r="Q182" i="3"/>
  <c r="P182" i="3"/>
  <c r="O182" i="3"/>
  <c r="N182" i="3"/>
  <c r="M182" i="3"/>
  <c r="L182" i="3"/>
  <c r="J182" i="3"/>
  <c r="I182" i="3"/>
  <c r="AI181" i="3"/>
  <c r="AH181" i="3"/>
  <c r="AF181" i="3"/>
  <c r="AE181" i="3"/>
  <c r="AD181" i="3"/>
  <c r="AC181" i="3"/>
  <c r="AB181" i="3"/>
  <c r="AA181" i="3"/>
  <c r="Z181" i="3"/>
  <c r="Y181" i="3"/>
  <c r="W181" i="3"/>
  <c r="V181" i="3"/>
  <c r="U181" i="3"/>
  <c r="T181" i="3"/>
  <c r="S181" i="3"/>
  <c r="R181" i="3"/>
  <c r="Q181" i="3"/>
  <c r="P181" i="3"/>
  <c r="O181" i="3"/>
  <c r="N181" i="3"/>
  <c r="M181" i="3"/>
  <c r="L181" i="3"/>
  <c r="J181" i="3"/>
  <c r="I181" i="3"/>
  <c r="AI180" i="3"/>
  <c r="AH180" i="3"/>
  <c r="AF180" i="3"/>
  <c r="AE180" i="3"/>
  <c r="AD180" i="3"/>
  <c r="AC180" i="3"/>
  <c r="AB180" i="3"/>
  <c r="AA180" i="3"/>
  <c r="Z180" i="3"/>
  <c r="Y180" i="3"/>
  <c r="W180" i="3"/>
  <c r="V180" i="3"/>
  <c r="U180" i="3"/>
  <c r="T180" i="3"/>
  <c r="S180" i="3"/>
  <c r="R180" i="3"/>
  <c r="Q180" i="3"/>
  <c r="P180" i="3"/>
  <c r="O180" i="3"/>
  <c r="N180" i="3"/>
  <c r="M180" i="3"/>
  <c r="L180" i="3"/>
  <c r="J180" i="3"/>
  <c r="I180" i="3"/>
  <c r="AI179" i="3"/>
  <c r="AH179" i="3"/>
  <c r="AF179" i="3"/>
  <c r="AE179" i="3"/>
  <c r="AD179" i="3"/>
  <c r="AC179" i="3"/>
  <c r="AB179" i="3"/>
  <c r="AA179" i="3"/>
  <c r="Z179" i="3"/>
  <c r="Y179" i="3"/>
  <c r="W179" i="3"/>
  <c r="V179" i="3"/>
  <c r="U179" i="3"/>
  <c r="T179" i="3"/>
  <c r="S179" i="3"/>
  <c r="R179" i="3"/>
  <c r="Q179" i="3"/>
  <c r="P179" i="3"/>
  <c r="O179" i="3"/>
  <c r="N179" i="3"/>
  <c r="M179" i="3"/>
  <c r="L179" i="3"/>
  <c r="J179" i="3"/>
  <c r="I179" i="3"/>
  <c r="AI178" i="3"/>
  <c r="AH178" i="3"/>
  <c r="AF178" i="3"/>
  <c r="AE178" i="3"/>
  <c r="AD178" i="3"/>
  <c r="AC178" i="3"/>
  <c r="AB178" i="3"/>
  <c r="AA178" i="3"/>
  <c r="Z178" i="3"/>
  <c r="Y178" i="3"/>
  <c r="W178" i="3"/>
  <c r="V178" i="3"/>
  <c r="U178" i="3"/>
  <c r="T178" i="3"/>
  <c r="S178" i="3"/>
  <c r="R178" i="3"/>
  <c r="Q178" i="3"/>
  <c r="P178" i="3"/>
  <c r="O178" i="3"/>
  <c r="N178" i="3"/>
  <c r="M178" i="3"/>
  <c r="L178" i="3"/>
  <c r="J178" i="3"/>
  <c r="I178" i="3"/>
  <c r="AI177" i="3"/>
  <c r="AH177" i="3"/>
  <c r="AF177" i="3"/>
  <c r="AE177" i="3"/>
  <c r="AD177" i="3"/>
  <c r="AC177" i="3"/>
  <c r="AB177" i="3"/>
  <c r="AA177" i="3"/>
  <c r="Z177" i="3"/>
  <c r="Y177" i="3"/>
  <c r="W177" i="3"/>
  <c r="V177" i="3"/>
  <c r="U177" i="3"/>
  <c r="T177" i="3"/>
  <c r="S177" i="3"/>
  <c r="R177" i="3"/>
  <c r="Q177" i="3"/>
  <c r="P177" i="3"/>
  <c r="O177" i="3"/>
  <c r="N177" i="3"/>
  <c r="M177" i="3"/>
  <c r="L177" i="3"/>
  <c r="J177" i="3"/>
  <c r="I177" i="3"/>
  <c r="AI176" i="3"/>
  <c r="AH176" i="3"/>
  <c r="AF176" i="3"/>
  <c r="AE176" i="3"/>
  <c r="AD176" i="3"/>
  <c r="AC176" i="3"/>
  <c r="AB176" i="3"/>
  <c r="AA176" i="3"/>
  <c r="Z176" i="3"/>
  <c r="Y176" i="3"/>
  <c r="W176" i="3"/>
  <c r="V176" i="3"/>
  <c r="U176" i="3"/>
  <c r="T176" i="3"/>
  <c r="S176" i="3"/>
  <c r="R176" i="3"/>
  <c r="Q176" i="3"/>
  <c r="P176" i="3"/>
  <c r="O176" i="3"/>
  <c r="N176" i="3"/>
  <c r="M176" i="3"/>
  <c r="L176" i="3"/>
  <c r="J176" i="3"/>
  <c r="I176" i="3"/>
  <c r="AI175" i="3"/>
  <c r="AH175" i="3"/>
  <c r="AF175" i="3"/>
  <c r="AE175" i="3"/>
  <c r="AD175" i="3"/>
  <c r="AC175" i="3"/>
  <c r="AB175" i="3"/>
  <c r="AA175" i="3"/>
  <c r="Z175" i="3"/>
  <c r="Y175" i="3"/>
  <c r="W175" i="3"/>
  <c r="V175" i="3"/>
  <c r="U175" i="3"/>
  <c r="T175" i="3"/>
  <c r="S175" i="3"/>
  <c r="R175" i="3"/>
  <c r="Q175" i="3"/>
  <c r="P175" i="3"/>
  <c r="O175" i="3"/>
  <c r="N175" i="3"/>
  <c r="M175" i="3"/>
  <c r="L175" i="3"/>
  <c r="J175" i="3"/>
  <c r="I175" i="3"/>
  <c r="AI174" i="3"/>
  <c r="AH174" i="3"/>
  <c r="AF174" i="3"/>
  <c r="AE174" i="3"/>
  <c r="AD174" i="3"/>
  <c r="AC174" i="3"/>
  <c r="AB174" i="3"/>
  <c r="AA174" i="3"/>
  <c r="Z174" i="3"/>
  <c r="Y174" i="3"/>
  <c r="W174" i="3"/>
  <c r="V174" i="3"/>
  <c r="U174" i="3"/>
  <c r="T174" i="3"/>
  <c r="S174" i="3"/>
  <c r="R174" i="3"/>
  <c r="Q174" i="3"/>
  <c r="P174" i="3"/>
  <c r="O174" i="3"/>
  <c r="N174" i="3"/>
  <c r="M174" i="3"/>
  <c r="L174" i="3"/>
  <c r="J174" i="3"/>
  <c r="I174" i="3"/>
  <c r="AI173" i="3"/>
  <c r="AH173" i="3"/>
  <c r="AF173" i="3"/>
  <c r="AE173" i="3"/>
  <c r="AD173" i="3"/>
  <c r="AC173" i="3"/>
  <c r="AB173" i="3"/>
  <c r="AA173" i="3"/>
  <c r="Z173" i="3"/>
  <c r="Y173" i="3"/>
  <c r="W173" i="3"/>
  <c r="V173" i="3"/>
  <c r="U173" i="3"/>
  <c r="T173" i="3"/>
  <c r="S173" i="3"/>
  <c r="R173" i="3"/>
  <c r="Q173" i="3"/>
  <c r="P173" i="3"/>
  <c r="O173" i="3"/>
  <c r="N173" i="3"/>
  <c r="M173" i="3"/>
  <c r="L173" i="3"/>
  <c r="J173" i="3"/>
  <c r="I173" i="3"/>
  <c r="AI172" i="3"/>
  <c r="AH172" i="3"/>
  <c r="AF172" i="3"/>
  <c r="AE172" i="3"/>
  <c r="AD172" i="3"/>
  <c r="AC172" i="3"/>
  <c r="AB172" i="3"/>
  <c r="AA172" i="3"/>
  <c r="Z172" i="3"/>
  <c r="Y172" i="3"/>
  <c r="W172" i="3"/>
  <c r="V172" i="3"/>
  <c r="U172" i="3"/>
  <c r="T172" i="3"/>
  <c r="S172" i="3"/>
  <c r="R172" i="3"/>
  <c r="Q172" i="3"/>
  <c r="P172" i="3"/>
  <c r="O172" i="3"/>
  <c r="N172" i="3"/>
  <c r="M172" i="3"/>
  <c r="L172" i="3"/>
  <c r="J172" i="3"/>
  <c r="I172" i="3"/>
  <c r="AI171" i="3"/>
  <c r="AH171" i="3"/>
  <c r="AF171" i="3"/>
  <c r="AE171" i="3"/>
  <c r="AD171" i="3"/>
  <c r="AC171" i="3"/>
  <c r="AB171" i="3"/>
  <c r="AA171" i="3"/>
  <c r="Z171" i="3"/>
  <c r="Y171" i="3"/>
  <c r="W171" i="3"/>
  <c r="V171" i="3"/>
  <c r="U171" i="3"/>
  <c r="T171" i="3"/>
  <c r="S171" i="3"/>
  <c r="R171" i="3"/>
  <c r="Q171" i="3"/>
  <c r="P171" i="3"/>
  <c r="O171" i="3"/>
  <c r="N171" i="3"/>
  <c r="M171" i="3"/>
  <c r="L171" i="3"/>
  <c r="J171" i="3"/>
  <c r="I171" i="3"/>
  <c r="AI170" i="3"/>
  <c r="AH170" i="3"/>
  <c r="AF170" i="3"/>
  <c r="AE170" i="3"/>
  <c r="AD170" i="3"/>
  <c r="AC170" i="3"/>
  <c r="AB170" i="3"/>
  <c r="AA170" i="3"/>
  <c r="Z170" i="3"/>
  <c r="Y170" i="3"/>
  <c r="W170" i="3"/>
  <c r="V170" i="3"/>
  <c r="U170" i="3"/>
  <c r="T170" i="3"/>
  <c r="S170" i="3"/>
  <c r="R170" i="3"/>
  <c r="Q170" i="3"/>
  <c r="P170" i="3"/>
  <c r="O170" i="3"/>
  <c r="N170" i="3"/>
  <c r="M170" i="3"/>
  <c r="L170" i="3"/>
  <c r="J170" i="3"/>
  <c r="I170" i="3"/>
  <c r="AI169" i="3"/>
  <c r="AH169" i="3"/>
  <c r="AF169" i="3"/>
  <c r="AE169" i="3"/>
  <c r="AD169" i="3"/>
  <c r="AC169" i="3"/>
  <c r="AB169" i="3"/>
  <c r="AA169" i="3"/>
  <c r="Z169" i="3"/>
  <c r="Y169" i="3"/>
  <c r="W169" i="3"/>
  <c r="V169" i="3"/>
  <c r="U169" i="3"/>
  <c r="T169" i="3"/>
  <c r="S169" i="3"/>
  <c r="R169" i="3"/>
  <c r="Q169" i="3"/>
  <c r="P169" i="3"/>
  <c r="O169" i="3"/>
  <c r="N169" i="3"/>
  <c r="M169" i="3"/>
  <c r="L169" i="3"/>
  <c r="J169" i="3"/>
  <c r="I169" i="3"/>
  <c r="AI168" i="3"/>
  <c r="AH168" i="3"/>
  <c r="AF168" i="3"/>
  <c r="AE168" i="3"/>
  <c r="AD168" i="3"/>
  <c r="AC168" i="3"/>
  <c r="AB168" i="3"/>
  <c r="AA168" i="3"/>
  <c r="Z168" i="3"/>
  <c r="Y168" i="3"/>
  <c r="W168" i="3"/>
  <c r="V168" i="3"/>
  <c r="U168" i="3"/>
  <c r="T168" i="3"/>
  <c r="S168" i="3"/>
  <c r="R168" i="3"/>
  <c r="Q168" i="3"/>
  <c r="P168" i="3"/>
  <c r="O168" i="3"/>
  <c r="N168" i="3"/>
  <c r="M168" i="3"/>
  <c r="L168" i="3"/>
  <c r="J168" i="3"/>
  <c r="I168" i="3"/>
  <c r="AI167" i="3"/>
  <c r="AH167" i="3"/>
  <c r="AF167" i="3"/>
  <c r="AE167" i="3"/>
  <c r="AD167" i="3"/>
  <c r="AC167" i="3"/>
  <c r="AB167" i="3"/>
  <c r="AA167" i="3"/>
  <c r="Z167" i="3"/>
  <c r="Y167" i="3"/>
  <c r="W167" i="3"/>
  <c r="V167" i="3"/>
  <c r="U167" i="3"/>
  <c r="T167" i="3"/>
  <c r="S167" i="3"/>
  <c r="R167" i="3"/>
  <c r="Q167" i="3"/>
  <c r="P167" i="3"/>
  <c r="O167" i="3"/>
  <c r="N167" i="3"/>
  <c r="M167" i="3"/>
  <c r="L167" i="3"/>
  <c r="J167" i="3"/>
  <c r="I167" i="3"/>
  <c r="AI166" i="3"/>
  <c r="AH166" i="3"/>
  <c r="AF166" i="3"/>
  <c r="AE166" i="3"/>
  <c r="AD166" i="3"/>
  <c r="AC166" i="3"/>
  <c r="AB166" i="3"/>
  <c r="AA166" i="3"/>
  <c r="Z166" i="3"/>
  <c r="Y166" i="3"/>
  <c r="W166" i="3"/>
  <c r="V166" i="3"/>
  <c r="U166" i="3"/>
  <c r="T166" i="3"/>
  <c r="S166" i="3"/>
  <c r="R166" i="3"/>
  <c r="Q166" i="3"/>
  <c r="P166" i="3"/>
  <c r="O166" i="3"/>
  <c r="N166" i="3"/>
  <c r="M166" i="3"/>
  <c r="L166" i="3"/>
  <c r="J166" i="3"/>
  <c r="I166" i="3"/>
  <c r="AI165" i="3"/>
  <c r="AH165" i="3"/>
  <c r="AF165" i="3"/>
  <c r="AE165" i="3"/>
  <c r="AD165" i="3"/>
  <c r="AC165" i="3"/>
  <c r="AB165" i="3"/>
  <c r="AA165" i="3"/>
  <c r="Z165" i="3"/>
  <c r="Y165" i="3"/>
  <c r="W165" i="3"/>
  <c r="V165" i="3"/>
  <c r="U165" i="3"/>
  <c r="T165" i="3"/>
  <c r="S165" i="3"/>
  <c r="R165" i="3"/>
  <c r="Q165" i="3"/>
  <c r="P165" i="3"/>
  <c r="O165" i="3"/>
  <c r="N165" i="3"/>
  <c r="M165" i="3"/>
  <c r="L165" i="3"/>
  <c r="J165" i="3"/>
  <c r="I165" i="3"/>
  <c r="AI164" i="3"/>
  <c r="AH164" i="3"/>
  <c r="AF164" i="3"/>
  <c r="AE164" i="3"/>
  <c r="AD164" i="3"/>
  <c r="AC164" i="3"/>
  <c r="AB164" i="3"/>
  <c r="AA164" i="3"/>
  <c r="Z164" i="3"/>
  <c r="Y164" i="3"/>
  <c r="W164" i="3"/>
  <c r="V164" i="3"/>
  <c r="U164" i="3"/>
  <c r="T164" i="3"/>
  <c r="S164" i="3"/>
  <c r="R164" i="3"/>
  <c r="Q164" i="3"/>
  <c r="P164" i="3"/>
  <c r="O164" i="3"/>
  <c r="N164" i="3"/>
  <c r="M164" i="3"/>
  <c r="L164" i="3"/>
  <c r="J164" i="3"/>
  <c r="I164" i="3"/>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I37" i="3"/>
  <c r="J37" i="3" s="1"/>
  <c r="AI36" i="3"/>
  <c r="AH36" i="3"/>
  <c r="AF36" i="3"/>
  <c r="AE36" i="3"/>
  <c r="AD36" i="3"/>
  <c r="AC36" i="3"/>
  <c r="AB36" i="3"/>
  <c r="AA36" i="3"/>
  <c r="Z36" i="3"/>
  <c r="Y36" i="3"/>
  <c r="W36" i="3"/>
  <c r="V36" i="3"/>
  <c r="U36" i="3"/>
  <c r="T36" i="3"/>
  <c r="S36" i="3"/>
  <c r="R36" i="3"/>
  <c r="Q36" i="3"/>
  <c r="P36" i="3"/>
  <c r="O36" i="3"/>
  <c r="N36" i="3"/>
  <c r="M36" i="3"/>
  <c r="L36" i="3"/>
  <c r="I36" i="3"/>
  <c r="J36" i="3" s="1"/>
  <c r="AI35" i="3"/>
  <c r="AH35" i="3"/>
  <c r="AF35" i="3"/>
  <c r="AE35" i="3"/>
  <c r="AD35" i="3"/>
  <c r="AC35" i="3"/>
  <c r="AB35" i="3"/>
  <c r="AA35" i="3"/>
  <c r="Z35" i="3"/>
  <c r="Y35" i="3"/>
  <c r="W35" i="3"/>
  <c r="V35" i="3"/>
  <c r="U35" i="3"/>
  <c r="T35" i="3"/>
  <c r="S35" i="3"/>
  <c r="R35" i="3"/>
  <c r="Q35" i="3"/>
  <c r="P35" i="3"/>
  <c r="O35" i="3"/>
  <c r="N35" i="3"/>
  <c r="M35" i="3"/>
  <c r="L35" i="3"/>
  <c r="I35" i="3"/>
  <c r="J35" i="3" s="1"/>
  <c r="AI34" i="3"/>
  <c r="AH34" i="3"/>
  <c r="AF34" i="3"/>
  <c r="AE34" i="3"/>
  <c r="AD34" i="3"/>
  <c r="AC34" i="3"/>
  <c r="AB34" i="3"/>
  <c r="AA34" i="3"/>
  <c r="Z34" i="3"/>
  <c r="Y34" i="3"/>
  <c r="W34" i="3"/>
  <c r="V34" i="3"/>
  <c r="U34" i="3"/>
  <c r="T34" i="3"/>
  <c r="S34" i="3"/>
  <c r="R34" i="3"/>
  <c r="Q34" i="3"/>
  <c r="P34" i="3"/>
  <c r="O34" i="3"/>
  <c r="N34" i="3"/>
  <c r="M34" i="3"/>
  <c r="L34" i="3"/>
  <c r="I34" i="3"/>
  <c r="J34" i="3" s="1"/>
  <c r="AI33" i="3"/>
  <c r="AH33" i="3"/>
  <c r="AF33" i="3"/>
  <c r="AE33" i="3"/>
  <c r="AD33" i="3"/>
  <c r="AC33" i="3"/>
  <c r="AB33" i="3"/>
  <c r="AA33" i="3"/>
  <c r="Z33" i="3"/>
  <c r="Y33" i="3"/>
  <c r="W33" i="3"/>
  <c r="V33" i="3"/>
  <c r="U33" i="3"/>
  <c r="T33" i="3"/>
  <c r="S33" i="3"/>
  <c r="R33" i="3"/>
  <c r="Q33" i="3"/>
  <c r="P33" i="3"/>
  <c r="O33" i="3"/>
  <c r="N33" i="3"/>
  <c r="M33" i="3"/>
  <c r="L33" i="3"/>
  <c r="I33" i="3"/>
  <c r="J33" i="3" s="1"/>
  <c r="AI32" i="3"/>
  <c r="AH32" i="3"/>
  <c r="AF32" i="3"/>
  <c r="AE32" i="3"/>
  <c r="AD32" i="3"/>
  <c r="AC32" i="3"/>
  <c r="AB32" i="3"/>
  <c r="AA32" i="3"/>
  <c r="Z32" i="3"/>
  <c r="Y32" i="3"/>
  <c r="W32" i="3"/>
  <c r="V32" i="3"/>
  <c r="U32" i="3"/>
  <c r="T32" i="3"/>
  <c r="S32" i="3"/>
  <c r="R32" i="3"/>
  <c r="Q32" i="3"/>
  <c r="P32" i="3"/>
  <c r="O32" i="3"/>
  <c r="N32" i="3"/>
  <c r="M32" i="3"/>
  <c r="L32" i="3"/>
  <c r="I32" i="3"/>
  <c r="J32" i="3" s="1"/>
  <c r="AI31" i="3"/>
  <c r="AH31" i="3"/>
  <c r="AF31" i="3"/>
  <c r="AE31" i="3"/>
  <c r="AD31" i="3"/>
  <c r="AC31" i="3"/>
  <c r="AB31" i="3"/>
  <c r="AA31" i="3"/>
  <c r="Z31" i="3"/>
  <c r="Y31" i="3"/>
  <c r="W31" i="3"/>
  <c r="V31" i="3"/>
  <c r="U31" i="3"/>
  <c r="T31" i="3"/>
  <c r="S31" i="3"/>
  <c r="R31" i="3"/>
  <c r="Q31" i="3"/>
  <c r="P31" i="3"/>
  <c r="O31" i="3"/>
  <c r="N31" i="3"/>
  <c r="M31" i="3"/>
  <c r="L31" i="3"/>
  <c r="I31" i="3"/>
  <c r="J31" i="3" s="1"/>
  <c r="AI30" i="3"/>
  <c r="AH30" i="3"/>
  <c r="AF30" i="3"/>
  <c r="AE30" i="3"/>
  <c r="AD30" i="3"/>
  <c r="AC30" i="3"/>
  <c r="AB30" i="3"/>
  <c r="AA30" i="3"/>
  <c r="Z30" i="3"/>
  <c r="Y30" i="3"/>
  <c r="W30" i="3"/>
  <c r="V30" i="3"/>
  <c r="U30" i="3"/>
  <c r="T30" i="3"/>
  <c r="S30" i="3"/>
  <c r="R30" i="3"/>
  <c r="Q30" i="3"/>
  <c r="P30" i="3"/>
  <c r="O30" i="3"/>
  <c r="N30" i="3"/>
  <c r="M30" i="3"/>
  <c r="L30" i="3"/>
  <c r="I30" i="3"/>
  <c r="J30" i="3" s="1"/>
  <c r="AI29" i="3"/>
  <c r="AH29" i="3"/>
  <c r="AF29" i="3"/>
  <c r="AE29" i="3"/>
  <c r="AD29" i="3"/>
  <c r="AC29" i="3"/>
  <c r="AB29" i="3"/>
  <c r="AA29" i="3"/>
  <c r="Z29" i="3"/>
  <c r="Y29" i="3"/>
  <c r="W29" i="3"/>
  <c r="V29" i="3"/>
  <c r="U29" i="3"/>
  <c r="T29" i="3"/>
  <c r="S29" i="3"/>
  <c r="R29" i="3"/>
  <c r="Q29" i="3"/>
  <c r="P29" i="3"/>
  <c r="O29" i="3"/>
  <c r="N29" i="3"/>
  <c r="M29" i="3"/>
  <c r="L29" i="3"/>
  <c r="I29" i="3"/>
  <c r="J29" i="3" s="1"/>
  <c r="AI28" i="3"/>
  <c r="AH28" i="3"/>
  <c r="AF28" i="3"/>
  <c r="AE28" i="3"/>
  <c r="AD28" i="3"/>
  <c r="AC28" i="3"/>
  <c r="AB28" i="3"/>
  <c r="AA28" i="3"/>
  <c r="Z28" i="3"/>
  <c r="Y28" i="3"/>
  <c r="W28" i="3"/>
  <c r="V28" i="3"/>
  <c r="U28" i="3"/>
  <c r="T28" i="3"/>
  <c r="S28" i="3"/>
  <c r="R28" i="3"/>
  <c r="Q28" i="3"/>
  <c r="P28" i="3"/>
  <c r="O28" i="3"/>
  <c r="N28" i="3"/>
  <c r="M28" i="3"/>
  <c r="L28" i="3"/>
  <c r="I28" i="3"/>
  <c r="J28" i="3" s="1"/>
  <c r="AI27" i="3"/>
  <c r="AH27" i="3"/>
  <c r="AF27" i="3"/>
  <c r="AE27" i="3"/>
  <c r="AD27" i="3"/>
  <c r="AC27" i="3"/>
  <c r="AB27" i="3"/>
  <c r="AA27" i="3"/>
  <c r="Z27" i="3"/>
  <c r="Y27" i="3"/>
  <c r="W27" i="3"/>
  <c r="V27" i="3"/>
  <c r="U27" i="3"/>
  <c r="T27" i="3"/>
  <c r="S27" i="3"/>
  <c r="R27" i="3"/>
  <c r="Q27" i="3"/>
  <c r="P27" i="3"/>
  <c r="O27" i="3"/>
  <c r="N27" i="3"/>
  <c r="M27" i="3"/>
  <c r="L27" i="3"/>
  <c r="I27" i="3"/>
  <c r="J27" i="3" s="1"/>
  <c r="AI26" i="3"/>
  <c r="AH26" i="3"/>
  <c r="AF26" i="3"/>
  <c r="AE26" i="3"/>
  <c r="AD26" i="3"/>
  <c r="AC26" i="3"/>
  <c r="AB26" i="3"/>
  <c r="AA26" i="3"/>
  <c r="Z26" i="3"/>
  <c r="Y26" i="3"/>
  <c r="W26" i="3"/>
  <c r="V26" i="3"/>
  <c r="U26" i="3"/>
  <c r="T26" i="3"/>
  <c r="S26" i="3"/>
  <c r="R26" i="3"/>
  <c r="Q26" i="3"/>
  <c r="P26" i="3"/>
  <c r="O26" i="3"/>
  <c r="N26" i="3"/>
  <c r="M26" i="3"/>
  <c r="L26" i="3"/>
  <c r="I26" i="3"/>
  <c r="J26" i="3" s="1"/>
  <c r="AI25" i="3"/>
  <c r="AH25" i="3"/>
  <c r="AF25" i="3"/>
  <c r="AE25" i="3"/>
  <c r="AD25" i="3"/>
  <c r="AC25" i="3"/>
  <c r="AB25" i="3"/>
  <c r="AA25" i="3"/>
  <c r="Z25" i="3"/>
  <c r="Y25" i="3"/>
  <c r="W25" i="3"/>
  <c r="V25" i="3"/>
  <c r="U25" i="3"/>
  <c r="T25" i="3"/>
  <c r="S25" i="3"/>
  <c r="R25" i="3"/>
  <c r="Q25" i="3"/>
  <c r="P25" i="3"/>
  <c r="O25" i="3"/>
  <c r="N25" i="3"/>
  <c r="M25" i="3"/>
  <c r="L25" i="3"/>
  <c r="I25" i="3"/>
  <c r="J25" i="3" s="1"/>
  <c r="AI24" i="3"/>
  <c r="AH24" i="3"/>
  <c r="AF24" i="3"/>
  <c r="AE24" i="3"/>
  <c r="AD24" i="3"/>
  <c r="AC24" i="3"/>
  <c r="AB24" i="3"/>
  <c r="AA24" i="3"/>
  <c r="Z24" i="3"/>
  <c r="Y24" i="3"/>
  <c r="W24" i="3"/>
  <c r="V24" i="3"/>
  <c r="U24" i="3"/>
  <c r="T24" i="3"/>
  <c r="S24" i="3"/>
  <c r="R24" i="3"/>
  <c r="Q24" i="3"/>
  <c r="P24" i="3"/>
  <c r="O24" i="3"/>
  <c r="N24" i="3"/>
  <c r="M24" i="3"/>
  <c r="L24" i="3"/>
  <c r="I24" i="3"/>
  <c r="J24" i="3" s="1"/>
  <c r="AI23" i="3"/>
  <c r="AH23" i="3"/>
  <c r="AF23" i="3"/>
  <c r="AE23" i="3"/>
  <c r="AD23" i="3"/>
  <c r="AC23" i="3"/>
  <c r="AB23" i="3"/>
  <c r="AA23" i="3"/>
  <c r="Z23" i="3"/>
  <c r="Y23" i="3"/>
  <c r="W23" i="3"/>
  <c r="V23" i="3"/>
  <c r="U23" i="3"/>
  <c r="T23" i="3"/>
  <c r="S23" i="3"/>
  <c r="R23" i="3"/>
  <c r="Q23" i="3"/>
  <c r="P23" i="3"/>
  <c r="O23" i="3"/>
  <c r="N23" i="3"/>
  <c r="M23" i="3"/>
  <c r="L23" i="3"/>
  <c r="I23" i="3"/>
  <c r="J23" i="3" s="1"/>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I22" i="3"/>
  <c r="J22" i="3" s="1"/>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I21" i="3"/>
  <c r="J21" i="3" s="1"/>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I20" i="3"/>
  <c r="J20" i="3" s="1"/>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I19" i="3"/>
  <c r="J19" i="3" s="1"/>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I18" i="3"/>
  <c r="J18" i="3" s="1"/>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I17" i="3"/>
  <c r="J17" i="3" s="1"/>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I16" i="3"/>
  <c r="J16" i="3" s="1"/>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I15" i="3"/>
  <c r="J15" i="3" s="1"/>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I14" i="3"/>
  <c r="J14" i="3" s="1"/>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I13" i="3"/>
  <c r="J13" i="3" s="1"/>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A40" i="56"/>
  <c r="C165" i="52"/>
  <c r="C170" i="52"/>
  <c r="B53" i="52"/>
  <c r="A155" i="50"/>
  <c r="B41" i="52"/>
  <c r="A33" i="50"/>
  <c r="B1461" i="49"/>
  <c r="A26" i="52"/>
  <c r="A96" i="52"/>
  <c r="B226" i="50"/>
  <c r="A155" i="52"/>
  <c r="B172" i="52"/>
  <c r="A15" i="54"/>
  <c r="B1181" i="49"/>
  <c r="B1109" i="49"/>
  <c r="B188" i="50"/>
  <c r="A46" i="56"/>
  <c r="A154" i="50"/>
  <c r="C84" i="52"/>
  <c r="A48" i="50"/>
  <c r="A149" i="50"/>
  <c r="C162" i="52"/>
  <c r="B18" i="52"/>
  <c r="B3" i="56"/>
  <c r="B15" i="54"/>
  <c r="B1277" i="49"/>
  <c r="B1205" i="49"/>
  <c r="B1117" i="49"/>
  <c r="B1045" i="49"/>
  <c r="A46" i="52"/>
  <c r="A60" i="56"/>
  <c r="A17" i="55"/>
  <c r="A43" i="50"/>
  <c r="A7" i="54"/>
  <c r="B20" i="50"/>
  <c r="B11" i="56"/>
  <c r="A70" i="52"/>
  <c r="B66" i="56"/>
  <c r="A4" i="53"/>
  <c r="B1340" i="49"/>
  <c r="A125" i="50"/>
  <c r="B60" i="52"/>
  <c r="C138" i="52"/>
  <c r="A162" i="52"/>
  <c r="A8" i="57"/>
  <c r="A252" i="50"/>
  <c r="A50" i="50"/>
  <c r="C1" i="56"/>
  <c r="A9" i="52"/>
  <c r="B12" i="54"/>
  <c r="B8" i="56"/>
  <c r="A158" i="52"/>
  <c r="B131" i="52"/>
  <c r="B75" i="50"/>
  <c r="B3" i="50"/>
  <c r="C21" i="52"/>
  <c r="A107" i="52"/>
  <c r="A133" i="50"/>
  <c r="C54" i="52"/>
  <c r="A78" i="50"/>
  <c r="B4" i="55"/>
  <c r="B134" i="50"/>
  <c r="A1" i="57"/>
  <c r="B28" i="56"/>
  <c r="B87" i="52"/>
  <c r="C95" i="52"/>
  <c r="C167" i="52"/>
  <c r="B1430" i="49"/>
  <c r="B185" i="50"/>
  <c r="B1479" i="49"/>
  <c r="A1075" i="49"/>
  <c r="B19" i="55"/>
  <c r="A253" i="50"/>
  <c r="C99" i="52"/>
  <c r="B939" i="49"/>
  <c r="B118" i="52"/>
  <c r="A1171" i="49"/>
  <c r="A1011" i="49"/>
  <c r="B50" i="50"/>
  <c r="B1283" i="49"/>
  <c r="B3" i="57"/>
  <c r="A1140" i="49"/>
  <c r="C151" i="52"/>
  <c r="B1224" i="49"/>
  <c r="A823" i="49"/>
  <c r="B889" i="49"/>
  <c r="A55" i="56"/>
  <c r="B45" i="56"/>
  <c r="B1396" i="49"/>
  <c r="B1297" i="49"/>
  <c r="B1153" i="49"/>
  <c r="B977" i="49"/>
  <c r="B1417" i="49"/>
  <c r="A31" i="50"/>
  <c r="A8" i="50"/>
  <c r="A134" i="52"/>
  <c r="A5" i="56"/>
  <c r="A30" i="52"/>
  <c r="C127" i="52"/>
  <c r="A165" i="52"/>
  <c r="B130" i="52"/>
  <c r="B1410" i="49"/>
  <c r="B78" i="52"/>
  <c r="B73" i="52"/>
  <c r="A213" i="50"/>
  <c r="A75" i="50"/>
  <c r="B161" i="52"/>
  <c r="A82" i="50"/>
  <c r="B10" i="52"/>
  <c r="B13" i="54"/>
  <c r="A1447" i="49"/>
  <c r="A801" i="49"/>
  <c r="A89" i="52"/>
  <c r="B6" i="50"/>
  <c r="A1177" i="49"/>
  <c r="A244" i="50"/>
  <c r="A653" i="49"/>
  <c r="B276" i="49"/>
  <c r="A39" i="52"/>
  <c r="B1420" i="49"/>
  <c r="B1380" i="49"/>
  <c r="C2" i="53"/>
  <c r="B67" i="52"/>
  <c r="A156" i="52"/>
  <c r="A1051" i="49"/>
  <c r="A36" i="52"/>
  <c r="B253" i="50"/>
  <c r="B1480" i="49"/>
  <c r="B53" i="50"/>
  <c r="B155" i="50"/>
  <c r="A114" i="50"/>
  <c r="A1275" i="49"/>
  <c r="A1203" i="49"/>
  <c r="B212" i="50"/>
  <c r="A12" i="54"/>
  <c r="B173" i="50"/>
  <c r="A72" i="52"/>
  <c r="B1428" i="49"/>
  <c r="A209" i="50"/>
  <c r="B1139" i="49"/>
  <c r="B1067" i="49"/>
  <c r="A135" i="52"/>
  <c r="A14" i="54"/>
  <c r="A50" i="56"/>
  <c r="C33" i="52"/>
  <c r="C59" i="52"/>
  <c r="B196" i="50"/>
  <c r="C161" i="52"/>
  <c r="B176" i="50"/>
  <c r="A59" i="56"/>
  <c r="A20" i="54"/>
  <c r="B1235" i="49"/>
  <c r="B1163" i="49"/>
  <c r="B1075" i="49"/>
  <c r="B1003" i="49"/>
  <c r="C4" i="52"/>
  <c r="C100" i="52"/>
  <c r="B22" i="52"/>
  <c r="C108" i="52"/>
  <c r="A162" i="50"/>
  <c r="A195" i="50"/>
  <c r="B1500" i="49"/>
  <c r="A39" i="56"/>
  <c r="A241" i="50"/>
  <c r="F26" i="53"/>
  <c r="C5" i="55"/>
  <c r="B119" i="52"/>
  <c r="A85" i="52"/>
  <c r="B11" i="55"/>
  <c r="B120" i="52"/>
  <c r="B138" i="50"/>
  <c r="B4" i="52"/>
  <c r="B145" i="52"/>
  <c r="A159" i="50"/>
  <c r="A52" i="56"/>
  <c r="A4" i="52"/>
  <c r="B104" i="50"/>
  <c r="B115" i="50"/>
  <c r="C85" i="52"/>
  <c r="B1105" i="49"/>
  <c r="B961" i="49"/>
  <c r="B62" i="56"/>
  <c r="B61" i="52"/>
  <c r="A211" i="50"/>
  <c r="C124" i="52"/>
  <c r="A105" i="52"/>
  <c r="B7" i="53"/>
  <c r="A961" i="49"/>
  <c r="C62" i="52"/>
  <c r="A171" i="52"/>
  <c r="A114" i="52"/>
  <c r="B181" i="50"/>
  <c r="B104" i="52"/>
  <c r="C58" i="52"/>
  <c r="B1" i="56"/>
  <c r="A158" i="50"/>
  <c r="B22" i="56"/>
  <c r="A99" i="50"/>
  <c r="B252" i="50"/>
  <c r="B51" i="52"/>
  <c r="B88" i="50"/>
  <c r="A166" i="52"/>
  <c r="A136" i="50"/>
  <c r="B1025" i="49"/>
  <c r="B52" i="50"/>
  <c r="B773" i="49"/>
  <c r="A16" i="56"/>
  <c r="B7" i="52"/>
  <c r="A609" i="49"/>
  <c r="C51" i="52"/>
  <c r="A1152" i="49"/>
  <c r="B656" i="49"/>
  <c r="B151" i="52"/>
  <c r="C6" i="55"/>
  <c r="B88" i="52"/>
  <c r="A95" i="52"/>
  <c r="B59" i="52"/>
  <c r="A144" i="52"/>
  <c r="B74" i="50"/>
  <c r="A833" i="49"/>
  <c r="B1412" i="49"/>
  <c r="C168" i="52"/>
  <c r="A67" i="52"/>
  <c r="B115" i="52"/>
  <c r="B54" i="52"/>
  <c r="C57" i="52"/>
  <c r="A47" i="56"/>
  <c r="C103" i="52"/>
  <c r="A22" i="50"/>
  <c r="A174" i="52"/>
  <c r="A108" i="52"/>
  <c r="A1019" i="49"/>
  <c r="B14" i="55"/>
  <c r="C68" i="52"/>
  <c r="A233" i="50"/>
  <c r="B421" i="49"/>
  <c r="A1365" i="49"/>
  <c r="A1383" i="49"/>
  <c r="B246" i="50"/>
  <c r="B150" i="50"/>
  <c r="A1228" i="49"/>
  <c r="A79" i="50"/>
  <c r="A931" i="49"/>
  <c r="A1316" i="49"/>
  <c r="B9" i="54"/>
  <c r="B238" i="50"/>
  <c r="B1486" i="49"/>
  <c r="A116" i="50"/>
  <c r="B84" i="50"/>
  <c r="A1449" i="49"/>
  <c r="A979" i="49"/>
  <c r="B1" i="57"/>
  <c r="C120" i="52"/>
  <c r="C145" i="52"/>
  <c r="A10" i="52"/>
  <c r="B8" i="53"/>
  <c r="B1" i="53"/>
  <c r="B136" i="52"/>
  <c r="B1406" i="49"/>
  <c r="A94" i="52"/>
  <c r="A3" i="56"/>
  <c r="B96" i="52"/>
  <c r="B59" i="56"/>
  <c r="B19" i="56"/>
  <c r="A103" i="52"/>
  <c r="A65" i="52"/>
  <c r="A8" i="53"/>
  <c r="B4" i="53"/>
  <c r="A18" i="54"/>
  <c r="A3" i="52"/>
  <c r="B36" i="56"/>
  <c r="A145" i="52"/>
  <c r="B11" i="52"/>
  <c r="A249" i="50"/>
  <c r="B1350" i="49"/>
  <c r="B25" i="50"/>
  <c r="A9" i="54"/>
  <c r="B170" i="52"/>
  <c r="B4" i="54"/>
  <c r="A14" i="56"/>
  <c r="B65" i="56"/>
  <c r="A16" i="52"/>
  <c r="B954" i="49"/>
  <c r="C118" i="52"/>
  <c r="A121" i="52"/>
  <c r="B7" i="57"/>
  <c r="A75" i="52"/>
  <c r="B184" i="50"/>
  <c r="C97" i="52"/>
  <c r="B1309" i="49"/>
  <c r="B1237" i="49"/>
  <c r="C40" i="52"/>
  <c r="B117" i="50"/>
  <c r="B15" i="52"/>
  <c r="C122" i="52"/>
  <c r="B52" i="52"/>
  <c r="B3" i="53"/>
  <c r="A256" i="50"/>
  <c r="A38" i="52"/>
  <c r="A71" i="56"/>
  <c r="C123" i="52"/>
  <c r="B33" i="56"/>
  <c r="A78" i="52"/>
  <c r="B72" i="56"/>
  <c r="A53" i="52"/>
  <c r="A115" i="50"/>
  <c r="C44" i="52"/>
  <c r="A150" i="52"/>
  <c r="B64" i="56"/>
  <c r="B42" i="52"/>
  <c r="B44" i="56"/>
  <c r="B1470" i="49"/>
  <c r="A143" i="50"/>
  <c r="B77" i="50"/>
  <c r="B1346" i="49"/>
  <c r="B19" i="54"/>
  <c r="B56" i="56"/>
  <c r="B26" i="56"/>
  <c r="B9" i="55"/>
  <c r="A140" i="50"/>
  <c r="C50" i="52"/>
  <c r="C129" i="52"/>
  <c r="A1147" i="49"/>
  <c r="C26" i="52"/>
  <c r="B1468" i="49"/>
  <c r="A128" i="50"/>
  <c r="B1011" i="49"/>
  <c r="B29" i="56"/>
  <c r="A1243" i="49"/>
  <c r="A1083" i="49"/>
  <c r="A1099" i="49"/>
  <c r="A1421" i="49"/>
  <c r="A61" i="50"/>
  <c r="A20" i="56"/>
  <c r="B152" i="50"/>
  <c r="B1298" i="49"/>
  <c r="B5" i="52"/>
  <c r="A945" i="49"/>
  <c r="B1467" i="49"/>
  <c r="B124" i="52"/>
  <c r="B7" i="55"/>
  <c r="B2" i="53"/>
  <c r="C27" i="52"/>
  <c r="B85" i="52"/>
  <c r="A1482" i="49"/>
  <c r="B2" i="50"/>
  <c r="B1425" i="49"/>
  <c r="B24" i="52"/>
  <c r="B224" i="50"/>
  <c r="A19" i="56"/>
  <c r="B232" i="50"/>
  <c r="A146" i="52"/>
  <c r="B1404" i="49"/>
  <c r="B89" i="52"/>
  <c r="B219" i="50"/>
  <c r="B1426" i="49"/>
  <c r="A62" i="56"/>
  <c r="B18" i="56"/>
  <c r="B12" i="50"/>
  <c r="A163" i="50"/>
  <c r="B1454" i="49"/>
  <c r="B67" i="50"/>
  <c r="A185" i="50"/>
  <c r="A188" i="50"/>
  <c r="B123" i="50"/>
  <c r="B963" i="49"/>
  <c r="A151" i="52"/>
  <c r="C77" i="52"/>
  <c r="A1444" i="49"/>
  <c r="B189" i="49"/>
  <c r="B992" i="49"/>
  <c r="A80" i="50"/>
  <c r="B18" i="54"/>
  <c r="B183" i="50"/>
  <c r="B66" i="50"/>
  <c r="A1479" i="49"/>
  <c r="B1407" i="49"/>
  <c r="A1410" i="49"/>
  <c r="A214" i="50"/>
  <c r="A5" i="55"/>
  <c r="B167" i="52"/>
  <c r="B1332" i="49"/>
  <c r="A59" i="52"/>
  <c r="C3" i="55"/>
  <c r="B64" i="52"/>
  <c r="A27" i="52"/>
  <c r="A2" i="50"/>
  <c r="A10" i="55"/>
  <c r="B5" i="57"/>
  <c r="A219" i="50"/>
  <c r="B77" i="52"/>
  <c r="A12" i="50"/>
  <c r="B182" i="50"/>
  <c r="A83" i="52"/>
  <c r="A194" i="50"/>
  <c r="B39" i="56"/>
  <c r="B1372" i="49"/>
  <c r="B1471" i="49"/>
  <c r="B6" i="51"/>
  <c r="A147" i="52"/>
  <c r="B67" i="56"/>
  <c r="B241" i="50"/>
  <c r="A250" i="50"/>
  <c r="A11" i="55"/>
  <c r="A11" i="50"/>
  <c r="B107" i="52"/>
  <c r="C90" i="52"/>
  <c r="B788" i="49"/>
  <c r="B3" i="51"/>
  <c r="A27" i="56"/>
  <c r="B1317" i="49"/>
  <c r="B1069" i="49"/>
  <c r="B997" i="49"/>
  <c r="A1227" i="49"/>
  <c r="A1155" i="49"/>
  <c r="A1438" i="49"/>
  <c r="B1341" i="49"/>
  <c r="B1001" i="49"/>
  <c r="B659" i="49"/>
  <c r="B50" i="52"/>
  <c r="B170" i="50"/>
  <c r="B93" i="52"/>
  <c r="C28" i="52"/>
  <c r="B12" i="55"/>
  <c r="A110" i="50"/>
  <c r="B1328" i="49"/>
  <c r="B1315" i="49"/>
  <c r="B116" i="50"/>
  <c r="B1136" i="49"/>
  <c r="B233" i="50"/>
  <c r="A953" i="49"/>
  <c r="B54" i="50"/>
  <c r="B920" i="49"/>
  <c r="B1257" i="49"/>
  <c r="B723" i="49"/>
  <c r="A29" i="52"/>
  <c r="A45" i="56"/>
  <c r="B27" i="52"/>
  <c r="B194" i="50"/>
  <c r="A1373" i="49"/>
  <c r="A66" i="52"/>
  <c r="B42" i="50"/>
  <c r="B72" i="50"/>
  <c r="B165" i="50"/>
  <c r="C82" i="52"/>
  <c r="A123" i="52"/>
  <c r="C55" i="52"/>
  <c r="A168" i="50"/>
  <c r="B153" i="52"/>
  <c r="A229" i="50"/>
  <c r="C174" i="52"/>
  <c r="A138" i="50"/>
  <c r="B93" i="50"/>
  <c r="B197" i="50"/>
  <c r="B14" i="54"/>
  <c r="A1169" i="49"/>
  <c r="B881" i="49"/>
  <c r="A1060" i="49"/>
  <c r="A235" i="50"/>
  <c r="B220" i="50"/>
  <c r="B1400" i="49"/>
  <c r="A1113" i="49"/>
  <c r="A1108" i="49"/>
  <c r="C60" i="52"/>
  <c r="A1415" i="49"/>
  <c r="B1349" i="49"/>
  <c r="B1002" i="49"/>
  <c r="A1233" i="49"/>
  <c r="A1024" i="49"/>
  <c r="A1188" i="49"/>
  <c r="A31" i="56"/>
  <c r="B71" i="52"/>
  <c r="A3" i="54"/>
  <c r="B128" i="50"/>
  <c r="B147" i="52"/>
  <c r="B1424" i="49"/>
  <c r="B550" i="49"/>
  <c r="B1327" i="49"/>
  <c r="B1192" i="49"/>
  <c r="A791" i="49"/>
  <c r="B761" i="49"/>
  <c r="C7" i="53"/>
  <c r="B1032" i="49"/>
  <c r="A631" i="49"/>
  <c r="A661" i="49"/>
  <c r="B702" i="49"/>
  <c r="B652" i="49"/>
  <c r="A542" i="49"/>
  <c r="A176" i="49"/>
  <c r="B3" i="54"/>
  <c r="B492" i="49"/>
  <c r="B300" i="49"/>
  <c r="B365" i="49"/>
  <c r="B959" i="49"/>
  <c r="A1264" i="49"/>
  <c r="B880" i="49"/>
  <c r="A532" i="49"/>
  <c r="A656" i="49"/>
  <c r="A155" i="49"/>
  <c r="A186" i="50"/>
  <c r="A3" i="51"/>
  <c r="B148" i="52"/>
  <c r="A63" i="56"/>
  <c r="A182" i="50"/>
  <c r="A137" i="52"/>
  <c r="A61" i="56"/>
  <c r="C117" i="52"/>
  <c r="A227" i="50"/>
  <c r="B173" i="52"/>
  <c r="B34" i="56"/>
  <c r="A173" i="52"/>
  <c r="A82" i="52"/>
  <c r="A117" i="50"/>
  <c r="C1" i="51"/>
  <c r="B1267" i="49"/>
  <c r="C171" i="52"/>
  <c r="A76" i="56"/>
  <c r="B15" i="56"/>
  <c r="A86" i="50"/>
  <c r="B113" i="52"/>
  <c r="B152" i="52"/>
  <c r="B110" i="52"/>
  <c r="A4" i="55"/>
  <c r="B175" i="52"/>
  <c r="B76" i="50"/>
  <c r="B27" i="50"/>
  <c r="A192" i="49"/>
  <c r="B1354" i="49"/>
  <c r="B29" i="52"/>
  <c r="B18" i="55"/>
  <c r="C65" i="52"/>
  <c r="B126" i="50"/>
  <c r="B114" i="50"/>
  <c r="B613" i="49"/>
  <c r="A724" i="49"/>
  <c r="A1115" i="49"/>
  <c r="A1342" i="49"/>
  <c r="B21" i="52"/>
  <c r="B1178" i="49"/>
  <c r="B1435" i="49"/>
  <c r="A513" i="49"/>
  <c r="B31" i="56"/>
  <c r="A152" i="52"/>
  <c r="B81" i="50"/>
  <c r="A1243" i="45"/>
  <c r="B5" i="54"/>
  <c r="B8" i="52"/>
  <c r="B21" i="56"/>
  <c r="B4" i="51"/>
  <c r="B83" i="50"/>
  <c r="A13" i="54"/>
  <c r="B174" i="50"/>
  <c r="B539" i="49"/>
  <c r="B1466" i="49"/>
  <c r="B787" i="49"/>
  <c r="A13" i="55"/>
  <c r="B140" i="49"/>
  <c r="A1473" i="49"/>
  <c r="A24" i="56"/>
  <c r="B221" i="50"/>
  <c r="A1329" i="45"/>
  <c r="A633" i="49"/>
  <c r="A7" i="57"/>
  <c r="A92" i="52"/>
  <c r="B205" i="50"/>
  <c r="A7" i="52"/>
  <c r="B1217" i="49"/>
  <c r="B1416" i="49"/>
  <c r="A1471" i="49"/>
  <c r="A1446" i="49"/>
  <c r="A41" i="56"/>
  <c r="C81" i="52"/>
  <c r="B1106" i="49"/>
  <c r="B811" i="49"/>
  <c r="B9" i="57"/>
  <c r="B141" i="50"/>
  <c r="B1434" i="49"/>
  <c r="B119" i="50"/>
  <c r="B245" i="50"/>
  <c r="B645" i="49"/>
  <c r="B20" i="54"/>
  <c r="B1388" i="49"/>
  <c r="A1" i="54"/>
  <c r="B664" i="49"/>
  <c r="A72" i="50"/>
  <c r="A90" i="50"/>
  <c r="B100" i="50"/>
  <c r="A1273" i="49"/>
  <c r="B1490" i="49"/>
  <c r="B1432" i="49"/>
  <c r="B789" i="49"/>
  <c r="B74" i="56"/>
  <c r="A635" i="49"/>
  <c r="A912" i="49"/>
  <c r="A231" i="50"/>
  <c r="B792" i="49"/>
  <c r="A175" i="52"/>
  <c r="B1323" i="49"/>
  <c r="A16" i="50"/>
  <c r="B16" i="52"/>
  <c r="B171" i="52"/>
  <c r="B17" i="52"/>
  <c r="B581" i="49"/>
  <c r="A1440" i="49"/>
  <c r="A481" i="49"/>
  <c r="A41" i="52"/>
  <c r="A1088" i="49"/>
  <c r="B528" i="49"/>
  <c r="B73" i="56"/>
  <c r="B202" i="50"/>
  <c r="B753" i="49"/>
  <c r="A732" i="49"/>
  <c r="A145" i="50"/>
  <c r="B858" i="49"/>
  <c r="B94" i="49"/>
  <c r="B592" i="49"/>
  <c r="B16" i="54"/>
  <c r="B538" i="49"/>
  <c r="A1283" i="45"/>
  <c r="A540" i="49"/>
  <c r="A1042" i="49"/>
  <c r="A1054" i="49"/>
  <c r="A1315" i="49"/>
  <c r="A506" i="49"/>
  <c r="A993" i="49"/>
  <c r="A876" i="49"/>
  <c r="B146" i="52"/>
  <c r="A28" i="52"/>
  <c r="C148" i="52"/>
  <c r="B204" i="50"/>
  <c r="A37" i="56"/>
  <c r="A127" i="52"/>
  <c r="B71" i="56"/>
  <c r="C3" i="53"/>
  <c r="A4" i="57"/>
  <c r="A6" i="52"/>
  <c r="B30" i="56"/>
  <c r="B108" i="52"/>
  <c r="B1484" i="49"/>
  <c r="A115" i="52"/>
  <c r="A65" i="56"/>
  <c r="A202" i="50"/>
  <c r="B123" i="52"/>
  <c r="B117" i="52"/>
  <c r="B156" i="50"/>
  <c r="B85" i="50"/>
  <c r="B30" i="52"/>
  <c r="A201" i="50"/>
  <c r="B16" i="56"/>
  <c r="B140" i="52"/>
  <c r="B1455" i="49"/>
  <c r="A1084" i="49"/>
  <c r="A561" i="49"/>
  <c r="B979" i="49"/>
  <c r="A68" i="56"/>
  <c r="A1419" i="49"/>
  <c r="B1127" i="49"/>
  <c r="B1026" i="49"/>
  <c r="B469" i="49"/>
  <c r="A1212" i="49"/>
  <c r="A689" i="49"/>
  <c r="A38" i="56"/>
  <c r="B69" i="52"/>
  <c r="A137" i="50"/>
  <c r="A93" i="52"/>
  <c r="B23" i="52"/>
  <c r="A1297" i="49"/>
  <c r="A49" i="52"/>
  <c r="B41" i="50"/>
  <c r="A72" i="56"/>
  <c r="A74" i="50"/>
  <c r="B667" i="49"/>
  <c r="A117" i="52"/>
  <c r="A187" i="50"/>
  <c r="B158" i="50"/>
  <c r="A1324" i="49"/>
  <c r="A563" i="49"/>
  <c r="B731" i="49"/>
  <c r="B172" i="50"/>
  <c r="A123" i="50"/>
  <c r="B901" i="49"/>
  <c r="B40" i="56"/>
  <c r="B662" i="49"/>
  <c r="A160" i="49"/>
  <c r="B502" i="49"/>
  <c r="B22" i="48"/>
  <c r="A870" i="49"/>
  <c r="A1120" i="49"/>
  <c r="A84" i="47"/>
  <c r="B465" i="49"/>
  <c r="B435" i="49"/>
  <c r="B632" i="49"/>
  <c r="A157" i="49"/>
  <c r="A21" i="52"/>
  <c r="A107" i="50"/>
  <c r="A131" i="52"/>
  <c r="A19" i="54"/>
  <c r="C109" i="52"/>
  <c r="B70" i="52"/>
  <c r="B244" i="50"/>
  <c r="A28" i="50"/>
  <c r="A15" i="55"/>
  <c r="A641" i="49"/>
  <c r="A841" i="49"/>
  <c r="B2" i="56"/>
  <c r="B98" i="52"/>
  <c r="B25" i="52"/>
  <c r="B143" i="50"/>
  <c r="A88" i="52"/>
  <c r="B74" i="52"/>
  <c r="B177" i="50"/>
  <c r="B104" i="49"/>
  <c r="A56" i="50"/>
  <c r="A76" i="50"/>
  <c r="A1291" i="49"/>
  <c r="A972" i="49"/>
  <c r="A10" i="56"/>
  <c r="A928" i="49"/>
  <c r="B1199" i="49"/>
  <c r="B1368" i="49"/>
  <c r="B190" i="49"/>
  <c r="A1418" i="49"/>
  <c r="A165" i="50"/>
  <c r="A577" i="49"/>
  <c r="B164" i="52"/>
  <c r="B829" i="49"/>
  <c r="B13" i="56"/>
  <c r="A159" i="52"/>
  <c r="B1419" i="49"/>
  <c r="B952" i="49"/>
  <c r="A43" i="56"/>
  <c r="B1076" i="49"/>
  <c r="A1242" i="49"/>
  <c r="A1422" i="49"/>
  <c r="A1308" i="49"/>
  <c r="A947" i="45"/>
  <c r="B1078" i="49"/>
  <c r="B653" i="49"/>
  <c r="B1155" i="49"/>
  <c r="A206" i="50"/>
  <c r="B651" i="49"/>
  <c r="B154" i="50"/>
  <c r="B47" i="52"/>
  <c r="B736" i="49"/>
  <c r="B1166" i="49"/>
  <c r="B1352" i="49"/>
  <c r="A198" i="50"/>
  <c r="A172" i="52"/>
  <c r="B438" i="49"/>
  <c r="B1074" i="49"/>
  <c r="B607" i="49"/>
  <c r="B914" i="49"/>
  <c r="A827" i="49"/>
  <c r="B699" i="49"/>
  <c r="B1384" i="49"/>
  <c r="A40" i="50"/>
  <c r="B160" i="52"/>
  <c r="A199" i="50"/>
  <c r="A106" i="52"/>
  <c r="B111" i="52"/>
  <c r="A172" i="50"/>
  <c r="A109" i="52"/>
  <c r="A10" i="50"/>
  <c r="B214" i="50"/>
  <c r="B32" i="52"/>
  <c r="A104" i="50"/>
  <c r="A149" i="52"/>
  <c r="A1406" i="49"/>
  <c r="C17" i="52"/>
  <c r="A1043" i="49"/>
  <c r="B5" i="55"/>
  <c r="B56" i="50"/>
  <c r="A11" i="56"/>
  <c r="B199" i="50"/>
  <c r="A1" i="56"/>
  <c r="B122" i="52"/>
  <c r="B40" i="52"/>
  <c r="B24" i="50"/>
  <c r="B116" i="52"/>
  <c r="A24" i="52"/>
  <c r="B1399" i="49"/>
  <c r="B161" i="50"/>
  <c r="A147" i="50"/>
  <c r="B57" i="52"/>
  <c r="A224" i="50"/>
  <c r="A17" i="56"/>
  <c r="B1233" i="49"/>
  <c r="C156" i="52"/>
  <c r="A1021" i="49"/>
  <c r="B189" i="50"/>
  <c r="B44" i="50"/>
  <c r="A1241" i="49"/>
  <c r="B574" i="49"/>
  <c r="A1424" i="49"/>
  <c r="B43" i="50"/>
  <c r="A17" i="54"/>
  <c r="A1353" i="49"/>
  <c r="A175" i="50"/>
  <c r="B830" i="49"/>
  <c r="B1022" i="49"/>
  <c r="C115" i="52"/>
  <c r="A246" i="50"/>
  <c r="A52" i="50"/>
  <c r="A320" i="49"/>
  <c r="B96" i="50"/>
  <c r="A1477" i="49"/>
  <c r="B215" i="50"/>
  <c r="A1067" i="49"/>
  <c r="B648" i="49"/>
  <c r="A1045" i="49"/>
  <c r="A854" i="49"/>
  <c r="A1046" i="49"/>
  <c r="A248" i="49"/>
  <c r="B369" i="49"/>
  <c r="A1232" i="49"/>
  <c r="A126" i="52"/>
  <c r="A98" i="52"/>
  <c r="A143" i="52"/>
  <c r="A4" i="51"/>
  <c r="A34" i="56"/>
  <c r="A118" i="52"/>
  <c r="C20" i="52"/>
  <c r="B113" i="50"/>
  <c r="B1306" i="49"/>
  <c r="B5" i="56"/>
  <c r="B1360" i="49"/>
  <c r="A11" i="52"/>
  <c r="A119" i="50"/>
  <c r="C1" i="55"/>
  <c r="A35" i="52"/>
  <c r="B84" i="52"/>
  <c r="B1114" i="49"/>
  <c r="A695" i="49"/>
  <c r="A1129" i="49"/>
  <c r="B1021" i="49"/>
  <c r="B1043" i="49"/>
  <c r="A19" i="50"/>
  <c r="B135" i="50"/>
  <c r="A825" i="49"/>
  <c r="A1213" i="49"/>
  <c r="A1385" i="49"/>
  <c r="A759" i="49"/>
  <c r="A1257" i="49"/>
  <c r="A167" i="50"/>
  <c r="B69" i="56"/>
  <c r="A41" i="50"/>
  <c r="B139" i="50"/>
  <c r="B159" i="50"/>
  <c r="A1445" i="49"/>
  <c r="A150" i="50"/>
  <c r="B157" i="49"/>
  <c r="C64" i="52"/>
  <c r="B6" i="52"/>
  <c r="C1" i="54"/>
  <c r="B598" i="49"/>
  <c r="B655" i="49"/>
  <c r="B122" i="50"/>
  <c r="A46" i="50"/>
  <c r="A875" i="49"/>
  <c r="A1388" i="49"/>
  <c r="C119" i="52"/>
  <c r="B146" i="49"/>
  <c r="A24" i="47"/>
  <c r="B44" i="49"/>
  <c r="A154" i="52"/>
  <c r="A971" i="45"/>
  <c r="A652" i="49"/>
  <c r="B21" i="50"/>
  <c r="B136" i="50"/>
  <c r="A170" i="52"/>
  <c r="B193" i="50"/>
  <c r="B1064" i="49"/>
  <c r="A789" i="49"/>
  <c r="A1448" i="49"/>
  <c r="B626" i="49"/>
  <c r="B148" i="49"/>
  <c r="B1334" i="49"/>
  <c r="B390" i="49"/>
  <c r="B35" i="52"/>
  <c r="B1196" i="49"/>
  <c r="B176" i="49"/>
  <c r="A9" i="56"/>
  <c r="A938" i="49"/>
  <c r="A205" i="50"/>
  <c r="B121" i="52"/>
  <c r="A1017" i="49"/>
  <c r="A131" i="50"/>
  <c r="B1378" i="49"/>
  <c r="B798" i="49"/>
  <c r="A1081" i="49"/>
  <c r="B12" i="52"/>
  <c r="B256" i="50"/>
  <c r="B948" i="49"/>
  <c r="C74" i="52"/>
  <c r="B58" i="56"/>
  <c r="B54" i="56"/>
  <c r="C166" i="52"/>
  <c r="B1211" i="49"/>
  <c r="C175" i="52"/>
  <c r="B1018" i="49"/>
  <c r="B144" i="52"/>
  <c r="B73" i="50"/>
  <c r="B1347" i="49"/>
  <c r="C107" i="52"/>
  <c r="C136" i="52"/>
  <c r="B1266" i="49"/>
  <c r="B1042" i="49"/>
  <c r="A960" i="49"/>
  <c r="B682" i="49"/>
  <c r="A1031" i="49"/>
  <c r="A803" i="49"/>
  <c r="B10" i="56"/>
  <c r="B2" i="51"/>
  <c r="A2" i="52"/>
  <c r="B3" i="55"/>
  <c r="A89" i="50"/>
  <c r="C8" i="53"/>
  <c r="A80" i="52"/>
  <c r="B70" i="50"/>
  <c r="A1090" i="49"/>
  <c r="A90" i="52"/>
  <c r="B1121" i="49"/>
  <c r="B663" i="49"/>
  <c r="B406" i="49"/>
  <c r="B125" i="49"/>
  <c r="B79" i="52"/>
  <c r="B894" i="49"/>
  <c r="A760" i="49"/>
  <c r="C45" i="52"/>
  <c r="A5" i="51"/>
  <c r="A92" i="50"/>
  <c r="A1158" i="49"/>
  <c r="B853" i="49"/>
  <c r="B6" i="49"/>
  <c r="B1063" i="49"/>
  <c r="A1017" i="45"/>
  <c r="B827" i="49"/>
  <c r="A112" i="52"/>
  <c r="A1430" i="49"/>
  <c r="A663" i="49"/>
  <c r="A503" i="49"/>
  <c r="A913" i="49"/>
  <c r="B1118" i="49"/>
  <c r="A1151" i="49"/>
  <c r="A493" i="49"/>
  <c r="A216" i="50"/>
  <c r="B1330" i="49"/>
  <c r="B105" i="52"/>
  <c r="A77" i="52"/>
  <c r="A1300" i="49"/>
  <c r="A1452" i="49"/>
  <c r="A632" i="49"/>
  <c r="C53" i="52"/>
  <c r="B1035" i="49"/>
  <c r="B1444" i="49"/>
  <c r="A50" i="52"/>
  <c r="B1458" i="49"/>
  <c r="C152" i="52"/>
  <c r="B660" i="49"/>
  <c r="A1331" i="49"/>
  <c r="B1041" i="49"/>
  <c r="B971" i="49"/>
  <c r="A65" i="50"/>
  <c r="B806" i="49"/>
  <c r="B790" i="49"/>
  <c r="A1134" i="49"/>
  <c r="A3" i="53"/>
  <c r="B724" i="49"/>
  <c r="B912" i="49"/>
  <c r="B145" i="50"/>
  <c r="A140" i="52"/>
  <c r="A1283" i="49"/>
  <c r="B40" i="50"/>
  <c r="B1093" i="49"/>
  <c r="B1463" i="49"/>
  <c r="B89" i="50"/>
  <c r="A1405" i="49"/>
  <c r="A1376" i="49"/>
  <c r="A1123" i="49"/>
  <c r="A1359" i="49"/>
  <c r="B1128" i="49"/>
  <c r="A496" i="49"/>
  <c r="B895" i="49"/>
  <c r="A994" i="49"/>
  <c r="B306" i="49"/>
  <c r="A795" i="49"/>
  <c r="B621" i="49"/>
  <c r="B245" i="49"/>
  <c r="B45" i="49"/>
  <c r="A1253" i="49"/>
  <c r="B213" i="50"/>
  <c r="A1267" i="45"/>
  <c r="A351" i="49"/>
  <c r="A1429" i="49"/>
  <c r="A132" i="50"/>
  <c r="A49" i="56"/>
  <c r="A567" i="49"/>
  <c r="B23" i="56"/>
  <c r="B416" i="49"/>
  <c r="B3" i="52"/>
  <c r="A198" i="49"/>
  <c r="A625" i="49"/>
  <c r="B624" i="49"/>
  <c r="A1174" i="49"/>
  <c r="B7" i="50"/>
  <c r="A764" i="49"/>
  <c r="B519" i="49"/>
  <c r="B588" i="49"/>
  <c r="A30" i="56"/>
  <c r="A2" i="54"/>
  <c r="A66" i="50"/>
  <c r="A1209" i="49"/>
  <c r="B7" i="56"/>
  <c r="B1394" i="49"/>
  <c r="C153" i="52"/>
  <c r="C10" i="52"/>
  <c r="C67" i="52"/>
  <c r="A545" i="49"/>
  <c r="A124" i="50"/>
  <c r="A1179" i="49"/>
  <c r="B1201" i="49"/>
  <c r="B9" i="52"/>
  <c r="B1227" i="49"/>
  <c r="B533" i="49"/>
  <c r="A600" i="49"/>
  <c r="B37" i="50"/>
  <c r="B60" i="56"/>
  <c r="A807" i="49"/>
  <c r="B951" i="49"/>
  <c r="A889" i="49"/>
  <c r="B842" i="49"/>
  <c r="B1056" i="49"/>
  <c r="B553" i="49"/>
  <c r="B57" i="56"/>
  <c r="A99" i="52"/>
  <c r="A32" i="49"/>
  <c r="B381" i="49"/>
  <c r="B857" i="49"/>
  <c r="A1269" i="45"/>
  <c r="B168" i="49"/>
  <c r="B730" i="49"/>
  <c r="A744" i="49"/>
  <c r="A1000" i="49"/>
  <c r="B572" i="49"/>
  <c r="A21" i="49"/>
  <c r="A949" i="49"/>
  <c r="B16" i="48"/>
  <c r="A692" i="49"/>
  <c r="B4" i="48"/>
  <c r="B207" i="50"/>
  <c r="A332" i="49"/>
  <c r="B537" i="49"/>
  <c r="A318" i="49"/>
  <c r="A921" i="45"/>
  <c r="A1135" i="45"/>
  <c r="B20" i="37"/>
  <c r="A164" i="32"/>
  <c r="B1487" i="49"/>
  <c r="B157" i="52"/>
  <c r="A79" i="52"/>
  <c r="A20" i="52"/>
  <c r="B1281" i="49"/>
  <c r="A1426" i="49"/>
  <c r="B2" i="52"/>
  <c r="B1369" i="49"/>
  <c r="A1491" i="49"/>
  <c r="A752" i="49"/>
  <c r="B916" i="49"/>
  <c r="A54" i="50"/>
  <c r="B1050" i="49"/>
  <c r="A569" i="49"/>
  <c r="B886" i="49"/>
  <c r="B1268" i="49"/>
  <c r="A1409" i="49"/>
  <c r="A1483" i="49"/>
  <c r="B990" i="49"/>
  <c r="B460" i="49"/>
  <c r="A151" i="50"/>
  <c r="B422" i="49"/>
  <c r="B80" i="49"/>
  <c r="B9" i="50"/>
  <c r="B1251" i="49"/>
  <c r="A207" i="49"/>
  <c r="A766" i="49"/>
  <c r="A1462" i="49"/>
  <c r="A449" i="49"/>
  <c r="B681" i="49"/>
  <c r="B1191" i="45"/>
  <c r="A922" i="45"/>
  <c r="B188" i="45"/>
  <c r="A51" i="49"/>
  <c r="B141" i="45"/>
  <c r="A39" i="45"/>
  <c r="B1330" i="45"/>
  <c r="B1274" i="45"/>
  <c r="B21" i="45"/>
  <c r="A356" i="32"/>
  <c r="A251" i="50"/>
  <c r="A1215" i="45"/>
  <c r="B12" i="43"/>
  <c r="B1335" i="49"/>
  <c r="B1189" i="49"/>
  <c r="B507" i="49"/>
  <c r="A887" i="49"/>
  <c r="A1182" i="49"/>
  <c r="B477" i="49"/>
  <c r="A1256" i="49"/>
  <c r="B241" i="49"/>
  <c r="B18" i="49"/>
  <c r="A850" i="49"/>
  <c r="A283" i="49"/>
  <c r="B1277" i="45"/>
  <c r="B1072" i="49"/>
  <c r="B1015" i="49"/>
  <c r="B321" i="49"/>
  <c r="A910" i="49"/>
  <c r="A29" i="56"/>
  <c r="A110" i="49"/>
  <c r="B124" i="49"/>
  <c r="A1142" i="45"/>
  <c r="M28" i="29"/>
  <c r="B298" i="49"/>
  <c r="A636" i="45"/>
  <c r="A528" i="45"/>
  <c r="A319" i="45"/>
  <c r="B809" i="49"/>
  <c r="A516" i="45"/>
  <c r="A408" i="45"/>
  <c r="A199" i="45"/>
  <c r="A272" i="49"/>
  <c r="A476" i="45"/>
  <c r="A368" i="45"/>
  <c r="B1476" i="49"/>
  <c r="C80" i="52"/>
  <c r="B74" i="49"/>
  <c r="A808" i="49"/>
  <c r="A15" i="56"/>
  <c r="B90" i="52"/>
  <c r="B99" i="50"/>
  <c r="A5" i="53"/>
  <c r="A102" i="50"/>
  <c r="B694" i="49"/>
  <c r="A113" i="52"/>
  <c r="A1218" i="49"/>
  <c r="B76" i="52"/>
  <c r="B573" i="49"/>
  <c r="B10" i="55"/>
  <c r="A49" i="50"/>
  <c r="B797" i="49"/>
  <c r="B637" i="49"/>
  <c r="C49" i="52"/>
  <c r="A42" i="50"/>
  <c r="B1089" i="49"/>
  <c r="B1150" i="49"/>
  <c r="A1354" i="49"/>
  <c r="A1100" i="49"/>
  <c r="B13" i="50"/>
  <c r="B1158" i="49"/>
  <c r="A1164" i="49"/>
  <c r="B20" i="56"/>
  <c r="C98" i="52"/>
  <c r="B154" i="52"/>
  <c r="B1376" i="49"/>
  <c r="B53" i="49"/>
  <c r="A238" i="50"/>
  <c r="A1128" i="49"/>
  <c r="A232" i="49"/>
  <c r="B100" i="52"/>
  <c r="C172" i="52"/>
  <c r="B1358" i="49"/>
  <c r="B1169" i="49"/>
  <c r="B217" i="50"/>
  <c r="B222" i="50"/>
  <c r="B1333" i="49"/>
  <c r="B129" i="52"/>
  <c r="B1204" i="49"/>
  <c r="B61" i="56"/>
  <c r="B240" i="50"/>
  <c r="A1314" i="49"/>
  <c r="A665" i="49"/>
  <c r="A1201" i="49"/>
  <c r="A222" i="50"/>
  <c r="A1340" i="49"/>
  <c r="B1083" i="49"/>
  <c r="A68" i="47"/>
  <c r="A1025" i="49"/>
  <c r="A727" i="49"/>
  <c r="B825" i="49"/>
  <c r="A1143" i="49"/>
  <c r="B250" i="49"/>
  <c r="B84" i="49"/>
  <c r="B1427" i="49"/>
  <c r="B1256" i="49"/>
  <c r="A103" i="50"/>
  <c r="A3" i="47"/>
  <c r="A1195" i="49"/>
  <c r="B1194" i="49"/>
  <c r="B254" i="50"/>
  <c r="A49" i="47"/>
  <c r="B591" i="49"/>
  <c r="A1345" i="49"/>
  <c r="A1493" i="49"/>
  <c r="B102" i="50"/>
  <c r="B981" i="49"/>
  <c r="B35" i="50"/>
  <c r="B1253" i="49"/>
  <c r="B701" i="49"/>
  <c r="A1077" i="49"/>
  <c r="B37" i="52"/>
  <c r="B989" i="49"/>
  <c r="B805" i="49"/>
  <c r="A1172" i="49"/>
  <c r="A1012" i="49"/>
  <c r="B566" i="49"/>
  <c r="B671" i="49"/>
  <c r="B1356" i="49"/>
  <c r="B165" i="52"/>
  <c r="A705" i="49"/>
  <c r="A897" i="49"/>
  <c r="A926" i="49"/>
  <c r="B44" i="52"/>
  <c r="A1288" i="49"/>
  <c r="B630" i="49"/>
  <c r="B799" i="49"/>
  <c r="A243" i="50"/>
  <c r="A2" i="55"/>
  <c r="A1139" i="49"/>
  <c r="B105" i="50"/>
  <c r="A21" i="56"/>
  <c r="A918" i="49"/>
  <c r="A1196" i="49"/>
  <c r="B960" i="49"/>
  <c r="B1260" i="49"/>
  <c r="A1036" i="49"/>
  <c r="A1258" i="49"/>
  <c r="A929" i="49"/>
  <c r="B735" i="49"/>
  <c r="A1403" i="49"/>
  <c r="A13" i="48"/>
  <c r="B472" i="49"/>
  <c r="A1221" i="49"/>
  <c r="A178" i="49"/>
  <c r="A81" i="52"/>
  <c r="B86" i="49"/>
  <c r="A773" i="49"/>
  <c r="B1237" i="45"/>
  <c r="A1064" i="49"/>
  <c r="A1257" i="45"/>
  <c r="A855" i="49"/>
  <c r="A112" i="50"/>
  <c r="B1091" i="49"/>
  <c r="B869" i="49"/>
  <c r="B882" i="49"/>
  <c r="A1020" i="49"/>
  <c r="A497" i="49"/>
  <c r="B685" i="49"/>
  <c r="B654" i="49"/>
  <c r="A1136" i="49"/>
  <c r="A77" i="50"/>
  <c r="B1236" i="45"/>
  <c r="B801" i="49"/>
  <c r="A1249" i="49"/>
  <c r="B1433" i="49"/>
  <c r="B1409" i="49"/>
  <c r="B27" i="56"/>
  <c r="B2" i="54"/>
  <c r="A19" i="52"/>
  <c r="A729" i="49"/>
  <c r="A184" i="50"/>
  <c r="C105" i="52"/>
  <c r="B485" i="49"/>
  <c r="A56" i="47"/>
  <c r="B917" i="49"/>
  <c r="A860" i="49"/>
  <c r="A121" i="50"/>
  <c r="A87" i="50"/>
  <c r="B19" i="52"/>
  <c r="B1464" i="49"/>
  <c r="B1498" i="49"/>
  <c r="B669" i="49"/>
  <c r="B232" i="49"/>
  <c r="B603" i="49"/>
  <c r="A96" i="49"/>
  <c r="B941" i="49"/>
  <c r="B722" i="49"/>
  <c r="B1285" i="49"/>
  <c r="B408" i="49"/>
  <c r="B64" i="49"/>
  <c r="A1032" i="49"/>
  <c r="B677" i="49"/>
  <c r="A646" i="49"/>
  <c r="A1065" i="49"/>
  <c r="B1248" i="49"/>
  <c r="B795" i="49"/>
  <c r="B208" i="50"/>
  <c r="B1213" i="49"/>
  <c r="B82" i="52"/>
  <c r="A796" i="49"/>
  <c r="B855" i="49"/>
  <c r="A83" i="47"/>
  <c r="B796" i="49"/>
  <c r="A856" i="49"/>
  <c r="B110" i="50"/>
  <c r="A580" i="49"/>
  <c r="B890" i="49"/>
  <c r="A316" i="49"/>
  <c r="B59" i="50"/>
  <c r="A896" i="49"/>
  <c r="B1174" i="49"/>
  <c r="B921" i="49"/>
  <c r="B1063" i="45"/>
  <c r="B955" i="45"/>
  <c r="B113" i="45"/>
  <c r="A163" i="52"/>
  <c r="B8" i="50"/>
  <c r="B1408" i="49"/>
  <c r="A1352" i="49"/>
  <c r="B413" i="49"/>
  <c r="B314" i="49"/>
  <c r="A793" i="49"/>
  <c r="B154" i="49"/>
  <c r="A5" i="50"/>
  <c r="B1134" i="49"/>
  <c r="A262" i="49"/>
  <c r="A987" i="49"/>
  <c r="B862" i="49"/>
  <c r="A521" i="49"/>
  <c r="B678" i="49"/>
  <c r="A893" i="49"/>
  <c r="A166" i="49"/>
  <c r="A75" i="56"/>
  <c r="A547" i="49"/>
  <c r="A811" i="49"/>
  <c r="A627" i="49"/>
  <c r="B1176" i="45"/>
  <c r="A206" i="49"/>
  <c r="A1286" i="49"/>
  <c r="B1110" i="49"/>
  <c r="A977" i="45"/>
  <c r="B384" i="49"/>
  <c r="B1177" i="49"/>
  <c r="A1201" i="45"/>
  <c r="A40" i="49"/>
  <c r="A225" i="49"/>
  <c r="C57" i="21"/>
  <c r="B522" i="49"/>
  <c r="B1296" i="45"/>
  <c r="B1171" i="45"/>
  <c r="B3" i="44"/>
  <c r="B293" i="49"/>
  <c r="B1159" i="45"/>
  <c r="B1051" i="45"/>
  <c r="B497" i="45"/>
  <c r="A1181" i="49"/>
  <c r="B1119" i="45"/>
  <c r="B1011" i="45"/>
  <c r="B1173" i="49"/>
  <c r="B557" i="49"/>
  <c r="A1285" i="49"/>
  <c r="A1160" i="49"/>
  <c r="A274" i="49"/>
  <c r="B479" i="49"/>
  <c r="A2" i="58"/>
  <c r="B1431" i="49"/>
  <c r="A1319" i="45"/>
  <c r="B1329" i="49"/>
  <c r="B1443" i="49"/>
  <c r="A973" i="49"/>
  <c r="A1011" i="45"/>
  <c r="B320" i="49"/>
  <c r="A72" i="47"/>
  <c r="B13" i="48"/>
  <c r="B530" i="49"/>
  <c r="A963" i="49"/>
  <c r="B1287" i="49"/>
  <c r="M5" i="33"/>
  <c r="B710" i="45"/>
  <c r="B28" i="49"/>
  <c r="A286" i="49"/>
  <c r="A1101" i="45"/>
  <c r="A8867" i="20"/>
  <c r="A939" i="49"/>
  <c r="B127" i="49"/>
  <c r="C1" i="46"/>
  <c r="A8747" i="20"/>
  <c r="B919" i="49"/>
  <c r="A22" i="47"/>
  <c r="A1146" i="45"/>
  <c r="A38" i="50"/>
  <c r="C126" i="52"/>
  <c r="B63" i="56"/>
  <c r="A178" i="50"/>
  <c r="B45" i="50"/>
  <c r="A1404" i="49"/>
  <c r="A179" i="50"/>
  <c r="B1101" i="49"/>
  <c r="A234" i="50"/>
  <c r="B1229" i="49"/>
  <c r="A61" i="52"/>
  <c r="A110" i="52"/>
  <c r="A1396" i="49"/>
  <c r="B453" i="49"/>
  <c r="A42" i="56"/>
  <c r="B863" i="49"/>
  <c r="A129" i="52"/>
  <c r="B644" i="49"/>
  <c r="B51" i="56"/>
  <c r="C39" i="52"/>
  <c r="A125" i="52"/>
  <c r="C89" i="52"/>
  <c r="B61" i="49"/>
  <c r="A47" i="52"/>
  <c r="A1154" i="49"/>
  <c r="B90" i="50"/>
  <c r="A1" i="51"/>
  <c r="A39" i="50"/>
  <c r="B220" i="49"/>
  <c r="B844" i="49"/>
  <c r="A1467" i="49"/>
  <c r="B43" i="52"/>
  <c r="C42" i="52"/>
  <c r="B1314" i="49"/>
  <c r="A130" i="50"/>
  <c r="A74" i="56"/>
  <c r="B1460" i="49"/>
  <c r="B69" i="50"/>
  <c r="B803" i="49"/>
  <c r="A64" i="50"/>
  <c r="A11" i="54"/>
  <c r="C63" i="52"/>
  <c r="C131" i="52"/>
  <c r="A57" i="56"/>
  <c r="B6" i="46"/>
  <c r="B138" i="52"/>
  <c r="B633" i="49"/>
  <c r="A1299" i="49"/>
  <c r="B109" i="50"/>
  <c r="B65" i="50"/>
  <c r="A1167" i="49"/>
  <c r="B1279" i="49"/>
  <c r="A925" i="49"/>
  <c r="A806" i="49"/>
  <c r="A1202" i="49"/>
  <c r="A770" i="49"/>
  <c r="B192" i="50"/>
  <c r="A1299" i="45"/>
  <c r="A1247" i="49"/>
  <c r="B49" i="52"/>
  <c r="A1" i="58"/>
  <c r="B26" i="52"/>
  <c r="B1273" i="49"/>
  <c r="A902" i="49"/>
  <c r="B1000" i="49"/>
  <c r="A1294" i="49"/>
  <c r="A120" i="49"/>
  <c r="C96" i="52"/>
  <c r="A18" i="55"/>
  <c r="A1" i="55"/>
  <c r="A1323" i="49"/>
  <c r="A962" i="49"/>
  <c r="A73" i="52"/>
  <c r="A1145" i="49"/>
  <c r="B5" i="53"/>
  <c r="B414" i="49"/>
  <c r="B42" i="56"/>
  <c r="A555" i="49"/>
  <c r="B145" i="49"/>
  <c r="B517" i="49"/>
  <c r="A884" i="49"/>
  <c r="A626" i="49"/>
  <c r="B443" i="49"/>
  <c r="A726" i="49"/>
  <c r="B649" i="49"/>
  <c r="B76" i="49"/>
  <c r="A6" i="46"/>
  <c r="A1319" i="49"/>
  <c r="A254" i="49"/>
  <c r="A913" i="45"/>
  <c r="N72" i="33"/>
  <c r="C149" i="52"/>
  <c r="A1346" i="49"/>
  <c r="B83" i="52"/>
  <c r="A146" i="50"/>
  <c r="B186" i="50"/>
  <c r="B647" i="49"/>
  <c r="A64" i="52"/>
  <c r="A384" i="49"/>
  <c r="B571" i="49"/>
  <c r="A852" i="49"/>
  <c r="B31" i="49"/>
  <c r="A831" i="49"/>
  <c r="A1478" i="49"/>
  <c r="A804" i="49"/>
  <c r="B80" i="50"/>
  <c r="B693" i="45"/>
  <c r="A1273" i="45"/>
  <c r="B99" i="45"/>
  <c r="A1320" i="45"/>
  <c r="B11" i="43"/>
  <c r="B777" i="49"/>
  <c r="B7" i="39"/>
  <c r="B526" i="49"/>
  <c r="B1197" i="49"/>
  <c r="B620" i="49"/>
  <c r="B224" i="49"/>
  <c r="A756" i="49"/>
  <c r="A1211" i="45"/>
  <c r="A981" i="49"/>
  <c r="A122" i="49"/>
  <c r="A822" i="49"/>
  <c r="A184" i="45"/>
  <c r="A12" i="48"/>
  <c r="B216" i="45"/>
  <c r="A261" i="49"/>
  <c r="B96" i="45"/>
  <c r="A173" i="49"/>
  <c r="B56" i="45"/>
  <c r="A44" i="56"/>
  <c r="A189" i="50"/>
  <c r="B175" i="50"/>
  <c r="A245" i="50"/>
  <c r="B1367" i="49"/>
  <c r="A169" i="50"/>
  <c r="A68" i="50"/>
  <c r="A554" i="49"/>
  <c r="B1265" i="49"/>
  <c r="A1091" i="49"/>
  <c r="A70" i="50"/>
  <c r="B1385" i="49"/>
  <c r="B112" i="52"/>
  <c r="A1265" i="49"/>
  <c r="B218" i="50"/>
  <c r="B1170" i="49"/>
  <c r="A324" i="49"/>
  <c r="A1063" i="49"/>
  <c r="B1172" i="49"/>
  <c r="B252" i="49"/>
  <c r="B149" i="52"/>
  <c r="A1386" i="49"/>
  <c r="B14" i="56"/>
  <c r="B524" i="49"/>
  <c r="A533" i="49"/>
  <c r="B1403" i="49"/>
  <c r="A164" i="50"/>
  <c r="B308" i="49"/>
  <c r="A409" i="49"/>
  <c r="A955" i="45"/>
  <c r="A379" i="49"/>
  <c r="B615" i="49"/>
  <c r="B379" i="49"/>
  <c r="B119" i="49"/>
  <c r="B1164" i="49"/>
  <c r="B260" i="49"/>
  <c r="A140" i="49"/>
  <c r="A23" i="37"/>
  <c r="B1145" i="45"/>
  <c r="B55" i="56"/>
  <c r="B1039" i="49"/>
  <c r="B317" i="49"/>
  <c r="B561" i="49"/>
  <c r="A1372" i="49"/>
  <c r="B938" i="49"/>
  <c r="B82" i="49"/>
  <c r="A517" i="49"/>
  <c r="A18" i="56"/>
  <c r="A1137" i="49"/>
  <c r="B1030" i="49"/>
  <c r="B1307" i="49"/>
  <c r="B847" i="49"/>
  <c r="A55" i="49"/>
  <c r="B180" i="49"/>
  <c r="B327" i="49"/>
  <c r="B1168" i="45"/>
  <c r="A253" i="49"/>
  <c r="A939" i="45"/>
  <c r="B1475" i="49"/>
  <c r="B158" i="49"/>
  <c r="A61" i="49"/>
  <c r="B1125" i="45"/>
  <c r="A53" i="32"/>
  <c r="A767" i="45"/>
  <c r="A144" i="45"/>
  <c r="B1004" i="45"/>
  <c r="B1190" i="45"/>
  <c r="A24" i="45"/>
  <c r="A1034" i="45"/>
  <c r="B142" i="49"/>
  <c r="C13" i="43"/>
  <c r="B922" i="49"/>
  <c r="B1094" i="49"/>
  <c r="A20" i="50"/>
  <c r="B599" i="49"/>
  <c r="A500" i="49"/>
  <c r="B966" i="49"/>
  <c r="B78" i="50"/>
  <c r="A76" i="52"/>
  <c r="B514" i="49"/>
  <c r="B1290" i="49"/>
  <c r="A593" i="49"/>
  <c r="A349" i="49"/>
  <c r="A303" i="49"/>
  <c r="A15" i="49"/>
  <c r="A1100" i="45"/>
  <c r="B60" i="45"/>
  <c r="A124" i="45"/>
  <c r="A9" i="57"/>
  <c r="C83" i="52"/>
  <c r="A817" i="49"/>
  <c r="B91" i="52"/>
  <c r="B66" i="52"/>
  <c r="B1492" i="49"/>
  <c r="B1493" i="49"/>
  <c r="B1247" i="49"/>
  <c r="A128" i="49"/>
  <c r="B1439" i="49"/>
  <c r="A1219" i="49"/>
  <c r="B756" i="49"/>
  <c r="A956" i="49"/>
  <c r="B49" i="50"/>
  <c r="B396" i="49"/>
  <c r="B1145" i="49"/>
  <c r="B1348" i="49"/>
  <c r="A6" i="56"/>
  <c r="B1005" i="49"/>
  <c r="A5" i="52"/>
  <c r="A5" i="58"/>
  <c r="B1344" i="49"/>
  <c r="B206" i="50"/>
  <c r="A160" i="50"/>
  <c r="B190" i="50"/>
  <c r="C158" i="52"/>
  <c r="A83" i="50"/>
  <c r="B956" i="49"/>
  <c r="A682" i="49"/>
  <c r="A1301" i="45"/>
  <c r="A1144" i="49"/>
  <c r="A408" i="49"/>
  <c r="A688" i="49"/>
  <c r="B203" i="49"/>
  <c r="B1171" i="49"/>
  <c r="B1295" i="49"/>
  <c r="B817" i="49"/>
  <c r="B60" i="50"/>
  <c r="B521" i="49"/>
  <c r="A552" i="49"/>
  <c r="B274" i="49"/>
  <c r="B139" i="52"/>
  <c r="A225" i="50"/>
  <c r="B11" i="50"/>
  <c r="B75" i="56"/>
  <c r="A504" i="49"/>
  <c r="A1041" i="49"/>
  <c r="A568" i="49"/>
  <c r="B10" i="54"/>
  <c r="A36" i="56"/>
  <c r="A818" i="49"/>
  <c r="A954" i="49"/>
  <c r="A1076" i="49"/>
  <c r="A1321" i="49"/>
  <c r="A87" i="49"/>
  <c r="A1085" i="49"/>
  <c r="C101" i="52"/>
  <c r="B94" i="52"/>
  <c r="B12" i="49"/>
  <c r="B1137" i="49"/>
  <c r="A980" i="49"/>
  <c r="B618" i="49"/>
  <c r="A1334" i="49"/>
  <c r="A1375" i="49"/>
  <c r="A1351" i="49"/>
  <c r="A370" i="49"/>
  <c r="B564" i="49"/>
  <c r="A798" i="49"/>
  <c r="A1009" i="45"/>
  <c r="A1495" i="49"/>
  <c r="B1115" i="49"/>
  <c r="B593" i="49"/>
  <c r="A1180" i="49"/>
  <c r="A204" i="50"/>
  <c r="B1429" i="49"/>
  <c r="B606" i="49"/>
  <c r="B16" i="55"/>
  <c r="A35" i="56"/>
  <c r="A142" i="50"/>
  <c r="A585" i="49"/>
  <c r="A192" i="50"/>
  <c r="A1044" i="49"/>
  <c r="B1167" i="49"/>
  <c r="B1120" i="49"/>
  <c r="B171" i="50"/>
  <c r="B1469" i="49"/>
  <c r="B1299" i="49"/>
  <c r="A26" i="56"/>
  <c r="B856" i="49"/>
  <c r="B14" i="52"/>
  <c r="B595" i="49"/>
  <c r="B984" i="49"/>
  <c r="B545" i="49"/>
  <c r="B111" i="50"/>
  <c r="A1401" i="49"/>
  <c r="A1456" i="49"/>
  <c r="A1141" i="49"/>
  <c r="B1499" i="49"/>
  <c r="B968" i="49"/>
  <c r="A472" i="49"/>
  <c r="B282" i="49"/>
  <c r="B1411" i="49"/>
  <c r="B1239" i="49"/>
  <c r="A1307" i="45"/>
  <c r="A444" i="49"/>
  <c r="B68" i="56"/>
  <c r="A181" i="50"/>
  <c r="A673" i="49"/>
  <c r="C94" i="52"/>
  <c r="A1237" i="45"/>
  <c r="B26" i="49"/>
  <c r="B58" i="50"/>
  <c r="B771" i="49"/>
  <c r="B20" i="49"/>
  <c r="B155" i="52"/>
  <c r="B1095" i="49"/>
  <c r="C87" i="52"/>
  <c r="B39" i="50"/>
  <c r="B231" i="50"/>
  <c r="A113" i="50"/>
  <c r="B597" i="49"/>
  <c r="B122" i="49"/>
  <c r="B315" i="49"/>
  <c r="B18" i="48"/>
  <c r="B8" i="48"/>
  <c r="A1311" i="45"/>
  <c r="A322" i="49"/>
  <c r="A891" i="45"/>
  <c r="B640" i="45"/>
  <c r="A63" i="50"/>
  <c r="B741" i="49"/>
  <c r="B749" i="49"/>
  <c r="B429" i="49"/>
  <c r="B609" i="49"/>
  <c r="A428" i="49"/>
  <c r="A284" i="49"/>
  <c r="A108" i="50"/>
  <c r="A1393" i="49"/>
  <c r="A763" i="49"/>
  <c r="A990" i="49"/>
  <c r="B679" i="49"/>
  <c r="A750" i="49"/>
  <c r="A1209" i="45"/>
  <c r="A772" i="49"/>
  <c r="B1083" i="45"/>
  <c r="A1059" i="45"/>
  <c r="A121" i="45"/>
  <c r="A1147" i="45"/>
  <c r="B736" i="45"/>
  <c r="B1300" i="45"/>
  <c r="B52" i="56"/>
  <c r="A1009" i="49"/>
  <c r="A1318" i="49"/>
  <c r="A619" i="49"/>
  <c r="B1014" i="49"/>
  <c r="A247" i="49"/>
  <c r="A935" i="49"/>
  <c r="A811" i="45"/>
  <c r="A657" i="49"/>
  <c r="A276" i="49"/>
  <c r="A545" i="45"/>
  <c r="B1182" i="45"/>
  <c r="B9050" i="20"/>
  <c r="A71" i="47"/>
  <c r="B8930" i="20"/>
  <c r="B265" i="49"/>
  <c r="C86" i="52"/>
  <c r="A1229" i="45"/>
  <c r="A1475" i="49"/>
  <c r="B28" i="52"/>
  <c r="A1027" i="49"/>
  <c r="B32" i="50"/>
  <c r="A1490" i="49"/>
  <c r="B203" i="50"/>
  <c r="B243" i="50"/>
  <c r="B1448" i="49"/>
  <c r="B486" i="49"/>
  <c r="A525" i="49"/>
  <c r="A1211" i="49"/>
  <c r="A160" i="52"/>
  <c r="A777" i="49"/>
  <c r="B973" i="49"/>
  <c r="A687" i="49"/>
  <c r="A1425" i="49"/>
  <c r="A91" i="50"/>
  <c r="B1343" i="49"/>
  <c r="A149" i="49"/>
  <c r="A144" i="50"/>
  <c r="B446" i="49"/>
  <c r="B11" i="54"/>
  <c r="B342" i="49"/>
  <c r="B50" i="49"/>
  <c r="A518" i="49"/>
  <c r="A48" i="49"/>
  <c r="A883" i="45"/>
  <c r="A674" i="49"/>
  <c r="B719" i="49"/>
  <c r="B1361" i="49"/>
  <c r="B1226" i="45"/>
  <c r="B1207" i="49"/>
  <c r="C121" i="52"/>
  <c r="A907" i="45"/>
  <c r="A919" i="45"/>
  <c r="A36" i="45"/>
  <c r="A417" i="45"/>
  <c r="B710" i="49"/>
  <c r="B1472" i="49"/>
  <c r="B1219" i="49"/>
  <c r="B1462" i="49"/>
  <c r="A1159" i="49"/>
  <c r="A166" i="50"/>
  <c r="B1165" i="49"/>
  <c r="B172" i="49"/>
  <c r="A1203" i="45"/>
  <c r="A62" i="52"/>
  <c r="A1358" i="49"/>
  <c r="B1059" i="49"/>
  <c r="A762" i="49"/>
  <c r="A670" i="49"/>
  <c r="B436" i="49"/>
  <c r="A667" i="49"/>
  <c r="A887" i="45"/>
  <c r="B286" i="49"/>
  <c r="B750" i="49"/>
  <c r="A1092" i="49"/>
  <c r="A78" i="47"/>
  <c r="A1163" i="45"/>
  <c r="B23" i="49"/>
  <c r="A1228" i="45"/>
  <c r="A33" i="32"/>
  <c r="A252" i="45"/>
  <c r="A695" i="45"/>
  <c r="A1328" i="45"/>
  <c r="A132" i="45"/>
  <c r="A513" i="45"/>
  <c r="B461" i="49"/>
  <c r="A92" i="45"/>
  <c r="B56" i="52"/>
  <c r="A10" i="54"/>
  <c r="B1187" i="49"/>
  <c r="B728" i="49"/>
  <c r="A51" i="52"/>
  <c r="A1427" i="49"/>
  <c r="A94" i="50"/>
  <c r="B1159" i="49"/>
  <c r="A523" i="49"/>
  <c r="B945" i="49"/>
  <c r="A874" i="49"/>
  <c r="B1308" i="49"/>
  <c r="B995" i="49"/>
  <c r="B1363" i="49"/>
  <c r="A1185" i="45"/>
  <c r="B905" i="45"/>
  <c r="A1127" i="49"/>
  <c r="A1102" i="45"/>
  <c r="B2" i="55"/>
  <c r="C2" i="55"/>
  <c r="B132" i="52"/>
  <c r="B239" i="50"/>
  <c r="B1096" i="49"/>
  <c r="A1" i="53"/>
  <c r="A236" i="50"/>
  <c r="B1489" i="49"/>
  <c r="B1242" i="49"/>
  <c r="A1364" i="49"/>
  <c r="A1198" i="49"/>
  <c r="B1086" i="49"/>
  <c r="A1381" i="49"/>
  <c r="A1233" i="45"/>
  <c r="A411" i="49"/>
  <c r="A765" i="49"/>
  <c r="B70" i="56"/>
  <c r="A139" i="50"/>
  <c r="B909" i="49"/>
  <c r="B1077" i="49"/>
  <c r="B234" i="50"/>
  <c r="B874" i="49"/>
  <c r="A1267" i="49"/>
  <c r="B95" i="50"/>
  <c r="B1202" i="49"/>
  <c r="B227" i="50"/>
  <c r="A985" i="49"/>
  <c r="B255" i="50"/>
  <c r="B131" i="50"/>
  <c r="A911" i="49"/>
  <c r="A1469" i="49"/>
  <c r="B1209" i="49"/>
  <c r="A553" i="49"/>
  <c r="A672" i="49"/>
  <c r="B1438" i="49"/>
  <c r="B127" i="52"/>
  <c r="A55" i="52"/>
  <c r="B958" i="49"/>
  <c r="B158" i="52"/>
  <c r="B71" i="49"/>
  <c r="B8" i="49"/>
  <c r="A701" i="49"/>
  <c r="B488" i="49"/>
  <c r="A1109" i="49"/>
  <c r="B1245" i="45"/>
  <c r="B457" i="49"/>
  <c r="A516" i="49"/>
  <c r="A93" i="49"/>
  <c r="B53" i="56"/>
  <c r="B137" i="52"/>
  <c r="A138" i="52"/>
  <c r="B1390" i="49"/>
  <c r="B207" i="49"/>
  <c r="A240" i="50"/>
  <c r="A8" i="55"/>
  <c r="B99" i="52"/>
  <c r="A27" i="50"/>
  <c r="A728" i="49"/>
  <c r="B1146" i="49"/>
  <c r="B92" i="50"/>
  <c r="A691" i="49"/>
  <c r="B1322" i="45"/>
  <c r="A2" i="56"/>
  <c r="A242" i="50"/>
  <c r="A1204" i="49"/>
  <c r="C11" i="52"/>
  <c r="B57" i="50"/>
  <c r="B562" i="49"/>
  <c r="C15" i="52"/>
  <c r="B985" i="49"/>
  <c r="B33" i="52"/>
  <c r="A8" i="54"/>
  <c r="B180" i="50"/>
  <c r="A14" i="52"/>
  <c r="B17" i="54"/>
  <c r="B884" i="49"/>
  <c r="B62" i="52"/>
  <c r="A44" i="52"/>
  <c r="B763" i="49"/>
  <c r="B865" i="49"/>
  <c r="A1066" i="49"/>
  <c r="B46" i="52"/>
  <c r="B229" i="50"/>
  <c r="B541" i="49"/>
  <c r="A461" i="49"/>
  <c r="B1070" i="49"/>
  <c r="B120" i="50"/>
  <c r="B198" i="50"/>
  <c r="C18" i="52"/>
  <c r="B103" i="50"/>
  <c r="B509" i="49"/>
  <c r="A1048" i="49"/>
  <c r="B237" i="50"/>
  <c r="B602" i="49"/>
  <c r="A978" i="49"/>
  <c r="A737" i="49"/>
  <c r="A1260" i="49"/>
  <c r="A881" i="49"/>
  <c r="B73" i="45"/>
  <c r="A946" i="49"/>
  <c r="A908" i="49"/>
  <c r="B1210" i="49"/>
  <c r="A1329" i="49"/>
  <c r="B965" i="49"/>
  <c r="A985" i="45"/>
  <c r="B834" i="49"/>
  <c r="A5" i="43"/>
  <c r="C6" i="52"/>
  <c r="B457" i="45"/>
  <c r="A226" i="50"/>
  <c r="A590" i="49"/>
  <c r="A488" i="49"/>
  <c r="C8" i="55"/>
  <c r="A1035" i="45"/>
  <c r="B1179" i="49"/>
  <c r="A53" i="56"/>
  <c r="B454" i="49"/>
  <c r="B810" i="49"/>
  <c r="B97" i="52"/>
  <c r="A1498" i="49"/>
  <c r="B1027" i="49"/>
  <c r="A1343" i="49"/>
  <c r="A1107" i="49"/>
  <c r="A15" i="52"/>
  <c r="A753" i="49"/>
  <c r="B210" i="50"/>
  <c r="B1262" i="49"/>
  <c r="B48" i="52"/>
  <c r="A1468" i="49"/>
  <c r="B283" i="49"/>
  <c r="B601" i="49"/>
  <c r="B705" i="49"/>
  <c r="A851" i="45"/>
  <c r="B69" i="49"/>
  <c r="A1297" i="45"/>
  <c r="A1321" i="45"/>
  <c r="B454" i="45"/>
  <c r="A1480" i="49"/>
  <c r="B1243" i="49"/>
  <c r="B1278" i="49"/>
  <c r="B330" i="49"/>
  <c r="B346" i="49"/>
  <c r="A624" i="49"/>
  <c r="A1400" i="49"/>
  <c r="B812" i="49"/>
  <c r="A148" i="50"/>
  <c r="B556" i="49"/>
  <c r="A294" i="49"/>
  <c r="B8834" i="20"/>
  <c r="A651" i="45"/>
  <c r="A969" i="49"/>
  <c r="B550" i="45"/>
  <c r="B371" i="49"/>
  <c r="A927" i="49"/>
  <c r="B1451" i="49"/>
  <c r="B1141" i="49"/>
  <c r="A645" i="49"/>
  <c r="A125" i="49"/>
  <c r="B721" i="49"/>
  <c r="A684" i="49"/>
  <c r="B18" i="21"/>
  <c r="B76" i="56"/>
  <c r="A1344" i="49"/>
  <c r="C69" i="52"/>
  <c r="B179" i="50"/>
  <c r="A22" i="56"/>
  <c r="A1268" i="49"/>
  <c r="A537" i="49"/>
  <c r="B113" i="49"/>
  <c r="B168" i="52"/>
  <c r="B1325" i="49"/>
  <c r="A228" i="50"/>
  <c r="C102" i="52"/>
  <c r="A845" i="49"/>
  <c r="B13" i="52"/>
  <c r="A589" i="49"/>
  <c r="B1188" i="49"/>
  <c r="B1345" i="49"/>
  <c r="A1037" i="49"/>
  <c r="A1349" i="49"/>
  <c r="A2" i="51"/>
  <c r="B1241" i="49"/>
  <c r="B504" i="49"/>
  <c r="B1268" i="45"/>
  <c r="B262" i="49"/>
  <c r="A335" i="49"/>
  <c r="A1271" i="49"/>
  <c r="C76" i="52"/>
  <c r="B41" i="56"/>
  <c r="B182" i="49"/>
  <c r="B1491" i="49"/>
  <c r="B625" i="49"/>
  <c r="A1261" i="49"/>
  <c r="C110" i="52"/>
  <c r="B587" i="49"/>
  <c r="B31" i="52"/>
  <c r="A630" i="49"/>
  <c r="A91" i="49"/>
  <c r="B814" i="49"/>
  <c r="B1216" i="45"/>
  <c r="O68" i="33"/>
  <c r="A1489" i="49"/>
  <c r="A207" i="50"/>
  <c r="B1168" i="49"/>
  <c r="B1296" i="49"/>
  <c r="B360" i="49"/>
  <c r="B850" i="49"/>
  <c r="B153" i="50"/>
  <c r="B34" i="52"/>
  <c r="B407" i="49"/>
  <c r="B18" i="50"/>
  <c r="B348" i="49"/>
  <c r="B17" i="50"/>
  <c r="A21" i="50"/>
  <c r="A1171" i="45"/>
  <c r="A154" i="49"/>
  <c r="A1225" i="49"/>
  <c r="A664" i="49"/>
  <c r="A57" i="49"/>
  <c r="B288" i="49"/>
  <c r="A1188" i="45"/>
  <c r="B10" i="48"/>
  <c r="A578" i="45"/>
  <c r="A8875" i="20"/>
  <c r="A604" i="45"/>
  <c r="B1245" i="49"/>
  <c r="B124" i="50"/>
  <c r="B1405" i="49"/>
  <c r="B563" i="49"/>
  <c r="B23" i="50"/>
  <c r="A436" i="49"/>
  <c r="A14" i="48"/>
  <c r="A123" i="49"/>
  <c r="B409" i="49"/>
  <c r="B2" i="49"/>
  <c r="B833" i="49"/>
  <c r="B780" i="45"/>
  <c r="A803" i="45"/>
  <c r="A16" i="45"/>
  <c r="A1002" i="45"/>
  <c r="A1095" i="45"/>
  <c r="C2" i="35"/>
  <c r="B1017" i="45"/>
  <c r="A68" i="52"/>
  <c r="A1162" i="49"/>
  <c r="A697" i="49"/>
  <c r="B266" i="49"/>
  <c r="A69" i="56"/>
  <c r="B14" i="50"/>
  <c r="A642" i="49"/>
  <c r="A1079" i="49"/>
  <c r="B867" i="49"/>
  <c r="B155" i="49"/>
  <c r="B680" i="49"/>
  <c r="A104" i="49"/>
  <c r="C46" i="52"/>
  <c r="B503" i="45"/>
  <c r="B1185" i="45"/>
  <c r="A91" i="52"/>
  <c r="B1497" i="49"/>
  <c r="A74" i="52"/>
  <c r="A64" i="56"/>
  <c r="A649" i="49"/>
  <c r="A1485" i="49"/>
  <c r="C72" i="52"/>
  <c r="B1140" i="49"/>
  <c r="C25" i="52"/>
  <c r="A829" i="49"/>
  <c r="B506" i="49"/>
  <c r="A761" i="49"/>
  <c r="A277" i="49"/>
  <c r="B976" i="49"/>
  <c r="A1305" i="49"/>
  <c r="A67" i="56"/>
  <c r="A53" i="49"/>
  <c r="A1" i="45"/>
  <c r="B311" i="49"/>
  <c r="B344" i="45"/>
  <c r="A1413" i="49"/>
  <c r="A536" i="45"/>
  <c r="A937" i="49"/>
  <c r="A26" i="45"/>
  <c r="B148" i="50"/>
  <c r="B1465" i="49"/>
  <c r="B1421" i="49"/>
  <c r="A1362" i="49"/>
  <c r="A12" i="55"/>
  <c r="A1059" i="49"/>
  <c r="A933" i="49"/>
  <c r="A168" i="49"/>
  <c r="C14" i="52"/>
  <c r="A62" i="49"/>
  <c r="B139" i="49"/>
  <c r="A631" i="45"/>
  <c r="B1151" i="45"/>
  <c r="B728" i="45"/>
  <c r="A970" i="49"/>
  <c r="B471" i="45"/>
  <c r="B608" i="45"/>
  <c r="A203" i="50"/>
  <c r="B478" i="49"/>
  <c r="A1103" i="49"/>
  <c r="A1026" i="49"/>
  <c r="A952" i="49"/>
  <c r="B1085" i="49"/>
  <c r="A1082" i="49"/>
  <c r="A24" i="49"/>
  <c r="A1390" i="49"/>
  <c r="B5" i="48"/>
  <c r="B779" i="49"/>
  <c r="B1195" i="49"/>
  <c r="B86" i="52"/>
  <c r="B164" i="50"/>
  <c r="A167" i="52"/>
  <c r="B957" i="49"/>
  <c r="B1313" i="49"/>
  <c r="B543" i="49"/>
  <c r="B1452" i="49"/>
  <c r="B1103" i="49"/>
  <c r="B1231" i="49"/>
  <c r="A116" i="52"/>
  <c r="B133" i="52"/>
  <c r="B949" i="49"/>
  <c r="A556" i="49"/>
  <c r="B1339" i="49"/>
  <c r="A505" i="49"/>
  <c r="A119" i="52"/>
  <c r="B1364" i="49"/>
  <c r="A174" i="50"/>
  <c r="A924" i="49"/>
  <c r="B201" i="50"/>
  <c r="A153" i="52"/>
  <c r="B249" i="50"/>
  <c r="B129" i="50"/>
  <c r="B1286" i="49"/>
  <c r="B640" i="49"/>
  <c r="B128" i="52"/>
  <c r="B578" i="49"/>
  <c r="B1019" i="49"/>
  <c r="A1454" i="49"/>
  <c r="A989" i="49"/>
  <c r="B1154" i="49"/>
  <c r="B195" i="50"/>
  <c r="C114" i="52"/>
  <c r="B913" i="49"/>
  <c r="A1361" i="49"/>
  <c r="B118" i="50"/>
  <c r="A30" i="50"/>
  <c r="B534" i="49"/>
  <c r="A757" i="49"/>
  <c r="A29" i="49"/>
  <c r="B764" i="49"/>
  <c r="A735" i="49"/>
  <c r="B17" i="43"/>
  <c r="B1351" i="49"/>
  <c r="A242" i="49"/>
  <c r="A636" i="49"/>
  <c r="B2" i="46"/>
  <c r="B392" i="49"/>
  <c r="A1442" i="49"/>
  <c r="B897" i="49"/>
  <c r="B918" i="49"/>
  <c r="B207" i="45"/>
  <c r="B87" i="45"/>
  <c r="B47" i="45"/>
  <c r="B1437" i="49"/>
  <c r="A101" i="52"/>
  <c r="A565" i="49"/>
  <c r="A226" i="49"/>
  <c r="A967" i="45"/>
  <c r="A570" i="45"/>
  <c r="A450" i="45"/>
  <c r="A410" i="45"/>
  <c r="A1328" i="49"/>
  <c r="A71" i="52"/>
  <c r="C92" i="52"/>
  <c r="B1138" i="49"/>
  <c r="B162" i="50"/>
  <c r="A215" i="50"/>
  <c r="B1176" i="49"/>
  <c r="B746" i="49"/>
  <c r="B1389" i="49"/>
  <c r="B8" i="55"/>
  <c r="B159" i="52"/>
  <c r="A1095" i="49"/>
  <c r="A1497" i="49"/>
  <c r="B304" i="49"/>
  <c r="B1319" i="45"/>
  <c r="A1458" i="49"/>
  <c r="A1234" i="49"/>
  <c r="B1442" i="49"/>
  <c r="A1014" i="45"/>
  <c r="B134" i="52"/>
  <c r="A1443" i="49"/>
  <c r="B1258" i="49"/>
  <c r="A596" i="49"/>
  <c r="B1342" i="49"/>
  <c r="B1453" i="49"/>
  <c r="A6" i="57"/>
  <c r="B1270" i="49"/>
  <c r="B495" i="49"/>
  <c r="A907" i="49"/>
  <c r="B629" i="49"/>
  <c r="A69" i="49"/>
  <c r="A180" i="50"/>
  <c r="C28" i="21"/>
  <c r="A1110" i="45"/>
  <c r="B1310" i="49"/>
  <c r="B68" i="52"/>
  <c r="B758" i="49"/>
  <c r="A1463" i="49"/>
  <c r="B373" i="49"/>
  <c r="A1313" i="45"/>
  <c r="A1176" i="49"/>
  <c r="A779" i="49"/>
  <c r="B935" i="45"/>
  <c r="A34" i="47"/>
  <c r="A17" i="52"/>
  <c r="B1107" i="49"/>
  <c r="A1466" i="49"/>
  <c r="B352" i="49"/>
  <c r="A16" i="54"/>
  <c r="A1049" i="49"/>
  <c r="A101" i="50"/>
  <c r="B1051" i="49"/>
  <c r="A25" i="56"/>
  <c r="A1231" i="49"/>
  <c r="B1485" i="49"/>
  <c r="A47" i="50"/>
  <c r="A1281" i="49"/>
  <c r="A769" i="49"/>
  <c r="A1105" i="49"/>
  <c r="A1004" i="49"/>
  <c r="A1126" i="49"/>
  <c r="B174" i="52"/>
  <c r="B1023" i="49"/>
  <c r="A128" i="52"/>
  <c r="B849" i="49"/>
  <c r="A1330" i="45"/>
  <c r="A6" i="54"/>
  <c r="A43" i="52"/>
  <c r="B1234" i="45"/>
  <c r="B1381" i="49"/>
  <c r="B1009" i="49"/>
  <c r="A1350" i="49"/>
  <c r="A34" i="50"/>
  <c r="A1237" i="49"/>
  <c r="A1298" i="49"/>
  <c r="A446" i="49"/>
  <c r="B520" i="49"/>
  <c r="A1003" i="49"/>
  <c r="A680" i="49"/>
  <c r="A1161" i="49"/>
  <c r="A544" i="49"/>
  <c r="A549" i="49"/>
  <c r="A548" i="45"/>
  <c r="A159" i="32"/>
  <c r="A200" i="50"/>
  <c r="A8" i="52"/>
  <c r="B936" i="49"/>
  <c r="A1292" i="49"/>
  <c r="B1125" i="49"/>
  <c r="B523" i="49"/>
  <c r="B1301" i="49"/>
  <c r="B635" i="49"/>
  <c r="A1384" i="49"/>
  <c r="A1437" i="49"/>
  <c r="B614" i="49"/>
  <c r="A971" i="49"/>
  <c r="A1227" i="45"/>
  <c r="A983" i="45"/>
  <c r="A566" i="49"/>
  <c r="B1276" i="49"/>
  <c r="A838" i="49"/>
  <c r="B769" i="45"/>
  <c r="A1097" i="45"/>
  <c r="A742" i="45"/>
  <c r="B1269" i="45"/>
  <c r="A1068" i="45"/>
  <c r="B28" i="45"/>
  <c r="A538" i="45"/>
  <c r="A170" i="50"/>
  <c r="B535" i="49"/>
  <c r="B181" i="49"/>
  <c r="A152" i="49"/>
  <c r="A623" i="49"/>
  <c r="A491" i="49"/>
  <c r="A153" i="50"/>
  <c r="A1104" i="49"/>
  <c r="B463" i="49"/>
  <c r="A515" i="49"/>
  <c r="A492" i="49"/>
  <c r="A1202" i="45"/>
  <c r="A1168" i="45"/>
  <c r="A505" i="45"/>
  <c r="A793" i="45"/>
  <c r="A4" i="45"/>
  <c r="A385" i="45"/>
  <c r="A8" i="56"/>
  <c r="B61" i="50"/>
  <c r="B1160" i="49"/>
  <c r="B1436" i="49"/>
  <c r="A1121" i="49"/>
  <c r="A3" i="58"/>
  <c r="C91" i="52"/>
  <c r="A1398" i="49"/>
  <c r="A1245" i="49"/>
  <c r="A1270" i="49"/>
  <c r="A785" i="49"/>
  <c r="B1397" i="49"/>
  <c r="B166" i="49"/>
  <c r="A1306" i="49"/>
  <c r="C6" i="43"/>
  <c r="A22" i="28"/>
  <c r="B1398" i="49"/>
  <c r="B17" i="56"/>
  <c r="A535" i="49"/>
  <c r="B1119" i="49"/>
  <c r="A559" i="49"/>
  <c r="B254" i="49"/>
  <c r="A1307" i="49"/>
  <c r="B837" i="49"/>
  <c r="A460" i="49"/>
  <c r="B140" i="50"/>
  <c r="B1316" i="49"/>
  <c r="B1254" i="49"/>
  <c r="A95" i="49"/>
  <c r="B786" i="49"/>
  <c r="B82" i="50"/>
  <c r="B206" i="49"/>
  <c r="A8" i="48"/>
  <c r="B198" i="45"/>
  <c r="B719" i="45"/>
  <c r="B1044" i="45"/>
  <c r="B87" i="49"/>
  <c r="B224" i="45"/>
  <c r="A16" i="47"/>
  <c r="A496" i="45"/>
  <c r="A857" i="49"/>
  <c r="A52" i="52"/>
  <c r="A1191" i="49"/>
  <c r="B452" i="49"/>
  <c r="A629" i="49"/>
  <c r="A218" i="49"/>
  <c r="A528" i="49"/>
  <c r="A802" i="49"/>
  <c r="A124" i="49"/>
  <c r="A1178" i="49"/>
  <c r="N54" i="33"/>
  <c r="B700" i="45"/>
  <c r="B1085" i="45"/>
  <c r="A335" i="32"/>
  <c r="B1311" i="45"/>
  <c r="B965" i="45"/>
  <c r="A95" i="32"/>
  <c r="A943" i="49"/>
  <c r="B1414" i="49"/>
  <c r="A95" i="50"/>
  <c r="B505" i="49"/>
  <c r="A1022" i="49"/>
  <c r="B1" i="54"/>
  <c r="A1148" i="49"/>
  <c r="B46" i="49"/>
  <c r="A847" i="49"/>
  <c r="A734" i="49"/>
  <c r="B244" i="49"/>
  <c r="B121" i="49"/>
  <c r="A16" i="55"/>
  <c r="B4" i="56"/>
  <c r="A104" i="52"/>
  <c r="A218" i="50"/>
  <c r="A56" i="56"/>
  <c r="B434" i="49"/>
  <c r="A1001" i="49"/>
  <c r="A84" i="50"/>
  <c r="B6" i="57"/>
  <c r="A601" i="49"/>
  <c r="B285" i="49"/>
  <c r="B411" i="49"/>
  <c r="B969" i="49"/>
  <c r="A21" i="48"/>
  <c r="A9" i="50"/>
  <c r="A599" i="49"/>
  <c r="A4" i="58"/>
  <c r="B1008" i="49"/>
  <c r="A3" i="57"/>
  <c r="A81" i="50"/>
  <c r="A473" i="49"/>
  <c r="A713" i="49"/>
  <c r="A248" i="50"/>
  <c r="A19" i="55"/>
  <c r="B536" i="49"/>
  <c r="A394" i="49"/>
  <c r="A1133" i="49"/>
  <c r="A366" i="49"/>
  <c r="A33" i="56"/>
  <c r="A932" i="49"/>
  <c r="B332" i="49"/>
  <c r="B1212" i="49"/>
  <c r="A124" i="52"/>
  <c r="C52" i="52"/>
  <c r="A858" i="49"/>
  <c r="C43" i="52"/>
  <c r="A885" i="49"/>
  <c r="B248" i="49"/>
  <c r="B107" i="50"/>
  <c r="B459" i="49"/>
  <c r="A24" i="50"/>
  <c r="B872" i="49"/>
  <c r="B751" i="49"/>
  <c r="B997" i="45"/>
  <c r="A14" i="55"/>
  <c r="B718" i="49"/>
  <c r="B1393" i="49"/>
  <c r="A18" i="50"/>
  <c r="B708" i="49"/>
  <c r="A1277" i="45"/>
  <c r="B144" i="49"/>
  <c r="A442" i="49"/>
  <c r="B1213" i="45"/>
  <c r="B1093" i="45"/>
  <c r="B1053" i="45"/>
  <c r="B1288" i="49"/>
  <c r="A883" i="49"/>
  <c r="A848" i="49"/>
  <c r="B1206" i="49"/>
  <c r="A292" i="45"/>
  <c r="A34" i="49"/>
  <c r="A6" i="47"/>
  <c r="A281" i="49"/>
  <c r="A48" i="47"/>
  <c r="B1053" i="49"/>
  <c r="C36" i="52"/>
  <c r="A1153" i="49"/>
  <c r="B532" i="49"/>
  <c r="A210" i="50"/>
  <c r="A986" i="49"/>
  <c r="A468" i="49"/>
  <c r="B489" i="49"/>
  <c r="A863" i="49"/>
  <c r="C160" i="52"/>
  <c r="B1456" i="49"/>
  <c r="B866" i="49"/>
  <c r="A32" i="50"/>
  <c r="A200" i="49"/>
  <c r="B1324" i="49"/>
  <c r="A1139" i="45"/>
  <c r="A1245" i="45"/>
  <c r="B73" i="49"/>
  <c r="A254" i="50"/>
  <c r="C130" i="52"/>
  <c r="B925" i="49"/>
  <c r="A1215" i="49"/>
  <c r="B114" i="52"/>
  <c r="A1474" i="49"/>
  <c r="A690" i="49"/>
  <c r="B14" i="48"/>
  <c r="A771" i="49"/>
  <c r="A1399" i="49"/>
  <c r="A1278" i="49"/>
  <c r="A420" i="45"/>
  <c r="B263" i="49"/>
  <c r="B670" i="45"/>
  <c r="A76" i="49"/>
  <c r="A391" i="49"/>
  <c r="B162" i="52"/>
  <c r="A1280" i="49"/>
  <c r="A1197" i="49"/>
  <c r="A1241" i="45"/>
  <c r="A204" i="49"/>
  <c r="A79" i="49"/>
  <c r="A157" i="52"/>
  <c r="B869" i="45"/>
  <c r="A1264" i="45"/>
  <c r="A120" i="50"/>
  <c r="B947" i="49"/>
  <c r="A1190" i="49"/>
  <c r="B32" i="56"/>
  <c r="A57" i="50"/>
  <c r="A1186" i="49"/>
  <c r="B51" i="50"/>
  <c r="A718" i="49"/>
  <c r="A37" i="52"/>
  <c r="A86" i="52"/>
  <c r="C132" i="52"/>
  <c r="C93" i="52"/>
  <c r="A638" i="49"/>
  <c r="B819" i="49"/>
  <c r="A965" i="49"/>
  <c r="A527" i="49"/>
  <c r="B144" i="50"/>
  <c r="B1013" i="49"/>
  <c r="B497" i="49"/>
  <c r="B128" i="49"/>
  <c r="B160" i="49"/>
  <c r="B71" i="50"/>
  <c r="A224" i="49"/>
  <c r="A1183" i="49"/>
  <c r="B668" i="49"/>
  <c r="A951" i="45"/>
  <c r="B1483" i="49"/>
  <c r="B462" i="49"/>
  <c r="A156" i="50"/>
  <c r="B1247" i="45"/>
  <c r="B19" i="50"/>
  <c r="A655" i="49"/>
  <c r="A898" i="49"/>
  <c r="A700" i="49"/>
  <c r="B1242" i="45"/>
  <c r="B147" i="50"/>
  <c r="A1061" i="49"/>
  <c r="A1107" i="45"/>
  <c r="A482" i="45"/>
  <c r="A8779" i="20"/>
  <c r="B166" i="52"/>
  <c r="B1365" i="49"/>
  <c r="A1130" i="49"/>
  <c r="B228" i="50"/>
  <c r="A32" i="52"/>
  <c r="A1460" i="49"/>
  <c r="B6" i="54"/>
  <c r="B38" i="56"/>
  <c r="A1" i="49"/>
  <c r="B55" i="52"/>
  <c r="A509" i="49"/>
  <c r="B242" i="50"/>
  <c r="B64" i="50"/>
  <c r="A435" i="49"/>
  <c r="A51" i="47"/>
  <c r="B4" i="49"/>
  <c r="A9" i="47"/>
  <c r="A103" i="45"/>
  <c r="A764" i="45"/>
  <c r="A29" i="45"/>
  <c r="A865" i="45"/>
  <c r="A262" i="45"/>
  <c r="A1499" i="49"/>
  <c r="A1028" i="45"/>
  <c r="B734" i="49"/>
  <c r="B65" i="52"/>
  <c r="B888" i="49"/>
  <c r="A681" i="49"/>
  <c r="B1337" i="49"/>
  <c r="A1288" i="45"/>
  <c r="A1216" i="49"/>
  <c r="B380" i="49"/>
  <c r="B92" i="49"/>
  <c r="A1073" i="45"/>
  <c r="B631" i="45"/>
  <c r="A613" i="45"/>
  <c r="B1104" i="45"/>
  <c r="A340" i="32"/>
  <c r="A716" i="49"/>
  <c r="A982" i="45"/>
  <c r="A100" i="32"/>
  <c r="B1" i="50"/>
  <c r="A64" i="49"/>
  <c r="A84" i="52"/>
  <c r="B251" i="50"/>
  <c r="A1015" i="45"/>
  <c r="A35" i="50"/>
  <c r="B467" i="49"/>
  <c r="B109" i="49"/>
  <c r="A23" i="49"/>
  <c r="B1418" i="49"/>
  <c r="B1102" i="49"/>
  <c r="A862" i="49"/>
  <c r="B111" i="49"/>
  <c r="B419" i="49"/>
  <c r="A440" i="45"/>
  <c r="B491" i="49"/>
  <c r="A1370" i="49"/>
  <c r="A699" i="49"/>
  <c r="B754" i="49"/>
  <c r="A571" i="49"/>
  <c r="B399" i="49"/>
  <c r="B1440" i="49"/>
  <c r="B813" i="49"/>
  <c r="B475" i="49"/>
  <c r="A675" i="49"/>
  <c r="B767" i="49"/>
  <c r="B887" i="49"/>
  <c r="B885" i="49"/>
  <c r="B1097" i="49"/>
  <c r="A106" i="49"/>
  <c r="B238" i="49"/>
  <c r="B431" i="49"/>
  <c r="A1284" i="45"/>
  <c r="B1449" i="49"/>
  <c r="A186" i="45"/>
  <c r="A224" i="32"/>
  <c r="B599" i="45"/>
  <c r="A1074" i="45"/>
  <c r="B19" i="49"/>
  <c r="A1378" i="49"/>
  <c r="A1163" i="49"/>
  <c r="A915" i="49"/>
  <c r="B877" i="49"/>
  <c r="A1239" i="45"/>
  <c r="B953" i="49"/>
  <c r="B229" i="49"/>
  <c r="B768" i="49"/>
  <c r="A849" i="45"/>
  <c r="B1232" i="49"/>
  <c r="B1113" i="49"/>
  <c r="A917" i="45"/>
  <c r="A220" i="49"/>
  <c r="B1062" i="45"/>
  <c r="B30" i="45"/>
  <c r="A827" i="45"/>
  <c r="B942" i="45"/>
  <c r="B5" i="37"/>
  <c r="B90" i="49"/>
  <c r="B149" i="50"/>
  <c r="A1394" i="49"/>
  <c r="A995" i="49"/>
  <c r="A849" i="49"/>
  <c r="A247" i="50"/>
  <c r="A1327" i="45"/>
  <c r="A751" i="49"/>
  <c r="B377" i="49"/>
  <c r="A88" i="49"/>
  <c r="A3" i="50"/>
  <c r="A102" i="52"/>
  <c r="C111" i="52"/>
  <c r="B1496" i="49"/>
  <c r="B50" i="56"/>
  <c r="A21" i="54"/>
  <c r="A1252" i="49"/>
  <c r="B6" i="56"/>
  <c r="A132" i="52"/>
  <c r="C29" i="52"/>
  <c r="A942" i="49"/>
  <c r="A27" i="28"/>
  <c r="B999" i="49"/>
  <c r="B625" i="45"/>
  <c r="B1126" i="49"/>
  <c r="A1162" i="45"/>
  <c r="B117" i="49"/>
  <c r="A288" i="49"/>
  <c r="A1348" i="49"/>
  <c r="B783" i="49"/>
  <c r="A37" i="50"/>
  <c r="B1087" i="49"/>
  <c r="A1287" i="45"/>
  <c r="A828" i="49"/>
  <c r="B871" i="49"/>
  <c r="B338" i="49"/>
  <c r="B318" i="49"/>
  <c r="B5" i="50"/>
  <c r="A1035" i="49"/>
  <c r="B34" i="50"/>
  <c r="A223" i="50"/>
  <c r="A111" i="49"/>
  <c r="B199" i="49"/>
  <c r="A507" i="49"/>
  <c r="A230" i="49"/>
  <c r="B972" i="49"/>
  <c r="A47" i="49"/>
  <c r="B549" i="49"/>
  <c r="A1005" i="49"/>
  <c r="B168" i="50"/>
  <c r="B712" i="49"/>
  <c r="B119" i="45"/>
  <c r="A644" i="45"/>
  <c r="A60" i="50"/>
  <c r="A967" i="49"/>
  <c r="A1079" i="45"/>
  <c r="B13" i="45"/>
  <c r="B422" i="45"/>
  <c r="B496" i="49"/>
  <c r="A792" i="49"/>
  <c r="A1156" i="49"/>
  <c r="C7" i="55"/>
  <c r="A183" i="50"/>
  <c r="B156" i="52"/>
  <c r="A1420" i="49"/>
  <c r="A13" i="52"/>
  <c r="B1263" i="49"/>
  <c r="B102" i="52"/>
  <c r="B22" i="50"/>
  <c r="B424" i="49"/>
  <c r="A841" i="45"/>
  <c r="B363" i="45"/>
  <c r="A1276" i="49"/>
  <c r="A212" i="50"/>
  <c r="A373" i="49"/>
  <c r="B1161" i="49"/>
  <c r="A1015" i="49"/>
  <c r="B297" i="49"/>
  <c r="A231" i="45"/>
  <c r="B135" i="52"/>
  <c r="A177" i="50"/>
  <c r="A168" i="52"/>
  <c r="A1282" i="49"/>
  <c r="B692" i="49"/>
  <c r="A621" i="49"/>
  <c r="C70" i="52"/>
  <c r="A148" i="52"/>
  <c r="B932" i="49"/>
  <c r="A592" i="49"/>
  <c r="B931" i="49"/>
  <c r="A1295" i="49"/>
  <c r="A98" i="50"/>
  <c r="A543" i="49"/>
  <c r="B991" i="49"/>
  <c r="A19" i="48"/>
  <c r="B770" i="49"/>
  <c r="AG2" i="33"/>
  <c r="A1189" i="45"/>
  <c r="A49" i="45"/>
  <c r="B325" i="49"/>
  <c r="B491" i="45"/>
  <c r="A1412" i="49"/>
  <c r="B493" i="45"/>
  <c r="C104" i="52"/>
  <c r="A865" i="49"/>
  <c r="B264" i="49"/>
  <c r="A1030" i="49"/>
  <c r="B1060" i="49"/>
  <c r="B1044" i="49"/>
  <c r="B672" i="49"/>
  <c r="A1175" i="49"/>
  <c r="B759" i="49"/>
  <c r="A114" i="49"/>
  <c r="A85" i="47"/>
  <c r="B70" i="45"/>
  <c r="B591" i="45"/>
  <c r="A345" i="32"/>
  <c r="A1229" i="49"/>
  <c r="B1" i="43"/>
  <c r="A105" i="32"/>
  <c r="A1312" i="49"/>
  <c r="B14" i="37"/>
  <c r="A7" i="55"/>
  <c r="B62" i="49"/>
  <c r="A1236" i="49"/>
  <c r="A7" i="50"/>
  <c r="B37" i="49"/>
  <c r="B163" i="50"/>
  <c r="A1332" i="49"/>
  <c r="B1230" i="49"/>
  <c r="A1117" i="49"/>
  <c r="B1147" i="49"/>
  <c r="B173" i="49"/>
  <c r="A280" i="49"/>
  <c r="B79" i="50"/>
  <c r="A813" i="45"/>
  <c r="B1229" i="45"/>
  <c r="A1428" i="49"/>
  <c r="A38" i="49"/>
  <c r="A341" i="49"/>
  <c r="A9053" i="20"/>
  <c r="C163" i="52"/>
  <c r="B925" i="45"/>
  <c r="A141" i="52"/>
  <c r="A1315" i="45"/>
  <c r="B594" i="49"/>
  <c r="B29" i="49"/>
  <c r="A608" i="49"/>
  <c r="B511" i="49"/>
  <c r="B821" i="49"/>
  <c r="A738" i="45"/>
  <c r="A1157" i="49"/>
  <c r="O75" i="33"/>
  <c r="A20" i="49"/>
  <c r="B747" i="45"/>
  <c r="A830" i="49"/>
  <c r="B707" i="45"/>
  <c r="A8835" i="20"/>
  <c r="A934" i="49"/>
  <c r="A86" i="47"/>
  <c r="A1178" i="45"/>
  <c r="A8715" i="20"/>
  <c r="A1366" i="49"/>
  <c r="A321" i="49"/>
  <c r="A1018" i="45"/>
  <c r="A8675" i="20"/>
  <c r="B742" i="45"/>
  <c r="B702" i="45"/>
  <c r="A564" i="45"/>
  <c r="A247" i="45"/>
  <c r="B8583" i="20"/>
  <c r="B1441" i="49"/>
  <c r="B151" i="45"/>
  <c r="B111" i="45"/>
  <c r="A1093" i="49"/>
  <c r="M70" i="33"/>
  <c r="B8910" i="20"/>
  <c r="B7118" i="20"/>
  <c r="A620" i="45"/>
  <c r="A303" i="45"/>
  <c r="A47" i="47"/>
  <c r="B542" i="49"/>
  <c r="A1114" i="49"/>
  <c r="B772" i="49"/>
  <c r="B998" i="49"/>
  <c r="A1052" i="49"/>
  <c r="A1303" i="49"/>
  <c r="A388" i="49"/>
  <c r="B448" i="49"/>
  <c r="B336" i="49"/>
  <c r="A107" i="49"/>
  <c r="C16" i="21"/>
  <c r="B829" i="45"/>
  <c r="A1246" i="49"/>
  <c r="A706" i="45"/>
  <c r="A445" i="45"/>
  <c r="A666" i="45"/>
  <c r="N16" i="33"/>
  <c r="A522" i="49"/>
  <c r="B871" i="45"/>
  <c r="A760" i="45"/>
  <c r="A551" i="45"/>
  <c r="B824" i="49"/>
  <c r="B831" i="45"/>
  <c r="A720" i="45"/>
  <c r="A511" i="45"/>
  <c r="B1270" i="45"/>
  <c r="A1220" i="45"/>
  <c r="A1179" i="45"/>
  <c r="A177" i="45"/>
  <c r="B26" i="21"/>
  <c r="A9135" i="20"/>
  <c r="A595" i="49"/>
  <c r="A440" i="49"/>
  <c r="A85" i="45"/>
  <c r="A690" i="45"/>
  <c r="A429" i="45"/>
  <c r="B8602" i="20"/>
  <c r="B1301" i="45"/>
  <c r="A233" i="45"/>
  <c r="A1439" i="49"/>
  <c r="B628" i="49"/>
  <c r="A683" i="49"/>
  <c r="B729" i="49"/>
  <c r="A1293" i="45"/>
  <c r="B1285" i="45"/>
  <c r="A871" i="49"/>
  <c r="A135" i="50"/>
  <c r="A1367" i="49"/>
  <c r="A1464" i="49"/>
  <c r="A56" i="21"/>
  <c r="A508" i="45"/>
  <c r="A191" i="45"/>
  <c r="A388" i="45"/>
  <c r="A71" i="45"/>
  <c r="A348" i="45"/>
  <c r="B1203" i="49"/>
  <c r="A864" i="49"/>
  <c r="A127" i="50"/>
  <c r="B714" i="49"/>
  <c r="B841" i="49"/>
  <c r="B59" i="49"/>
  <c r="A6" i="51"/>
  <c r="A237" i="50"/>
  <c r="A936" i="49"/>
  <c r="A868" i="49"/>
  <c r="B759" i="45"/>
  <c r="A1176" i="45"/>
  <c r="B1017" i="49"/>
  <c r="A73" i="50"/>
  <c r="A347" i="49"/>
  <c r="B525" i="45"/>
  <c r="B14" i="43"/>
  <c r="B431" i="45"/>
  <c r="B670" i="49"/>
  <c r="A34" i="52"/>
  <c r="B349" i="49"/>
  <c r="A100" i="52"/>
  <c r="A1284" i="49"/>
  <c r="B1040" i="49"/>
  <c r="A175" i="49"/>
  <c r="B807" i="45"/>
  <c r="A5" i="39"/>
  <c r="M74" i="33"/>
  <c r="A78" i="49"/>
  <c r="A794" i="45"/>
  <c r="B146" i="50"/>
  <c r="A747" i="45"/>
  <c r="B510" i="45"/>
  <c r="A546" i="49"/>
  <c r="C7" i="43"/>
  <c r="M55" i="33"/>
  <c r="B390" i="45"/>
  <c r="B697" i="49"/>
  <c r="A1" i="38"/>
  <c r="M15" i="33"/>
  <c r="B350" i="45"/>
  <c r="B1033" i="45"/>
  <c r="B873" i="45"/>
  <c r="A58" i="47"/>
  <c r="A8981" i="20"/>
  <c r="A9116" i="20"/>
  <c r="A9106" i="20"/>
  <c r="A65" i="47"/>
  <c r="A867" i="45"/>
  <c r="A4" i="56"/>
  <c r="N68" i="33"/>
  <c r="A81" i="32"/>
  <c r="B7706" i="20"/>
  <c r="B43" i="49"/>
  <c r="A9037" i="20"/>
  <c r="A389" i="49"/>
  <c r="A164" i="52"/>
  <c r="B554" i="49"/>
  <c r="A312" i="49"/>
  <c r="A403" i="49"/>
  <c r="A62" i="50"/>
  <c r="C3" i="52"/>
  <c r="B1459" i="49"/>
  <c r="A1363" i="49"/>
  <c r="A800" i="49"/>
  <c r="B67" i="49"/>
  <c r="N25" i="29"/>
  <c r="M59" i="33"/>
  <c r="B286" i="45"/>
  <c r="B727" i="45"/>
  <c r="B166" i="45"/>
  <c r="B687" i="45"/>
  <c r="B8890" i="20"/>
  <c r="A1259" i="49"/>
  <c r="A233" i="49"/>
  <c r="A1173" i="45"/>
  <c r="B8770" i="20"/>
  <c r="A1313" i="49"/>
  <c r="A73" i="49"/>
  <c r="A1013" i="45"/>
  <c r="B8730" i="20"/>
  <c r="A802" i="45"/>
  <c r="B751" i="45"/>
  <c r="B133" i="49"/>
  <c r="A200" i="45"/>
  <c r="B9070" i="20"/>
  <c r="B7278" i="20"/>
  <c r="B943" i="45"/>
  <c r="A8939" i="20"/>
  <c r="A8899" i="20"/>
  <c r="B711" i="45"/>
  <c r="B150" i="45"/>
  <c r="B8167" i="20"/>
  <c r="B333" i="49"/>
  <c r="A256" i="45"/>
  <c r="B38" i="52"/>
  <c r="A1068" i="49"/>
  <c r="B1422" i="49"/>
  <c r="B794" i="49"/>
  <c r="A495" i="49"/>
  <c r="A1285" i="45"/>
  <c r="A1006" i="49"/>
  <c r="B103" i="49"/>
  <c r="B35" i="56"/>
  <c r="B875" i="49"/>
  <c r="A649" i="45"/>
  <c r="A395" i="49"/>
  <c r="A8925" i="20"/>
  <c r="A235" i="49"/>
  <c r="A8805" i="20"/>
  <c r="A179" i="49"/>
  <c r="A1457" i="49"/>
  <c r="A921" i="49"/>
  <c r="A1124" i="49"/>
  <c r="A40" i="47"/>
  <c r="B861" i="49"/>
  <c r="A953" i="45"/>
  <c r="B223" i="50"/>
  <c r="A810" i="49"/>
  <c r="A1029" i="49"/>
  <c r="A733" i="49"/>
  <c r="A707" i="49"/>
  <c r="B836" i="49"/>
  <c r="A70" i="56"/>
  <c r="B1353" i="49"/>
  <c r="A48" i="52"/>
  <c r="A790" i="49"/>
  <c r="B923" i="45"/>
  <c r="B1010" i="45"/>
  <c r="C1" i="57"/>
  <c r="A1251" i="45"/>
  <c r="A930" i="49"/>
  <c r="A36" i="49"/>
  <c r="B163" i="49"/>
  <c r="A1255" i="45"/>
  <c r="A851" i="49"/>
  <c r="A92" i="49"/>
  <c r="A10" i="43"/>
  <c r="B976" i="45"/>
  <c r="A21" i="25"/>
  <c r="B856" i="45"/>
  <c r="A405" i="49"/>
  <c r="B816" i="45"/>
  <c r="A914" i="45"/>
  <c r="B1156" i="49"/>
  <c r="A1016" i="45"/>
  <c r="A908" i="45"/>
  <c r="B929" i="45"/>
  <c r="A1056" i="49"/>
  <c r="A976" i="45"/>
  <c r="A868" i="45"/>
  <c r="A766" i="45"/>
  <c r="A258" i="45"/>
  <c r="A218" i="45"/>
  <c r="A1249" i="45"/>
  <c r="B988" i="45"/>
  <c r="A718" i="45"/>
  <c r="A558" i="45"/>
  <c r="A189" i="49"/>
  <c r="A97" i="32"/>
  <c r="B41" i="45"/>
  <c r="B968" i="45"/>
  <c r="A5" i="25"/>
  <c r="A8293" i="20"/>
  <c r="A7" i="48"/>
  <c r="A845" i="45"/>
  <c r="A1047" i="45"/>
  <c r="C106" i="52"/>
  <c r="B141" i="52"/>
  <c r="B1129" i="49"/>
  <c r="A1118" i="49"/>
  <c r="A1087" i="49"/>
  <c r="B95" i="52"/>
  <c r="B1366" i="49"/>
  <c r="A1067" i="45"/>
  <c r="B1162" i="49"/>
  <c r="B79" i="49"/>
  <c r="B345" i="45"/>
  <c r="A911" i="45"/>
  <c r="AA2" i="29"/>
  <c r="A775" i="45"/>
  <c r="B34" i="21"/>
  <c r="B1295" i="45"/>
  <c r="A25" i="32"/>
  <c r="B967" i="49"/>
  <c r="A90" i="49"/>
  <c r="B757" i="45"/>
  <c r="A15" i="28"/>
  <c r="B252" i="45"/>
  <c r="A75" i="47"/>
  <c r="B717" i="45"/>
  <c r="A14" i="25"/>
  <c r="B905" i="49"/>
  <c r="B347" i="49"/>
  <c r="B84" i="45"/>
  <c r="B197" i="45"/>
  <c r="M64" i="33"/>
  <c r="B7866" i="20"/>
  <c r="A302" i="49"/>
  <c r="B288" i="45"/>
  <c r="B248" i="45"/>
  <c r="B1327" i="45"/>
  <c r="B23" i="21"/>
  <c r="A8700" i="20"/>
  <c r="A8690" i="20"/>
  <c r="B253" i="45"/>
  <c r="B1" i="45"/>
  <c r="B1090" i="49"/>
  <c r="B516" i="49"/>
  <c r="B1276" i="45"/>
  <c r="A8965" i="20"/>
  <c r="A1487" i="49"/>
  <c r="A54" i="56"/>
  <c r="B738" i="49"/>
  <c r="B258" i="49"/>
  <c r="A609" i="45"/>
  <c r="B1072" i="45"/>
  <c r="A456" i="49"/>
  <c r="B508" i="49"/>
  <c r="A9093" i="20"/>
  <c r="B1031" i="45"/>
  <c r="A15" i="48"/>
  <c r="B569" i="45"/>
  <c r="A88" i="50"/>
  <c r="B52" i="49"/>
  <c r="A216" i="49"/>
  <c r="A1272" i="49"/>
  <c r="B366" i="49"/>
  <c r="B982" i="49"/>
  <c r="A431" i="49"/>
  <c r="A8837" i="20"/>
  <c r="B1023" i="45"/>
  <c r="B6" i="41"/>
  <c r="B903" i="45"/>
  <c r="A583" i="45"/>
  <c r="B863" i="45"/>
  <c r="A276" i="32"/>
  <c r="B1208" i="45"/>
  <c r="A1055" i="45"/>
  <c r="B831" i="49"/>
  <c r="A1045" i="45"/>
  <c r="A25" i="45"/>
  <c r="A213" i="45"/>
  <c r="A433" i="49"/>
  <c r="A59" i="50"/>
  <c r="A418" i="49"/>
  <c r="A671" i="49"/>
  <c r="B1329" i="45"/>
  <c r="B426" i="49"/>
  <c r="AA2" i="33"/>
  <c r="A4" i="49"/>
  <c r="A9073" i="20"/>
  <c r="B9082" i="20"/>
  <c r="A1459" i="49"/>
  <c r="A1058" i="49"/>
  <c r="B840" i="49"/>
  <c r="A1043" i="45"/>
  <c r="B376" i="49"/>
  <c r="B75" i="49"/>
  <c r="A458" i="49"/>
  <c r="A361" i="49"/>
  <c r="A201" i="49"/>
  <c r="B1282" i="49"/>
  <c r="A67" i="47"/>
  <c r="A889" i="45"/>
  <c r="A480" i="49"/>
  <c r="B1307" i="45"/>
  <c r="B638" i="45"/>
  <c r="A100" i="45"/>
  <c r="B518" i="45"/>
  <c r="A60" i="45"/>
  <c r="B478" i="45"/>
  <c r="B1193" i="49"/>
  <c r="B221" i="49"/>
  <c r="B269" i="45"/>
  <c r="B109" i="45"/>
  <c r="B1184" i="49"/>
  <c r="B1271" i="45"/>
  <c r="A1259" i="45"/>
  <c r="B1020" i="45"/>
  <c r="A338" i="49"/>
  <c r="A194" i="45"/>
  <c r="A693" i="45"/>
  <c r="A653" i="45"/>
  <c r="A799" i="45"/>
  <c r="B191" i="50"/>
  <c r="A67" i="50"/>
  <c r="B1" i="55"/>
  <c r="B503" i="49"/>
  <c r="B94" i="50"/>
  <c r="B493" i="49"/>
  <c r="A1193" i="49"/>
  <c r="B1338" i="49"/>
  <c r="C71" i="52"/>
  <c r="A487" i="49"/>
  <c r="B1191" i="49"/>
  <c r="A923" i="49"/>
  <c r="A1432" i="49"/>
  <c r="A229" i="32"/>
  <c r="B518" i="49"/>
  <c r="B1148" i="49"/>
  <c r="B75" i="52"/>
  <c r="A122" i="50"/>
  <c r="A1291" i="45"/>
  <c r="A27" i="49"/>
  <c r="A914" i="49"/>
  <c r="A781" i="49"/>
  <c r="B1240" i="49"/>
  <c r="A1397" i="49"/>
  <c r="B9058" i="20"/>
  <c r="B569" i="49"/>
  <c r="A658" i="49"/>
  <c r="A129" i="50"/>
  <c r="A23" i="56"/>
  <c r="B15" i="55"/>
  <c r="B1293" i="49"/>
  <c r="B415" i="49"/>
  <c r="A432" i="49"/>
  <c r="B1478" i="49"/>
  <c r="B200" i="50"/>
  <c r="B363" i="49"/>
  <c r="A875" i="45"/>
  <c r="A909" i="49"/>
  <c r="A66" i="47"/>
  <c r="A992" i="49"/>
  <c r="B608" i="49"/>
  <c r="A93" i="45"/>
  <c r="A351" i="32"/>
  <c r="A256" i="49"/>
  <c r="B698" i="49"/>
  <c r="A401" i="49"/>
  <c r="B542" i="45"/>
  <c r="B125" i="52"/>
  <c r="B195" i="49"/>
  <c r="B388" i="49"/>
  <c r="B547" i="49"/>
  <c r="A948" i="49"/>
  <c r="A1013" i="49"/>
  <c r="B1012" i="49"/>
  <c r="A222" i="49"/>
  <c r="A312" i="45"/>
  <c r="A66" i="45"/>
  <c r="B742" i="49"/>
  <c r="A1279" i="45"/>
  <c r="B1450" i="49"/>
  <c r="B483" i="45"/>
  <c r="B3" i="40"/>
  <c r="A2" i="47"/>
  <c r="A188" i="49"/>
  <c r="A564" i="49"/>
  <c r="B490" i="49"/>
  <c r="B46" i="50"/>
  <c r="B437" i="45"/>
  <c r="A221" i="45"/>
  <c r="A141" i="50"/>
  <c r="A23" i="52"/>
  <c r="B983" i="49"/>
  <c r="B899" i="49"/>
  <c r="A906" i="49"/>
  <c r="B48" i="49"/>
  <c r="B36" i="50"/>
  <c r="B993" i="49"/>
  <c r="A1199" i="49"/>
  <c r="A1016" i="49"/>
  <c r="A404" i="49"/>
  <c r="A278" i="49"/>
  <c r="B175" i="49"/>
  <c r="B567" i="49"/>
  <c r="B6" i="48"/>
  <c r="A62" i="47"/>
  <c r="B826" i="45"/>
  <c r="B1196" i="45"/>
  <c r="A717" i="45"/>
  <c r="A447" i="45"/>
  <c r="B1260" i="45"/>
  <c r="A361" i="32"/>
  <c r="A706" i="49"/>
  <c r="B451" i="45"/>
  <c r="B236" i="50"/>
  <c r="A955" i="49"/>
  <c r="A812" i="49"/>
  <c r="B760" i="49"/>
  <c r="A920" i="49"/>
  <c r="A916" i="49"/>
  <c r="B942" i="49"/>
  <c r="B273" i="49"/>
  <c r="A1081" i="45"/>
  <c r="B641" i="49"/>
  <c r="A1085" i="45"/>
  <c r="B1280" i="49"/>
  <c r="A58" i="45"/>
  <c r="A1042" i="45"/>
  <c r="A785" i="45"/>
  <c r="A6" i="39"/>
  <c r="B1057" i="45"/>
  <c r="B674" i="49"/>
  <c r="A4" i="35"/>
  <c r="A4" i="54"/>
  <c r="B1264" i="49"/>
  <c r="B1124" i="49"/>
  <c r="A722" i="49"/>
  <c r="B1271" i="49"/>
  <c r="B186" i="49"/>
  <c r="B627" i="49"/>
  <c r="B1287" i="45"/>
  <c r="B1016" i="45"/>
  <c r="A13" i="50"/>
  <c r="C37" i="52"/>
  <c r="A1034" i="49"/>
  <c r="B996" i="49"/>
  <c r="B1318" i="45"/>
  <c r="B170" i="49"/>
  <c r="A1146" i="49"/>
  <c r="B1331" i="49"/>
  <c r="A1208" i="45"/>
  <c r="A1369" i="49"/>
  <c r="A499" i="49"/>
  <c r="B883" i="45"/>
  <c r="A1089" i="49"/>
  <c r="A783" i="49"/>
  <c r="A176" i="50"/>
  <c r="B726" i="49"/>
  <c r="B174" i="49"/>
  <c r="A219" i="49"/>
  <c r="A1325" i="49"/>
  <c r="B267" i="45"/>
  <c r="B324" i="49"/>
  <c r="A89" i="32"/>
  <c r="A174" i="49"/>
  <c r="N5" i="29"/>
  <c r="A58" i="49"/>
  <c r="B312" i="45"/>
  <c r="B482" i="49"/>
  <c r="A197" i="49"/>
  <c r="A418" i="45"/>
  <c r="B64" i="45"/>
  <c r="A157" i="45"/>
  <c r="A109" i="49"/>
  <c r="A378" i="45"/>
  <c r="B24" i="45"/>
  <c r="B294" i="49"/>
  <c r="A161" i="52"/>
  <c r="B724" i="45"/>
  <c r="A498" i="45"/>
  <c r="A237" i="45"/>
  <c r="B8506" i="20"/>
  <c r="A899" i="45"/>
  <c r="B43" i="45"/>
  <c r="B3" i="45"/>
  <c r="B280" i="49"/>
  <c r="A73" i="32"/>
  <c r="N35" i="29"/>
  <c r="N15" i="29"/>
  <c r="A554" i="45"/>
  <c r="A293" i="45"/>
  <c r="B1052" i="45"/>
  <c r="C140" i="52"/>
  <c r="B1088" i="49"/>
  <c r="A122" i="52"/>
  <c r="A268" i="49"/>
  <c r="B1244" i="49"/>
  <c r="A407" i="49"/>
  <c r="B570" i="49"/>
  <c r="A64" i="47"/>
  <c r="A1234" i="45"/>
  <c r="B888" i="45"/>
  <c r="A859" i="49"/>
  <c r="A790" i="45"/>
  <c r="B127" i="50"/>
  <c r="A664" i="45"/>
  <c r="A712" i="49"/>
  <c r="A624" i="45"/>
  <c r="B56" i="21"/>
  <c r="B410" i="49"/>
  <c r="AG5" i="33"/>
  <c r="A713" i="45"/>
  <c r="A9099" i="20"/>
  <c r="A570" i="49"/>
  <c r="A786" i="45"/>
  <c r="A673" i="45"/>
  <c r="A9059" i="20"/>
  <c r="A37" i="47"/>
  <c r="B1228" i="45"/>
  <c r="A840" i="45"/>
  <c r="A222" i="45"/>
  <c r="B8985" i="20"/>
  <c r="A711" i="49"/>
  <c r="A708" i="45"/>
  <c r="A668" i="45"/>
  <c r="A832" i="49"/>
  <c r="A648" i="45"/>
  <c r="Y1" i="29"/>
  <c r="B7502" i="20"/>
  <c r="A896" i="45"/>
  <c r="A446" i="45"/>
  <c r="B1061" i="49"/>
  <c r="B13" i="55"/>
  <c r="B586" i="49"/>
  <c r="A69" i="50"/>
  <c r="B1311" i="49"/>
  <c r="A778" i="49"/>
  <c r="B161" i="49"/>
  <c r="B39" i="49"/>
  <c r="B62" i="50"/>
  <c r="A807" i="45"/>
  <c r="A630" i="45"/>
  <c r="A442" i="45"/>
  <c r="A787" i="49"/>
  <c r="A322" i="45"/>
  <c r="A61" i="45"/>
  <c r="A282" i="45"/>
  <c r="A97" i="50"/>
  <c r="B765" i="49"/>
  <c r="A42" i="52"/>
  <c r="B167" i="50"/>
  <c r="B367" i="49"/>
  <c r="B1116" i="49"/>
  <c r="B1391" i="49"/>
  <c r="B216" i="49"/>
  <c r="B1186" i="49"/>
  <c r="B98" i="50"/>
  <c r="B585" i="45"/>
  <c r="A9061" i="20"/>
  <c r="A1070" i="49"/>
  <c r="A1226" i="49"/>
  <c r="A1239" i="49"/>
  <c r="B465" i="45"/>
  <c r="A903" i="49"/>
  <c r="B365" i="45"/>
  <c r="B1111" i="49"/>
  <c r="A116" i="49"/>
  <c r="C5" i="53"/>
  <c r="A26" i="49"/>
  <c r="A1356" i="49"/>
  <c r="A1302" i="49"/>
  <c r="B634" i="49"/>
  <c r="B309" i="45"/>
  <c r="A951" i="49"/>
  <c r="N34" i="33"/>
  <c r="A68" i="49"/>
  <c r="A745" i="45"/>
  <c r="A654" i="49"/>
  <c r="A705" i="45"/>
  <c r="M26" i="29"/>
  <c r="B192" i="49"/>
  <c r="B952" i="45"/>
  <c r="B601" i="45"/>
  <c r="A3" i="23"/>
  <c r="A298" i="49"/>
  <c r="B912" i="45"/>
  <c r="B441" i="45"/>
  <c r="C32" i="21"/>
  <c r="A368" i="32"/>
  <c r="A288" i="32"/>
  <c r="B519" i="45"/>
  <c r="A1" i="42"/>
  <c r="B8071" i="20"/>
  <c r="B1065" i="49"/>
  <c r="B1157" i="45"/>
  <c r="B1117" i="45"/>
  <c r="B898" i="49"/>
  <c r="N26" i="33"/>
  <c r="A55" i="32"/>
  <c r="A7636" i="20"/>
  <c r="B575" i="45"/>
  <c r="B14" i="45"/>
  <c r="A514" i="45"/>
  <c r="A12" i="52"/>
  <c r="A18" i="52"/>
  <c r="A451" i="49"/>
  <c r="B10" i="49"/>
  <c r="B900" i="49"/>
  <c r="A11" i="48"/>
  <c r="A1111" i="45"/>
  <c r="A120" i="52"/>
  <c r="A588" i="49"/>
  <c r="B954" i="45"/>
  <c r="A349" i="45"/>
  <c r="B786" i="45"/>
  <c r="A634" i="49"/>
  <c r="B661" i="45"/>
  <c r="B156" i="45"/>
  <c r="B621" i="45"/>
  <c r="A159" i="45"/>
  <c r="A494" i="49"/>
  <c r="A356" i="45"/>
  <c r="A248" i="45"/>
  <c r="B777" i="45"/>
  <c r="B141" i="49"/>
  <c r="A316" i="45"/>
  <c r="A208" i="45"/>
  <c r="B734" i="45"/>
  <c r="B683" i="45"/>
  <c r="B643" i="45"/>
  <c r="A1217" i="45"/>
  <c r="M76" i="33"/>
  <c r="A8" i="43"/>
  <c r="A1" i="34"/>
  <c r="B565" i="49"/>
  <c r="B112" i="49"/>
  <c r="B308" i="45"/>
  <c r="B645" i="45"/>
  <c r="B140" i="45"/>
  <c r="B8090" i="20"/>
  <c r="A29" i="47"/>
  <c r="C2" i="40"/>
  <c r="A1333" i="49"/>
  <c r="B600" i="49"/>
  <c r="A1" i="50"/>
  <c r="A531" i="49"/>
  <c r="B1006" i="49"/>
  <c r="B878" i="49"/>
  <c r="B1457" i="49"/>
  <c r="B125" i="50"/>
  <c r="A360" i="49"/>
  <c r="B1157" i="49"/>
  <c r="A670" i="45"/>
  <c r="B463" i="45"/>
  <c r="B1" i="36"/>
  <c r="B343" i="45"/>
  <c r="M40" i="33"/>
  <c r="B303" i="45"/>
  <c r="B1131" i="49"/>
  <c r="B310" i="49"/>
  <c r="B766" i="49"/>
  <c r="B816" i="49"/>
  <c r="B114" i="49"/>
  <c r="A945" i="45"/>
  <c r="B132" i="50"/>
  <c r="B33" i="50"/>
  <c r="B1010" i="49"/>
  <c r="A1096" i="49"/>
  <c r="B53" i="45"/>
  <c r="B1112" i="45"/>
  <c r="A44" i="50"/>
  <c r="A888" i="49"/>
  <c r="A1055" i="49"/>
  <c r="B1043" i="45"/>
  <c r="A37" i="25"/>
  <c r="B944" i="45"/>
  <c r="B510" i="49"/>
  <c r="B910" i="49"/>
  <c r="A106" i="50"/>
  <c r="B328" i="49"/>
  <c r="B515" i="49"/>
  <c r="B456" i="49"/>
  <c r="A15" i="47"/>
  <c r="B375" i="45"/>
  <c r="A1106" i="49"/>
  <c r="B934" i="45"/>
  <c r="B892" i="49"/>
  <c r="B814" i="45"/>
  <c r="B868" i="49"/>
  <c r="B1302" i="45"/>
  <c r="A4" i="44"/>
  <c r="B1162" i="45"/>
  <c r="B439" i="45"/>
  <c r="B331" i="45"/>
  <c r="M69" i="33"/>
  <c r="B480" i="49"/>
  <c r="B399" i="45"/>
  <c r="B291" i="45"/>
  <c r="N29" i="33"/>
  <c r="A3" i="36"/>
  <c r="N55" i="33"/>
  <c r="A244" i="49"/>
  <c r="B8978" i="20"/>
  <c r="I8" i="33"/>
  <c r="I5" i="33"/>
  <c r="C1" i="48"/>
  <c r="B1317" i="45"/>
  <c r="B483" i="49"/>
  <c r="B926" i="45"/>
  <c r="A8913" i="20"/>
  <c r="A8176" i="20"/>
  <c r="A514" i="49"/>
  <c r="B9034" i="20"/>
  <c r="A356" i="49"/>
  <c r="A157" i="50"/>
  <c r="C23" i="52"/>
  <c r="A714" i="49"/>
  <c r="B1180" i="49"/>
  <c r="A628" i="49"/>
  <c r="A607" i="49"/>
  <c r="A119" i="49"/>
  <c r="B687" i="49"/>
  <c r="B974" i="49"/>
  <c r="A723" i="49"/>
  <c r="A359" i="45"/>
  <c r="N14" i="33"/>
  <c r="A9123" i="20"/>
  <c r="A725" i="45"/>
  <c r="A9003" i="20"/>
  <c r="A685" i="45"/>
  <c r="A15" i="32"/>
  <c r="B636" i="49"/>
  <c r="B890" i="45"/>
  <c r="B1313" i="45"/>
  <c r="A54" i="47"/>
  <c r="B740" i="49"/>
  <c r="B850" i="45"/>
  <c r="A1260" i="45"/>
  <c r="A1197" i="45"/>
  <c r="B1326" i="45"/>
  <c r="B1273" i="45"/>
  <c r="B200" i="49"/>
  <c r="B155" i="45"/>
  <c r="A375" i="32"/>
  <c r="B6766" i="20"/>
  <c r="A784" i="49"/>
  <c r="A381" i="45"/>
  <c r="A598" i="45"/>
  <c r="A709" i="45"/>
  <c r="A8987" i="20"/>
  <c r="B8687" i="20"/>
  <c r="A498" i="49"/>
  <c r="B211" i="45"/>
  <c r="C56" i="52"/>
  <c r="B1383" i="49"/>
  <c r="A1008" i="49"/>
  <c r="A976" i="49"/>
  <c r="B45" i="52"/>
  <c r="A879" i="49"/>
  <c r="A1217" i="49"/>
  <c r="A1" i="48"/>
  <c r="A1486" i="49"/>
  <c r="A420" i="49"/>
  <c r="B1082" i="49"/>
  <c r="B1130" i="49"/>
  <c r="B820" i="49"/>
  <c r="B1220" i="45"/>
  <c r="B729" i="45"/>
  <c r="B991" i="45"/>
  <c r="B12" i="56"/>
  <c r="A1074" i="49"/>
  <c r="A1395" i="49"/>
  <c r="B26" i="50"/>
  <c r="A412" i="49"/>
  <c r="B1036" i="49"/>
  <c r="A538" i="49"/>
  <c r="A275" i="49"/>
  <c r="A48" i="32"/>
  <c r="B957" i="45"/>
  <c r="B950" i="49"/>
  <c r="B837" i="45"/>
  <c r="A573" i="45"/>
  <c r="A812" i="45"/>
  <c r="B337" i="45"/>
  <c r="B6" i="53"/>
  <c r="B999" i="45"/>
  <c r="B959" i="45"/>
  <c r="A885" i="45"/>
  <c r="M56" i="33"/>
  <c r="B949" i="45"/>
  <c r="A489" i="45"/>
  <c r="B780" i="49"/>
  <c r="B85" i="49"/>
  <c r="B256" i="45"/>
  <c r="B1076" i="45"/>
  <c r="A195" i="49"/>
  <c r="A139" i="49"/>
  <c r="B395" i="49"/>
  <c r="A8336" i="20"/>
  <c r="A1308" i="45"/>
  <c r="A1205" i="45"/>
  <c r="B883" i="49"/>
  <c r="A904" i="49"/>
  <c r="B344" i="49"/>
  <c r="B673" i="49"/>
  <c r="A164" i="45"/>
  <c r="B412" i="49"/>
  <c r="B1325" i="45"/>
  <c r="A1141" i="45"/>
  <c r="B962" i="49"/>
  <c r="B987" i="49"/>
  <c r="A1275" i="45"/>
  <c r="N30" i="29"/>
  <c r="A30" i="45"/>
  <c r="A1327" i="49"/>
  <c r="A34" i="45"/>
  <c r="B508" i="45"/>
  <c r="C18" i="43"/>
  <c r="C73" i="52"/>
  <c r="A877" i="49"/>
  <c r="B231" i="49"/>
  <c r="A14" i="47"/>
  <c r="B7" i="21"/>
  <c r="B312" i="49"/>
  <c r="B9026" i="20"/>
  <c r="A300" i="49"/>
  <c r="B8986" i="20"/>
  <c r="B1099" i="49"/>
  <c r="A154" i="45"/>
  <c r="A585" i="45"/>
  <c r="B319" i="49"/>
  <c r="B50" i="21"/>
  <c r="B638" i="49"/>
  <c r="B822" i="49"/>
  <c r="B36" i="52"/>
  <c r="B248" i="50"/>
  <c r="B1149" i="49"/>
  <c r="A45" i="52"/>
  <c r="A594" i="49"/>
  <c r="B230" i="50"/>
  <c r="A25" i="50"/>
  <c r="B1370" i="49"/>
  <c r="B116" i="49"/>
  <c r="B1223" i="49"/>
  <c r="A1301" i="49"/>
  <c r="A47" i="31"/>
  <c r="B331" i="49"/>
  <c r="A189" i="45"/>
  <c r="B1275" i="49"/>
  <c r="B58" i="49"/>
  <c r="B1037" i="49"/>
  <c r="A66" i="56"/>
  <c r="B8962" i="20"/>
  <c r="B781" i="49"/>
  <c r="A60" i="47"/>
  <c r="N24" i="33"/>
  <c r="A1070" i="45"/>
  <c r="A1279" i="49"/>
  <c r="B8706" i="20"/>
  <c r="C116" i="52"/>
  <c r="A616" i="49"/>
  <c r="A190" i="50"/>
  <c r="B39" i="52"/>
  <c r="B210" i="49"/>
  <c r="B473" i="49"/>
  <c r="B235" i="50"/>
  <c r="A562" i="49"/>
  <c r="B66" i="49"/>
  <c r="A972" i="45"/>
  <c r="B418" i="49"/>
  <c r="B445" i="49"/>
  <c r="B256" i="49"/>
  <c r="B1170" i="45"/>
  <c r="A698" i="45"/>
  <c r="A777" i="45"/>
  <c r="C154" i="52"/>
  <c r="B848" i="49"/>
  <c r="B565" i="45"/>
  <c r="A126" i="49"/>
  <c r="A3" i="55"/>
  <c r="B1322" i="49"/>
  <c r="A719" i="49"/>
  <c r="A26" i="47"/>
  <c r="B63" i="52"/>
  <c r="B1447" i="49"/>
  <c r="A416" i="49"/>
  <c r="B675" i="49"/>
  <c r="B368" i="49"/>
  <c r="A42" i="31"/>
  <c r="B691" i="49"/>
  <c r="A1099" i="45"/>
  <c r="A821" i="49"/>
  <c r="B843" i="49"/>
  <c r="C1" i="53"/>
  <c r="B24" i="56"/>
  <c r="A1101" i="49"/>
  <c r="B370" i="49"/>
  <c r="A85" i="49"/>
  <c r="B1020" i="49"/>
  <c r="B395" i="45"/>
  <c r="B133" i="50"/>
  <c r="C147" i="52"/>
  <c r="A476" i="49"/>
  <c r="A604" i="49"/>
  <c r="B253" i="49"/>
  <c r="A464" i="49"/>
  <c r="A15" i="50"/>
  <c r="B48" i="50"/>
  <c r="A1326" i="49"/>
  <c r="A343" i="49"/>
  <c r="A368" i="49"/>
  <c r="B525" i="49"/>
  <c r="B828" i="49"/>
  <c r="A900" i="49"/>
  <c r="A156" i="49"/>
  <c r="A74" i="47"/>
  <c r="A111" i="50"/>
  <c r="A354" i="45"/>
  <c r="B484" i="49"/>
  <c r="B653" i="45"/>
  <c r="A344" i="49"/>
  <c r="A342" i="49"/>
  <c r="A327" i="45"/>
  <c r="B1142" i="45"/>
  <c r="A1434" i="49"/>
  <c r="B1249" i="49"/>
  <c r="B1071" i="49"/>
  <c r="A54" i="52"/>
  <c r="B512" i="49"/>
  <c r="C1" i="50"/>
  <c r="B823" i="49"/>
  <c r="B335" i="49"/>
  <c r="A703" i="49"/>
  <c r="A479" i="49"/>
  <c r="A2" i="57"/>
  <c r="B827" i="45"/>
  <c r="A1112" i="49"/>
  <c r="A1060" i="45"/>
  <c r="A31" i="31"/>
  <c r="A482" i="49"/>
  <c r="A940" i="45"/>
  <c r="A42" i="25"/>
  <c r="A5" i="48"/>
  <c r="A900" i="45"/>
  <c r="A1414" i="49"/>
  <c r="B93" i="49"/>
  <c r="B646" i="49"/>
  <c r="B943" i="49"/>
  <c r="A367" i="49"/>
  <c r="B47" i="50"/>
  <c r="B870" i="49"/>
  <c r="B423" i="49"/>
  <c r="B1" i="40"/>
  <c r="C1" i="52"/>
  <c r="A1062" i="49"/>
  <c r="B1198" i="49"/>
  <c r="B487" i="49"/>
  <c r="B30" i="21"/>
  <c r="B1030" i="45"/>
  <c r="B222" i="49"/>
  <c r="B560" i="49"/>
  <c r="A304" i="32"/>
  <c r="B984" i="45"/>
  <c r="A355" i="49"/>
  <c r="A345" i="45"/>
  <c r="B1495" i="49"/>
  <c r="A1071" i="49"/>
  <c r="B902" i="49"/>
  <c r="A240" i="49"/>
  <c r="A31" i="52"/>
  <c r="B744" i="49"/>
  <c r="A266" i="49"/>
  <c r="Y2" i="33"/>
  <c r="C1" i="44"/>
  <c r="B414" i="45"/>
  <c r="M67" i="33"/>
  <c r="B294" i="45"/>
  <c r="M27" i="33"/>
  <c r="B9018" i="20"/>
  <c r="B37" i="56"/>
  <c r="B307" i="49"/>
  <c r="A313" i="49"/>
  <c r="B8898" i="20"/>
  <c r="A2" i="53"/>
  <c r="B95" i="49"/>
  <c r="A153" i="49"/>
  <c r="B8858" i="20"/>
  <c r="A324" i="45"/>
  <c r="A284" i="45"/>
  <c r="B34" i="49"/>
  <c r="A456" i="45"/>
  <c r="B42" i="21"/>
  <c r="B7406" i="20"/>
  <c r="B1199" i="45"/>
  <c r="A117" i="32"/>
  <c r="A37" i="32"/>
  <c r="C15" i="43"/>
  <c r="B406" i="45"/>
  <c r="B8295" i="20"/>
  <c r="B234" i="49"/>
  <c r="A512" i="45"/>
  <c r="A3" i="22"/>
  <c r="A8811" i="20"/>
  <c r="B1029" i="49"/>
  <c r="B891" i="49"/>
  <c r="B876" i="49"/>
  <c r="B1392" i="49"/>
  <c r="B213" i="49"/>
  <c r="B123" i="49"/>
  <c r="B38" i="49"/>
  <c r="B1244" i="45"/>
  <c r="A1206" i="49"/>
  <c r="A568" i="45"/>
  <c r="A146" i="49"/>
  <c r="B472" i="45"/>
  <c r="A450" i="49"/>
  <c r="B352" i="45"/>
  <c r="B227" i="49"/>
  <c r="A89" i="45"/>
  <c r="B417" i="49"/>
  <c r="A292" i="49"/>
  <c r="B805" i="45"/>
  <c r="B448" i="45"/>
  <c r="A541" i="45"/>
  <c r="A79" i="47"/>
  <c r="A762" i="45"/>
  <c r="B408" i="45"/>
  <c r="A890" i="49"/>
  <c r="B612" i="49"/>
  <c r="A373" i="45"/>
  <c r="B1283" i="45"/>
  <c r="A182" i="45"/>
  <c r="A7941" i="20"/>
  <c r="A238" i="49"/>
  <c r="A600" i="45"/>
  <c r="A560" i="45"/>
  <c r="B303" i="49"/>
  <c r="B336" i="45"/>
  <c r="B9100" i="20"/>
  <c r="B9080" i="20"/>
  <c r="A830" i="45"/>
  <c r="A406" i="45"/>
  <c r="A1374" i="49"/>
  <c r="B468" i="49"/>
  <c r="B1215" i="49"/>
  <c r="A311" i="49"/>
  <c r="A676" i="49"/>
  <c r="A1137" i="45"/>
  <c r="A1435" i="49"/>
  <c r="B142" i="50"/>
  <c r="A11" i="47"/>
  <c r="A886" i="45"/>
  <c r="B400" i="49"/>
  <c r="A400" i="45"/>
  <c r="A666" i="49"/>
  <c r="A280" i="45"/>
  <c r="B269" i="49"/>
  <c r="A240" i="45"/>
  <c r="B915" i="49"/>
  <c r="A696" i="49"/>
  <c r="B1004" i="49"/>
  <c r="A1433" i="49"/>
  <c r="A605" i="49"/>
  <c r="B974" i="45"/>
  <c r="A891" i="49"/>
  <c r="A1465" i="49"/>
  <c r="B1225" i="49"/>
  <c r="A22" i="48"/>
  <c r="A925" i="45"/>
  <c r="A445" i="49"/>
  <c r="A215" i="49"/>
  <c r="B136" i="49"/>
  <c r="A226" i="45"/>
  <c r="B442" i="49"/>
  <c r="A427" i="49"/>
  <c r="M47" i="33"/>
  <c r="C169" i="52"/>
  <c r="B178" i="49"/>
  <c r="B903" i="49"/>
  <c r="B684" i="49"/>
  <c r="A33" i="47"/>
  <c r="B1073" i="49"/>
  <c r="A334" i="49"/>
  <c r="A390" i="45"/>
  <c r="A1087" i="45"/>
  <c r="A84" i="32"/>
  <c r="A927" i="45"/>
  <c r="M4" i="29"/>
  <c r="A871" i="45"/>
  <c r="A281" i="32"/>
  <c r="B138" i="49"/>
  <c r="B110" i="49"/>
  <c r="B1" i="37"/>
  <c r="A41" i="32"/>
  <c r="B380" i="45"/>
  <c r="A362" i="49"/>
  <c r="M57" i="33"/>
  <c r="A19" i="31"/>
  <c r="A1293" i="49"/>
  <c r="A867" i="49"/>
  <c r="B212" i="45"/>
  <c r="B453" i="45"/>
  <c r="B9" i="41"/>
  <c r="B7994" i="20"/>
  <c r="A937" i="45"/>
  <c r="A65" i="45"/>
  <c r="B760" i="45"/>
  <c r="A1071" i="45"/>
  <c r="A68" i="32"/>
  <c r="A8828" i="20"/>
  <c r="A8818" i="20"/>
  <c r="B509" i="45"/>
  <c r="B4" i="45"/>
  <c r="B160" i="45"/>
  <c r="B1477" i="49"/>
  <c r="B5" i="51"/>
  <c r="A230" i="50"/>
  <c r="B709" i="49"/>
  <c r="B896" i="49"/>
  <c r="C16" i="52"/>
  <c r="B322" i="49"/>
  <c r="B394" i="49"/>
  <c r="B1" i="51"/>
  <c r="A610" i="45"/>
  <c r="B690" i="49"/>
  <c r="B739" i="45"/>
  <c r="A399" i="49"/>
  <c r="B619" i="45"/>
  <c r="B118" i="49"/>
  <c r="B579" i="45"/>
  <c r="A8707" i="20"/>
  <c r="A57" i="52"/>
  <c r="A69" i="47"/>
  <c r="B1161" i="45"/>
  <c r="AK3" i="33"/>
  <c r="B583" i="49"/>
  <c r="A1181" i="45"/>
  <c r="B1001" i="45"/>
  <c r="A352" i="32"/>
  <c r="B230" i="45"/>
  <c r="B190" i="45"/>
  <c r="A308" i="45"/>
  <c r="B726" i="45"/>
  <c r="B8455" i="20"/>
  <c r="B703" i="49"/>
  <c r="A661" i="45"/>
  <c r="B100" i="49"/>
  <c r="B278" i="49"/>
  <c r="B603" i="45"/>
  <c r="B8782" i="20"/>
  <c r="B6990" i="20"/>
  <c r="A364" i="45"/>
  <c r="A788" i="45"/>
  <c r="B8" i="57"/>
  <c r="B893" i="49"/>
  <c r="B818" i="49"/>
  <c r="A6" i="50"/>
  <c r="A1392" i="49"/>
  <c r="A794" i="49"/>
  <c r="B80" i="52"/>
  <c r="A717" i="49"/>
  <c r="B402" i="49"/>
  <c r="A952" i="45"/>
  <c r="B572" i="45"/>
  <c r="B397" i="45"/>
  <c r="A82" i="49"/>
  <c r="B277" i="45"/>
  <c r="F14" i="33"/>
  <c r="B237" i="45"/>
  <c r="A7" i="53"/>
  <c r="B755" i="49"/>
  <c r="B216" i="50"/>
  <c r="B978" i="49"/>
  <c r="A43" i="47"/>
  <c r="A325" i="49"/>
  <c r="B1066" i="49"/>
  <c r="B470" i="49"/>
  <c r="A1125" i="49"/>
  <c r="A245" i="49"/>
  <c r="A842" i="49"/>
  <c r="B38" i="45"/>
  <c r="C79" i="52"/>
  <c r="A613" i="49"/>
  <c r="A1028" i="49"/>
  <c r="A26" i="31"/>
  <c r="A1102" i="49"/>
  <c r="N44" i="33"/>
  <c r="A96" i="50"/>
  <c r="B1222" i="49"/>
  <c r="A679" i="49"/>
  <c r="A1168" i="49"/>
  <c r="A614" i="49"/>
  <c r="A39" i="47"/>
  <c r="A919" i="49"/>
  <c r="B1102" i="45"/>
  <c r="B132" i="49"/>
  <c r="B697" i="45"/>
  <c r="A486" i="49"/>
  <c r="B217" i="45"/>
  <c r="A10" i="49"/>
  <c r="A102" i="45"/>
  <c r="A14" i="50"/>
  <c r="A42" i="49"/>
  <c r="A950" i="45"/>
  <c r="A353" i="45"/>
  <c r="B889" i="45"/>
  <c r="A71" i="49"/>
  <c r="A910" i="45"/>
  <c r="A313" i="45"/>
  <c r="A193" i="50"/>
  <c r="B732" i="45"/>
  <c r="A214" i="45"/>
  <c r="B383" i="49"/>
  <c r="A8795" i="20"/>
  <c r="A8581" i="20"/>
  <c r="B1387" i="49"/>
  <c r="B85" i="45"/>
  <c r="B45" i="45"/>
  <c r="B88" i="49"/>
  <c r="B665" i="45"/>
  <c r="B722" i="45"/>
  <c r="B682" i="45"/>
  <c r="A172" i="49"/>
  <c r="A8851" i="20"/>
  <c r="B243" i="49"/>
  <c r="A892" i="49"/>
  <c r="A45" i="50"/>
  <c r="A1208" i="49"/>
  <c r="B246" i="49"/>
  <c r="B639" i="49"/>
  <c r="B743" i="49"/>
  <c r="B757" i="49"/>
  <c r="A591" i="49"/>
  <c r="A1312" i="45"/>
  <c r="A676" i="45"/>
  <c r="A289" i="32"/>
  <c r="B783" i="45"/>
  <c r="A10" i="47"/>
  <c r="A659" i="45"/>
  <c r="B994" i="49"/>
  <c r="A619" i="45"/>
  <c r="B382" i="45"/>
  <c r="B359" i="49"/>
  <c r="M35" i="33"/>
  <c r="B715" i="45"/>
  <c r="B262" i="45"/>
  <c r="A660" i="49"/>
  <c r="B789" i="45"/>
  <c r="B675" i="45"/>
  <c r="B222" i="45"/>
  <c r="B2" i="43"/>
  <c r="F6" i="33"/>
  <c r="A131" i="49"/>
  <c r="A8725" i="20"/>
  <c r="A8988" i="20"/>
  <c r="A8978" i="20"/>
  <c r="B259" i="49"/>
  <c r="B57" i="49"/>
  <c r="B1226" i="49"/>
  <c r="A643" i="45"/>
  <c r="B2" i="29"/>
  <c r="A8560" i="20"/>
  <c r="A203" i="49"/>
  <c r="A8781" i="20"/>
  <c r="B986" i="49"/>
  <c r="B98" i="49"/>
  <c r="B375" i="49"/>
  <c r="B1255" i="49"/>
  <c r="B1269" i="49"/>
  <c r="B29" i="50"/>
  <c r="B748" i="49"/>
  <c r="A251" i="49"/>
  <c r="B11" i="45"/>
  <c r="B1070" i="45"/>
  <c r="A422" i="49"/>
  <c r="B1214" i="49"/>
  <c r="A708" i="49"/>
  <c r="A230" i="45"/>
  <c r="A6" i="35"/>
  <c r="A942" i="45"/>
  <c r="A1235" i="49"/>
  <c r="A551" i="49"/>
  <c r="A816" i="49"/>
  <c r="A109" i="50"/>
  <c r="B577" i="49"/>
  <c r="A678" i="49"/>
  <c r="A817" i="45"/>
  <c r="B1150" i="45"/>
  <c r="A1368" i="49"/>
  <c r="B915" i="45"/>
  <c r="A872" i="49"/>
  <c r="A804" i="45"/>
  <c r="A603" i="49"/>
  <c r="A752" i="45"/>
  <c r="N28" i="29"/>
  <c r="B1200" i="45"/>
  <c r="B891" i="45"/>
  <c r="B851" i="45"/>
  <c r="A319" i="49"/>
  <c r="A296" i="49"/>
  <c r="M71" i="33"/>
  <c r="A4" i="50"/>
  <c r="A1325" i="45"/>
  <c r="A20" i="48"/>
  <c r="B914" i="45"/>
  <c r="A1276" i="45"/>
  <c r="B245" i="45"/>
  <c r="B205" i="45"/>
  <c r="A1289" i="49"/>
  <c r="A975" i="45"/>
  <c r="B1012" i="45"/>
  <c r="A9097" i="20"/>
  <c r="A1496" i="49"/>
  <c r="B737" i="49"/>
  <c r="B1473" i="49"/>
  <c r="B622" i="49"/>
  <c r="A289" i="45"/>
  <c r="B8922" i="20"/>
  <c r="B8802" i="20"/>
  <c r="B1375" i="49"/>
  <c r="B1413" i="49"/>
  <c r="B149" i="49"/>
  <c r="A1105" i="45"/>
  <c r="A912" i="45"/>
  <c r="A1254" i="45"/>
  <c r="A899" i="49"/>
  <c r="C17" i="43"/>
  <c r="B1054" i="49"/>
  <c r="B4" i="41"/>
  <c r="A681" i="45"/>
  <c r="A622" i="49"/>
  <c r="A824" i="45"/>
  <c r="B149" i="45"/>
  <c r="A8963" i="20"/>
  <c r="A130" i="49"/>
  <c r="A8843" i="20"/>
  <c r="A438" i="49"/>
  <c r="A8803" i="20"/>
  <c r="B1222" i="45"/>
  <c r="A9091" i="20"/>
  <c r="A8971" i="20"/>
  <c r="A8931" i="20"/>
  <c r="A7" i="56"/>
  <c r="A720" i="49"/>
  <c r="B7" i="54"/>
  <c r="C34" i="52"/>
  <c r="A1407" i="49"/>
  <c r="B1230" i="45"/>
  <c r="B955" i="49"/>
  <c r="B433" i="49"/>
  <c r="B1303" i="49"/>
  <c r="A415" i="49"/>
  <c r="A901" i="49"/>
  <c r="B28" i="50"/>
  <c r="B499" i="49"/>
  <c r="A656" i="45"/>
  <c r="B512" i="45"/>
  <c r="A381" i="49"/>
  <c r="A169" i="32"/>
  <c r="B151" i="50"/>
  <c r="A191" i="50"/>
  <c r="A853" i="49"/>
  <c r="A477" i="49"/>
  <c r="B611" i="45"/>
  <c r="A86" i="49"/>
  <c r="A573" i="49"/>
  <c r="A1138" i="49"/>
  <c r="N63" i="33"/>
  <c r="A1048" i="45"/>
  <c r="N8" i="33"/>
  <c r="A1335" i="49"/>
  <c r="A882" i="49"/>
  <c r="A958" i="49"/>
  <c r="B776" i="49"/>
  <c r="C3" i="43"/>
  <c r="B579" i="49"/>
  <c r="A837" i="45"/>
  <c r="B797" i="45"/>
  <c r="A741" i="49"/>
  <c r="A144" i="49"/>
  <c r="A216" i="45"/>
  <c r="B8908" i="20"/>
  <c r="B436" i="45"/>
  <c r="A46" i="47"/>
  <c r="B1304" i="49"/>
  <c r="B35" i="49"/>
  <c r="A786" i="49"/>
  <c r="A774" i="45"/>
  <c r="A424" i="49"/>
  <c r="A1461" i="49"/>
  <c r="B858" i="45"/>
  <c r="A380" i="32"/>
  <c r="A351" i="45"/>
  <c r="B401" i="49"/>
  <c r="A1132" i="49"/>
  <c r="A419" i="49"/>
  <c r="A56" i="45"/>
  <c r="D5" i="43"/>
  <c r="A1039" i="49"/>
  <c r="B444" i="45"/>
  <c r="B196" i="49"/>
  <c r="B323" i="49"/>
  <c r="B568" i="45"/>
  <c r="A382" i="49"/>
  <c r="A487" i="45"/>
  <c r="A9131" i="20"/>
  <c r="B1018" i="45"/>
  <c r="B978" i="45"/>
  <c r="A1053" i="45"/>
  <c r="B6894" i="20"/>
  <c r="A2" i="40"/>
  <c r="B467" i="45"/>
  <c r="B1057" i="49"/>
  <c r="B142" i="52"/>
  <c r="B139" i="45"/>
  <c r="A36" i="21"/>
  <c r="A13" i="47"/>
  <c r="A1225" i="45"/>
  <c r="A490" i="49"/>
  <c r="B8378" i="20"/>
  <c r="B299" i="49"/>
  <c r="A298" i="45"/>
  <c r="B55" i="50"/>
  <c r="A430" i="49"/>
  <c r="B471" i="49"/>
  <c r="B382" i="49"/>
  <c r="A169" i="52"/>
  <c r="A51" i="50"/>
  <c r="B1324" i="45"/>
  <c r="B523" i="45"/>
  <c r="A1290" i="49"/>
  <c r="B153" i="49"/>
  <c r="B1042" i="45"/>
  <c r="B882" i="45"/>
  <c r="B373" i="45"/>
  <c r="B333" i="45"/>
  <c r="A721" i="49"/>
  <c r="A25" i="47"/>
  <c r="A63" i="32"/>
  <c r="A4" i="23"/>
  <c r="B689" i="49"/>
  <c r="B793" i="49"/>
  <c r="A740" i="49"/>
  <c r="B284" i="49"/>
  <c r="B824" i="45"/>
  <c r="A1316" i="45"/>
  <c r="B1134" i="45"/>
  <c r="B441" i="49"/>
  <c r="A601" i="45"/>
  <c r="E6" i="33"/>
  <c r="A1080" i="45"/>
  <c r="A1472" i="49"/>
  <c r="A1355" i="49"/>
  <c r="B902" i="45"/>
  <c r="A340" i="49"/>
  <c r="A696" i="45"/>
  <c r="B480" i="45"/>
  <c r="A3" i="46"/>
  <c r="A1451" i="49"/>
  <c r="B707" i="49"/>
  <c r="A8733" i="20"/>
  <c r="B2" i="57"/>
  <c r="A779" i="45"/>
  <c r="B1274" i="49"/>
  <c r="A510" i="45"/>
  <c r="A1266" i="45"/>
  <c r="B316" i="45"/>
  <c r="A745" i="49"/>
  <c r="B1098" i="49"/>
  <c r="B842" i="45"/>
  <c r="A7" i="25"/>
  <c r="A1244" i="45"/>
  <c r="A9" i="55"/>
  <c r="A148" i="49"/>
  <c r="A789" i="45"/>
  <c r="A829" i="45"/>
  <c r="B1212" i="45"/>
  <c r="A816" i="45"/>
  <c r="B971" i="45"/>
  <c r="A7664" i="20"/>
  <c r="B614" i="45"/>
  <c r="A500" i="45"/>
  <c r="A1262" i="45"/>
  <c r="A177" i="49"/>
  <c r="B908" i="45"/>
  <c r="A1441" i="49"/>
  <c r="B808" i="49"/>
  <c r="A787" i="45"/>
  <c r="A614" i="45"/>
  <c r="A97" i="45"/>
  <c r="A806" i="45"/>
  <c r="A293" i="32"/>
  <c r="B470" i="45"/>
  <c r="A520" i="49"/>
  <c r="B1140" i="45"/>
  <c r="B347" i="45"/>
  <c r="B6862" i="20"/>
  <c r="B526" i="45"/>
  <c r="M7" i="29"/>
  <c r="A1130" i="45"/>
  <c r="B135" i="45"/>
  <c r="A85" i="32"/>
  <c r="B7879" i="20"/>
  <c r="B623" i="45"/>
  <c r="A46" i="45"/>
  <c r="B21" i="54"/>
  <c r="N66" i="33"/>
  <c r="A645" i="45"/>
  <c r="M54" i="33"/>
  <c r="A8879" i="20"/>
  <c r="B1294" i="45"/>
  <c r="A781" i="45"/>
  <c r="A1080" i="49"/>
  <c r="C11" i="43"/>
  <c r="N19" i="29"/>
  <c r="F8" i="29"/>
  <c r="A650" i="45"/>
  <c r="B479" i="45"/>
  <c r="A8716" i="20"/>
  <c r="B8918" i="20"/>
  <c r="B859" i="45"/>
  <c r="K2" i="29"/>
  <c r="C23" i="21"/>
  <c r="F9" i="29"/>
  <c r="C20" i="21"/>
  <c r="A721" i="45"/>
  <c r="B1108" i="49"/>
  <c r="A4" i="47"/>
  <c r="B8850" i="20"/>
  <c r="A7749" i="20"/>
  <c r="A333" i="49"/>
  <c r="B136" i="45"/>
  <c r="A8869" i="20"/>
  <c r="A18" i="32"/>
  <c r="B921" i="45"/>
  <c r="A8552" i="20"/>
  <c r="B1024" i="49"/>
  <c r="A853" i="45"/>
  <c r="B694" i="45"/>
  <c r="A393" i="45"/>
  <c r="A337" i="45"/>
  <c r="B1246" i="45"/>
  <c r="A1232" i="45"/>
  <c r="A1004" i="45"/>
  <c r="B8" i="37"/>
  <c r="A584" i="45"/>
  <c r="A9052" i="20"/>
  <c r="B906" i="49"/>
  <c r="B1219" i="45"/>
  <c r="A364" i="32"/>
  <c r="B720" i="45"/>
  <c r="A8" i="23"/>
  <c r="C34" i="21"/>
  <c r="B1256" i="45"/>
  <c r="B1183" i="45"/>
  <c r="B7630" i="20"/>
  <c r="C2" i="52"/>
  <c r="A550" i="49"/>
  <c r="A530" i="49"/>
  <c r="B233" i="49"/>
  <c r="B897" i="45"/>
  <c r="A414" i="45"/>
  <c r="A254" i="45"/>
  <c r="B969" i="45"/>
  <c r="A988" i="49"/>
  <c r="A8165" i="20"/>
  <c r="A1450" i="49"/>
  <c r="A1075" i="45"/>
  <c r="A455" i="49"/>
  <c r="A6" i="55"/>
  <c r="A213" i="49"/>
  <c r="B1062" i="49"/>
  <c r="A651" i="49"/>
  <c r="A813" i="49"/>
  <c r="B1234" i="49"/>
  <c r="B1047" i="49"/>
  <c r="B873" i="49"/>
  <c r="A869" i="49"/>
  <c r="B1048" i="49"/>
  <c r="A6" i="37"/>
  <c r="A1223" i="45"/>
  <c r="A292" i="32"/>
  <c r="A1167" i="45"/>
  <c r="A212" i="32"/>
  <c r="A1210" i="49"/>
  <c r="B92" i="52"/>
  <c r="A582" i="49"/>
  <c r="A1500" i="49"/>
  <c r="B826" i="49"/>
  <c r="A1036" i="45"/>
  <c r="A1135" i="49"/>
  <c r="A996" i="45"/>
  <c r="A183" i="49"/>
  <c r="D1" i="43"/>
  <c r="B345" i="49"/>
  <c r="B143" i="49"/>
  <c r="A286" i="45"/>
  <c r="B778" i="45"/>
  <c r="B8199" i="20"/>
  <c r="A1174" i="45"/>
  <c r="A1263" i="45"/>
  <c r="B1252" i="49"/>
  <c r="B8674" i="20"/>
  <c r="A162" i="45"/>
  <c r="A122" i="45"/>
  <c r="B1251" i="45"/>
  <c r="B5" i="35"/>
  <c r="A7671" i="20"/>
  <c r="B604" i="45"/>
  <c r="B41" i="49"/>
  <c r="B9090" i="20"/>
  <c r="A1323" i="45"/>
  <c r="B124" i="45"/>
  <c r="A287" i="49"/>
  <c r="A558" i="49"/>
  <c r="B236" i="49"/>
  <c r="A8765" i="20"/>
  <c r="C1" i="40"/>
  <c r="M8" i="33"/>
  <c r="B169" i="45"/>
  <c r="V2" i="29"/>
  <c r="B156" i="49"/>
  <c r="B1094" i="45"/>
  <c r="A369" i="45"/>
  <c r="A253" i="32"/>
  <c r="B2" i="30"/>
  <c r="D3" i="43"/>
  <c r="B425" i="45"/>
  <c r="B1180" i="45"/>
  <c r="A80" i="32"/>
  <c r="A8389" i="20"/>
  <c r="B62" i="45"/>
  <c r="Y1" i="33"/>
  <c r="A738" i="49"/>
  <c r="B120" i="45"/>
  <c r="A902" i="45"/>
  <c r="B8878" i="20"/>
  <c r="A267" i="32"/>
  <c r="A746" i="45"/>
  <c r="A485" i="45"/>
  <c r="B1253" i="45"/>
  <c r="B960" i="45"/>
  <c r="A8820" i="20"/>
  <c r="A8810" i="20"/>
  <c r="A1131" i="49"/>
  <c r="A990" i="45"/>
  <c r="B8713" i="20"/>
  <c r="B754" i="45"/>
  <c r="A751" i="45"/>
  <c r="B8761" i="20"/>
  <c r="A629" i="45"/>
  <c r="B7687" i="20"/>
  <c r="A499" i="45"/>
  <c r="M1" i="29"/>
  <c r="B47" i="56"/>
  <c r="B1292" i="49"/>
  <c r="A687" i="45"/>
  <c r="B8058" i="20"/>
  <c r="A42" i="47"/>
  <c r="A8973" i="20"/>
  <c r="N27" i="33"/>
  <c r="A8357" i="20"/>
  <c r="B3" i="37"/>
  <c r="A8040" i="20"/>
  <c r="A100" i="50"/>
  <c r="A58" i="50"/>
  <c r="A272" i="32"/>
  <c r="A8941" i="20"/>
  <c r="A8885" i="20"/>
  <c r="B8914" i="20"/>
  <c r="B879" i="45"/>
  <c r="A449" i="45"/>
  <c r="A796" i="45"/>
  <c r="B283" i="45"/>
  <c r="Y2" i="29"/>
  <c r="B77" i="49"/>
  <c r="A192" i="45"/>
  <c r="B9062" i="20"/>
  <c r="B433" i="45"/>
  <c r="A364" i="49"/>
  <c r="A1057" i="49"/>
  <c r="A8069" i="20"/>
  <c r="B292" i="49"/>
  <c r="A1086" i="45"/>
  <c r="B4" i="50"/>
  <c r="A239" i="49"/>
  <c r="B247" i="45"/>
  <c r="A1196" i="45"/>
  <c r="A413" i="49"/>
  <c r="B212" i="49"/>
  <c r="A30" i="25"/>
  <c r="A210" i="32"/>
  <c r="B476" i="49"/>
  <c r="A265" i="49"/>
  <c r="A510" i="49"/>
  <c r="B130" i="50"/>
  <c r="A1311" i="49"/>
  <c r="A72" i="49"/>
  <c r="B209" i="49"/>
  <c r="B83" i="49"/>
  <c r="A97" i="49"/>
  <c r="A5" i="47"/>
  <c r="B725" i="49"/>
  <c r="B1185" i="49"/>
  <c r="B1130" i="45"/>
  <c r="B270" i="49"/>
  <c r="B1179" i="45"/>
  <c r="A160" i="32"/>
  <c r="B1080" i="45"/>
  <c r="M34" i="29"/>
  <c r="B1040" i="45"/>
  <c r="M3" i="29"/>
  <c r="B716" i="49"/>
  <c r="A130" i="52"/>
  <c r="A8797" i="20"/>
  <c r="B440" i="45"/>
  <c r="A30" i="47"/>
  <c r="B192" i="45"/>
  <c r="A365" i="49"/>
  <c r="B152" i="45"/>
  <c r="B3" i="49"/>
  <c r="B668" i="45"/>
  <c r="A627" i="45"/>
  <c r="A1289" i="45"/>
  <c r="A683" i="45"/>
  <c r="C3" i="35"/>
  <c r="B298" i="45"/>
  <c r="B108" i="50"/>
  <c r="B1205" i="45"/>
  <c r="B1194" i="45"/>
  <c r="B8762" i="20"/>
  <c r="B1" i="39"/>
  <c r="Y7" i="33"/>
  <c r="A245" i="45"/>
  <c r="B137" i="45"/>
  <c r="B49" i="49"/>
  <c r="A48" i="45"/>
  <c r="B134" i="49"/>
  <c r="A36" i="47"/>
  <c r="B1286" i="45"/>
  <c r="B1233" i="45"/>
  <c r="B778" i="49"/>
  <c r="A754" i="45"/>
  <c r="A1110" i="49"/>
  <c r="A8" i="47"/>
  <c r="A1484" i="49"/>
  <c r="B1304" i="45"/>
  <c r="B1255" i="45"/>
  <c r="A51" i="32"/>
  <c r="B226" i="49"/>
  <c r="B180" i="45"/>
  <c r="B11" i="37"/>
  <c r="A809" i="45"/>
  <c r="A133" i="52"/>
  <c r="A1072" i="45"/>
  <c r="B20" i="52"/>
  <c r="B1099" i="45"/>
  <c r="A252" i="32"/>
  <c r="A7760" i="20"/>
  <c r="C4" i="43"/>
  <c r="B63" i="45"/>
  <c r="A233" i="32"/>
  <c r="B404" i="45"/>
  <c r="B147" i="49"/>
  <c r="B9049" i="20"/>
  <c r="A574" i="49"/>
  <c r="B659" i="45"/>
  <c r="B1386" i="49"/>
  <c r="A15" i="31"/>
  <c r="A57" i="32"/>
  <c r="A8285" i="20"/>
  <c r="A8275" i="20"/>
  <c r="B795" i="45"/>
  <c r="A633" i="45"/>
  <c r="A1000" i="45"/>
  <c r="A872" i="45"/>
  <c r="A149" i="45"/>
  <c r="A167" i="49"/>
  <c r="A13" i="32"/>
  <c r="B92" i="45"/>
  <c r="B7374" i="20"/>
  <c r="A749" i="49"/>
  <c r="B947" i="45"/>
  <c r="B647" i="45"/>
  <c r="A1" i="21"/>
  <c r="B554" i="45"/>
  <c r="B339" i="49"/>
  <c r="A8787" i="20"/>
  <c r="A1098" i="49"/>
  <c r="B1316" i="45"/>
  <c r="B9084" i="20"/>
  <c r="B9064" i="20"/>
  <c r="B1292" i="45"/>
  <c r="B1039" i="45"/>
  <c r="M36" i="33"/>
  <c r="A23" i="45"/>
  <c r="B8634" i="20"/>
  <c r="A9047" i="20"/>
  <c r="A308" i="32"/>
  <c r="A502" i="49"/>
  <c r="A282" i="49"/>
  <c r="A375" i="45"/>
  <c r="B7930" i="20"/>
  <c r="A115" i="49"/>
  <c r="A8717" i="20"/>
  <c r="B785" i="49"/>
  <c r="N13" i="33"/>
  <c r="A8713" i="20"/>
  <c r="B177" i="49"/>
  <c r="A880" i="49"/>
  <c r="B126" i="52"/>
  <c r="A377" i="45"/>
  <c r="B846" i="49"/>
  <c r="B49" i="56"/>
  <c r="A723" i="45"/>
  <c r="B126" i="45"/>
  <c r="D4" i="43"/>
  <c r="A383" i="45"/>
  <c r="A537" i="45"/>
  <c r="B1321" i="49"/>
  <c r="A993" i="45"/>
  <c r="B587" i="45"/>
  <c r="A957" i="45"/>
  <c r="B990" i="45"/>
  <c r="B9081" i="20"/>
  <c r="A961" i="45"/>
  <c r="F4" i="33"/>
  <c r="B342" i="45"/>
  <c r="A7" i="49"/>
  <c r="B240" i="49"/>
  <c r="A57" i="31"/>
  <c r="A136" i="45"/>
  <c r="B843" i="45"/>
  <c r="A8681" i="20"/>
  <c r="B8149" i="20"/>
  <c r="B8047" i="20"/>
  <c r="A432" i="45"/>
  <c r="A1117" i="45"/>
  <c r="A950" i="49"/>
  <c r="A78" i="45"/>
  <c r="A13" i="37"/>
  <c r="B1254" i="45"/>
  <c r="A269" i="49"/>
  <c r="B8798" i="20"/>
  <c r="B10" i="43"/>
  <c r="N11" i="29"/>
  <c r="A9041" i="20"/>
  <c r="B723" i="45"/>
  <c r="A489" i="49"/>
  <c r="A136" i="49"/>
  <c r="A4" i="30"/>
  <c r="A8133" i="20"/>
  <c r="B1186" i="45"/>
  <c r="B648" i="45"/>
  <c r="B299" i="45"/>
  <c r="A179" i="32"/>
  <c r="A8723" i="20"/>
  <c r="B7826" i="20"/>
  <c r="B7816" i="20"/>
  <c r="B165" i="45"/>
  <c r="A94" i="45"/>
  <c r="B828" i="45"/>
  <c r="B68" i="50"/>
  <c r="A171" i="50"/>
  <c r="C143" i="52"/>
  <c r="B101" i="49"/>
  <c r="A5" i="57"/>
  <c r="A6" i="53"/>
  <c r="B218" i="49"/>
  <c r="B350" i="49"/>
  <c r="B165" i="49"/>
  <c r="A1" i="39"/>
  <c r="B1371" i="49"/>
  <c r="A117" i="49"/>
  <c r="A184" i="49"/>
  <c r="B112" i="50"/>
  <c r="B559" i="45"/>
  <c r="B1050" i="45"/>
  <c r="A1416" i="49"/>
  <c r="B109" i="52"/>
  <c r="B1080" i="49"/>
  <c r="A1122" i="49"/>
  <c r="A1339" i="49"/>
  <c r="A17" i="50"/>
  <c r="A861" i="49"/>
  <c r="C150" i="52"/>
  <c r="A352" i="49"/>
  <c r="A60" i="52"/>
  <c r="B65" i="49"/>
  <c r="N42" i="33"/>
  <c r="A220" i="50"/>
  <c r="B22" i="49"/>
  <c r="A26" i="50"/>
  <c r="B1290" i="45"/>
  <c r="A597" i="49"/>
  <c r="C47" i="52"/>
  <c r="B17" i="48"/>
  <c r="A477" i="45"/>
  <c r="B284" i="45"/>
  <c r="A484" i="45"/>
  <c r="A444" i="45"/>
  <c r="A176" i="45"/>
  <c r="B8888" i="20"/>
  <c r="A17" i="37"/>
  <c r="B200" i="45"/>
  <c r="B1079" i="49"/>
  <c r="A161" i="50"/>
  <c r="A8709" i="20"/>
  <c r="A455" i="45"/>
  <c r="A879" i="45"/>
  <c r="A831" i="45"/>
  <c r="B818" i="45"/>
  <c r="A7824" i="20"/>
  <c r="A756" i="45"/>
  <c r="A1302" i="45"/>
  <c r="B1" i="52"/>
  <c r="A1142" i="49"/>
  <c r="A237" i="49"/>
  <c r="B1309" i="45"/>
  <c r="B596" i="49"/>
  <c r="B852" i="49"/>
  <c r="B158" i="45"/>
  <c r="A1341" i="49"/>
  <c r="A134" i="50"/>
  <c r="B1220" i="49"/>
  <c r="A4" i="41"/>
  <c r="Y4" i="33"/>
  <c r="B910" i="45"/>
  <c r="B870" i="45"/>
  <c r="B1068" i="49"/>
  <c r="B91" i="50"/>
  <c r="A10" i="25"/>
  <c r="B1336" i="49"/>
  <c r="A1072" i="49"/>
  <c r="A310" i="49"/>
  <c r="A142" i="49"/>
  <c r="B235" i="49"/>
  <c r="A290" i="45"/>
  <c r="A250" i="45"/>
  <c r="B596" i="45"/>
  <c r="A308" i="49"/>
  <c r="A25" i="21"/>
  <c r="B774" i="45"/>
  <c r="A1408" i="49"/>
  <c r="A348" i="49"/>
  <c r="B355" i="45"/>
  <c r="B195" i="45"/>
  <c r="A815" i="49"/>
  <c r="B782" i="49"/>
  <c r="A1136" i="45"/>
  <c r="B404" i="49"/>
  <c r="A1423" i="49"/>
  <c r="A1050" i="49"/>
  <c r="A79" i="32"/>
  <c r="A9021" i="20"/>
  <c r="A8901" i="20"/>
  <c r="A8861" i="20"/>
  <c r="B159" i="49"/>
  <c r="M16" i="33"/>
  <c r="M19" i="29"/>
  <c r="B8994" i="20"/>
  <c r="B851" i="49"/>
  <c r="A158" i="49"/>
  <c r="A737" i="45"/>
  <c r="B356" i="49"/>
  <c r="B89" i="45"/>
  <c r="B24" i="37"/>
  <c r="B263" i="45"/>
  <c r="A642" i="45"/>
  <c r="A1005" i="45"/>
  <c r="B975" i="49"/>
  <c r="A922" i="49"/>
  <c r="B313" i="49"/>
  <c r="A1214" i="49"/>
  <c r="B106" i="50"/>
  <c r="B208" i="49"/>
  <c r="B334" i="49"/>
  <c r="A60" i="49"/>
  <c r="N48" i="33"/>
  <c r="A7781" i="20"/>
  <c r="A7" i="47"/>
  <c r="A981" i="45"/>
  <c r="A1281" i="45"/>
  <c r="B1250" i="49"/>
  <c r="B774" i="49"/>
  <c r="A16" i="37"/>
  <c r="A217" i="32"/>
  <c r="A225" i="32"/>
  <c r="B201" i="49"/>
  <c r="B198" i="49"/>
  <c r="B1249" i="45"/>
  <c r="A8080" i="20"/>
  <c r="B820" i="45"/>
  <c r="A1286" i="45"/>
  <c r="B666" i="49"/>
  <c r="B1172" i="45"/>
  <c r="A646" i="45"/>
  <c r="A486" i="45"/>
  <c r="A126" i="45"/>
  <c r="B177" i="45"/>
  <c r="A40" i="52"/>
  <c r="A156" i="45"/>
  <c r="A846" i="49"/>
  <c r="A272" i="45"/>
  <c r="B316" i="49"/>
  <c r="B91" i="49"/>
  <c r="B416" i="45"/>
  <c r="B823" i="45"/>
  <c r="A270" i="49"/>
  <c r="B58" i="52"/>
  <c r="M53" i="33"/>
  <c r="B249" i="49"/>
  <c r="B1038" i="49"/>
  <c r="B8942" i="20"/>
  <c r="A684" i="45"/>
  <c r="A32" i="32"/>
  <c r="C1" i="35"/>
  <c r="A999" i="49"/>
  <c r="B9094" i="20"/>
  <c r="A263" i="49"/>
  <c r="B20" i="45"/>
  <c r="B69" i="45"/>
  <c r="A337" i="32"/>
  <c r="B7802" i="20"/>
  <c r="A392" i="45"/>
  <c r="A102" i="49"/>
  <c r="A11" i="41"/>
  <c r="A470" i="45"/>
  <c r="A860" i="45"/>
  <c r="AE2" i="29"/>
  <c r="B676" i="49"/>
  <c r="B1238" i="45"/>
  <c r="A8809" i="20"/>
  <c r="B3" i="43"/>
  <c r="M63" i="33"/>
  <c r="B8287" i="20"/>
  <c r="B8277" i="20"/>
  <c r="B387" i="49"/>
  <c r="A530" i="45"/>
  <c r="A8576" i="20"/>
  <c r="B8303" i="20"/>
  <c r="B819" i="45"/>
  <c r="A45" i="25"/>
  <c r="N19" i="33"/>
  <c r="B775" i="49"/>
  <c r="A8421" i="20"/>
  <c r="B260" i="45"/>
  <c r="B255" i="49"/>
  <c r="B51" i="49"/>
  <c r="A647" i="45"/>
  <c r="B7086" i="20"/>
  <c r="A556" i="45"/>
  <c r="A239" i="45"/>
  <c r="A8829" i="20"/>
  <c r="B1122" i="49"/>
  <c r="B1124" i="45"/>
  <c r="B964" i="45"/>
  <c r="A997" i="45"/>
  <c r="A534" i="49"/>
  <c r="B9054" i="20"/>
  <c r="B1049" i="45"/>
  <c r="A493" i="45"/>
  <c r="B22" i="21"/>
  <c r="B768" i="45"/>
  <c r="B72" i="52"/>
  <c r="A576" i="49"/>
  <c r="A8853" i="20"/>
  <c r="A8261" i="20"/>
  <c r="A1155" i="45"/>
  <c r="A169" i="45"/>
  <c r="A876" i="45"/>
  <c r="A8791" i="20"/>
  <c r="B450" i="49"/>
  <c r="B8738" i="20"/>
  <c r="B9113" i="20"/>
  <c r="A1347" i="49"/>
  <c r="A1152" i="45"/>
  <c r="A1295" i="45"/>
  <c r="B1028" i="49"/>
  <c r="B89" i="49"/>
  <c r="B1241" i="45"/>
  <c r="B616" i="49"/>
  <c r="A557" i="49"/>
  <c r="B725" i="45"/>
  <c r="A671" i="45"/>
  <c r="A603" i="45"/>
  <c r="A982" i="49"/>
  <c r="A1251" i="49"/>
  <c r="B277" i="49"/>
  <c r="A1145" i="45"/>
  <c r="B11" i="48"/>
  <c r="B623" i="49"/>
  <c r="A1040" i="45"/>
  <c r="A920" i="45"/>
  <c r="A880" i="45"/>
  <c r="B500" i="49"/>
  <c r="B584" i="49"/>
  <c r="B130" i="49"/>
  <c r="A290" i="49"/>
  <c r="B1221" i="45"/>
  <c r="A165" i="32"/>
  <c r="B55" i="45"/>
  <c r="N36" i="29"/>
  <c r="B15" i="45"/>
  <c r="N4" i="29"/>
  <c r="B854" i="49"/>
  <c r="A710" i="49"/>
  <c r="B227" i="45"/>
  <c r="B67" i="45"/>
  <c r="A947" i="49"/>
  <c r="A481" i="45"/>
  <c r="A327" i="49"/>
  <c r="A441" i="45"/>
  <c r="A6" i="49"/>
  <c r="N31" i="33"/>
  <c r="A674" i="45"/>
  <c r="A634" i="45"/>
  <c r="A749" i="45"/>
  <c r="B667" i="45"/>
  <c r="B7022" i="20"/>
  <c r="B1310" i="45"/>
  <c r="B199" i="45"/>
  <c r="B38" i="50"/>
  <c r="B23" i="37"/>
  <c r="A6" i="41"/>
  <c r="F10" i="33"/>
  <c r="A1246" i="45"/>
  <c r="AC2" i="29"/>
  <c r="A1265" i="45"/>
  <c r="A90" i="45"/>
  <c r="A376" i="49"/>
  <c r="A63" i="45"/>
  <c r="B257" i="49"/>
  <c r="B183" i="49"/>
  <c r="A373" i="32"/>
  <c r="B775" i="45"/>
  <c r="B326" i="45"/>
  <c r="A317" i="49"/>
  <c r="A161" i="32"/>
  <c r="A147" i="49"/>
  <c r="A610" i="49"/>
  <c r="A115" i="45"/>
  <c r="B494" i="49"/>
  <c r="A469" i="45"/>
  <c r="B953" i="45"/>
  <c r="A748" i="49"/>
  <c r="A1280" i="45"/>
  <c r="A457" i="49"/>
  <c r="B928" i="49"/>
  <c r="B1118" i="45"/>
  <c r="A9009" i="20"/>
  <c r="A8272" i="20"/>
  <c r="B80" i="45"/>
  <c r="B898" i="45"/>
  <c r="B427" i="45"/>
  <c r="A437" i="45"/>
  <c r="E11" i="33"/>
  <c r="A35" i="45"/>
  <c r="B696" i="49"/>
  <c r="A704" i="45"/>
  <c r="M6" i="29"/>
  <c r="A324" i="32"/>
  <c r="B633" i="45"/>
  <c r="B7775" i="20"/>
  <c r="B7765" i="20"/>
  <c r="A791" i="45"/>
  <c r="B867" i="45"/>
  <c r="A1296" i="49"/>
  <c r="A797" i="49"/>
  <c r="A615" i="45"/>
  <c r="B934" i="49"/>
  <c r="B545" i="45"/>
  <c r="B597" i="45"/>
  <c r="B7834" i="20"/>
  <c r="A172" i="32"/>
  <c r="C2" i="43"/>
  <c r="B951" i="45"/>
  <c r="B76" i="45"/>
  <c r="A7604" i="20"/>
  <c r="B511" i="45"/>
  <c r="A3" i="41"/>
  <c r="B297" i="45"/>
  <c r="B326" i="49"/>
  <c r="B178" i="45"/>
  <c r="B138" i="45"/>
  <c r="A204" i="45"/>
  <c r="A1103" i="45"/>
  <c r="A563" i="45"/>
  <c r="B19" i="37"/>
  <c r="C24" i="21"/>
  <c r="B9038" i="20"/>
  <c r="B121" i="45"/>
  <c r="A1317" i="45"/>
  <c r="B458" i="49"/>
  <c r="A2" i="30"/>
  <c r="B8570" i="20"/>
  <c r="A1193" i="45"/>
  <c r="N70" i="33"/>
  <c r="B801" i="45"/>
  <c r="B933" i="45"/>
  <c r="B893" i="45"/>
  <c r="A501" i="45"/>
  <c r="B466" i="49"/>
  <c r="B592" i="45"/>
  <c r="A938" i="45"/>
  <c r="A23" i="47"/>
  <c r="A799" i="49"/>
  <c r="A519" i="49"/>
  <c r="B17" i="55"/>
  <c r="B311" i="45"/>
  <c r="B271" i="45"/>
  <c r="B52" i="21"/>
  <c r="A1488" i="49"/>
  <c r="A1180" i="45"/>
  <c r="B8778" i="20"/>
  <c r="B268" i="49"/>
  <c r="A1357" i="49"/>
  <c r="A640" i="49"/>
  <c r="A979" i="45"/>
  <c r="A691" i="45"/>
  <c r="B1289" i="45"/>
  <c r="A1310" i="45"/>
  <c r="B1129" i="45"/>
  <c r="B405" i="49"/>
  <c r="A819" i="45"/>
  <c r="A1453" i="49"/>
  <c r="B529" i="49"/>
  <c r="B8" i="54"/>
  <c r="A1097" i="49"/>
  <c r="B1038" i="45"/>
  <c r="B747" i="49"/>
  <c r="B998" i="45"/>
  <c r="B796" i="45"/>
  <c r="B225" i="50"/>
  <c r="B1246" i="49"/>
  <c r="A67" i="49"/>
  <c r="A415" i="45"/>
  <c r="A612" i="45"/>
  <c r="A295" i="45"/>
  <c r="A572" i="45"/>
  <c r="A255" i="45"/>
  <c r="A1014" i="49"/>
  <c r="A6" i="27"/>
  <c r="C12" i="21"/>
  <c r="B9114" i="20"/>
  <c r="A679" i="45"/>
  <c r="A909" i="45"/>
  <c r="B1100" i="49"/>
  <c r="A1092" i="45"/>
  <c r="A113" i="45"/>
  <c r="B717" i="49"/>
  <c r="A529" i="49"/>
  <c r="B944" i="49"/>
  <c r="B839" i="45"/>
  <c r="B1210" i="45"/>
  <c r="A15" i="45"/>
  <c r="B1031" i="49"/>
  <c r="B692" i="45"/>
  <c r="B879" i="49"/>
  <c r="B87" i="50"/>
  <c r="A1164" i="45"/>
  <c r="A1124" i="45"/>
  <c r="A688" i="45"/>
  <c r="B859" i="49"/>
  <c r="A715" i="49"/>
  <c r="B1264" i="45"/>
  <c r="B1215" i="45"/>
  <c r="B568" i="49"/>
  <c r="C14" i="43"/>
  <c r="B8250" i="20"/>
  <c r="A518" i="45"/>
  <c r="A387" i="49"/>
  <c r="A9084" i="20"/>
  <c r="A42" i="45"/>
  <c r="B1048" i="45"/>
  <c r="A964" i="45"/>
  <c r="A923" i="45"/>
  <c r="B790" i="45"/>
  <c r="A8919" i="20"/>
  <c r="B8729" i="20"/>
  <c r="A206" i="45"/>
  <c r="B456" i="45"/>
  <c r="A709" i="49"/>
  <c r="B188" i="49"/>
  <c r="A734" i="45"/>
  <c r="B8186" i="20"/>
  <c r="A2" i="46"/>
  <c r="A12" i="23"/>
  <c r="A758" i="45"/>
  <c r="B7847" i="20"/>
  <c r="B388" i="45"/>
  <c r="A8168" i="20"/>
  <c r="A648" i="49"/>
  <c r="A680" i="45"/>
  <c r="A9019" i="20"/>
  <c r="A121" i="32"/>
  <c r="A9" i="32"/>
  <c r="B821" i="45"/>
  <c r="F7" i="33"/>
  <c r="B9041" i="20"/>
  <c r="A893" i="45"/>
  <c r="A698" i="49"/>
  <c r="A1046" i="45"/>
  <c r="A8771" i="20"/>
  <c r="A121" i="49"/>
  <c r="A72" i="32"/>
  <c r="A617" i="49"/>
  <c r="B115" i="49"/>
  <c r="C38" i="21"/>
  <c r="B1054" i="45"/>
  <c r="A916" i="45"/>
  <c r="B8671" i="20"/>
  <c r="B8661" i="20"/>
  <c r="A835" i="49"/>
  <c r="A76" i="47"/>
  <c r="B8362" i="20"/>
  <c r="B9089" i="20"/>
  <c r="B555" i="45"/>
  <c r="A8432" i="20"/>
  <c r="M32" i="29"/>
  <c r="B12" i="37"/>
  <c r="A692" i="45"/>
  <c r="N67" i="33"/>
  <c r="A1090" i="45"/>
  <c r="B255" i="45"/>
  <c r="A325" i="32"/>
  <c r="A277" i="45"/>
  <c r="A1119" i="49"/>
  <c r="B791" i="49"/>
  <c r="A822" i="45"/>
  <c r="A663" i="45"/>
  <c r="A602" i="49"/>
  <c r="A257" i="45"/>
  <c r="B474" i="49"/>
  <c r="B1019" i="45"/>
  <c r="B1007" i="49"/>
  <c r="B567" i="45"/>
  <c r="A1431" i="49"/>
  <c r="B340" i="45"/>
  <c r="A7" i="45"/>
  <c r="B213" i="45"/>
  <c r="B686" i="49"/>
  <c r="B547" i="45"/>
  <c r="B183" i="45"/>
  <c r="A8208" i="20"/>
  <c r="B1046" i="45"/>
  <c r="Y6" i="33"/>
  <c r="B105" i="49"/>
  <c r="A8528" i="20"/>
  <c r="B7770" i="20"/>
  <c r="B1190" i="49"/>
  <c r="B779" i="45"/>
  <c r="A100" i="49"/>
  <c r="C29" i="21"/>
  <c r="A198" i="45"/>
  <c r="A1153" i="45"/>
  <c r="A390" i="49"/>
  <c r="B391" i="45"/>
  <c r="A320" i="32"/>
  <c r="B941" i="45"/>
  <c r="A386" i="32"/>
  <c r="A366" i="32"/>
  <c r="B604" i="49"/>
  <c r="A458" i="45"/>
  <c r="B8183" i="20"/>
  <c r="M1" i="33"/>
  <c r="A291" i="49"/>
  <c r="B7911" i="20"/>
  <c r="B361" i="45"/>
  <c r="A28" i="45"/>
  <c r="A991" i="45"/>
  <c r="A1226" i="45"/>
  <c r="B7342" i="20"/>
  <c r="B86" i="50"/>
  <c r="B160" i="50"/>
  <c r="A536" i="49"/>
  <c r="B169" i="52"/>
  <c r="A56" i="49"/>
  <c r="A58" i="52"/>
  <c r="A1038" i="49"/>
  <c r="B1320" i="49"/>
  <c r="B927" i="49"/>
  <c r="A1149" i="49"/>
  <c r="A8995" i="20"/>
  <c r="B929" i="49"/>
  <c r="A1195" i="45"/>
  <c r="B301" i="49"/>
  <c r="A1337" i="49"/>
  <c r="A56" i="52"/>
  <c r="B964" i="49"/>
  <c r="C48" i="52"/>
  <c r="B187" i="50"/>
  <c r="A1287" i="49"/>
  <c r="A164" i="49"/>
  <c r="B651" i="45"/>
  <c r="B533" i="45"/>
  <c r="A1411" i="49"/>
  <c r="A410" i="49"/>
  <c r="B1357" i="49"/>
  <c r="B7" i="43"/>
  <c r="B412" i="45"/>
  <c r="A997" i="49"/>
  <c r="B590" i="49"/>
  <c r="A17" i="48"/>
  <c r="B13" i="49"/>
  <c r="B79" i="45"/>
  <c r="B908" i="49"/>
  <c r="A1250" i="49"/>
  <c r="A25" i="37"/>
  <c r="B749" i="45"/>
  <c r="A376" i="45"/>
  <c r="A336" i="45"/>
  <c r="A357" i="49"/>
  <c r="A181" i="49"/>
  <c r="B396" i="45"/>
  <c r="A1010" i="49"/>
  <c r="B1326" i="49"/>
  <c r="A374" i="49"/>
  <c r="B895" i="45"/>
  <c r="A732" i="45"/>
  <c r="A755" i="45"/>
  <c r="A715" i="45"/>
  <c r="A541" i="49"/>
  <c r="B962" i="45"/>
  <c r="A439" i="45"/>
  <c r="N3" i="33"/>
  <c r="A819" i="49"/>
  <c r="A31" i="47"/>
  <c r="B88" i="45"/>
  <c r="A255" i="50"/>
  <c r="B97" i="50"/>
  <c r="B1374" i="49"/>
  <c r="B1156" i="45"/>
  <c r="B405" i="45"/>
  <c r="A618" i="49"/>
  <c r="A1047" i="49"/>
  <c r="A26" i="25"/>
  <c r="A271" i="32"/>
  <c r="A31" i="32"/>
  <c r="A9" i="31"/>
  <c r="B411" i="45"/>
  <c r="B713" i="45"/>
  <c r="B7783" i="20"/>
  <c r="A253" i="45"/>
  <c r="B1208" i="49"/>
  <c r="A57" i="47"/>
  <c r="AH2" i="29"/>
  <c r="B184" i="45"/>
  <c r="B4" i="39"/>
  <c r="A3" i="35"/>
  <c r="A242" i="45"/>
  <c r="B2" i="48"/>
  <c r="B51" i="21"/>
  <c r="B1151" i="49"/>
  <c r="A212" i="49"/>
  <c r="A575" i="49"/>
  <c r="A70" i="49"/>
  <c r="A1002" i="49"/>
  <c r="A1271" i="45"/>
  <c r="A1322" i="49"/>
  <c r="A1" i="52"/>
  <c r="A135" i="49"/>
  <c r="A151" i="49"/>
  <c r="B157" i="50"/>
  <c r="B922" i="45"/>
  <c r="A1322" i="45"/>
  <c r="N59" i="33"/>
  <c r="A1256" i="45"/>
  <c r="A44" i="21"/>
  <c r="G2" i="33"/>
  <c r="B589" i="49"/>
  <c r="A136" i="52"/>
  <c r="B1415" i="49"/>
  <c r="B1143" i="49"/>
  <c r="A5" i="54"/>
  <c r="C54" i="21"/>
  <c r="A305" i="49"/>
  <c r="A1037" i="45"/>
  <c r="A341" i="32"/>
  <c r="A602" i="45"/>
  <c r="B1092" i="45"/>
  <c r="C19" i="52"/>
  <c r="A1389" i="49"/>
  <c r="B540" i="45"/>
  <c r="A915" i="45"/>
  <c r="A326" i="49"/>
  <c r="A825" i="45"/>
  <c r="B600" i="45"/>
  <c r="A217" i="45"/>
  <c r="A719" i="45"/>
  <c r="B48" i="56"/>
  <c r="A8893" i="20"/>
  <c r="B9122" i="20"/>
  <c r="B202" i="49"/>
  <c r="A217" i="50"/>
  <c r="B527" i="49"/>
  <c r="A801" i="45"/>
  <c r="A484" i="49"/>
  <c r="A1175" i="45"/>
  <c r="A1073" i="49"/>
  <c r="B171" i="45"/>
  <c r="A1069" i="45"/>
  <c r="B4" i="57"/>
  <c r="A1200" i="45"/>
  <c r="B1163" i="45"/>
  <c r="A3" i="37"/>
  <c r="Z2" i="33"/>
  <c r="A176" i="32"/>
  <c r="A96" i="32"/>
  <c r="B1355" i="49"/>
  <c r="A124" i="32"/>
  <c r="A1216" i="45"/>
  <c r="B574" i="45"/>
  <c r="A881" i="45"/>
  <c r="A152" i="45"/>
  <c r="A1206" i="45"/>
  <c r="A1166" i="45"/>
  <c r="B799" i="45"/>
  <c r="B1300" i="49"/>
  <c r="B1267" i="45"/>
  <c r="A31" i="49"/>
  <c r="A931" i="45"/>
  <c r="A8741" i="20"/>
  <c r="A52" i="45"/>
  <c r="B8327" i="20"/>
  <c r="A1250" i="45"/>
  <c r="B439" i="49"/>
  <c r="A12" i="43"/>
  <c r="A108" i="45"/>
  <c r="A10" i="48"/>
  <c r="A1006" i="45"/>
  <c r="A1189" i="49"/>
  <c r="B27" i="45"/>
  <c r="A247" i="32"/>
  <c r="A503" i="45"/>
  <c r="B652" i="45"/>
  <c r="A1324" i="45"/>
  <c r="B201" i="45"/>
  <c r="A1040" i="49"/>
  <c r="A3" i="31"/>
  <c r="A8645" i="20"/>
  <c r="B391" i="49"/>
  <c r="N56" i="33"/>
  <c r="A918" i="45"/>
  <c r="A183" i="32"/>
  <c r="B398" i="45"/>
  <c r="B8210" i="20"/>
  <c r="B8200" i="20"/>
  <c r="A722" i="45"/>
  <c r="A45" i="21"/>
  <c r="B2" i="36"/>
  <c r="M39" i="33"/>
  <c r="A134" i="49"/>
  <c r="N62" i="33"/>
  <c r="A9044" i="20"/>
  <c r="B553" i="45"/>
  <c r="A8946" i="20"/>
  <c r="A1019" i="45"/>
  <c r="A153" i="32"/>
  <c r="B885" i="45"/>
  <c r="B8750" i="20"/>
  <c r="E2" i="29"/>
  <c r="A490" i="45"/>
  <c r="A229" i="45"/>
  <c r="B1188" i="45"/>
  <c r="A958" i="45"/>
  <c r="A8692" i="20"/>
  <c r="A8682" i="20"/>
  <c r="A1033" i="49"/>
  <c r="B973" i="45"/>
  <c r="B8439" i="20"/>
  <c r="AG1" i="33"/>
  <c r="A39" i="49"/>
  <c r="B8423" i="20"/>
  <c r="A453" i="49"/>
  <c r="A540" i="45"/>
  <c r="A299" i="49"/>
  <c r="B27" i="21"/>
  <c r="B7470" i="20"/>
  <c r="A832" i="45"/>
  <c r="A190" i="45"/>
  <c r="A836" i="45"/>
  <c r="B22" i="37"/>
  <c r="N75" i="33"/>
  <c r="B8698" i="20"/>
  <c r="B1373" i="49"/>
  <c r="B907" i="45"/>
  <c r="A978" i="45"/>
  <c r="B617" i="49"/>
  <c r="B5" i="49"/>
  <c r="A309" i="32"/>
  <c r="B1036" i="45"/>
  <c r="A888" i="45"/>
  <c r="A848" i="45"/>
  <c r="B685" i="45"/>
  <c r="A589" i="45"/>
  <c r="A1222" i="45"/>
  <c r="B1193" i="45"/>
  <c r="B1218" i="49"/>
  <c r="B46" i="56"/>
  <c r="A843" i="45"/>
  <c r="B30" i="50"/>
  <c r="A757" i="45"/>
  <c r="A932" i="45"/>
  <c r="A5" i="46"/>
  <c r="B1280" i="45"/>
  <c r="A32" i="56"/>
  <c r="B481" i="49"/>
  <c r="A1113" i="45"/>
  <c r="A8907" i="20"/>
  <c r="C16" i="43"/>
  <c r="A1177" i="45"/>
  <c r="B16" i="43"/>
  <c r="B1362" i="49"/>
  <c r="A2" i="41"/>
  <c r="A839" i="45"/>
  <c r="A30" i="49"/>
  <c r="B540" i="49"/>
  <c r="A462" i="49"/>
  <c r="B916" i="45"/>
  <c r="A1144" i="45"/>
  <c r="A946" i="45"/>
  <c r="A1104" i="45"/>
  <c r="B1299" i="45"/>
  <c r="B289" i="49"/>
  <c r="B696" i="45"/>
  <c r="B320" i="45"/>
  <c r="B280" i="45"/>
  <c r="A9027" i="20"/>
  <c r="B214" i="45"/>
  <c r="A80" i="49"/>
  <c r="A1134" i="45"/>
  <c r="B91" i="45"/>
  <c r="A161" i="45"/>
  <c r="A975" i="49"/>
  <c r="B636" i="45"/>
  <c r="B239" i="49"/>
  <c r="A959" i="49"/>
  <c r="A119" i="32"/>
  <c r="B1055" i="49"/>
  <c r="A86" i="45"/>
  <c r="A1248" i="49"/>
  <c r="B678" i="45"/>
  <c r="B629" i="45"/>
  <c r="B589" i="45"/>
  <c r="A730" i="45"/>
  <c r="B940" i="49"/>
  <c r="M13" i="33"/>
  <c r="A19" i="49"/>
  <c r="A73" i="47"/>
  <c r="A246" i="45"/>
  <c r="B1032" i="45"/>
  <c r="A8325" i="20"/>
  <c r="B1136" i="45"/>
  <c r="A191" i="49"/>
  <c r="A333" i="32"/>
  <c r="B1088" i="45"/>
  <c r="B1095" i="45"/>
  <c r="B429" i="45"/>
  <c r="B544" i="49"/>
  <c r="A454" i="45"/>
  <c r="A371" i="45"/>
  <c r="M10" i="29"/>
  <c r="A316" i="32"/>
  <c r="B8" i="41"/>
  <c r="B619" i="49"/>
  <c r="B665" i="49"/>
  <c r="B9106" i="20"/>
  <c r="A8005" i="20"/>
  <c r="A4" i="46"/>
  <c r="B392" i="45"/>
  <c r="A321" i="45"/>
  <c r="A8892" i="20"/>
  <c r="A19" i="23"/>
  <c r="B7698" i="20"/>
  <c r="A1387" i="49"/>
  <c r="A675" i="45"/>
  <c r="A471" i="45"/>
  <c r="B761" i="45"/>
  <c r="B537" i="45"/>
  <c r="B887" i="45"/>
  <c r="B877" i="45"/>
  <c r="A322" i="32"/>
  <c r="A579" i="49"/>
  <c r="A1309" i="49"/>
  <c r="A1112" i="45"/>
  <c r="B81" i="45"/>
  <c r="B581" i="45"/>
  <c r="B673" i="45"/>
  <c r="A8786" i="20"/>
  <c r="B445" i="45"/>
  <c r="B1" i="41"/>
  <c r="B695" i="49"/>
  <c r="A105" i="50"/>
  <c r="A97" i="52"/>
  <c r="A855" i="45"/>
  <c r="A1481" i="49"/>
  <c r="A317" i="45"/>
  <c r="A539" i="49"/>
  <c r="B309" i="49"/>
  <c r="A758" i="49"/>
  <c r="A127" i="45"/>
  <c r="B163" i="52"/>
  <c r="A20" i="32"/>
  <c r="A391" i="45"/>
  <c r="B733" i="49"/>
  <c r="A285" i="49"/>
  <c r="A328" i="49"/>
  <c r="A1213" i="45"/>
  <c r="A142" i="52"/>
  <c r="A508" i="49"/>
  <c r="A241" i="49"/>
  <c r="A98" i="45"/>
  <c r="A1207" i="45"/>
  <c r="B384" i="45"/>
  <c r="A1161" i="45"/>
  <c r="A23" i="50"/>
  <c r="B166" i="50"/>
  <c r="B358" i="49"/>
  <c r="A637" i="49"/>
  <c r="B120" i="49"/>
  <c r="A8773" i="20"/>
  <c r="B444" i="49"/>
  <c r="A314" i="45"/>
  <c r="A1170" i="45"/>
  <c r="B576" i="49"/>
  <c r="A196" i="45"/>
  <c r="A621" i="45"/>
  <c r="B776" i="45"/>
  <c r="B2" i="40"/>
  <c r="B8039" i="20"/>
  <c r="A41" i="47"/>
  <c r="B8953" i="20"/>
  <c r="A8923" i="20"/>
  <c r="A878" i="45"/>
  <c r="B185" i="49"/>
  <c r="B374" i="45"/>
  <c r="A17" i="45"/>
  <c r="B539" i="45"/>
  <c r="A37" i="21"/>
  <c r="A8659" i="20"/>
  <c r="B372" i="49"/>
  <c r="M37" i="33"/>
  <c r="B1272" i="45"/>
  <c r="AH2" i="33"/>
  <c r="A580" i="45"/>
  <c r="A1198" i="45"/>
  <c r="A187" i="49"/>
  <c r="A1310" i="49"/>
  <c r="B1025" i="45"/>
  <c r="A743" i="49"/>
  <c r="A1169" i="45"/>
  <c r="A25" i="25"/>
  <c r="B876" i="45"/>
  <c r="A58" i="56"/>
  <c r="A736" i="49"/>
  <c r="A1268" i="45"/>
  <c r="A969" i="45"/>
  <c r="A130" i="45"/>
  <c r="B14" i="21"/>
  <c r="A240" i="32"/>
  <c r="A1" i="40"/>
  <c r="A8037" i="20"/>
  <c r="A901" i="45"/>
  <c r="A8549" i="20"/>
  <c r="A694" i="45"/>
  <c r="A281" i="45"/>
  <c r="A1274" i="45"/>
  <c r="A49" i="21"/>
  <c r="A183" i="45"/>
  <c r="A986" i="45"/>
  <c r="B1138" i="45"/>
  <c r="A8909" i="20"/>
  <c r="A8147" i="20"/>
  <c r="B841" i="45"/>
  <c r="B295" i="45"/>
  <c r="A13" i="56"/>
  <c r="A148" i="32"/>
  <c r="M44" i="33"/>
  <c r="A234" i="45"/>
  <c r="B1143" i="45"/>
  <c r="B1034" i="49"/>
  <c r="B1075" i="45"/>
  <c r="B81" i="52"/>
  <c r="B281" i="49"/>
  <c r="N61" i="33"/>
  <c r="A357" i="32"/>
  <c r="B1214" i="45"/>
  <c r="A1170" i="49"/>
  <c r="A905" i="49"/>
  <c r="B354" i="49"/>
  <c r="A940" i="49"/>
  <c r="A1436" i="49"/>
  <c r="B31" i="50"/>
  <c r="B194" i="49"/>
  <c r="B1152" i="45"/>
  <c r="B1106" i="45"/>
  <c r="B15" i="50"/>
  <c r="A227" i="49"/>
  <c r="B72" i="49"/>
  <c r="B42" i="49"/>
  <c r="B1152" i="49"/>
  <c r="A1306" i="45"/>
  <c r="A509" i="45"/>
  <c r="A8197" i="20"/>
  <c r="A1051" i="45"/>
  <c r="B1112" i="49"/>
  <c r="B1126" i="45"/>
  <c r="B656" i="45"/>
  <c r="B1401" i="49"/>
  <c r="B397" i="49"/>
  <c r="A208" i="50"/>
  <c r="A59" i="47"/>
  <c r="A382" i="45"/>
  <c r="B721" i="45"/>
  <c r="B460" i="45"/>
  <c r="A358" i="45"/>
  <c r="A9074" i="20"/>
  <c r="B1318" i="49"/>
  <c r="B1141" i="45"/>
  <c r="A7877" i="20"/>
  <c r="A957" i="49"/>
  <c r="A143" i="32"/>
  <c r="B1257" i="45"/>
  <c r="B701" i="45"/>
  <c r="B71" i="45"/>
  <c r="E12" i="29"/>
  <c r="B552" i="49"/>
  <c r="B7671" i="20"/>
  <c r="B575" i="49"/>
  <c r="A43" i="31"/>
  <c r="A8956" i="20"/>
  <c r="B1192" i="45"/>
  <c r="B86" i="45"/>
  <c r="A186" i="49"/>
  <c r="A267" i="49"/>
  <c r="A1" i="43"/>
  <c r="B704" i="49"/>
  <c r="B684" i="45"/>
  <c r="B865" i="45"/>
  <c r="B832" i="45"/>
  <c r="B148" i="45"/>
  <c r="B8647" i="20"/>
  <c r="B147" i="45"/>
  <c r="N52" i="33"/>
  <c r="A94" i="49"/>
  <c r="B661" i="49"/>
  <c r="B605" i="49"/>
  <c r="B979" i="45"/>
  <c r="B527" i="45"/>
  <c r="A77" i="49"/>
  <c r="A8860" i="20"/>
  <c r="B1238" i="49"/>
  <c r="A1032" i="45"/>
  <c r="A466" i="49"/>
  <c r="A74" i="49"/>
  <c r="A1" i="35"/>
  <c r="A774" i="49"/>
  <c r="A93" i="50"/>
  <c r="B16" i="50"/>
  <c r="A1008" i="45"/>
  <c r="B1261" i="49"/>
  <c r="A788" i="49"/>
  <c r="B144" i="45"/>
  <c r="A560" i="49"/>
  <c r="A10" i="28"/>
  <c r="B8697" i="20"/>
  <c r="A5" i="49"/>
  <c r="A112" i="49"/>
  <c r="N22" i="33"/>
  <c r="B8686" i="20"/>
  <c r="B580" i="49"/>
  <c r="B764" i="45"/>
  <c r="C44" i="21"/>
  <c r="B235" i="45"/>
  <c r="A857" i="45"/>
  <c r="A108" i="49"/>
  <c r="A8464" i="20"/>
  <c r="A669" i="49"/>
  <c r="A454" i="49"/>
  <c r="B319" i="45"/>
  <c r="A1224" i="49"/>
  <c r="A463" i="49"/>
  <c r="C49" i="21"/>
  <c r="A297" i="32"/>
  <c r="B732" i="49"/>
  <c r="B169" i="50"/>
  <c r="A193" i="45"/>
  <c r="A392" i="49"/>
  <c r="A569" i="45"/>
  <c r="B1189" i="45"/>
  <c r="B7150" i="20"/>
  <c r="B5" i="44"/>
  <c r="AI5" i="33"/>
  <c r="B4" i="30"/>
  <c r="A7888" i="20"/>
  <c r="A7722" i="20"/>
  <c r="B727" i="49"/>
  <c r="B464" i="45"/>
  <c r="B1135" i="45"/>
  <c r="A338" i="32"/>
  <c r="A319" i="32"/>
  <c r="A1304" i="45"/>
  <c r="B515" i="45"/>
  <c r="B904" i="45"/>
  <c r="A150" i="45"/>
  <c r="A1096" i="45"/>
  <c r="A173" i="50"/>
  <c r="B1291" i="45"/>
  <c r="B972" i="45"/>
  <c r="A586" i="49"/>
  <c r="A542" i="45"/>
  <c r="A866" i="49"/>
  <c r="C4" i="40"/>
  <c r="B1016" i="49"/>
  <c r="A1078" i="45"/>
  <c r="A784" i="45"/>
  <c r="A650" i="49"/>
  <c r="B143" i="52"/>
  <c r="A519" i="45"/>
  <c r="A53" i="50"/>
  <c r="A9117" i="20"/>
  <c r="B117" i="45"/>
  <c r="A75" i="45"/>
  <c r="A166" i="45"/>
  <c r="J5" i="33"/>
  <c r="A549" i="45"/>
  <c r="B7214" i="20"/>
  <c r="A8882" i="20"/>
  <c r="A231" i="49"/>
  <c r="A567" i="45"/>
  <c r="N7" i="33"/>
  <c r="B8793" i="20"/>
  <c r="B1096" i="45"/>
  <c r="B44" i="21"/>
  <c r="A63" i="52"/>
  <c r="A8437" i="20"/>
  <c r="A143" i="49"/>
  <c r="A241" i="32"/>
  <c r="B970" i="45"/>
  <c r="B6958" i="20"/>
  <c r="B718" i="45"/>
  <c r="B576" i="45"/>
  <c r="A1030" i="45"/>
  <c r="A328" i="32"/>
  <c r="A548" i="49"/>
  <c r="B806" i="45"/>
  <c r="B203" i="45"/>
  <c r="A41" i="49"/>
  <c r="A8785" i="20"/>
  <c r="B631" i="49"/>
  <c r="B1202" i="45"/>
  <c r="B582" i="45"/>
  <c r="M30" i="33"/>
  <c r="A1207" i="49"/>
  <c r="A501" i="49"/>
  <c r="B1139" i="45"/>
  <c r="A134" i="45"/>
  <c r="C8" i="43"/>
  <c r="B784" i="49"/>
  <c r="A8677" i="20"/>
  <c r="A546" i="45"/>
  <c r="A506" i="45"/>
  <c r="A118" i="45"/>
  <c r="A1244" i="49"/>
  <c r="A434" i="49"/>
  <c r="A1371" i="49"/>
  <c r="A304" i="49"/>
  <c r="A1093" i="45"/>
  <c r="A353" i="32"/>
  <c r="A7813" i="20"/>
  <c r="A229" i="49"/>
  <c r="A337" i="49"/>
  <c r="B1321" i="45"/>
  <c r="A252" i="49"/>
  <c r="B1147" i="45"/>
  <c r="B131" i="45"/>
  <c r="A11" i="32"/>
  <c r="B389" i="45"/>
  <c r="A313" i="32"/>
  <c r="B1153" i="45"/>
  <c r="B689" i="45"/>
  <c r="B663" i="45"/>
  <c r="A8841" i="20"/>
  <c r="A968" i="45"/>
  <c r="B6702" i="20"/>
  <c r="B206" i="45"/>
  <c r="B204" i="49"/>
  <c r="B650" i="45"/>
  <c r="A426" i="49"/>
  <c r="B420" i="45"/>
  <c r="A557" i="45"/>
  <c r="A665" i="45"/>
  <c r="B765" i="45"/>
  <c r="A12" i="56"/>
  <c r="B8135" i="20"/>
  <c r="B956" i="45"/>
  <c r="A8977" i="20"/>
  <c r="B8594" i="20"/>
  <c r="A1021" i="45"/>
  <c r="B822" i="45"/>
  <c r="A1089" i="45"/>
  <c r="A68" i="45"/>
  <c r="B325" i="45"/>
  <c r="A1" i="44"/>
  <c r="M32" i="33"/>
  <c r="A869" i="45"/>
  <c r="A1294" i="45"/>
  <c r="A221" i="49"/>
  <c r="A17" i="47"/>
  <c r="B558" i="49"/>
  <c r="A543" i="45"/>
  <c r="A329" i="49"/>
  <c r="B209" i="50"/>
  <c r="B143" i="45"/>
  <c r="B469" i="45"/>
  <c r="A301" i="49"/>
  <c r="A111" i="52"/>
  <c r="A886" i="49"/>
  <c r="A36" i="50"/>
  <c r="B128" i="45"/>
  <c r="B1082" i="45"/>
  <c r="A512" i="49"/>
  <c r="A28" i="49"/>
  <c r="A598" i="49"/>
  <c r="A8933" i="20"/>
  <c r="A287" i="45"/>
  <c r="B1052" i="49"/>
  <c r="B449" i="49"/>
  <c r="A9" i="25"/>
  <c r="B531" i="49"/>
  <c r="A941" i="49"/>
  <c r="A1039" i="45"/>
  <c r="B643" i="49"/>
  <c r="B1113" i="45"/>
  <c r="B242" i="49"/>
  <c r="B187" i="49"/>
  <c r="A824" i="49"/>
  <c r="B96" i="49"/>
  <c r="B323" i="45"/>
  <c r="A363" i="49"/>
  <c r="B1034" i="45"/>
  <c r="B181" i="45"/>
  <c r="A1165" i="45"/>
  <c r="B930" i="49"/>
  <c r="A1166" i="49"/>
  <c r="A433" i="45"/>
  <c r="A29" i="50"/>
  <c r="A118" i="50"/>
  <c r="A8817" i="20"/>
  <c r="B1282" i="45"/>
  <c r="B1079" i="45"/>
  <c r="A615" i="49"/>
  <c r="A479" i="45"/>
  <c r="B1149" i="45"/>
  <c r="A112" i="32"/>
  <c r="B987" i="45"/>
  <c r="A8924" i="20"/>
  <c r="B1074" i="45"/>
  <c r="B834" i="45"/>
  <c r="B8902" i="20"/>
  <c r="N3" i="29"/>
  <c r="B791" i="45"/>
  <c r="B10" i="37"/>
  <c r="B1" i="48"/>
  <c r="A361" i="45"/>
  <c r="A168" i="45"/>
  <c r="A9007" i="20"/>
  <c r="A49" i="25"/>
  <c r="A795" i="45"/>
  <c r="B1223" i="45"/>
  <c r="A1222" i="49"/>
  <c r="A1238" i="45"/>
  <c r="B10" i="50"/>
  <c r="B700" i="49"/>
  <c r="B1291" i="49"/>
  <c r="A846" i="45"/>
  <c r="B425" i="49"/>
  <c r="M33" i="33"/>
  <c r="A906" i="45"/>
  <c r="A747" i="49"/>
  <c r="B8814" i="20"/>
  <c r="B8794" i="20"/>
  <c r="B7" i="45"/>
  <c r="B1284" i="49"/>
  <c r="A726" i="45"/>
  <c r="B77" i="45"/>
  <c r="A1274" i="49"/>
  <c r="A6" i="45"/>
  <c r="A82" i="32"/>
  <c r="B13" i="43"/>
  <c r="B815" i="45"/>
  <c r="A39" i="32"/>
  <c r="AL2" i="29"/>
  <c r="B520" i="45"/>
  <c r="A228" i="32"/>
  <c r="A1254" i="49"/>
  <c r="A10" i="31"/>
  <c r="A8157" i="20"/>
  <c r="A276" i="45"/>
  <c r="B423" i="45"/>
  <c r="B564" i="45"/>
  <c r="A1298" i="45"/>
  <c r="A626" i="45"/>
  <c r="A23" i="21"/>
  <c r="B708" i="45"/>
  <c r="N11" i="33"/>
  <c r="B1209" i="45"/>
  <c r="A248" i="32"/>
  <c r="A1360" i="49"/>
  <c r="B933" i="49"/>
  <c r="M4" i="33"/>
  <c r="B8722" i="20"/>
  <c r="A8048" i="20"/>
  <c r="B378" i="49"/>
  <c r="A3" i="48"/>
  <c r="B103" i="52"/>
  <c r="B839" i="49"/>
  <c r="A702" i="49"/>
  <c r="A45" i="47"/>
  <c r="B6" i="35"/>
  <c r="A287" i="32"/>
  <c r="A207" i="32"/>
  <c r="A50" i="47"/>
  <c r="A11" i="49"/>
  <c r="A504" i="45"/>
  <c r="A464" i="45"/>
  <c r="B1494" i="49"/>
  <c r="B1252" i="45"/>
  <c r="B1305" i="45"/>
  <c r="A1132" i="45"/>
  <c r="B1312" i="49"/>
  <c r="B1204" i="45"/>
  <c r="B1203" i="45"/>
  <c r="M46" i="33"/>
  <c r="A434" i="45"/>
  <c r="B1379" i="49"/>
  <c r="B279" i="45"/>
  <c r="A19" i="47"/>
  <c r="A1" i="36"/>
  <c r="B468" i="45"/>
  <c r="B99" i="49"/>
  <c r="A8917" i="20"/>
  <c r="B516" i="45"/>
  <c r="A309" i="45"/>
  <c r="B649" i="45"/>
  <c r="A69" i="52"/>
  <c r="B1114" i="45"/>
  <c r="M49" i="33"/>
  <c r="A8914" i="20"/>
  <c r="B196" i="45"/>
  <c r="A9" i="37"/>
  <c r="E7" i="29"/>
  <c r="B413" i="45"/>
  <c r="A13" i="31"/>
  <c r="B8666" i="20"/>
  <c r="A202" i="49"/>
  <c r="B401" i="45"/>
  <c r="A350" i="49"/>
  <c r="A8400" i="20"/>
  <c r="B8970" i="20"/>
  <c r="A8240" i="20"/>
  <c r="B7494" i="20"/>
  <c r="B980" i="49"/>
  <c r="B1089" i="45"/>
  <c r="B662" i="45"/>
  <c r="A223" i="32"/>
  <c r="B409" i="45"/>
  <c r="B126" i="49"/>
  <c r="A1150" i="49"/>
  <c r="B16" i="37"/>
  <c r="B681" i="45"/>
  <c r="A844" i="45"/>
  <c r="A995" i="45"/>
  <c r="B215" i="45"/>
  <c r="A423" i="45"/>
  <c r="A396" i="49"/>
  <c r="A220" i="45"/>
  <c r="A99" i="49"/>
  <c r="B387" i="45"/>
  <c r="A63" i="49"/>
  <c r="B7622" i="20"/>
  <c r="B8511" i="20"/>
  <c r="A980" i="45"/>
  <c r="A8320" i="20"/>
  <c r="B42" i="45"/>
  <c r="N40" i="33"/>
  <c r="A239" i="50"/>
  <c r="B182" i="45"/>
  <c r="B560" i="45"/>
  <c r="A279" i="49"/>
  <c r="A1023" i="49"/>
  <c r="B137" i="50"/>
  <c r="B451" i="49"/>
  <c r="B946" i="49"/>
  <c r="A611" i="49"/>
  <c r="A260" i="49"/>
  <c r="B1058" i="49"/>
  <c r="B1216" i="49"/>
  <c r="A167" i="45"/>
  <c r="B8218" i="20"/>
  <c r="A575" i="45"/>
  <c r="B1227" i="45"/>
  <c r="A1269" i="49"/>
  <c r="B745" i="49"/>
  <c r="A452" i="49"/>
  <c r="A775" i="49"/>
  <c r="B250" i="50"/>
  <c r="B343" i="49"/>
  <c r="B716" i="45"/>
  <c r="A1476" i="49"/>
  <c r="B924" i="45"/>
  <c r="A9" i="48"/>
  <c r="A307" i="49"/>
  <c r="A27" i="47"/>
  <c r="A617" i="45"/>
  <c r="B7943" i="20"/>
  <c r="B25" i="56"/>
  <c r="B60" i="49"/>
  <c r="A1338" i="49"/>
  <c r="B1183" i="49"/>
  <c r="A421" i="49"/>
  <c r="B17" i="49"/>
  <c r="A768" i="49"/>
  <c r="B8857" i="20"/>
  <c r="A112" i="45"/>
  <c r="B197" i="49"/>
  <c r="B239" i="45"/>
  <c r="B455" i="45"/>
  <c r="A409" i="45"/>
  <c r="A917" i="49"/>
  <c r="A346" i="49"/>
  <c r="A941" i="45"/>
  <c r="B7110" i="20"/>
  <c r="B430" i="45"/>
  <c r="B7999" i="20"/>
  <c r="A181" i="45"/>
  <c r="A448" i="45"/>
  <c r="A8669" i="20"/>
  <c r="A467" i="49"/>
  <c r="A1003" i="45"/>
  <c r="B9016" i="20"/>
  <c r="N12" i="33"/>
  <c r="A60" i="32"/>
  <c r="B848" i="45"/>
  <c r="B551" i="49"/>
  <c r="B1142" i="49"/>
  <c r="F3" i="33"/>
  <c r="B904" i="49"/>
  <c r="B1181" i="45"/>
  <c r="B2" i="37"/>
  <c r="B107" i="45"/>
  <c r="A1038" i="45"/>
  <c r="A413" i="45"/>
  <c r="A428" i="45"/>
  <c r="A1057" i="45"/>
  <c r="B7815" i="20"/>
  <c r="A11" i="27"/>
  <c r="B78" i="49"/>
  <c r="B173" i="45"/>
  <c r="A966" i="45"/>
  <c r="A8957" i="20"/>
  <c r="A960" i="45"/>
  <c r="A1242" i="45"/>
  <c r="A495" i="45"/>
  <c r="A7628" i="20"/>
  <c r="A53" i="25"/>
  <c r="A8509" i="20"/>
  <c r="B276" i="45"/>
  <c r="B403" i="45"/>
  <c r="B381" i="45"/>
  <c r="C37" i="21"/>
  <c r="B437" i="49"/>
  <c r="A9092" i="20"/>
  <c r="A7909" i="20"/>
  <c r="B1008" i="45"/>
  <c r="A365" i="45"/>
  <c r="A300" i="45"/>
  <c r="A638" i="45"/>
  <c r="B536" i="45"/>
  <c r="B1115" i="45"/>
  <c r="A472" i="45"/>
  <c r="A1261" i="45"/>
  <c r="A1156" i="45"/>
  <c r="B163" i="45"/>
  <c r="B1263" i="45"/>
  <c r="B1259" i="49"/>
  <c r="A358" i="49"/>
  <c r="A606" i="49"/>
  <c r="A8739" i="20"/>
  <c r="A51" i="56"/>
  <c r="B1228" i="49"/>
  <c r="B1323" i="45"/>
  <c r="B101" i="50"/>
  <c r="A620" i="49"/>
  <c r="A9067" i="20"/>
  <c r="A369" i="49"/>
  <c r="B341" i="49"/>
  <c r="A285" i="45"/>
  <c r="B150" i="49"/>
  <c r="A315" i="49"/>
  <c r="A856" i="45"/>
  <c r="B338" i="45"/>
  <c r="A341" i="45"/>
  <c r="B501" i="49"/>
  <c r="A933" i="45"/>
  <c r="B1013" i="45"/>
  <c r="A88" i="45"/>
  <c r="B279" i="49"/>
  <c r="B948" i="45"/>
  <c r="A117" i="45"/>
  <c r="B832" i="49"/>
  <c r="B1107" i="45"/>
  <c r="A201" i="32"/>
  <c r="A894" i="49"/>
  <c r="B7962" i="20"/>
  <c r="A8997" i="20"/>
  <c r="B1207" i="45"/>
  <c r="B332" i="45"/>
  <c r="A716" i="45"/>
  <c r="A208" i="32"/>
  <c r="A323" i="49"/>
  <c r="A1292" i="45"/>
  <c r="B189" i="45"/>
  <c r="A607" i="45"/>
  <c r="A1159" i="45"/>
  <c r="B7534" i="20"/>
  <c r="A461" i="45"/>
  <c r="B11" i="41"/>
  <c r="N28" i="33"/>
  <c r="B911" i="49"/>
  <c r="A8424" i="20"/>
  <c r="B635" i="45"/>
  <c r="A9085" i="20"/>
  <c r="A1041" i="45"/>
  <c r="A1158" i="45"/>
  <c r="B8760" i="20"/>
  <c r="B963" i="45"/>
  <c r="B259" i="45"/>
  <c r="B9" i="49"/>
  <c r="B7903" i="20"/>
  <c r="B9" i="48"/>
  <c r="B992" i="45"/>
  <c r="A7808" i="20"/>
  <c r="A1114" i="45"/>
  <c r="B906" i="45"/>
  <c r="A894" i="45"/>
  <c r="A3" i="45"/>
  <c r="A3" i="43"/>
  <c r="A1266" i="49"/>
  <c r="B845" i="45"/>
  <c r="B8375" i="20"/>
  <c r="N16" i="29"/>
  <c r="B1174" i="45"/>
  <c r="A1214" i="45"/>
  <c r="A8756" i="20"/>
  <c r="A8746" i="20"/>
  <c r="A465" i="49"/>
  <c r="A1230" i="45"/>
  <c r="AL3" i="33"/>
  <c r="B4" i="44"/>
  <c r="B9031" i="20"/>
  <c r="B1109" i="45"/>
  <c r="A17" i="25"/>
  <c r="A8772" i="20"/>
  <c r="A15" i="23"/>
  <c r="A167" i="32"/>
  <c r="B9127" i="20"/>
  <c r="A998" i="45"/>
  <c r="A92" i="32"/>
  <c r="A22" i="45"/>
  <c r="A422" i="45"/>
  <c r="B1003" i="45"/>
  <c r="M24" i="29"/>
  <c r="B8517" i="20"/>
  <c r="B7638" i="20"/>
  <c r="A4" i="25"/>
  <c r="B7906" i="20"/>
  <c r="B9076" i="20"/>
  <c r="E3" i="33"/>
  <c r="B6793" i="20"/>
  <c r="B6799" i="20"/>
  <c r="B6741" i="20"/>
  <c r="A360" i="32"/>
  <c r="B6785" i="20"/>
  <c r="B6791" i="20"/>
  <c r="B6733" i="20"/>
  <c r="A553" i="45"/>
  <c r="A352" i="45"/>
  <c r="A2" i="28"/>
  <c r="B8477" i="20"/>
  <c r="B7574" i="20"/>
  <c r="C48" i="21"/>
  <c r="B772" i="45"/>
  <c r="B8785" i="20"/>
  <c r="A1263" i="49"/>
  <c r="B930" i="45"/>
  <c r="A8512" i="20"/>
  <c r="B8866" i="20"/>
  <c r="A1027" i="45"/>
  <c r="B8351" i="20"/>
  <c r="A839" i="49"/>
  <c r="B1261" i="45"/>
  <c r="A8053" i="20"/>
  <c r="A8708" i="20"/>
  <c r="A8200" i="20"/>
  <c r="A377" i="32"/>
  <c r="A85" i="50"/>
  <c r="A8110" i="20"/>
  <c r="B8205" i="20"/>
  <c r="A8577" i="20"/>
  <c r="B8855" i="20"/>
  <c r="B8027" i="20"/>
  <c r="A8444" i="20"/>
  <c r="A5118" i="20"/>
  <c r="A5124" i="20"/>
  <c r="A5066" i="20"/>
  <c r="A8436" i="20"/>
  <c r="A5110" i="20"/>
  <c r="A5116" i="20"/>
  <c r="A5058" i="20"/>
  <c r="A8072" i="20"/>
  <c r="A9069" i="20"/>
  <c r="A987" i="45"/>
  <c r="B658" i="49"/>
  <c r="A275" i="32"/>
  <c r="A7731" i="20"/>
  <c r="A1238" i="49"/>
  <c r="B7863" i="20"/>
  <c r="B1049" i="49"/>
  <c r="B9" i="37"/>
  <c r="A258" i="32"/>
  <c r="A7827" i="20"/>
  <c r="A417" i="49"/>
  <c r="B8841" i="20"/>
  <c r="A531" i="45"/>
  <c r="B8849" i="20"/>
  <c r="A7733" i="20"/>
  <c r="A39" i="25"/>
  <c r="B8096" i="20"/>
  <c r="A62" i="32"/>
  <c r="B8451" i="20"/>
  <c r="A24" i="25"/>
  <c r="B8941" i="20"/>
  <c r="A8305" i="20"/>
  <c r="A6014" i="20"/>
  <c r="A6020" i="20"/>
  <c r="A5962" i="20"/>
  <c r="A8297" i="20"/>
  <c r="A6006" i="20"/>
  <c r="A6012" i="20"/>
  <c r="A5954" i="20"/>
  <c r="B8721" i="20"/>
  <c r="B8426" i="20"/>
  <c r="A39" i="21"/>
  <c r="B8056" i="20"/>
  <c r="N10" i="33"/>
  <c r="C2" i="29"/>
  <c r="A139" i="52"/>
  <c r="A243" i="49"/>
  <c r="B8042" i="20"/>
  <c r="A344" i="45"/>
  <c r="B211" i="50"/>
  <c r="B8607" i="20"/>
  <c r="B7880" i="20"/>
  <c r="B353" i="49"/>
  <c r="A8565" i="20"/>
  <c r="A57" i="21"/>
  <c r="B8242" i="20"/>
  <c r="A32" i="45"/>
  <c r="B7959" i="20"/>
  <c r="A8366" i="20"/>
  <c r="B8549" i="20"/>
  <c r="B7811" i="20"/>
  <c r="A43" i="21"/>
  <c r="B8283" i="20"/>
  <c r="B7974" i="20"/>
  <c r="A5374" i="20"/>
  <c r="A14" i="31"/>
  <c r="A263" i="45"/>
  <c r="B57" i="45"/>
  <c r="B56" i="49"/>
  <c r="B924" i="49"/>
  <c r="B1481" i="49"/>
  <c r="A1262" i="49"/>
  <c r="A1083" i="45"/>
  <c r="A1187" i="49"/>
  <c r="A375" i="49"/>
  <c r="A180" i="49"/>
  <c r="B771" i="45"/>
  <c r="B52" i="45"/>
  <c r="A188" i="45"/>
  <c r="N21" i="33"/>
  <c r="B134" i="45"/>
  <c r="A797" i="45"/>
  <c r="A191" i="32"/>
  <c r="A7920" i="20"/>
  <c r="A180" i="45"/>
  <c r="A7792" i="20"/>
  <c r="A54" i="25"/>
  <c r="D15" i="43"/>
  <c r="A669" i="45"/>
  <c r="B967" i="45"/>
  <c r="AM3" i="33"/>
  <c r="A9109" i="20"/>
  <c r="B341" i="45"/>
  <c r="B8072" i="20"/>
  <c r="B315" i="45"/>
  <c r="A6" i="28"/>
  <c r="A949" i="45"/>
  <c r="B219" i="49"/>
  <c r="A269" i="32"/>
  <c r="A189" i="32"/>
  <c r="B671" i="45"/>
  <c r="A12" i="49"/>
  <c r="B274" i="45"/>
  <c r="A113" i="32"/>
  <c r="A8732" i="20"/>
  <c r="A311" i="32"/>
  <c r="B712" i="45"/>
  <c r="A22" i="52"/>
  <c r="B432" i="49"/>
  <c r="B1278" i="45"/>
  <c r="B8442" i="20"/>
  <c r="B1224" i="45"/>
  <c r="A185" i="32"/>
  <c r="N37" i="33"/>
  <c r="B8359" i="20"/>
  <c r="A165" i="45"/>
  <c r="A8296" i="20"/>
  <c r="B1474" i="49"/>
  <c r="B1195" i="45"/>
  <c r="A277" i="32"/>
  <c r="B104" i="45"/>
  <c r="B48" i="45"/>
  <c r="B840" i="45"/>
  <c r="B317" i="45"/>
  <c r="C22" i="21"/>
  <c r="A16" i="21"/>
  <c r="A1380" i="49"/>
  <c r="B907" i="49"/>
  <c r="A8373" i="20"/>
  <c r="A9028" i="20"/>
  <c r="A228" i="49"/>
  <c r="B637" i="45"/>
  <c r="A55" i="25"/>
  <c r="A35" i="25"/>
  <c r="A1309" i="45"/>
  <c r="B157" i="45"/>
  <c r="A826" i="49"/>
  <c r="A9129" i="20"/>
  <c r="B8373" i="20"/>
  <c r="A162" i="49"/>
  <c r="B18" i="45"/>
  <c r="B8495" i="20"/>
  <c r="B8" i="21"/>
  <c r="B17" i="37"/>
  <c r="B8469" i="20"/>
  <c r="B4" i="37"/>
  <c r="B793" i="45"/>
  <c r="Y5" i="33"/>
  <c r="A64" i="32"/>
  <c r="A605" i="45"/>
  <c r="N21" i="29"/>
  <c r="B7837" i="20"/>
  <c r="A7644" i="20"/>
  <c r="A8728" i="20"/>
  <c r="B7550" i="20"/>
  <c r="B43" i="21"/>
  <c r="A8840" i="20"/>
  <c r="A7307" i="20"/>
  <c r="A7313" i="20"/>
  <c r="A7255" i="20"/>
  <c r="B8921" i="20"/>
  <c r="A768" i="45"/>
  <c r="B191" i="49"/>
  <c r="D8" i="43"/>
  <c r="B961" i="45"/>
  <c r="A731" i="49"/>
  <c r="B1077" i="45"/>
  <c r="A1377" i="49"/>
  <c r="B376" i="45"/>
  <c r="A815" i="45"/>
  <c r="A111" i="32"/>
  <c r="A1007" i="49"/>
  <c r="B7246" i="20"/>
  <c r="B8889" i="20"/>
  <c r="A8531" i="20"/>
  <c r="A127" i="49"/>
  <c r="A710" i="45"/>
  <c r="C1" i="43"/>
  <c r="A328" i="45"/>
  <c r="B1236" i="49"/>
  <c r="B145" i="45"/>
  <c r="A833" i="45"/>
  <c r="A1210" i="45"/>
  <c r="B6726" i="20"/>
  <c r="B93" i="45"/>
  <c r="A1020" i="45"/>
  <c r="A8755" i="20"/>
  <c r="A8699" i="20"/>
  <c r="B275" i="49"/>
  <c r="A297" i="45"/>
  <c r="A8637" i="20"/>
  <c r="A8627" i="20"/>
  <c r="A773" i="45"/>
  <c r="A40" i="45"/>
  <c r="B642" i="49"/>
  <c r="A644" i="49"/>
  <c r="B9042" i="20"/>
  <c r="A637" i="45"/>
  <c r="B7711" i="20"/>
  <c r="B7701" i="20"/>
  <c r="A54" i="49"/>
  <c r="A488" i="45"/>
  <c r="A132" i="49"/>
  <c r="A8916" i="20"/>
  <c r="B8296" i="20"/>
  <c r="A81" i="47"/>
  <c r="A8117" i="20"/>
  <c r="A452" i="45"/>
  <c r="C1" i="21"/>
  <c r="B1" i="21"/>
  <c r="B8392" i="20"/>
  <c r="B305" i="49"/>
  <c r="B8311" i="20"/>
  <c r="A9079" i="20"/>
  <c r="B7807" i="20"/>
  <c r="A895" i="49"/>
  <c r="B8745" i="20"/>
  <c r="B7768" i="20"/>
  <c r="B9079" i="20"/>
  <c r="B8195" i="20"/>
  <c r="A8738" i="20"/>
  <c r="B8667" i="20"/>
  <c r="A7793" i="20"/>
  <c r="A5758" i="20"/>
  <c r="A5764" i="20"/>
  <c r="A5706" i="20"/>
  <c r="A7785" i="20"/>
  <c r="A5750" i="20"/>
  <c r="A5756" i="20"/>
  <c r="A5698" i="20"/>
  <c r="B7679" i="20"/>
  <c r="A1192" i="49"/>
  <c r="B8663" i="20"/>
  <c r="B7736" i="20"/>
  <c r="B9039" i="20"/>
  <c r="B8163" i="20"/>
  <c r="A8624" i="20"/>
  <c r="A8392" i="20"/>
  <c r="B31" i="45"/>
  <c r="A18" i="45"/>
  <c r="B488" i="45"/>
  <c r="B756" i="45"/>
  <c r="A128" i="45"/>
  <c r="A8488" i="20"/>
  <c r="B415" i="45"/>
  <c r="A1062" i="45"/>
  <c r="A402" i="45"/>
  <c r="B38" i="21"/>
  <c r="A475" i="49"/>
  <c r="A1140" i="45"/>
  <c r="A8365" i="20"/>
  <c r="B226" i="45"/>
  <c r="A8518" i="20"/>
  <c r="A8460" i="20"/>
  <c r="B8080" i="20"/>
  <c r="B7950" i="20"/>
  <c r="A9102" i="20"/>
  <c r="A9126" i="20"/>
  <c r="A8894" i="20"/>
  <c r="B7112" i="20"/>
  <c r="A9070" i="20"/>
  <c r="A9094" i="20"/>
  <c r="A8862" i="20"/>
  <c r="B348" i="45"/>
  <c r="B205" i="49"/>
  <c r="A948" i="45"/>
  <c r="A8277" i="20"/>
  <c r="B8846" i="20"/>
  <c r="A7741" i="20"/>
  <c r="A18" i="48"/>
  <c r="E12" i="33"/>
  <c r="A53" i="47"/>
  <c r="A25" i="49"/>
  <c r="A682" i="45"/>
  <c r="A7837" i="20"/>
  <c r="A447" i="49"/>
  <c r="A202" i="45"/>
  <c r="B430" i="49"/>
  <c r="B1135" i="49"/>
  <c r="B8839" i="20"/>
  <c r="A34" i="32"/>
  <c r="M73" i="33"/>
  <c r="B6924" i="20"/>
  <c r="B8640" i="20"/>
  <c r="B8374" i="20"/>
  <c r="A8323" i="20"/>
  <c r="A7897" i="20"/>
  <c r="B6986" i="20"/>
  <c r="B5925" i="20"/>
  <c r="B5931" i="20"/>
  <c r="B5873" i="20"/>
  <c r="B6978" i="20"/>
  <c r="B5917" i="20"/>
  <c r="B5923" i="20"/>
  <c r="B5865" i="20"/>
  <c r="B8711" i="20"/>
  <c r="A12" i="21"/>
  <c r="A17" i="32"/>
  <c r="B6892" i="20"/>
  <c r="B7719" i="20"/>
  <c r="B7794" i="20"/>
  <c r="A588" i="45"/>
  <c r="A84" i="45"/>
  <c r="A826" i="45"/>
  <c r="A3" i="39"/>
  <c r="B1155" i="45"/>
  <c r="B7890" i="20"/>
  <c r="B975" i="45"/>
  <c r="A1128" i="45"/>
  <c r="A468" i="45"/>
  <c r="B920" i="45"/>
  <c r="B8232" i="20"/>
  <c r="A274" i="45"/>
  <c r="B9057" i="20"/>
  <c r="A515" i="45"/>
  <c r="B7792" i="20"/>
  <c r="B7734" i="20"/>
  <c r="B8416" i="20"/>
  <c r="B8206" i="20"/>
  <c r="F12" i="33"/>
  <c r="N57" i="33"/>
  <c r="A988" i="45"/>
  <c r="A471" i="49"/>
  <c r="A225" i="45"/>
  <c r="B210" i="45"/>
  <c r="B19" i="48"/>
  <c r="A502" i="45"/>
  <c r="A61" i="47"/>
  <c r="B704" i="45"/>
  <c r="B610" i="49"/>
  <c r="B501" i="45"/>
  <c r="B3" i="48"/>
  <c r="A55" i="47"/>
  <c r="B1279" i="45"/>
  <c r="A1123" i="45"/>
  <c r="B393" i="49"/>
  <c r="B94" i="45"/>
  <c r="B75" i="45"/>
  <c r="A1116" i="49"/>
  <c r="A303" i="32"/>
  <c r="B598" i="45"/>
  <c r="B6" i="55"/>
  <c r="A331" i="45"/>
  <c r="B267" i="49"/>
  <c r="A1056" i="45"/>
  <c r="A1" i="30"/>
  <c r="B1027" i="45"/>
  <c r="A8517" i="20"/>
  <c r="A243" i="45"/>
  <c r="A210" i="45"/>
  <c r="A178" i="45"/>
  <c r="B862" i="45"/>
  <c r="A9065" i="20"/>
  <c r="N60" i="33"/>
  <c r="B9073" i="20"/>
  <c r="B9063" i="20"/>
  <c r="A478" i="49"/>
  <c r="B162" i="49"/>
  <c r="A8181" i="20"/>
  <c r="A8836" i="20"/>
  <c r="B193" i="49"/>
  <c r="B8474" i="20"/>
  <c r="N34" i="29"/>
  <c r="B989" i="45"/>
  <c r="A1224" i="45"/>
  <c r="A109" i="45"/>
  <c r="B6830" i="20"/>
  <c r="A44" i="45"/>
  <c r="B462" i="45"/>
  <c r="A3" i="40"/>
  <c r="A776" i="49"/>
  <c r="A467" i="45"/>
  <c r="A427" i="45"/>
  <c r="B1232" i="45"/>
  <c r="A524" i="49"/>
  <c r="A343" i="32"/>
  <c r="A197" i="45"/>
  <c r="B68" i="49"/>
  <c r="B63" i="49"/>
  <c r="A8845" i="20"/>
  <c r="A8125" i="20"/>
  <c r="A8115" i="20"/>
  <c r="A148" i="45"/>
  <c r="A326" i="45"/>
  <c r="B6" i="37"/>
  <c r="B214" i="49"/>
  <c r="A8859" i="20"/>
  <c r="C19" i="21"/>
  <c r="A8221" i="20"/>
  <c r="A8211" i="20"/>
  <c r="A532" i="45"/>
  <c r="B860" i="45"/>
  <c r="A776" i="45"/>
  <c r="B8913" i="20"/>
  <c r="A873" i="49"/>
  <c r="A393" i="49"/>
  <c r="B7786" i="20"/>
  <c r="A1050" i="45"/>
  <c r="A483" i="49"/>
  <c r="B8479" i="20"/>
  <c r="A28" i="56"/>
  <c r="A783" i="45"/>
  <c r="A8309" i="20"/>
  <c r="A8964" i="20"/>
  <c r="B7730" i="20"/>
  <c r="A294" i="45"/>
  <c r="B7703" i="20"/>
  <c r="A8238" i="20"/>
  <c r="B8381" i="20"/>
  <c r="B7683" i="20"/>
  <c r="B9023" i="20"/>
  <c r="B8155" i="20"/>
  <c r="B7718" i="20"/>
  <c r="A5246" i="20"/>
  <c r="B8346" i="20"/>
  <c r="A874" i="45"/>
  <c r="A1320" i="49"/>
  <c r="B528" i="45"/>
  <c r="B8584" i="20"/>
  <c r="A223" i="45"/>
  <c r="A1305" i="45"/>
  <c r="B6" i="45"/>
  <c r="F13" i="33"/>
  <c r="A7" i="23"/>
  <c r="B835" i="45"/>
  <c r="B339" i="45"/>
  <c r="A1049" i="45"/>
  <c r="B584" i="45"/>
  <c r="B810" i="45"/>
  <c r="B616" i="45"/>
  <c r="B8824" i="20"/>
  <c r="B632" i="45"/>
  <c r="B9134" i="20"/>
  <c r="B1071" i="45"/>
  <c r="B105" i="45"/>
  <c r="A329" i="32"/>
  <c r="A295" i="32"/>
  <c r="A8938" i="20"/>
  <c r="A83" i="49"/>
  <c r="A348" i="32"/>
  <c r="A334" i="45"/>
  <c r="A30" i="31"/>
  <c r="A4" i="27"/>
  <c r="A662" i="45"/>
  <c r="A8520" i="20"/>
  <c r="B835" i="49"/>
  <c r="B1086" i="45"/>
  <c r="B566" i="45"/>
  <c r="A265" i="45"/>
  <c r="B32" i="45"/>
  <c r="A2" i="37"/>
  <c r="B940" i="45"/>
  <c r="A8616" i="20"/>
  <c r="A836" i="49"/>
  <c r="C1" i="49"/>
  <c r="A215" i="45"/>
  <c r="A9" i="27"/>
  <c r="B8306" i="20"/>
  <c r="A439" i="49"/>
  <c r="B1294" i="49"/>
  <c r="A288" i="45"/>
  <c r="A890" i="45"/>
  <c r="B125" i="45"/>
  <c r="B8402" i="20"/>
  <c r="A1023" i="45"/>
  <c r="A1391" i="49"/>
  <c r="B1377" i="49"/>
  <c r="B807" i="49"/>
  <c r="B7797" i="20"/>
  <c r="B860" i="49"/>
  <c r="N73" i="33"/>
  <c r="A7718" i="20"/>
  <c r="B8304" i="20"/>
  <c r="B8118" i="20"/>
  <c r="A7979" i="20"/>
  <c r="B8590" i="20"/>
  <c r="B6730" i="20"/>
  <c r="B5669" i="20"/>
  <c r="B5675" i="20"/>
  <c r="B5617" i="20"/>
  <c r="B6722" i="20"/>
  <c r="B5661" i="20"/>
  <c r="B5667" i="20"/>
  <c r="B5609" i="20"/>
  <c r="B7669" i="20"/>
  <c r="A820" i="49"/>
  <c r="A7" i="32"/>
  <c r="B7668" i="20"/>
  <c r="B8256" i="20"/>
  <c r="B8086" i="20"/>
  <c r="B854" i="45"/>
  <c r="A8847" i="20"/>
  <c r="B47" i="49"/>
  <c r="B54" i="45"/>
  <c r="A9113" i="20"/>
  <c r="B475" i="45"/>
  <c r="B1" i="35"/>
  <c r="A16" i="23"/>
  <c r="B1146" i="45"/>
  <c r="B438" i="45"/>
  <c r="C39" i="21"/>
  <c r="B7975" i="20"/>
  <c r="B811" i="45"/>
  <c r="A8955" i="20"/>
  <c r="M9" i="29"/>
  <c r="A28" i="25"/>
  <c r="A654" i="45"/>
  <c r="A369" i="32"/>
  <c r="B6908" i="20"/>
  <c r="A32" i="21"/>
  <c r="A7134" i="20"/>
  <c r="A7140" i="20"/>
  <c r="A7082" i="20"/>
  <c r="B5" i="21"/>
  <c r="A7126" i="20"/>
  <c r="A7132" i="20"/>
  <c r="A7074" i="20"/>
  <c r="A8485" i="20"/>
  <c r="A296" i="45"/>
  <c r="A8827" i="20"/>
  <c r="B9112" i="20"/>
  <c r="A492" i="45"/>
  <c r="B6822" i="20"/>
  <c r="B1423" i="49"/>
  <c r="B240" i="45"/>
  <c r="B2" i="21"/>
  <c r="A628" i="45"/>
  <c r="A4" i="43"/>
  <c r="B6918" i="20"/>
  <c r="B1302" i="49"/>
  <c r="B624" i="45"/>
  <c r="B809" i="45"/>
  <c r="B261" i="45"/>
  <c r="A814" i="49"/>
  <c r="A8757" i="20"/>
  <c r="B7326" i="20"/>
  <c r="A81" i="49"/>
  <c r="B7332" i="20"/>
  <c r="A892" i="45"/>
  <c r="A7838" i="20"/>
  <c r="A135" i="32"/>
  <c r="A8450" i="20"/>
  <c r="A8474" i="20"/>
  <c r="A8242" i="20"/>
  <c r="B849" i="45"/>
  <c r="A8418" i="20"/>
  <c r="A8442" i="20"/>
  <c r="A8210" i="20"/>
  <c r="A1240" i="45"/>
  <c r="A1336" i="49"/>
  <c r="N69" i="33"/>
  <c r="B7262" i="20"/>
  <c r="A318" i="45"/>
  <c r="M41" i="33"/>
  <c r="B522" i="45"/>
  <c r="B7" i="49"/>
  <c r="B561" i="45"/>
  <c r="B292" i="45"/>
  <c r="A1052" i="45"/>
  <c r="A8979" i="20"/>
  <c r="A171" i="45"/>
  <c r="A448" i="49"/>
  <c r="B1121" i="45"/>
  <c r="B41" i="21"/>
  <c r="Z4" i="33"/>
  <c r="B853" i="45"/>
  <c r="B502" i="45"/>
  <c r="B490" i="45"/>
  <c r="B8822" i="20"/>
  <c r="B6692" i="20"/>
  <c r="A133" i="32"/>
  <c r="B7164" i="20"/>
  <c r="A21" i="21"/>
  <c r="A7390" i="20"/>
  <c r="A7396" i="20"/>
  <c r="B753" i="45"/>
  <c r="B291" i="49"/>
  <c r="A185" i="45"/>
  <c r="B1133" i="49"/>
  <c r="A984" i="49"/>
  <c r="A48" i="56"/>
  <c r="A249" i="45"/>
  <c r="B1218" i="45"/>
  <c r="A158" i="45"/>
  <c r="A2" i="44"/>
  <c r="A1094" i="49"/>
  <c r="A12" i="25"/>
  <c r="A1221" i="45"/>
  <c r="B9" i="39"/>
  <c r="A196" i="49"/>
  <c r="A1330" i="49"/>
  <c r="B35" i="45"/>
  <c r="A805" i="45"/>
  <c r="B241" i="45"/>
  <c r="B8391" i="20"/>
  <c r="B966" i="45"/>
  <c r="A765" i="45"/>
  <c r="A264" i="32"/>
  <c r="B9132" i="20"/>
  <c r="A655" i="45"/>
  <c r="B476" i="45"/>
  <c r="A295" i="49"/>
  <c r="O74" i="33"/>
  <c r="B8690" i="20"/>
  <c r="A52" i="49"/>
  <c r="B9036" i="20"/>
  <c r="B1035" i="45"/>
  <c r="A52" i="32"/>
  <c r="A8029" i="20"/>
  <c r="A8019" i="20"/>
  <c r="B743" i="45"/>
  <c r="A800" i="45"/>
  <c r="A934" i="45"/>
  <c r="A1326" i="45"/>
  <c r="B1272" i="49"/>
  <c r="B923" i="49"/>
  <c r="A1183" i="45"/>
  <c r="B8954" i="20"/>
  <c r="A370" i="45"/>
  <c r="A49" i="31"/>
  <c r="A9042" i="20"/>
  <c r="C10" i="43"/>
  <c r="B452" i="45"/>
  <c r="A116" i="45"/>
  <c r="A426" i="45"/>
  <c r="A130" i="32"/>
  <c r="A110" i="32"/>
  <c r="B762" i="49"/>
  <c r="C3" i="40"/>
  <c r="B7927" i="20"/>
  <c r="B8860" i="20"/>
  <c r="B1445" i="49"/>
  <c r="A8229" i="20"/>
  <c r="N51" i="33"/>
  <c r="A8008" i="20"/>
  <c r="B1182" i="49"/>
  <c r="A1455" i="49"/>
  <c r="A16" i="32"/>
  <c r="A8813" i="20"/>
  <c r="A125" i="45"/>
  <c r="A8613" i="20"/>
  <c r="B132" i="45"/>
  <c r="A8104" i="20"/>
  <c r="A208" i="49"/>
  <c r="A424" i="45"/>
  <c r="A474" i="45"/>
  <c r="B690" i="45"/>
  <c r="M36" i="29"/>
  <c r="A443" i="49"/>
  <c r="N47" i="33"/>
  <c r="B594" i="45"/>
  <c r="N5" i="33"/>
  <c r="B204" i="45"/>
  <c r="A307" i="32"/>
  <c r="A8905" i="20"/>
  <c r="B1006" i="45"/>
  <c r="B8159" i="20"/>
  <c r="A8881" i="20"/>
  <c r="A8541" i="20"/>
  <c r="A1212" i="45"/>
  <c r="A1248" i="45"/>
  <c r="A895" i="45"/>
  <c r="A565" i="45"/>
  <c r="A8796" i="20"/>
  <c r="B1005" i="45"/>
  <c r="A108" i="32"/>
  <c r="A139" i="32"/>
  <c r="A8948" i="20"/>
  <c r="B7893" i="20"/>
  <c r="B302" i="49"/>
  <c r="B8969" i="20"/>
  <c r="A8557" i="20"/>
  <c r="M20" i="29"/>
  <c r="B582" i="49"/>
  <c r="A1122" i="45"/>
  <c r="A962" i="45"/>
  <c r="B1122" i="45"/>
  <c r="A194" i="49"/>
  <c r="B8990" i="20"/>
  <c r="A534" i="45"/>
  <c r="D17" i="43"/>
  <c r="M58" i="33"/>
  <c r="N29" i="29"/>
  <c r="A7564" i="20"/>
  <c r="B179" i="49"/>
  <c r="A1091" i="45"/>
  <c r="B31" i="21"/>
  <c r="A257" i="49"/>
  <c r="A7596" i="20"/>
  <c r="A380" i="49"/>
  <c r="A388" i="32"/>
  <c r="A66" i="49"/>
  <c r="A1094" i="45"/>
  <c r="A431" i="45"/>
  <c r="A7706" i="20"/>
  <c r="A126" i="50"/>
  <c r="A8949" i="20"/>
  <c r="A137" i="45"/>
  <c r="A8789" i="20"/>
  <c r="A943" i="45"/>
  <c r="A255" i="32"/>
  <c r="B6814" i="20"/>
  <c r="B1314" i="45"/>
  <c r="B7076" i="20"/>
  <c r="A73" i="45"/>
  <c r="B7548" i="20"/>
  <c r="B8226" i="20"/>
  <c r="B7392" i="20"/>
  <c r="B7416" i="20"/>
  <c r="B7184" i="20"/>
  <c r="B8138" i="20"/>
  <c r="B7360" i="20"/>
  <c r="B7384" i="20"/>
  <c r="B7152" i="20"/>
  <c r="B8786" i="20"/>
  <c r="A437" i="49"/>
  <c r="A209" i="49"/>
  <c r="B6750" i="20"/>
  <c r="A278" i="45"/>
  <c r="B7044" i="20"/>
  <c r="A250" i="49"/>
  <c r="A8873" i="20"/>
  <c r="B8245" i="20"/>
  <c r="A1084" i="45"/>
  <c r="A8855" i="20"/>
  <c r="B8239" i="20"/>
  <c r="C6" i="21"/>
  <c r="A9" i="26"/>
  <c r="B8341" i="20"/>
  <c r="B958" i="45"/>
  <c r="J7" i="33"/>
  <c r="W2" i="29"/>
  <c r="B580" i="45"/>
  <c r="C7" i="21"/>
  <c r="A1" i="37"/>
  <c r="B7661" i="20"/>
  <c r="A174" i="45"/>
  <c r="Z6" i="33"/>
  <c r="B7294" i="20"/>
  <c r="A9072" i="20"/>
  <c r="I3" i="33"/>
  <c r="A7179" i="20"/>
  <c r="A7185" i="20"/>
  <c r="A7127" i="20"/>
  <c r="O2" i="33"/>
  <c r="A7171" i="20"/>
  <c r="A7177" i="20"/>
  <c r="A7119" i="20"/>
  <c r="B68" i="45"/>
  <c r="C1" i="36"/>
  <c r="A435" i="45"/>
  <c r="B2" i="35"/>
  <c r="A111" i="45"/>
  <c r="A46" i="32"/>
  <c r="A1" i="46"/>
  <c r="A8737" i="20"/>
  <c r="B8732" i="20"/>
  <c r="B12" i="45"/>
  <c r="B8710" i="20"/>
  <c r="A238" i="32"/>
  <c r="B9" i="43"/>
  <c r="A8929" i="20"/>
  <c r="A256" i="32"/>
  <c r="B1110" i="45"/>
  <c r="A1290" i="45"/>
  <c r="A8833" i="20"/>
  <c r="B8879" i="20"/>
  <c r="A8312" i="20"/>
  <c r="A9" i="39"/>
  <c r="B8586" i="20"/>
  <c r="A8999" i="20"/>
  <c r="A7679" i="20"/>
  <c r="B7049" i="20"/>
  <c r="B7055" i="20"/>
  <c r="B6997" i="20"/>
  <c r="A7642" i="20"/>
  <c r="B7041" i="20"/>
  <c r="B7047" i="20"/>
  <c r="B6989" i="20"/>
  <c r="A1108" i="45"/>
  <c r="A1199" i="45"/>
  <c r="A8769" i="20"/>
  <c r="B8831" i="20"/>
  <c r="A711" i="45"/>
  <c r="B324" i="45"/>
  <c r="B8501" i="20"/>
  <c r="B37" i="45"/>
  <c r="A994" i="45"/>
  <c r="B8769" i="20"/>
  <c r="B8972" i="20"/>
  <c r="A211" i="45"/>
  <c r="B8597" i="20"/>
  <c r="B421" i="45"/>
  <c r="A87" i="32"/>
  <c r="B164" i="45"/>
  <c r="B590" i="45"/>
  <c r="M12" i="29"/>
  <c r="K2" i="33"/>
  <c r="B8005" i="20"/>
  <c r="B6870" i="20"/>
  <c r="A8856" i="20"/>
  <c r="A7864" i="20"/>
  <c r="F12" i="29"/>
  <c r="A9096" i="20"/>
  <c r="A7435" i="20"/>
  <c r="A36" i="32"/>
  <c r="B8825" i="20"/>
  <c r="B185" i="45"/>
  <c r="A1149" i="45"/>
  <c r="A809" i="49"/>
  <c r="A9035" i="20"/>
  <c r="A659" i="49"/>
  <c r="A473" i="45"/>
  <c r="B664" i="45"/>
  <c r="A245" i="32"/>
  <c r="B461" i="45"/>
  <c r="A584" i="49"/>
  <c r="A80" i="47"/>
  <c r="A228" i="45"/>
  <c r="B7738" i="20"/>
  <c r="B254" i="45"/>
  <c r="B1033" i="49"/>
  <c r="A8701" i="20"/>
  <c r="A924" i="45"/>
  <c r="B2" i="39"/>
  <c r="B102" i="45"/>
  <c r="A19" i="37"/>
  <c r="A9043" i="20"/>
  <c r="A184" i="32"/>
  <c r="A8921" i="20"/>
  <c r="A9051" i="20"/>
  <c r="B815" i="49"/>
  <c r="A425" i="45"/>
  <c r="B8082" i="20"/>
  <c r="B371" i="45"/>
  <c r="B1029" i="45"/>
  <c r="A1185" i="49"/>
  <c r="A7845" i="20"/>
  <c r="A65" i="32"/>
  <c r="A7912" i="20"/>
  <c r="B32" i="49"/>
  <c r="B838" i="49"/>
  <c r="B1100" i="45"/>
  <c r="A116" i="32"/>
  <c r="A4" i="32"/>
  <c r="B2" i="44"/>
  <c r="M43" i="33"/>
  <c r="B672" i="45"/>
  <c r="B660" i="45"/>
  <c r="A808" i="45"/>
  <c r="A28" i="21"/>
  <c r="B926" i="49"/>
  <c r="A4" i="39"/>
  <c r="B8934" i="20"/>
  <c r="B534" i="45"/>
  <c r="B72" i="45"/>
  <c r="A8413" i="20"/>
  <c r="A8403" i="20"/>
  <c r="B1328" i="45"/>
  <c r="B123" i="45"/>
  <c r="A339" i="49"/>
  <c r="A171" i="49"/>
  <c r="Z3" i="33"/>
  <c r="A1470" i="49"/>
  <c r="B50" i="45"/>
  <c r="B10" i="45"/>
  <c r="A76" i="45"/>
  <c r="A935" i="45"/>
  <c r="A307" i="45"/>
  <c r="N35" i="33"/>
  <c r="A342" i="45"/>
  <c r="C4" i="55"/>
  <c r="B434" i="45"/>
  <c r="B394" i="45"/>
  <c r="A460" i="45"/>
  <c r="A75" i="49"/>
  <c r="A462" i="45"/>
  <c r="A89" i="49"/>
  <c r="B1" i="30"/>
  <c r="A859" i="45"/>
  <c r="A343" i="45"/>
  <c r="A11" i="31"/>
  <c r="A520" i="45"/>
  <c r="A192" i="32"/>
  <c r="O71" i="33"/>
  <c r="A255" i="49"/>
  <c r="B49" i="45"/>
  <c r="A8685" i="20"/>
  <c r="A9020" i="20"/>
  <c r="AM2" i="33"/>
  <c r="I2" i="33"/>
  <c r="N10" i="29"/>
  <c r="B370" i="45"/>
  <c r="A7594" i="20"/>
  <c r="B745" i="45"/>
  <c r="B7036" i="20"/>
  <c r="A8986" i="20"/>
  <c r="A7262" i="20"/>
  <c r="A7268" i="20"/>
  <c r="A7210" i="20"/>
  <c r="A8763" i="20"/>
  <c r="B1064" i="45"/>
  <c r="B7762" i="20"/>
  <c r="B473" i="45"/>
  <c r="B738" i="45"/>
  <c r="B8078" i="20"/>
  <c r="A187" i="32"/>
  <c r="A8832" i="20"/>
  <c r="A7299" i="20"/>
  <c r="A7305" i="20"/>
  <c r="A7247" i="20"/>
  <c r="A1194" i="45"/>
  <c r="A87" i="45"/>
  <c r="B996" i="45"/>
  <c r="B7789" i="20"/>
  <c r="A7580" i="20"/>
  <c r="A8696" i="20"/>
  <c r="F2" i="29"/>
  <c r="B7743" i="20"/>
  <c r="B585" i="49"/>
  <c r="B351" i="45"/>
  <c r="A32" i="47"/>
  <c r="A16" i="49"/>
  <c r="A236" i="45"/>
  <c r="A8605" i="20"/>
  <c r="B720" i="49"/>
  <c r="B735" i="45"/>
  <c r="B7978" i="20"/>
  <c r="B8705" i="20"/>
  <c r="B782" i="45"/>
  <c r="B548" i="45"/>
  <c r="A329" i="45"/>
  <c r="B7564" i="20"/>
  <c r="A8547" i="20"/>
  <c r="A8065" i="20"/>
  <c r="B8157" i="20"/>
  <c r="A8537" i="20"/>
  <c r="B7634" i="20"/>
  <c r="B6565" i="20"/>
  <c r="B6571" i="20"/>
  <c r="B6513" i="20"/>
  <c r="B7618" i="20"/>
  <c r="B6557" i="20"/>
  <c r="B6563" i="20"/>
  <c r="B6505" i="20"/>
  <c r="B266" i="45"/>
  <c r="B36" i="45"/>
  <c r="B552" i="45"/>
  <c r="M51" i="33"/>
  <c r="A66" i="32"/>
  <c r="B7912" i="20"/>
  <c r="A190" i="49"/>
  <c r="B8554" i="20"/>
  <c r="A185" i="49"/>
  <c r="B150" i="52"/>
  <c r="B8881" i="20"/>
  <c r="B8008" i="20"/>
  <c r="A1129" i="45"/>
  <c r="B7799" i="20"/>
  <c r="J8" i="33"/>
  <c r="A7805" i="20"/>
  <c r="B398" i="49"/>
  <c r="B8215" i="20"/>
  <c r="A8494" i="20"/>
  <c r="B8735" i="20"/>
  <c r="B7939" i="20"/>
  <c r="A8" i="31"/>
  <c r="B8411" i="20"/>
  <c r="B8230" i="20"/>
  <c r="A5502" i="20"/>
  <c r="A5508" i="20"/>
  <c r="A5450" i="20"/>
  <c r="B8222" i="20"/>
  <c r="A5494" i="20"/>
  <c r="A5500" i="20"/>
  <c r="A5442" i="20"/>
  <c r="B8626" i="20"/>
  <c r="B1014" i="45"/>
  <c r="B8151" i="20"/>
  <c r="A8462" i="20"/>
  <c r="A729" i="45"/>
  <c r="B8255" i="20"/>
  <c r="B106" i="49"/>
  <c r="A8689" i="20"/>
  <c r="A844" i="49"/>
  <c r="A374" i="45"/>
  <c r="B170" i="45"/>
  <c r="A485" i="49"/>
  <c r="B1258" i="45"/>
  <c r="A1240" i="49"/>
  <c r="B369" i="45"/>
  <c r="A991" i="49"/>
  <c r="B459" i="45"/>
  <c r="A1121" i="45"/>
  <c r="B709" i="45"/>
  <c r="A378" i="49"/>
  <c r="A153" i="45"/>
  <c r="A377" i="49"/>
  <c r="B1248" i="45"/>
  <c r="A181" i="32"/>
  <c r="B1231" i="45"/>
  <c r="A8969" i="20"/>
  <c r="B588" i="45"/>
  <c r="B23" i="45"/>
  <c r="B937" i="49"/>
  <c r="B918" i="45"/>
  <c r="A429" i="49"/>
  <c r="B7566" i="20"/>
  <c r="A9107" i="20"/>
  <c r="B7598" i="20"/>
  <c r="A203" i="45"/>
  <c r="A581" i="49"/>
  <c r="A21" i="37"/>
  <c r="B272" i="45"/>
  <c r="A984" i="45"/>
  <c r="B899" i="45"/>
  <c r="B8543" i="20"/>
  <c r="B8533" i="20"/>
  <c r="B337" i="49"/>
  <c r="A596" i="45"/>
  <c r="B8106" i="20"/>
  <c r="B8833" i="20"/>
  <c r="A9125" i="20"/>
  <c r="A8304" i="20"/>
  <c r="B8966" i="20"/>
  <c r="B33" i="49"/>
  <c r="A436" i="45"/>
  <c r="A1" i="32"/>
  <c r="B513" i="45"/>
  <c r="A5" i="44"/>
  <c r="G2" i="29"/>
  <c r="B500" i="45"/>
  <c r="B271" i="49"/>
  <c r="A9015" i="20"/>
  <c r="A8975" i="20"/>
  <c r="B159" i="45"/>
  <c r="B1058" i="45"/>
  <c r="A9111" i="20"/>
  <c r="C27" i="21"/>
  <c r="A1007" i="45"/>
  <c r="A8849" i="20"/>
  <c r="A702" i="45"/>
  <c r="B8562" i="20"/>
  <c r="B8552" i="20"/>
  <c r="B1128" i="45"/>
  <c r="Q1" i="33"/>
  <c r="A1148" i="45"/>
  <c r="A133" i="49"/>
  <c r="A1" i="24"/>
  <c r="B980" i="45"/>
  <c r="B8658" i="20"/>
  <c r="B8648" i="20"/>
  <c r="B211" i="49"/>
  <c r="B112" i="45"/>
  <c r="M2" i="29"/>
  <c r="B7871" i="20"/>
  <c r="A1205" i="49"/>
  <c r="O72" i="33"/>
  <c r="A1086" i="49"/>
  <c r="B1488" i="49"/>
  <c r="B1275" i="45"/>
  <c r="B7839" i="20"/>
  <c r="A968" i="49"/>
  <c r="A268" i="45"/>
  <c r="B8234" i="20"/>
  <c r="B8961" i="20"/>
  <c r="B7660" i="20"/>
  <c r="A58" i="31"/>
  <c r="B307" i="45"/>
  <c r="A7707" i="20"/>
  <c r="B7693" i="20"/>
  <c r="A8193" i="20"/>
  <c r="B8325" i="20"/>
  <c r="A8665" i="20"/>
  <c r="A7836" i="20"/>
  <c r="A4734" i="20"/>
  <c r="A4740" i="20"/>
  <c r="B6642" i="20"/>
  <c r="A7828" i="20"/>
  <c r="A4726" i="20"/>
  <c r="A4732" i="20"/>
  <c r="B6633" i="20"/>
  <c r="B25" i="49"/>
  <c r="A1066" i="45"/>
  <c r="E5" i="33"/>
  <c r="A7661" i="20"/>
  <c r="B8679" i="20"/>
  <c r="A8161" i="20"/>
  <c r="A371" i="49"/>
  <c r="B7078" i="20"/>
  <c r="A71" i="50"/>
  <c r="B752" i="45"/>
  <c r="B302" i="45"/>
  <c r="A1160" i="45"/>
  <c r="A18" i="21"/>
  <c r="B7174" i="20"/>
  <c r="B611" i="49"/>
  <c r="A401" i="45"/>
  <c r="A625" i="45"/>
  <c r="B327" i="45"/>
  <c r="B559" i="49"/>
  <c r="A265" i="32"/>
  <c r="B7582" i="20"/>
  <c r="A46" i="25"/>
  <c r="B7460" i="20"/>
  <c r="A1" i="47"/>
  <c r="A7966" i="20"/>
  <c r="N12" i="29"/>
  <c r="B7980" i="20"/>
  <c r="B8004" i="20"/>
  <c r="B7772" i="20"/>
  <c r="B1015" i="45"/>
  <c r="B846" i="45"/>
  <c r="B220" i="45"/>
  <c r="A996" i="49"/>
  <c r="A929" i="45"/>
  <c r="B178" i="50"/>
  <c r="A129" i="45"/>
  <c r="B1021" i="45"/>
  <c r="N17" i="33"/>
  <c r="A2" i="48"/>
  <c r="A632" i="45"/>
  <c r="A3" i="24"/>
  <c r="B766" i="45"/>
  <c r="A177" i="32"/>
  <c r="A260" i="45"/>
  <c r="A707" i="45"/>
  <c r="A728" i="45"/>
  <c r="B1046" i="49"/>
  <c r="B813" i="45"/>
  <c r="A843" i="49"/>
  <c r="A138" i="45"/>
  <c r="B3" i="39"/>
  <c r="B169" i="49"/>
  <c r="A146" i="32"/>
  <c r="A29" i="21"/>
  <c r="B367" i="45"/>
  <c r="A963" i="45"/>
  <c r="A151" i="45"/>
  <c r="B8117" i="20"/>
  <c r="B7983" i="20"/>
  <c r="B8213" i="20"/>
  <c r="A8887" i="20"/>
  <c r="C135" i="52"/>
  <c r="A197" i="50"/>
  <c r="B8777" i="20"/>
  <c r="B8725" i="20"/>
  <c r="A6270" i="20"/>
  <c r="A6262" i="20"/>
  <c r="B8503" i="20"/>
  <c r="B8681" i="20"/>
  <c r="A694" i="49"/>
  <c r="B8274" i="20"/>
  <c r="B1298" i="45"/>
  <c r="A1272" i="45"/>
  <c r="B8462" i="20"/>
  <c r="A6090" i="20"/>
  <c r="A6134" i="20"/>
  <c r="A6082" i="20"/>
  <c r="A8501" i="20"/>
  <c r="N46" i="33"/>
  <c r="B7989" i="20"/>
  <c r="B9004" i="20"/>
  <c r="B8615" i="20"/>
  <c r="B8085" i="20"/>
  <c r="M6" i="33"/>
  <c r="A9001" i="20"/>
  <c r="B402" i="45"/>
  <c r="B714" i="45"/>
  <c r="B7038" i="20"/>
  <c r="M31" i="29"/>
  <c r="A7057" i="20"/>
  <c r="M23" i="29"/>
  <c r="A7049" i="20"/>
  <c r="A8745" i="20"/>
  <c r="B146" i="45"/>
  <c r="B857" i="45"/>
  <c r="A8243" i="20"/>
  <c r="A113" i="49"/>
  <c r="A13" i="28"/>
  <c r="A1125" i="45"/>
  <c r="B7430" i="20"/>
  <c r="B1000" i="45"/>
  <c r="B8490" i="20"/>
  <c r="A572" i="49"/>
  <c r="B1045" i="45"/>
  <c r="B1281" i="45"/>
  <c r="B691" i="45"/>
  <c r="A35" i="32"/>
  <c r="B8493" i="20"/>
  <c r="A8164" i="20"/>
  <c r="B6921" i="20"/>
  <c r="A5892" i="20"/>
  <c r="A5834" i="20"/>
  <c r="A8041" i="20"/>
  <c r="A5878" i="20"/>
  <c r="A5884" i="20"/>
  <c r="A5826" i="20"/>
  <c r="B8191" i="20"/>
  <c r="A8384" i="20"/>
  <c r="B8937" i="20"/>
  <c r="B7888" i="20"/>
  <c r="B48" i="21"/>
  <c r="B8291" i="20"/>
  <c r="A8930" i="20"/>
  <c r="B8781" i="20"/>
  <c r="A7985" i="20"/>
  <c r="A5854" i="20"/>
  <c r="A5860" i="20"/>
  <c r="A5802" i="20"/>
  <c r="A7977" i="20"/>
  <c r="B6788" i="20"/>
  <c r="B8285" i="20"/>
  <c r="B233" i="45"/>
  <c r="A7531" i="20"/>
  <c r="A6677" i="20"/>
  <c r="A261" i="45"/>
  <c r="B7521" i="20"/>
  <c r="B7527" i="20"/>
  <c r="B7469" i="20"/>
  <c r="B127" i="45"/>
  <c r="A406" i="49"/>
  <c r="A209" i="32"/>
  <c r="S2" i="29"/>
  <c r="B8194" i="20"/>
  <c r="A40" i="32"/>
  <c r="A8493" i="20"/>
  <c r="B418" i="45"/>
  <c r="A7958" i="20"/>
  <c r="B7369" i="20"/>
  <c r="B7375" i="20"/>
  <c r="B7317" i="20"/>
  <c r="A7926" i="20"/>
  <c r="B7361" i="20"/>
  <c r="B7367" i="20"/>
  <c r="B7309" i="20"/>
  <c r="A7872" i="20"/>
  <c r="B8227" i="20"/>
  <c r="A5790" i="20"/>
  <c r="A5782" i="20"/>
  <c r="A8406" i="20"/>
  <c r="B7481" i="20"/>
  <c r="B7487" i="20"/>
  <c r="B7429" i="20"/>
  <c r="A8343" i="20"/>
  <c r="A6227" i="20"/>
  <c r="A7496" i="20"/>
  <c r="A4413" i="20"/>
  <c r="A4417" i="20"/>
  <c r="A3780" i="20"/>
  <c r="A4578" i="20"/>
  <c r="A3494" i="20"/>
  <c r="A12" i="47"/>
  <c r="B8099" i="20"/>
  <c r="A5662" i="20"/>
  <c r="A5654" i="20"/>
  <c r="A8278" i="20"/>
  <c r="B7449" i="20"/>
  <c r="B7455" i="20"/>
  <c r="B7397" i="20"/>
  <c r="A7831" i="20"/>
  <c r="A6195" i="20"/>
  <c r="A7368" i="20"/>
  <c r="A4381" i="20"/>
  <c r="A4385" i="20"/>
  <c r="A3748" i="20"/>
  <c r="A4546" i="20"/>
  <c r="B129" i="45"/>
  <c r="A8676" i="20"/>
  <c r="B8909" i="20"/>
  <c r="M52" i="33"/>
  <c r="A7665" i="20"/>
  <c r="A5930" i="20"/>
  <c r="A8991" i="20"/>
  <c r="A9087" i="20"/>
  <c r="A30" i="21"/>
  <c r="A25" i="31"/>
  <c r="B804" i="49"/>
  <c r="B1148" i="45"/>
  <c r="A8533" i="20"/>
  <c r="B482" i="45"/>
  <c r="A8582" i="20"/>
  <c r="A8524" i="20"/>
  <c r="B8160" i="20"/>
  <c r="B8014" i="20"/>
  <c r="A53" i="31"/>
  <c r="A91" i="32"/>
  <c r="C9" i="21"/>
  <c r="A8170" i="20"/>
  <c r="F11" i="29"/>
  <c r="A21" i="31"/>
  <c r="A9118" i="20"/>
  <c r="B8716" i="20"/>
  <c r="AC2" i="33"/>
  <c r="A8" i="25"/>
  <c r="B28" i="21"/>
  <c r="B6984" i="20"/>
  <c r="A18" i="31"/>
  <c r="A152" i="32"/>
  <c r="B8848" i="20"/>
  <c r="A8031" i="20"/>
  <c r="A5906" i="20"/>
  <c r="B4641" i="20"/>
  <c r="B5301" i="20"/>
  <c r="B5317" i="20"/>
  <c r="A2763" i="20"/>
  <c r="B4567" i="20"/>
  <c r="B4466" i="20"/>
  <c r="B8487" i="20"/>
  <c r="A37" i="45"/>
  <c r="C1" i="30"/>
  <c r="E3" i="29"/>
  <c r="A7546" i="20"/>
  <c r="B9008" i="20"/>
  <c r="B9056" i="20"/>
  <c r="AL4" i="33"/>
  <c r="B8468" i="20"/>
  <c r="A5778" i="20"/>
  <c r="B6641" i="20"/>
  <c r="B5173" i="20"/>
  <c r="B5189" i="20"/>
  <c r="A2731" i="20"/>
  <c r="B4439" i="20"/>
  <c r="B4434" i="20"/>
  <c r="A8417" i="20"/>
  <c r="B7516" i="20"/>
  <c r="A298" i="32"/>
  <c r="B6405" i="20"/>
  <c r="B7056" i="20"/>
  <c r="A282" i="32"/>
  <c r="A6230" i="20"/>
  <c r="A6236" i="20"/>
  <c r="A6178" i="20"/>
  <c r="B9105" i="20"/>
  <c r="A8245" i="20"/>
  <c r="A44" i="31"/>
  <c r="B8184" i="20"/>
  <c r="A222" i="32"/>
  <c r="B8515" i="20"/>
  <c r="A75" i="32"/>
  <c r="B9005" i="20"/>
  <c r="A8433" i="20"/>
  <c r="A6078" i="20"/>
  <c r="A6084" i="20"/>
  <c r="A6026" i="20"/>
  <c r="A8425" i="20"/>
  <c r="A6070" i="20"/>
  <c r="A6076" i="20"/>
  <c r="A6018" i="20"/>
  <c r="M31" i="33"/>
  <c r="B8365" i="20"/>
  <c r="A4772" i="20"/>
  <c r="A4764" i="20"/>
  <c r="A8657" i="20"/>
  <c r="A6190" i="20"/>
  <c r="A6196" i="20"/>
  <c r="A6138" i="20"/>
  <c r="A7468" i="20"/>
  <c r="B5920" i="20"/>
  <c r="B4679" i="20"/>
  <c r="B6298" i="20"/>
  <c r="B5504" i="20"/>
  <c r="A2021" i="20"/>
  <c r="B3299" i="20"/>
  <c r="A1735" i="20"/>
  <c r="B505" i="45"/>
  <c r="B8197" i="20"/>
  <c r="B6603" i="20"/>
  <c r="B6595" i="20"/>
  <c r="A8593" i="20"/>
  <c r="A6158" i="20"/>
  <c r="A6164" i="20"/>
  <c r="A6106" i="20"/>
  <c r="A7340" i="20"/>
  <c r="B5888" i="20"/>
  <c r="B4647" i="20"/>
  <c r="B6238" i="20"/>
  <c r="B5472" i="20"/>
  <c r="A1989" i="20"/>
  <c r="A301" i="32"/>
  <c r="A8619" i="20"/>
  <c r="B7542" i="20"/>
  <c r="A7019" i="20"/>
  <c r="B6155" i="20"/>
  <c r="B7478" i="20"/>
  <c r="A526" i="49"/>
  <c r="B864" i="49"/>
  <c r="E2" i="33"/>
  <c r="B8031" i="20"/>
  <c r="A8064" i="20"/>
  <c r="B1144" i="49"/>
  <c r="A55" i="31"/>
  <c r="A748" i="45"/>
  <c r="A12" i="45"/>
  <c r="B466" i="45"/>
  <c r="A82" i="45"/>
  <c r="B1235" i="45"/>
  <c r="A466" i="45"/>
  <c r="A1258" i="45"/>
  <c r="A861" i="45"/>
  <c r="A8192" i="20"/>
  <c r="N45" i="33"/>
  <c r="A8667" i="20"/>
  <c r="B6187" i="20"/>
  <c r="B6179" i="20"/>
  <c r="B45" i="21"/>
  <c r="B896" i="45"/>
  <c r="A581" i="45"/>
  <c r="A966" i="49"/>
  <c r="B919" i="45"/>
  <c r="B6948" i="20"/>
  <c r="B6880" i="20"/>
  <c r="B8154" i="20"/>
  <c r="B249" i="45"/>
  <c r="A1" i="41"/>
  <c r="A1494" i="49"/>
  <c r="A8646" i="20"/>
  <c r="B8880" i="20"/>
  <c r="A5194" i="20"/>
  <c r="B7710" i="20"/>
  <c r="A5238" i="20"/>
  <c r="A5244" i="20"/>
  <c r="A5186" i="20"/>
  <c r="A8584" i="20"/>
  <c r="A521" i="45"/>
  <c r="A8661" i="20"/>
  <c r="A8206" i="20"/>
  <c r="B8333" i="20"/>
  <c r="A8673" i="20"/>
  <c r="A8754" i="20"/>
  <c r="A7752" i="20"/>
  <c r="A522" i="45"/>
  <c r="B507" i="45"/>
  <c r="B8810" i="20"/>
  <c r="A210" i="49"/>
  <c r="A105" i="45"/>
  <c r="A7848" i="20"/>
  <c r="B909" i="45"/>
  <c r="A7" i="37"/>
  <c r="B803" i="45"/>
  <c r="B14" i="49"/>
  <c r="B847" i="45"/>
  <c r="A372" i="49"/>
  <c r="B7946" i="20"/>
  <c r="A724" i="45"/>
  <c r="A8006" i="20"/>
  <c r="A7948" i="20"/>
  <c r="A8478" i="20"/>
  <c r="A8420" i="20"/>
  <c r="B8057" i="20"/>
  <c r="B8081" i="20"/>
  <c r="B7849" i="20"/>
  <c r="B6723" i="20"/>
  <c r="B8025" i="20"/>
  <c r="B8049" i="20"/>
  <c r="B7817" i="20"/>
  <c r="M21" i="33"/>
  <c r="A332" i="45"/>
  <c r="B1116" i="45"/>
  <c r="B7874" i="20"/>
  <c r="B8231" i="20"/>
  <c r="B7922" i="20"/>
  <c r="B1103" i="45"/>
  <c r="A769" i="45"/>
  <c r="A753" i="45"/>
  <c r="A95" i="45"/>
  <c r="B1239" i="45"/>
  <c r="B8018" i="20"/>
  <c r="A992" i="45"/>
  <c r="A383" i="49"/>
  <c r="B223" i="49"/>
  <c r="A232" i="50"/>
  <c r="A7795" i="20"/>
  <c r="J3" i="33"/>
  <c r="A9060" i="20"/>
  <c r="A270" i="45"/>
  <c r="B7960" i="20"/>
  <c r="B7862" i="20"/>
  <c r="B8592" i="20"/>
  <c r="B8334" i="20"/>
  <c r="A494" i="45"/>
  <c r="B881" i="45"/>
  <c r="A251" i="45"/>
  <c r="N23" i="29"/>
  <c r="C12" i="43"/>
  <c r="A366" i="45"/>
  <c r="A123" i="45"/>
  <c r="A414" i="49"/>
  <c r="B8616" i="20"/>
  <c r="B1293" i="45"/>
  <c r="A8804" i="20"/>
  <c r="B737" i="45"/>
  <c r="A7572" i="20"/>
  <c r="A8136" i="20"/>
  <c r="A1054" i="45"/>
  <c r="B593" i="45"/>
  <c r="B364" i="49"/>
  <c r="B340" i="49"/>
  <c r="A1223" i="49"/>
  <c r="A20" i="47"/>
  <c r="B403" i="49"/>
  <c r="A159" i="49"/>
  <c r="B1087" i="45"/>
  <c r="B335" i="45"/>
  <c r="B1132" i="49"/>
  <c r="A740" i="45"/>
  <c r="B8122" i="20"/>
  <c r="A1061" i="45"/>
  <c r="A196" i="32"/>
  <c r="A380" i="45"/>
  <c r="A823" i="45"/>
  <c r="A101" i="32"/>
  <c r="A2" i="33"/>
  <c r="A998" i="49"/>
  <c r="B8314" i="20"/>
  <c r="A11" i="28"/>
  <c r="A699" i="45"/>
  <c r="B8817" i="20"/>
  <c r="B8618" i="20"/>
  <c r="A38" i="31"/>
  <c r="B1055" i="45"/>
  <c r="A1088" i="45"/>
  <c r="B8774" i="20"/>
  <c r="A9057" i="20"/>
  <c r="A3" i="44"/>
  <c r="B8007" i="20"/>
  <c r="B393" i="45"/>
  <c r="O76" i="33"/>
  <c r="B8466" i="20"/>
  <c r="B8456" i="20"/>
  <c r="B1262" i="45"/>
  <c r="C46" i="21"/>
  <c r="B1131" i="45"/>
  <c r="B1123" i="45"/>
  <c r="A1157" i="45"/>
  <c r="B464" i="49"/>
  <c r="B535" i="45"/>
  <c r="B446" i="45"/>
  <c r="N9" i="33"/>
  <c r="B82" i="45"/>
  <c r="A221" i="50"/>
  <c r="C1" i="39"/>
  <c r="A145" i="32"/>
  <c r="A50" i="45"/>
  <c r="A345" i="49"/>
  <c r="B8945" i="20"/>
  <c r="B8935" i="20"/>
  <c r="B30" i="49"/>
  <c r="B4" i="46"/>
  <c r="A7925" i="20"/>
  <c r="AD2" i="33"/>
  <c r="A959" i="45"/>
  <c r="A8112" i="20"/>
  <c r="M24" i="33"/>
  <c r="B7462" i="20"/>
  <c r="A662" i="49"/>
  <c r="B447" i="49"/>
  <c r="B556" i="45"/>
  <c r="A574" i="45"/>
  <c r="A45" i="49"/>
  <c r="A8496" i="20"/>
  <c r="A8777" i="20"/>
  <c r="B7558" i="20"/>
  <c r="A1173" i="49"/>
  <c r="B650" i="49"/>
  <c r="A205" i="45"/>
  <c r="A56" i="25"/>
  <c r="A7880" i="20"/>
  <c r="B1037" i="45"/>
  <c r="A672" i="45"/>
  <c r="M8" i="29"/>
  <c r="B290" i="49"/>
  <c r="A678" i="45"/>
  <c r="A7976" i="20"/>
  <c r="A926" i="45"/>
  <c r="B1187" i="45"/>
  <c r="A1012" i="45"/>
  <c r="B313" i="45"/>
  <c r="A847" i="45"/>
  <c r="B187" i="45"/>
  <c r="B8290" i="20"/>
  <c r="A704" i="49"/>
  <c r="A8134" i="20"/>
  <c r="A8076" i="20"/>
  <c r="A8606" i="20"/>
  <c r="A8548" i="20"/>
  <c r="B8569" i="20"/>
  <c r="B8593" i="20"/>
  <c r="B8361" i="20"/>
  <c r="B7235" i="20"/>
  <c r="B8537" i="20"/>
  <c r="B8561" i="20"/>
  <c r="B8329" i="20"/>
  <c r="N22" i="29"/>
  <c r="A137" i="49"/>
  <c r="B59" i="45"/>
  <c r="B8202" i="20"/>
  <c r="B272" i="49"/>
  <c r="A8102" i="20"/>
  <c r="B1178" i="45"/>
  <c r="N33" i="29"/>
  <c r="A302" i="32"/>
  <c r="B103" i="45"/>
  <c r="A22" i="25"/>
  <c r="M14" i="29"/>
  <c r="A301" i="45"/>
  <c r="B9030" i="20"/>
  <c r="M26" i="33"/>
  <c r="B487" i="45"/>
  <c r="A129" i="32"/>
  <c r="A9011" i="20"/>
  <c r="A106" i="45"/>
  <c r="B541" i="45"/>
  <c r="A9089" i="20"/>
  <c r="B9047" i="20"/>
  <c r="A8664" i="20"/>
  <c r="B8900" i="20"/>
  <c r="A7981" i="20"/>
  <c r="A237" i="32"/>
  <c r="B7156" i="20"/>
  <c r="B7177" i="20"/>
  <c r="B7183" i="20"/>
  <c r="A999" i="45"/>
  <c r="A1044" i="45"/>
  <c r="A727" i="45"/>
  <c r="A8453" i="20"/>
  <c r="B715" i="49"/>
  <c r="A974" i="45"/>
  <c r="A1231" i="45"/>
  <c r="B54" i="49"/>
  <c r="B247" i="49"/>
  <c r="A9" i="21"/>
  <c r="A8989" i="20"/>
  <c r="A592" i="45"/>
  <c r="B15" i="49"/>
  <c r="B646" i="45"/>
  <c r="B151" i="49"/>
  <c r="B695" i="45"/>
  <c r="A65" i="49"/>
  <c r="B1098" i="45"/>
  <c r="A17" i="43"/>
  <c r="B8263" i="20"/>
  <c r="A459" i="45"/>
  <c r="A6" i="21"/>
  <c r="A9076" i="20"/>
  <c r="A5" i="23"/>
  <c r="B270" i="45"/>
  <c r="A8016" i="20"/>
  <c r="B7182" i="20"/>
  <c r="A1402" i="49"/>
  <c r="B153" i="45"/>
  <c r="A897" i="45"/>
  <c r="A973" i="45"/>
  <c r="A293" i="49"/>
  <c r="A7987" i="20"/>
  <c r="B7438" i="20"/>
  <c r="M35" i="29"/>
  <c r="A8748" i="20"/>
  <c r="A41" i="21"/>
  <c r="A6276" i="20"/>
  <c r="A6268" i="20"/>
  <c r="A8684" i="20"/>
  <c r="A8764" i="20"/>
  <c r="B755" i="45"/>
  <c r="B994" i="45"/>
  <c r="A8307" i="20"/>
  <c r="B8128" i="20"/>
  <c r="A7632" i="20"/>
  <c r="A8819" i="20"/>
  <c r="B7972" i="20"/>
  <c r="A33" i="49"/>
  <c r="A5" i="26"/>
  <c r="B7054" i="20"/>
  <c r="A2" i="49"/>
  <c r="D9" i="43"/>
  <c r="B83" i="45"/>
  <c r="A2" i="36"/>
  <c r="R2" i="33"/>
  <c r="A612" i="49"/>
  <c r="A8021" i="20"/>
  <c r="A8390" i="20"/>
  <c r="B7904" i="20"/>
  <c r="N4" i="33"/>
  <c r="A22" i="32"/>
  <c r="A374" i="32"/>
  <c r="A16" i="31"/>
  <c r="B711" i="49"/>
  <c r="A7949" i="20"/>
  <c r="A755" i="49"/>
  <c r="B4" i="43"/>
  <c r="A220" i="32"/>
  <c r="A8683" i="20"/>
  <c r="A14" i="43"/>
  <c r="A40" i="31"/>
  <c r="B784" i="45"/>
  <c r="B627" i="45"/>
  <c r="A64" i="45"/>
  <c r="B558" i="45"/>
  <c r="A8248" i="20"/>
  <c r="A7968" i="20"/>
  <c r="A8321" i="20"/>
  <c r="A8222" i="20"/>
  <c r="B642" i="45"/>
  <c r="A4862" i="20"/>
  <c r="B5803" i="20"/>
  <c r="B5745" i="20"/>
  <c r="B6850" i="20"/>
  <c r="B5789" i="20"/>
  <c r="B5795" i="20"/>
  <c r="B5737" i="20"/>
  <c r="B8181" i="20"/>
  <c r="B8111" i="20"/>
  <c r="A12" i="32"/>
  <c r="B6764" i="20"/>
  <c r="B8432" i="20"/>
  <c r="B8214" i="20"/>
  <c r="A8107" i="20"/>
  <c r="A7737" i="20"/>
  <c r="B6826" i="20"/>
  <c r="B5765" i="20"/>
  <c r="B5771" i="20"/>
  <c r="B5713" i="20"/>
  <c r="B6818" i="20"/>
  <c r="B7907" i="20"/>
  <c r="A7934" i="20"/>
  <c r="A21" i="28"/>
  <c r="A6669" i="20"/>
  <c r="A8626" i="20"/>
  <c r="A5" i="28"/>
  <c r="A6486" i="20"/>
  <c r="A6492" i="20"/>
  <c r="A6434" i="20"/>
  <c r="A9108" i="20"/>
  <c r="A24" i="28"/>
  <c r="A8876" i="20"/>
  <c r="B8528" i="20"/>
  <c r="A8954" i="20"/>
  <c r="B8789" i="20"/>
  <c r="A8687" i="20"/>
  <c r="A47" i="25"/>
  <c r="B7923" i="20"/>
  <c r="A6334" i="20"/>
  <c r="A6340" i="20"/>
  <c r="A6282" i="20"/>
  <c r="B7915" i="20"/>
  <c r="A6326" i="20"/>
  <c r="A6332" i="20"/>
  <c r="A6274" i="20"/>
  <c r="B8809" i="20"/>
  <c r="A8802" i="20"/>
  <c r="A5796" i="20"/>
  <c r="A5788" i="20"/>
  <c r="B8147" i="20"/>
  <c r="A6446" i="20"/>
  <c r="A6452" i="20"/>
  <c r="A6394" i="20"/>
  <c r="A8367" i="20"/>
  <c r="B6176" i="20"/>
  <c r="B4935" i="20"/>
  <c r="A4813" i="20"/>
  <c r="B5760" i="20"/>
  <c r="A2277" i="20"/>
  <c r="B4323" i="20"/>
  <c r="A1991" i="20"/>
  <c r="B8535" i="20"/>
  <c r="A382" i="32"/>
  <c r="A5668" i="20"/>
  <c r="A5660" i="20"/>
  <c r="B8083" i="20"/>
  <c r="A6414" i="20"/>
  <c r="A6420" i="20"/>
  <c r="A6362" i="20"/>
  <c r="A7855" i="20"/>
  <c r="B6144" i="20"/>
  <c r="B4903" i="20"/>
  <c r="A4749" i="20"/>
  <c r="B5728" i="20"/>
  <c r="A2245" i="20"/>
  <c r="B4195" i="20"/>
  <c r="A8486" i="20"/>
  <c r="A34" i="21"/>
  <c r="B8046" i="20"/>
  <c r="B7657" i="20"/>
  <c r="A5988" i="20"/>
  <c r="B7700" i="20"/>
  <c r="A7350" i="20"/>
  <c r="A7356" i="20"/>
  <c r="A7298" i="20"/>
  <c r="B9017" i="20"/>
  <c r="B830" i="45"/>
  <c r="N20" i="29"/>
  <c r="A8815" i="20"/>
  <c r="B46" i="21"/>
  <c r="A1186" i="45"/>
  <c r="B612" i="45"/>
  <c r="B6972" i="20"/>
  <c r="A270" i="32"/>
  <c r="A7198" i="20"/>
  <c r="A7204" i="20"/>
  <c r="A7146" i="20"/>
  <c r="A190" i="32"/>
  <c r="A7190" i="20"/>
  <c r="A7196" i="20"/>
  <c r="A7138" i="20"/>
  <c r="B293" i="45"/>
  <c r="A7626" i="20"/>
  <c r="A7294" i="20"/>
  <c r="A7286" i="20"/>
  <c r="A43" i="32"/>
  <c r="A7310" i="20"/>
  <c r="A7316" i="20"/>
  <c r="A7258" i="20"/>
  <c r="A8201" i="20"/>
  <c r="B5091" i="20"/>
  <c r="B6622" i="20"/>
  <c r="B5270" i="20"/>
  <c r="B5274" i="20"/>
  <c r="B2704" i="20"/>
  <c r="B3502" i="20"/>
  <c r="A4390" i="20"/>
  <c r="A828" i="45"/>
  <c r="B1169" i="45"/>
  <c r="A7166" i="20"/>
  <c r="A7158" i="20"/>
  <c r="A9114" i="20"/>
  <c r="A7278" i="20"/>
  <c r="A7284" i="20"/>
  <c r="A7226" i="20"/>
  <c r="A7945" i="20"/>
  <c r="B5059" i="20"/>
  <c r="B6590" i="20"/>
  <c r="B5238" i="20"/>
  <c r="B5242" i="20"/>
  <c r="A4657" i="20"/>
  <c r="B3470" i="20"/>
  <c r="B8993" i="20"/>
  <c r="B296" i="45"/>
  <c r="A9040" i="20"/>
  <c r="B7466" i="20"/>
  <c r="B7288" i="20"/>
  <c r="A7095" i="20"/>
  <c r="B7458" i="20"/>
  <c r="B6141" i="20"/>
  <c r="B6147" i="20"/>
  <c r="B6089" i="20"/>
  <c r="B9095" i="20"/>
  <c r="A8900" i="20"/>
  <c r="A133" i="45"/>
  <c r="B6988" i="20"/>
  <c r="A7779" i="20"/>
  <c r="B8438" i="20"/>
  <c r="A8411" i="20"/>
  <c r="A7961" i="20"/>
  <c r="B7050" i="20"/>
  <c r="B5989" i="20"/>
  <c r="B5995" i="20"/>
  <c r="B5937" i="20"/>
  <c r="B7042" i="20"/>
  <c r="B5981" i="20"/>
  <c r="B5987" i="20"/>
  <c r="B5929" i="20"/>
  <c r="A7758" i="20"/>
  <c r="B7675" i="20"/>
  <c r="A4714" i="20"/>
  <c r="B6674" i="20"/>
  <c r="B7162" i="20"/>
  <c r="B6101" i="20"/>
  <c r="B6107" i="20"/>
  <c r="B6049" i="20"/>
  <c r="A7410" i="20"/>
  <c r="B5751" i="20"/>
  <c r="A6925" i="20"/>
  <c r="A4163" i="20"/>
  <c r="A3495" i="20"/>
  <c r="B2018" i="20"/>
  <c r="A3585" i="20"/>
  <c r="B4380" i="20"/>
  <c r="B7596" i="20"/>
  <c r="A8569" i="20"/>
  <c r="B6545" i="20"/>
  <c r="B6537" i="20"/>
  <c r="B7130" i="20"/>
  <c r="B6069" i="20"/>
  <c r="B6075" i="20"/>
  <c r="B6017" i="20"/>
  <c r="A7282" i="20"/>
  <c r="B5623" i="20"/>
  <c r="A6797" i="20"/>
  <c r="A4131" i="20"/>
  <c r="A3463" i="20"/>
  <c r="B1986" i="20"/>
  <c r="A8033" i="20"/>
  <c r="B7388" i="20"/>
  <c r="A16" i="28"/>
  <c r="B6149" i="20"/>
  <c r="A7582" i="20"/>
  <c r="A983" i="49"/>
  <c r="A47" i="32"/>
  <c r="A50" i="31"/>
  <c r="A41" i="45"/>
  <c r="B8021" i="20"/>
  <c r="B7791" i="20"/>
  <c r="A15" i="37"/>
  <c r="B1024" i="45"/>
  <c r="F2" i="33"/>
  <c r="A8972" i="20"/>
  <c r="A9" i="45"/>
  <c r="A383" i="32"/>
  <c r="B142" i="45"/>
  <c r="B8946" i="20"/>
  <c r="A862" i="45"/>
  <c r="A8093" i="20"/>
  <c r="B7919" i="20"/>
  <c r="B7180" i="20"/>
  <c r="A8153" i="20"/>
  <c r="B6129" i="20"/>
  <c r="B6121" i="20"/>
  <c r="B7148" i="20"/>
  <c r="B385" i="45"/>
  <c r="A562" i="45"/>
  <c r="A132" i="32"/>
  <c r="A350" i="45"/>
  <c r="M38" i="33"/>
  <c r="B6904" i="20"/>
  <c r="A8648" i="20"/>
  <c r="A533" i="45"/>
  <c r="B551" i="45"/>
  <c r="B228" i="49"/>
  <c r="A8588" i="20"/>
  <c r="B8928" i="20"/>
  <c r="B8212" i="20"/>
  <c r="B8816" i="20"/>
  <c r="B8864" i="20"/>
  <c r="A59" i="32"/>
  <c r="A35" i="31"/>
  <c r="B935" i="49"/>
  <c r="A1109" i="45"/>
  <c r="B7759" i="20"/>
  <c r="B610" i="45"/>
  <c r="A8614" i="20"/>
  <c r="C50" i="21"/>
  <c r="B377" i="45"/>
  <c r="A25" i="28"/>
  <c r="A1192" i="45"/>
  <c r="B521" i="45"/>
  <c r="B8854" i="20"/>
  <c r="A1010" i="45"/>
  <c r="A23" i="28"/>
  <c r="A107" i="32"/>
  <c r="B1066" i="45"/>
  <c r="B1081" i="45"/>
  <c r="A463" i="45"/>
  <c r="B1084" i="49"/>
  <c r="B97" i="49"/>
  <c r="B748" i="45"/>
  <c r="A8770" i="20"/>
  <c r="A8085" i="20"/>
  <c r="A2" i="43"/>
  <c r="A8932" i="20"/>
  <c r="A14" i="45"/>
  <c r="B8408" i="20"/>
  <c r="A7701" i="20"/>
  <c r="A7713" i="20"/>
  <c r="B7637" i="20"/>
  <c r="B8368" i="20"/>
  <c r="A7689" i="20"/>
  <c r="A7697" i="20"/>
  <c r="B7629" i="20"/>
  <c r="B802" i="49"/>
  <c r="A1296" i="45"/>
  <c r="B620" i="45"/>
  <c r="A8706" i="20"/>
  <c r="A362" i="45"/>
  <c r="A299" i="45"/>
  <c r="B102" i="49"/>
  <c r="A1138" i="45"/>
  <c r="A69" i="45"/>
  <c r="B517" i="45"/>
  <c r="A197" i="32"/>
  <c r="N64" i="33"/>
  <c r="A677" i="49"/>
  <c r="A127" i="32"/>
  <c r="N39" i="33"/>
  <c r="A33" i="45"/>
  <c r="N38" i="33"/>
  <c r="A407" i="45"/>
  <c r="B257" i="45"/>
  <c r="A8825" i="20"/>
  <c r="B6820" i="20"/>
  <c r="A792" i="45"/>
  <c r="B7292" i="20"/>
  <c r="B6774" i="20"/>
  <c r="A7518" i="20"/>
  <c r="A7524" i="20"/>
  <c r="A7466" i="20"/>
  <c r="B6710" i="20"/>
  <c r="A7510" i="20"/>
  <c r="A7516" i="20"/>
  <c r="A7458" i="20"/>
  <c r="A9105" i="20"/>
  <c r="A161" i="49"/>
  <c r="A279" i="45"/>
  <c r="A523" i="45"/>
  <c r="AC1" i="33"/>
  <c r="B794" i="45"/>
  <c r="B8744" i="20"/>
  <c r="B1482" i="49"/>
  <c r="B1081" i="49"/>
  <c r="A686" i="49"/>
  <c r="A336" i="32"/>
  <c r="A1417" i="49"/>
  <c r="A199" i="49"/>
  <c r="B1446" i="49"/>
  <c r="M61" i="33"/>
  <c r="B209" i="45"/>
  <c r="B175" i="45"/>
  <c r="B419" i="45"/>
  <c r="A700" i="45"/>
  <c r="A577" i="45"/>
  <c r="A120" i="45"/>
  <c r="A8850" i="20"/>
  <c r="A271" i="49"/>
  <c r="A223" i="49"/>
  <c r="B739" i="49"/>
  <c r="B993" i="45"/>
  <c r="B532" i="45"/>
  <c r="A244" i="45"/>
  <c r="A386" i="49"/>
  <c r="N7" i="29"/>
  <c r="B8807" i="20"/>
  <c r="M27" i="29"/>
  <c r="A840" i="49"/>
  <c r="B171" i="49"/>
  <c r="B1217" i="45"/>
  <c r="B6982" i="20"/>
  <c r="B13" i="37"/>
  <c r="N8" i="29"/>
  <c r="B455" i="49"/>
  <c r="A7711" i="20"/>
  <c r="A44" i="32"/>
  <c r="B7366" i="20"/>
  <c r="B135" i="49"/>
  <c r="A1253" i="45"/>
  <c r="B172" i="45"/>
  <c r="B17" i="45"/>
  <c r="AI4" i="33"/>
  <c r="A213" i="32"/>
  <c r="B1069" i="45"/>
  <c r="A818" i="45"/>
  <c r="B1382" i="49"/>
  <c r="A561" i="45"/>
  <c r="B8519" i="20"/>
  <c r="A837" i="49"/>
  <c r="M78" i="33"/>
  <c r="B36" i="49"/>
  <c r="B524" i="45"/>
  <c r="B8906" i="20"/>
  <c r="A7901" i="20"/>
  <c r="A7891" i="20"/>
  <c r="B231" i="45"/>
  <c r="A145" i="45"/>
  <c r="B357" i="45"/>
  <c r="B229" i="45"/>
  <c r="A511" i="49"/>
  <c r="B351" i="49"/>
  <c r="B9020" i="20"/>
  <c r="B9000" i="20"/>
  <c r="B1056" i="45"/>
  <c r="B911" i="45"/>
  <c r="A243" i="32"/>
  <c r="I7" i="33"/>
  <c r="B693" i="49"/>
  <c r="A35" i="49"/>
  <c r="A4" i="26"/>
  <c r="A11" i="23"/>
  <c r="A385" i="49"/>
  <c r="A1318" i="45"/>
  <c r="N53" i="33"/>
  <c r="A954" i="45"/>
  <c r="A235" i="32"/>
  <c r="B1206" i="45"/>
  <c r="A1098" i="45"/>
  <c r="B9110" i="20"/>
  <c r="A9045" i="20"/>
  <c r="C2" i="33"/>
  <c r="B8680" i="20"/>
  <c r="A1119" i="45"/>
  <c r="A2" i="27"/>
  <c r="A62" i="45"/>
  <c r="A9010" i="20"/>
  <c r="A6" i="48"/>
  <c r="A525" i="45"/>
  <c r="A9026" i="20"/>
  <c r="A8429" i="20"/>
  <c r="B322" i="45"/>
  <c r="A8951" i="20"/>
  <c r="B1060" i="45"/>
  <c r="A8139" i="20"/>
  <c r="A6750" i="20"/>
  <c r="A6756" i="20"/>
  <c r="A6698" i="20"/>
  <c r="A8099" i="20"/>
  <c r="A6742" i="20"/>
  <c r="A6748" i="20"/>
  <c r="A6690" i="20"/>
  <c r="B1221" i="49"/>
  <c r="A835" i="45"/>
  <c r="A397" i="45"/>
  <c r="A8962" i="20"/>
  <c r="A8341" i="20"/>
  <c r="B194" i="45"/>
  <c r="B1123" i="49"/>
  <c r="A8" i="32"/>
  <c r="A7859" i="20"/>
  <c r="A668" i="49"/>
  <c r="B8119" i="20"/>
  <c r="B706" i="49"/>
  <c r="B6926" i="20"/>
  <c r="M66" i="33"/>
  <c r="A7955" i="20"/>
  <c r="B374" i="49"/>
  <c r="B9097" i="20"/>
  <c r="A145" i="49"/>
  <c r="A3" i="30"/>
  <c r="B7735" i="20"/>
  <c r="A242" i="32"/>
  <c r="B8272" i="20"/>
  <c r="AK1" i="33"/>
  <c r="B8579" i="20"/>
  <c r="A21" i="45"/>
  <c r="B9069" i="20"/>
  <c r="A8561" i="20"/>
  <c r="A6142" i="20"/>
  <c r="A6148" i="20"/>
  <c r="A21" i="47"/>
  <c r="A33" i="52"/>
  <c r="B420" i="49"/>
  <c r="B251" i="49"/>
  <c r="B386" i="49"/>
  <c r="A854" i="45"/>
  <c r="B230" i="49"/>
  <c r="B1061" i="45"/>
  <c r="B63" i="50"/>
  <c r="B27" i="49"/>
  <c r="A643" i="49"/>
  <c r="A641" i="45"/>
  <c r="B133" i="45"/>
  <c r="B606" i="45"/>
  <c r="N2" i="33"/>
  <c r="B655" i="45"/>
  <c r="A309" i="49"/>
  <c r="A12" i="31"/>
  <c r="B1164" i="45"/>
  <c r="A257" i="32"/>
  <c r="A54" i="31"/>
  <c r="B131" i="49"/>
  <c r="A9066" i="20"/>
  <c r="A71" i="32"/>
  <c r="A98" i="49"/>
  <c r="B1090" i="45"/>
  <c r="B15" i="21"/>
  <c r="E8" i="33"/>
  <c r="B275" i="45"/>
  <c r="A667" i="45"/>
  <c r="B595" i="45"/>
  <c r="B485" i="45"/>
  <c r="A469" i="49"/>
  <c r="A8884" i="20"/>
  <c r="A327" i="32"/>
  <c r="B8440" i="20"/>
  <c r="C41" i="21"/>
  <c r="A6218" i="20"/>
  <c r="A6210" i="20"/>
  <c r="B8400" i="20"/>
  <c r="B8178" i="20"/>
  <c r="B8826" i="20"/>
  <c r="B1359" i="49"/>
  <c r="A169" i="49"/>
  <c r="B7990" i="20"/>
  <c r="B5541" i="20"/>
  <c r="A8553" i="20"/>
  <c r="A6140" i="20"/>
  <c r="A2" i="24"/>
  <c r="A114" i="32"/>
  <c r="B9126" i="20"/>
  <c r="B1067" i="45"/>
  <c r="B7727" i="20"/>
  <c r="A8759" i="20"/>
  <c r="A956" i="45"/>
  <c r="A9049" i="20"/>
  <c r="A591" i="45"/>
  <c r="A8515" i="20"/>
  <c r="A202" i="32"/>
  <c r="A8944" i="20"/>
  <c r="A7051" i="20"/>
  <c r="A6999" i="20"/>
  <c r="A7043" i="20"/>
  <c r="A6991" i="20"/>
  <c r="A77" i="45"/>
  <c r="A8475" i="20"/>
  <c r="B562" i="45"/>
  <c r="A1126" i="45"/>
  <c r="B101" i="52"/>
  <c r="A4" i="48"/>
  <c r="AL2" i="33"/>
  <c r="A974" i="49"/>
  <c r="N58" i="33"/>
  <c r="B1068" i="45"/>
  <c r="B7142" i="20"/>
  <c r="A209" i="45"/>
  <c r="B8703" i="20"/>
  <c r="B7869" i="20"/>
  <c r="B7658" i="20"/>
  <c r="A232" i="32"/>
  <c r="A8004" i="20"/>
  <c r="A8079" i="20"/>
  <c r="A7715" i="20"/>
  <c r="A8589" i="20"/>
  <c r="A7906" i="20"/>
  <c r="A7930" i="20"/>
  <c r="B7666" i="20"/>
  <c r="B1225" i="45"/>
  <c r="A37" i="49"/>
  <c r="B9010" i="20"/>
  <c r="B7006" i="20"/>
  <c r="A1" i="33"/>
  <c r="B7172" i="20"/>
  <c r="A150" i="49"/>
  <c r="B7644" i="20"/>
  <c r="A8301" i="20"/>
  <c r="A7810" i="20"/>
  <c r="A7834" i="20"/>
  <c r="B7568" i="20"/>
  <c r="A8213" i="20"/>
  <c r="B3" i="36"/>
  <c r="A146" i="45"/>
  <c r="A259" i="32"/>
  <c r="A7796" i="20"/>
  <c r="B7876" i="20"/>
  <c r="A7479" i="20"/>
  <c r="A7780" i="20"/>
  <c r="B6397" i="20"/>
  <c r="B6403" i="20"/>
  <c r="B6345" i="20"/>
  <c r="A9098" i="20"/>
  <c r="A199" i="32"/>
  <c r="A143" i="45"/>
  <c r="B7244" i="20"/>
  <c r="A8123" i="20"/>
  <c r="A7745" i="20"/>
  <c r="B7725" i="20"/>
  <c r="A8217" i="20"/>
  <c r="B7306" i="20"/>
  <c r="B6245" i="20"/>
  <c r="B6251" i="20"/>
  <c r="B6193" i="20"/>
  <c r="B7298" i="20"/>
  <c r="B6237" i="20"/>
  <c r="B6243" i="20"/>
  <c r="B6185" i="20"/>
  <c r="B7800" i="20"/>
  <c r="B8717" i="20"/>
  <c r="A5738" i="20"/>
  <c r="A5730" i="20"/>
  <c r="B7418" i="20"/>
  <c r="B6357" i="20"/>
  <c r="B6363" i="20"/>
  <c r="B6305" i="20"/>
  <c r="A8135" i="20"/>
  <c r="A4816" i="20"/>
  <c r="B6923" i="20"/>
  <c r="A4419" i="20"/>
  <c r="A3751" i="20"/>
  <c r="B2274" i="20"/>
  <c r="A2943" i="20"/>
  <c r="B1988" i="20"/>
  <c r="A8654" i="20"/>
  <c r="B8571" i="20"/>
  <c r="A5610" i="20"/>
  <c r="A5602" i="20"/>
  <c r="B7386" i="20"/>
  <c r="B6325" i="20"/>
  <c r="B6331" i="20"/>
  <c r="B6273" i="20"/>
  <c r="B8572" i="20"/>
  <c r="B6650" i="20"/>
  <c r="B6795" i="20"/>
  <c r="A4387" i="20"/>
  <c r="A3719" i="20"/>
  <c r="B2242" i="20"/>
  <c r="A2911" i="20"/>
  <c r="U1" i="33"/>
  <c r="B8208" i="20"/>
  <c r="B8240" i="20"/>
  <c r="A5982" i="20"/>
  <c r="A1" i="28"/>
  <c r="B8192" i="20"/>
  <c r="A7395" i="20"/>
  <c r="A7401" i="20"/>
  <c r="A7343" i="20"/>
  <c r="B617" i="45"/>
  <c r="B310" i="45"/>
  <c r="B977" i="45"/>
  <c r="B7749" i="20"/>
  <c r="A877" i="45"/>
  <c r="A19" i="45"/>
  <c r="B7422" i="20"/>
  <c r="A9136" i="20"/>
  <c r="A8712" i="20"/>
  <c r="A7243" i="20"/>
  <c r="A7249" i="20"/>
  <c r="A7191" i="20"/>
  <c r="A8704" i="20"/>
  <c r="A7235" i="20"/>
  <c r="A7241" i="20"/>
  <c r="A7183" i="20"/>
  <c r="D16" i="43"/>
  <c r="B812" i="45"/>
  <c r="A7300" i="20"/>
  <c r="A7292" i="20"/>
  <c r="A8936" i="20"/>
  <c r="A7355" i="20"/>
  <c r="A7361" i="20"/>
  <c r="A7303" i="20"/>
  <c r="A5958" i="20"/>
  <c r="A5075" i="20"/>
  <c r="A4968" i="20"/>
  <c r="B5325" i="20"/>
  <c r="A5269" i="20"/>
  <c r="A2628" i="20"/>
  <c r="A3426" i="20"/>
  <c r="B3571" i="20"/>
  <c r="A9083" i="20"/>
  <c r="B100" i="45"/>
  <c r="A7172" i="20"/>
  <c r="A7164" i="20"/>
  <c r="A8872" i="20"/>
  <c r="A7323" i="20"/>
  <c r="A7329" i="20"/>
  <c r="A7271" i="20"/>
  <c r="A5830" i="20"/>
  <c r="A5043" i="20"/>
  <c r="A4840" i="20"/>
  <c r="B5197" i="20"/>
  <c r="A5205" i="20"/>
  <c r="B4587" i="20"/>
  <c r="A3394" i="20"/>
  <c r="B7997" i="20"/>
  <c r="B7230" i="20"/>
  <c r="A8377" i="20"/>
  <c r="B7264" i="20"/>
  <c r="A7153" i="20"/>
  <c r="B6353" i="20"/>
  <c r="B8332" i="20"/>
  <c r="B8356" i="20"/>
  <c r="B8124" i="20"/>
  <c r="A838" i="45"/>
  <c r="A693" i="49"/>
  <c r="C3" i="21"/>
  <c r="B7454" i="20"/>
  <c r="A41" i="25"/>
  <c r="B7396" i="20"/>
  <c r="A731" i="45"/>
  <c r="A7902" i="20"/>
  <c r="A193" i="32"/>
  <c r="B7724" i="20"/>
  <c r="B7748" i="20"/>
  <c r="A8498" i="20"/>
  <c r="B49" i="21"/>
  <c r="B8675" i="20"/>
  <c r="B7716" i="20"/>
  <c r="A8466" i="20"/>
  <c r="B6758" i="20"/>
  <c r="B7741" i="20"/>
  <c r="A7876" i="20"/>
  <c r="A7868" i="20"/>
  <c r="A239" i="32"/>
  <c r="B8172" i="20"/>
  <c r="B8196" i="20"/>
  <c r="B7964" i="20"/>
  <c r="B641" i="45"/>
  <c r="A5592" i="20"/>
  <c r="A5521" i="20"/>
  <c r="B6284" i="20"/>
  <c r="B6292" i="20"/>
  <c r="B3600" i="20"/>
  <c r="B4398" i="20"/>
  <c r="B3314" i="20"/>
  <c r="A555" i="45"/>
  <c r="A8587" i="20"/>
  <c r="A7680" i="20"/>
  <c r="A7669" i="20"/>
  <c r="B494" i="45"/>
  <c r="B8044" i="20"/>
  <c r="B8068" i="20"/>
  <c r="B7836" i="20"/>
  <c r="B8776" i="20"/>
  <c r="A5464" i="20"/>
  <c r="A5489" i="20"/>
  <c r="B6230" i="20"/>
  <c r="B6236" i="20"/>
  <c r="B3568" i="20"/>
  <c r="A8013" i="20"/>
  <c r="B9130" i="20"/>
  <c r="A8912" i="20"/>
  <c r="B7210" i="20"/>
  <c r="B6776" i="20"/>
  <c r="A6967" i="20"/>
  <c r="B9006" i="20"/>
  <c r="B368" i="45"/>
  <c r="B447" i="45"/>
  <c r="A944" i="45"/>
  <c r="B385" i="49"/>
  <c r="B129" i="49"/>
  <c r="O69" i="33"/>
  <c r="A2" i="29"/>
  <c r="A363" i="32"/>
  <c r="A26" i="21"/>
  <c r="B8050" i="20"/>
  <c r="B243" i="45"/>
  <c r="B8146" i="20"/>
  <c r="B268" i="45"/>
  <c r="B917" i="45"/>
  <c r="A103" i="49"/>
  <c r="A8842" i="20"/>
  <c r="A8035" i="20"/>
  <c r="B7242" i="20"/>
  <c r="B7234" i="20"/>
  <c r="B543" i="45"/>
  <c r="A640" i="45"/>
  <c r="A423" i="49"/>
  <c r="B8015" i="20"/>
  <c r="B8248" i="20"/>
  <c r="A5252" i="20"/>
  <c r="A8922" i="20"/>
  <c r="A7254" i="20"/>
  <c r="A7260" i="20"/>
  <c r="A7202" i="20"/>
  <c r="A274" i="32"/>
  <c r="B15" i="48"/>
  <c r="A149" i="32"/>
  <c r="A9071" i="20"/>
  <c r="A48" i="21"/>
  <c r="A1314" i="45"/>
  <c r="B504" i="45"/>
  <c r="A33" i="31"/>
  <c r="A8499" i="20"/>
  <c r="A583" i="49"/>
  <c r="A7" i="43"/>
  <c r="A50" i="49"/>
  <c r="B8538" i="20"/>
  <c r="A147" i="32"/>
  <c r="A8595" i="20"/>
  <c r="A1382" i="49"/>
  <c r="A9100" i="20"/>
  <c r="Q2" i="29"/>
  <c r="A83" i="45"/>
  <c r="A17" i="31"/>
  <c r="B8684" i="20"/>
  <c r="A8003" i="20"/>
  <c r="B8840" i="20"/>
  <c r="B9109" i="20"/>
  <c r="B767" i="45"/>
  <c r="A378" i="32"/>
  <c r="B8563" i="20"/>
  <c r="A6659" i="20"/>
  <c r="A6667" i="20"/>
  <c r="A6602" i="20"/>
  <c r="B8555" i="20"/>
  <c r="B6648" i="20"/>
  <c r="B6656" i="20"/>
  <c r="A6594" i="20"/>
  <c r="B306" i="45"/>
  <c r="B417" i="45"/>
  <c r="A371" i="32"/>
  <c r="A40" i="21"/>
  <c r="A101" i="45"/>
  <c r="B8775" i="20"/>
  <c r="B549" i="45"/>
  <c r="A215" i="32"/>
  <c r="A8" i="28"/>
  <c r="B7" i="41"/>
  <c r="B33" i="45"/>
  <c r="B8871" i="20"/>
  <c r="A7" i="41"/>
  <c r="A45" i="45"/>
  <c r="B676" i="45"/>
  <c r="AH3" i="33"/>
  <c r="B496" i="45"/>
  <c r="B8830" i="20"/>
  <c r="B8173" i="20"/>
  <c r="B7126" i="20"/>
  <c r="A8984" i="20"/>
  <c r="A8216" i="20"/>
  <c r="A387" i="32"/>
  <c r="A29" i="31"/>
  <c r="A7563" i="20"/>
  <c r="A7569" i="20"/>
  <c r="A7511" i="20"/>
  <c r="B3" i="30"/>
  <c r="A7555" i="20"/>
  <c r="A7561" i="20"/>
  <c r="A7503" i="20"/>
  <c r="A1236" i="45"/>
  <c r="D13" i="43"/>
  <c r="B8766" i="20"/>
  <c r="B8133" i="20"/>
  <c r="B861" i="45"/>
  <c r="B8870" i="20"/>
  <c r="B7861" i="20"/>
  <c r="A105" i="49"/>
  <c r="A1277" i="49"/>
  <c r="B43" i="56"/>
  <c r="A214" i="49"/>
  <c r="A1200" i="49"/>
  <c r="A82" i="47"/>
  <c r="A1069" i="49"/>
  <c r="B1127" i="45"/>
  <c r="B498" i="49"/>
  <c r="A1131" i="45"/>
  <c r="B752" i="49"/>
  <c r="B40" i="49"/>
  <c r="A43" i="49"/>
  <c r="A80" i="45"/>
  <c r="A905" i="45"/>
  <c r="A28" i="47"/>
  <c r="AI2" i="33"/>
  <c r="A8945" i="20"/>
  <c r="A1018" i="49"/>
  <c r="A114" i="45"/>
  <c r="A977" i="49"/>
  <c r="A77" i="32"/>
  <c r="B5" i="45"/>
  <c r="A474" i="49"/>
  <c r="B927" i="45"/>
  <c r="B8551" i="20"/>
  <c r="A31" i="45"/>
  <c r="B301" i="45"/>
  <c r="A1001" i="45"/>
  <c r="B400" i="45"/>
  <c r="A767" i="49"/>
  <c r="B937" i="45"/>
  <c r="B1297" i="45"/>
  <c r="B8828" i="20"/>
  <c r="B8808" i="20"/>
  <c r="A1182" i="45"/>
  <c r="A524" i="45"/>
  <c r="A10" i="23"/>
  <c r="A76" i="32"/>
  <c r="A8592" i="20"/>
  <c r="B8844" i="20"/>
  <c r="A26" i="28"/>
  <c r="B1154" i="45"/>
  <c r="B81" i="49"/>
  <c r="A119" i="45"/>
  <c r="A8656" i="20"/>
  <c r="A1151" i="45"/>
  <c r="A180" i="32"/>
  <c r="A754" i="49"/>
  <c r="B8282" i="20"/>
  <c r="A17" i="21"/>
  <c r="A7784" i="20"/>
  <c r="B1319" i="49"/>
  <c r="B555" i="49"/>
  <c r="A54" i="45"/>
  <c r="B8938" i="20"/>
  <c r="B8882" i="20"/>
  <c r="B5" i="46"/>
  <c r="A852" i="45"/>
  <c r="B8639" i="20"/>
  <c r="B8629" i="20"/>
  <c r="A878" i="49"/>
  <c r="B1132" i="45"/>
  <c r="B8298" i="20"/>
  <c r="B9025" i="20"/>
  <c r="B12" i="48"/>
  <c r="A1172" i="45"/>
  <c r="B8753" i="20"/>
  <c r="B8743" i="20"/>
  <c r="C61" i="52"/>
  <c r="B11" i="49"/>
  <c r="A770" i="45"/>
  <c r="A231" i="32"/>
  <c r="B7733" i="20"/>
  <c r="A1492" i="49"/>
  <c r="A8908" i="20"/>
  <c r="A587" i="49"/>
  <c r="A8101" i="20"/>
  <c r="B8700" i="20"/>
  <c r="B7829" i="20"/>
  <c r="B1395" i="49"/>
  <c r="A45" i="31"/>
  <c r="A332" i="32"/>
  <c r="A103" i="32"/>
  <c r="A22" i="31"/>
  <c r="A8" i="24"/>
  <c r="A8171" i="20"/>
  <c r="A312" i="32"/>
  <c r="A10" i="24"/>
  <c r="A7556" i="20"/>
  <c r="A8688" i="20"/>
  <c r="B8837" i="20"/>
  <c r="A6795" i="20"/>
  <c r="A6801" i="20"/>
  <c r="A6743" i="20"/>
  <c r="B8829" i="20"/>
  <c r="A6787" i="20"/>
  <c r="A6793" i="20"/>
  <c r="A6735" i="20"/>
  <c r="A1247" i="45"/>
  <c r="B9118" i="20"/>
  <c r="B9068" i="20"/>
  <c r="A8131" i="20"/>
  <c r="I1" i="29"/>
  <c r="A47" i="21"/>
  <c r="C2" i="30"/>
  <c r="A7869" i="20"/>
  <c r="A397" i="49"/>
  <c r="A330" i="45"/>
  <c r="B8" i="43"/>
  <c r="A193" i="49"/>
  <c r="B1197" i="45"/>
  <c r="A7965" i="20"/>
  <c r="A459" i="49"/>
  <c r="A714" i="45"/>
  <c r="A7936" i="20"/>
  <c r="B7663" i="20"/>
  <c r="M33" i="29"/>
  <c r="A211" i="32"/>
  <c r="A798" i="45"/>
  <c r="B7052" i="20"/>
  <c r="A7867" i="20"/>
  <c r="B8502" i="20"/>
  <c r="A8491" i="20"/>
  <c r="A8025" i="20"/>
  <c r="B7114" i="20"/>
  <c r="B6053" i="20"/>
  <c r="B6059" i="20"/>
  <c r="A7952" i="20"/>
  <c r="B688" i="49"/>
  <c r="A1187" i="45"/>
  <c r="B1" i="49"/>
  <c r="A805" i="49"/>
  <c r="A814" i="45"/>
  <c r="B1211" i="45"/>
  <c r="B329" i="45"/>
  <c r="B357" i="49"/>
  <c r="A9029" i="20"/>
  <c r="A1033" i="45"/>
  <c r="A9" i="24"/>
  <c r="A59" i="49"/>
  <c r="B9" i="56"/>
  <c r="A1143" i="45"/>
  <c r="A400" i="49"/>
  <c r="A1317" i="49"/>
  <c r="A965" i="45"/>
  <c r="A72" i="45"/>
  <c r="A741" i="45"/>
  <c r="A780" i="49"/>
  <c r="B8714" i="20"/>
  <c r="B605" i="45"/>
  <c r="A8722" i="20"/>
  <c r="A101" i="49"/>
  <c r="A175" i="32"/>
  <c r="B7238" i="20"/>
  <c r="A207" i="45"/>
  <c r="B8127" i="20"/>
  <c r="A8256" i="20"/>
  <c r="B8223" i="20"/>
  <c r="B372" i="45"/>
  <c r="B8631" i="20"/>
  <c r="A8083" i="20"/>
  <c r="A8852" i="20"/>
  <c r="A8826" i="20"/>
  <c r="B7795" i="20"/>
  <c r="B7787" i="20"/>
  <c r="A8724" i="20"/>
  <c r="A8762" i="20"/>
  <c r="A1120" i="45"/>
  <c r="A635" i="45"/>
  <c r="A165" i="49"/>
  <c r="A141" i="32"/>
  <c r="A7811" i="20"/>
  <c r="B5547" i="20"/>
  <c r="B7948" i="20"/>
  <c r="B7740" i="20"/>
  <c r="A8" i="49"/>
  <c r="B7518" i="20"/>
  <c r="A8264" i="20"/>
  <c r="B1022" i="45"/>
  <c r="B244" i="45"/>
  <c r="A8360" i="20"/>
  <c r="B329" i="49"/>
  <c r="A182" i="49"/>
  <c r="A744" i="45"/>
  <c r="A365" i="32"/>
  <c r="A8332" i="20"/>
  <c r="B7822" i="20"/>
  <c r="M18" i="33"/>
  <c r="A7192" i="20"/>
  <c r="AK2" i="33"/>
  <c r="A246" i="49"/>
  <c r="A608" i="45"/>
  <c r="A109" i="32"/>
  <c r="B7334" i="20"/>
  <c r="A396" i="45"/>
  <c r="A595" i="45"/>
  <c r="A8721" i="20"/>
  <c r="B7967" i="20"/>
  <c r="B349" i="45"/>
  <c r="A55" i="45"/>
  <c r="B55" i="21"/>
  <c r="A782" i="45"/>
  <c r="S2" i="33"/>
  <c r="A7854" i="20"/>
  <c r="A7750" i="20"/>
  <c r="B8258" i="20"/>
  <c r="B7771" i="20"/>
  <c r="A8055" i="20"/>
  <c r="B6927" i="20"/>
  <c r="B6869" i="20"/>
  <c r="B514" i="45"/>
  <c r="B6913" i="20"/>
  <c r="B6919" i="20"/>
  <c r="B6861" i="20"/>
  <c r="B531" i="45"/>
  <c r="B29" i="45"/>
  <c r="A284" i="32"/>
  <c r="B8645" i="20"/>
  <c r="A7896" i="20"/>
  <c r="N27" i="29"/>
  <c r="B8162" i="20"/>
  <c r="A34" i="31"/>
  <c r="B130" i="45"/>
  <c r="B6889" i="20"/>
  <c r="B6895" i="20"/>
  <c r="B6837" i="20"/>
  <c r="B2" i="45"/>
  <c r="B8689" i="20"/>
  <c r="A8120" i="20"/>
  <c r="A8633" i="20"/>
  <c r="B7852" i="20"/>
  <c r="A7537" i="20"/>
  <c r="B6609" i="20"/>
  <c r="A8407" i="20"/>
  <c r="A8431" i="20"/>
  <c r="A8199" i="20"/>
  <c r="B3" i="46"/>
  <c r="B733" i="45"/>
  <c r="B688" i="45"/>
  <c r="A8088" i="20"/>
  <c r="A689" i="45"/>
  <c r="B7652" i="20"/>
  <c r="B1104" i="49"/>
  <c r="A8158" i="20"/>
  <c r="A1190" i="45"/>
  <c r="A7799" i="20"/>
  <c r="A7823" i="20"/>
  <c r="B8540" i="20"/>
  <c r="B613" i="45"/>
  <c r="A7767" i="20"/>
  <c r="A7791" i="20"/>
  <c r="B8508" i="20"/>
  <c r="B7935" i="20"/>
  <c r="B9119" i="20"/>
  <c r="A7857" i="20"/>
  <c r="A7849" i="20"/>
  <c r="A6168" i="20"/>
  <c r="A8247" i="20"/>
  <c r="A8271" i="20"/>
  <c r="A8039" i="20"/>
  <c r="A6917" i="20"/>
  <c r="A7013" i="20"/>
  <c r="A5777" i="20"/>
  <c r="A4799" i="20"/>
  <c r="A4807" i="20"/>
  <c r="B3856" i="20"/>
  <c r="A4684" i="20"/>
  <c r="B3570" i="20"/>
  <c r="A8445" i="20"/>
  <c r="B8951" i="20"/>
  <c r="B8550" i="20"/>
  <c r="B8542" i="20"/>
  <c r="A6040" i="20"/>
  <c r="A8119" i="20"/>
  <c r="A8143" i="20"/>
  <c r="A7911" i="20"/>
  <c r="B679" i="45"/>
  <c r="A6651" i="20"/>
  <c r="A5745" i="20"/>
  <c r="A4735" i="20"/>
  <c r="A4743" i="20"/>
  <c r="B3824" i="20"/>
  <c r="B4622" i="20"/>
  <c r="A8078" i="20"/>
  <c r="A8556" i="20"/>
  <c r="B481" i="45"/>
  <c r="A8241" i="20"/>
  <c r="A53" i="45"/>
  <c r="B7605" i="20"/>
  <c r="A8233" i="20"/>
  <c r="A5334" i="20"/>
  <c r="A5340" i="20"/>
  <c r="A5282" i="20"/>
  <c r="A8456" i="20"/>
  <c r="B744" i="45"/>
  <c r="A8597" i="20"/>
  <c r="A8174" i="20"/>
  <c r="B8293" i="20"/>
  <c r="A8641" i="20"/>
  <c r="B8943" i="20"/>
  <c r="B8091" i="20"/>
  <c r="A8572" i="20"/>
  <c r="A5182" i="20"/>
  <c r="A5188" i="20"/>
  <c r="A5130" i="20"/>
  <c r="A8564" i="20"/>
  <c r="A5174" i="20"/>
  <c r="A5180" i="20"/>
  <c r="A5122" i="20"/>
  <c r="A381" i="32"/>
  <c r="B7068" i="20"/>
  <c r="A7242" i="20"/>
  <c r="A7234" i="20"/>
  <c r="B7814" i="20"/>
  <c r="A5294" i="20"/>
  <c r="A5300" i="20"/>
  <c r="A5242" i="20"/>
  <c r="A5964" i="20"/>
  <c r="B7387" i="20"/>
  <c r="A24" i="37"/>
  <c r="B5276" i="20"/>
  <c r="A4663" i="20"/>
  <c r="A1125" i="20"/>
  <c r="A1923" i="20"/>
  <c r="B3561" i="20"/>
  <c r="A376" i="32"/>
  <c r="B6940" i="20"/>
  <c r="A7114" i="20"/>
  <c r="A7106" i="20"/>
  <c r="B7750" i="20"/>
  <c r="A5262" i="20"/>
  <c r="A5268" i="20"/>
  <c r="A5210" i="20"/>
  <c r="A5836" i="20"/>
  <c r="B7259" i="20"/>
  <c r="B8896" i="20"/>
  <c r="B5244" i="20"/>
  <c r="A4615" i="20"/>
  <c r="B4577" i="20"/>
  <c r="A1891" i="20"/>
  <c r="A483" i="45"/>
  <c r="B7941" i="20"/>
  <c r="B7882" i="20"/>
  <c r="A7147" i="20"/>
  <c r="B6411" i="20"/>
  <c r="B7810" i="20"/>
  <c r="B7265" i="20"/>
  <c r="B7271" i="20"/>
  <c r="B7213" i="20"/>
  <c r="B61" i="45"/>
  <c r="A1165" i="49"/>
  <c r="A8961" i="20"/>
  <c r="B8959" i="20"/>
  <c r="A8480" i="20"/>
  <c r="B8772" i="20"/>
  <c r="A7821" i="20"/>
  <c r="A34" i="25"/>
  <c r="B6900" i="20"/>
  <c r="B7113" i="20"/>
  <c r="B7119" i="20"/>
  <c r="B7061" i="20"/>
  <c r="B6868" i="20"/>
  <c r="B7105" i="20"/>
  <c r="B7111" i="20"/>
  <c r="B7053" i="20"/>
  <c r="A8883" i="20"/>
  <c r="A8225" i="20"/>
  <c r="A4766" i="20"/>
  <c r="A4758" i="20"/>
  <c r="B7348" i="20"/>
  <c r="B7225" i="20"/>
  <c r="B7231" i="20"/>
  <c r="B7173" i="20"/>
  <c r="A7462" i="20"/>
  <c r="A5971" i="20"/>
  <c r="B7539" i="20"/>
  <c r="A4157" i="20"/>
  <c r="A4161" i="20"/>
  <c r="A3524" i="20"/>
  <c r="A4322" i="20"/>
  <c r="A3238" i="20"/>
  <c r="A325" i="45"/>
  <c r="A8097" i="20"/>
  <c r="B6597" i="20"/>
  <c r="B6589" i="20"/>
  <c r="B7220" i="20"/>
  <c r="B7193" i="20"/>
  <c r="B7199" i="20"/>
  <c r="B7141" i="20"/>
  <c r="A7334" i="20"/>
  <c r="A5939" i="20"/>
  <c r="B7411" i="20"/>
  <c r="A4125" i="20"/>
  <c r="A4129" i="20"/>
  <c r="A3492" i="20"/>
  <c r="A8507" i="20"/>
  <c r="B6974" i="20"/>
  <c r="A8121" i="20"/>
  <c r="B6752" i="20"/>
  <c r="A7025" i="20"/>
  <c r="B6097" i="20"/>
  <c r="B486" i="45"/>
  <c r="A1024" i="45"/>
  <c r="B5" i="43"/>
  <c r="N18" i="33"/>
  <c r="A821" i="45"/>
  <c r="B6734" i="20"/>
  <c r="A8753" i="20"/>
  <c r="A1111" i="49"/>
  <c r="B1165" i="45"/>
  <c r="N20" i="33"/>
  <c r="B8040" i="20"/>
  <c r="A386" i="45"/>
  <c r="B8136" i="20"/>
  <c r="A7997" i="20"/>
  <c r="A412" i="45"/>
  <c r="A1252" i="45"/>
  <c r="A275" i="45"/>
  <c r="B8630" i="20"/>
  <c r="B6181" i="20"/>
  <c r="B6173" i="20"/>
  <c r="D14" i="43"/>
  <c r="B8598" i="20"/>
  <c r="B9074" i="20"/>
  <c r="B945" i="45"/>
  <c r="E9" i="33"/>
  <c r="B228" i="45"/>
  <c r="A7840" i="20"/>
  <c r="A8714" i="20"/>
  <c r="B360" i="45"/>
  <c r="A5578" i="20"/>
  <c r="A5622" i="20"/>
  <c r="A5570" i="20"/>
  <c r="A9" i="41"/>
  <c r="A13" i="21"/>
  <c r="A8371" i="20"/>
  <c r="B17" i="21"/>
  <c r="B8026" i="20"/>
  <c r="A8467" i="20"/>
  <c r="A8844" i="20"/>
  <c r="M75" i="33"/>
  <c r="A44" i="25"/>
  <c r="N31" i="29"/>
  <c r="B362" i="45"/>
  <c r="B8307" i="20"/>
  <c r="A6532" i="20"/>
  <c r="B8299" i="20"/>
  <c r="A6524" i="20"/>
  <c r="C8" i="21"/>
  <c r="C40" i="21"/>
  <c r="A730" i="49"/>
  <c r="B8424" i="20"/>
  <c r="A9077" i="20"/>
  <c r="A196" i="50"/>
  <c r="A701" i="45"/>
  <c r="B6790" i="20"/>
  <c r="B939" i="45"/>
  <c r="A8448" i="20"/>
  <c r="B219" i="45"/>
  <c r="A27" i="31"/>
  <c r="B833" i="45"/>
  <c r="B238" i="45"/>
  <c r="A4" i="31"/>
  <c r="B7813" i="20"/>
  <c r="B7823" i="20"/>
  <c r="A6923" i="20"/>
  <c r="A5380" i="20"/>
  <c r="A5322" i="20"/>
  <c r="B7966" i="20"/>
  <c r="A5366" i="20"/>
  <c r="A5372" i="20"/>
  <c r="A5314" i="20"/>
  <c r="B8114" i="20"/>
  <c r="B499" i="45"/>
  <c r="B7895" i="20"/>
  <c r="A8334" i="20"/>
  <c r="B8509" i="20"/>
  <c r="B7779" i="20"/>
  <c r="C10" i="21"/>
  <c r="B8251" i="20"/>
  <c r="B7910" i="20"/>
  <c r="A5342" i="20"/>
  <c r="A5348" i="20"/>
  <c r="A5290" i="20"/>
  <c r="B7902" i="20"/>
  <c r="A9031" i="20"/>
  <c r="A8451" i="20"/>
  <c r="A7548" i="20"/>
  <c r="A6763" i="20"/>
  <c r="B6027" i="20"/>
  <c r="A1218" i="45"/>
  <c r="B7009" i="20"/>
  <c r="B7015" i="20"/>
  <c r="B6957" i="20"/>
  <c r="B19" i="45"/>
  <c r="A217" i="49"/>
  <c r="A156" i="32"/>
  <c r="B8605" i="20"/>
  <c r="A7800" i="20"/>
  <c r="U2" i="29"/>
  <c r="B8074" i="20"/>
  <c r="A29" i="25"/>
  <c r="A173" i="32"/>
  <c r="B6857" i="20"/>
  <c r="B6863" i="20"/>
  <c r="B6805" i="20"/>
  <c r="N32" i="29"/>
  <c r="B6849" i="20"/>
  <c r="B6855" i="20"/>
  <c r="B6797" i="20"/>
  <c r="A8621" i="20"/>
  <c r="B8150" i="20"/>
  <c r="B5701" i="20"/>
  <c r="B5693" i="20"/>
  <c r="N32" i="33"/>
  <c r="B6969" i="20"/>
  <c r="B6975" i="20"/>
  <c r="B6917" i="20"/>
  <c r="B7505" i="20"/>
  <c r="A5715" i="20"/>
  <c r="A7541" i="20"/>
  <c r="A3901" i="20"/>
  <c r="B5213" i="20"/>
  <c r="A3268" i="20"/>
  <c r="A4066" i="20"/>
  <c r="A2982" i="20"/>
  <c r="A46" i="49"/>
  <c r="B8022" i="20"/>
  <c r="B5573" i="20"/>
  <c r="B5565" i="20"/>
  <c r="A163" i="45"/>
  <c r="B6937" i="20"/>
  <c r="B6943" i="20"/>
  <c r="B6885" i="20"/>
  <c r="B7377" i="20"/>
  <c r="A5683" i="20"/>
  <c r="A7413" i="20"/>
  <c r="A3869" i="20"/>
  <c r="B5085" i="20"/>
  <c r="A3236" i="20"/>
  <c r="A4034" i="20"/>
  <c r="A318" i="32"/>
  <c r="B8514" i="20"/>
  <c r="B8123" i="20"/>
  <c r="B7929" i="20"/>
  <c r="B7023" i="20"/>
  <c r="A5162" i="20"/>
  <c r="B8939" i="20"/>
  <c r="B8963" i="20"/>
  <c r="B8731" i="20"/>
  <c r="N17" i="29"/>
  <c r="B866" i="45"/>
  <c r="B26" i="37"/>
  <c r="B8130" i="20"/>
  <c r="B217" i="49"/>
  <c r="A8070" i="20"/>
  <c r="A8012" i="20"/>
  <c r="A8542" i="20"/>
  <c r="A8484" i="20"/>
  <c r="B8313" i="20"/>
  <c r="B8337" i="20"/>
  <c r="B8105" i="20"/>
  <c r="B6979" i="20"/>
  <c r="B8281" i="20"/>
  <c r="B8305" i="20"/>
  <c r="B8073" i="20"/>
  <c r="A8915" i="20"/>
  <c r="B6678" i="20"/>
  <c r="A8904" i="20"/>
  <c r="A8896" i="20"/>
  <c r="B6691" i="20"/>
  <c r="B8779" i="20"/>
  <c r="B8803" i="20"/>
  <c r="B8553" i="20"/>
  <c r="B7427" i="20"/>
  <c r="B5817" i="20"/>
  <c r="A6161" i="20"/>
  <c r="A5567" i="20"/>
  <c r="A5575" i="20"/>
  <c r="B4240" i="20"/>
  <c r="A3049" i="20"/>
  <c r="B3954" i="20"/>
  <c r="A357" i="45"/>
  <c r="B1201" i="45"/>
  <c r="A8" i="41"/>
  <c r="A18" i="37"/>
  <c r="A7589" i="20"/>
  <c r="B8633" i="20"/>
  <c r="B8657" i="20"/>
  <c r="B8425" i="20"/>
  <c r="B7299" i="20"/>
  <c r="B5689" i="20"/>
  <c r="A6129" i="20"/>
  <c r="A5503" i="20"/>
  <c r="A5511" i="20"/>
  <c r="B4208" i="20"/>
  <c r="A3017" i="20"/>
  <c r="A7963" i="20"/>
  <c r="B8342" i="20"/>
  <c r="B6876" i="20"/>
  <c r="B8243" i="20"/>
  <c r="B5637" i="20"/>
  <c r="A7050" i="20"/>
  <c r="B8235" i="20"/>
  <c r="A5718" i="20"/>
  <c r="A5724" i="20"/>
  <c r="A5666" i="20"/>
  <c r="A8061" i="20"/>
  <c r="B936" i="45"/>
  <c r="B8343" i="20"/>
  <c r="A8558" i="20"/>
  <c r="B8823" i="20"/>
  <c r="B8003" i="20"/>
  <c r="A126" i="32"/>
  <c r="B8475" i="20"/>
  <c r="B8358" i="20"/>
  <c r="A5566" i="20"/>
  <c r="A5572" i="20"/>
  <c r="A5514" i="20"/>
  <c r="B8350" i="20"/>
  <c r="A5558" i="20"/>
  <c r="A5564" i="20"/>
  <c r="A5506" i="20"/>
  <c r="B8386" i="20"/>
  <c r="A8638" i="20"/>
  <c r="B8489" i="20"/>
  <c r="B8457" i="20"/>
  <c r="B8582" i="20"/>
  <c r="A5678" i="20"/>
  <c r="A5684" i="20"/>
  <c r="A5626" i="20"/>
  <c r="A7513" i="20"/>
  <c r="A7754" i="20"/>
  <c r="A6199" i="20"/>
  <c r="B5660" i="20"/>
  <c r="B4992" i="20"/>
  <c r="A1509" i="20"/>
  <c r="A2307" i="20"/>
  <c r="A1223" i="20"/>
  <c r="B8034" i="20"/>
  <c r="A8510" i="20"/>
  <c r="B7977" i="20"/>
  <c r="B7945" i="20"/>
  <c r="B8518" i="20"/>
  <c r="A5646" i="20"/>
  <c r="A5652" i="20"/>
  <c r="A5594" i="20"/>
  <c r="A7385" i="20"/>
  <c r="B7208" i="20"/>
  <c r="A6167" i="20"/>
  <c r="B5628" i="20"/>
  <c r="B4960" i="20"/>
  <c r="A1477" i="20"/>
  <c r="A9080" i="20"/>
  <c r="A7771" i="20"/>
  <c r="B8317" i="20"/>
  <c r="A6238" i="20"/>
  <c r="B5515" i="20"/>
  <c r="B8269" i="20"/>
  <c r="A657" i="45"/>
  <c r="B892" i="45"/>
  <c r="A559" i="45"/>
  <c r="B7954" i="20"/>
  <c r="N50" i="33"/>
  <c r="A2" i="45"/>
  <c r="B683" i="49"/>
  <c r="A384" i="45"/>
  <c r="A44" i="49"/>
  <c r="B426" i="45"/>
  <c r="A782" i="49"/>
  <c r="B1073" i="45"/>
  <c r="A44" i="47"/>
  <c r="A964" i="49"/>
  <c r="A9" i="43"/>
  <c r="B115" i="45"/>
  <c r="A7904" i="20"/>
  <c r="A8094" i="20"/>
  <c r="B8284" i="20"/>
  <c r="B8252" i="20"/>
  <c r="A7832" i="20"/>
  <c r="A22" i="21"/>
  <c r="A290" i="32"/>
  <c r="B981" i="45"/>
  <c r="A761" i="45"/>
  <c r="A9112" i="20"/>
  <c r="A7704" i="20"/>
  <c r="B7124" i="20"/>
  <c r="B7175" i="20"/>
  <c r="B573" i="45"/>
  <c r="A9025" i="20"/>
  <c r="A320" i="45"/>
  <c r="B107" i="49"/>
  <c r="A8857" i="20"/>
  <c r="A421" i="45"/>
  <c r="B1184" i="45"/>
  <c r="B8682" i="20"/>
  <c r="B121" i="50"/>
  <c r="B8728" i="20"/>
  <c r="A623" i="45"/>
  <c r="B6780" i="20"/>
  <c r="A7006" i="20"/>
  <c r="A6954" i="20"/>
  <c r="A6998" i="20"/>
  <c r="A6946" i="20"/>
  <c r="B1175" i="49"/>
  <c r="E7" i="33"/>
  <c r="N38" i="29"/>
  <c r="B1306" i="45"/>
  <c r="B8905" i="20"/>
  <c r="A304" i="45"/>
  <c r="B644" i="45"/>
  <c r="A8339" i="20"/>
  <c r="B669" i="45"/>
  <c r="B1108" i="45"/>
  <c r="A19" i="32"/>
  <c r="B8367" i="20"/>
  <c r="A9" i="28"/>
  <c r="A9082" i="20"/>
  <c r="B8246" i="20"/>
  <c r="A7690" i="20"/>
  <c r="B8051" i="20"/>
  <c r="B5797" i="20"/>
  <c r="B8891" i="20"/>
  <c r="A6680" i="20"/>
  <c r="B9067" i="20"/>
  <c r="B9091" i="20"/>
  <c r="B8859" i="20"/>
  <c r="M25" i="33"/>
  <c r="B1266" i="45"/>
  <c r="B699" i="45"/>
  <c r="B8546" i="20"/>
  <c r="A8935" i="20"/>
  <c r="A8230" i="20"/>
  <c r="A8172" i="20"/>
  <c r="B7720" i="20"/>
  <c r="A8644" i="20"/>
  <c r="B8971" i="20"/>
  <c r="B8995" i="20"/>
  <c r="B8763" i="20"/>
  <c r="B7619" i="20"/>
  <c r="A8590" i="20"/>
  <c r="B7830" i="20"/>
  <c r="A1058" i="45"/>
  <c r="A8497" i="20"/>
  <c r="F8" i="33"/>
  <c r="A6666" i="20"/>
  <c r="A8489" i="20"/>
  <c r="A5462" i="20"/>
  <c r="A5468" i="20"/>
  <c r="A5410" i="20"/>
  <c r="B7986" i="20"/>
  <c r="B15" i="43"/>
  <c r="B7831" i="20"/>
  <c r="A8302" i="20"/>
  <c r="B8461" i="20"/>
  <c r="B7747" i="20"/>
  <c r="B9111" i="20"/>
  <c r="B8219" i="20"/>
  <c r="B7846" i="20"/>
  <c r="A5310" i="20"/>
  <c r="A5316" i="20"/>
  <c r="A5258" i="20"/>
  <c r="B7838" i="20"/>
  <c r="A5302" i="20"/>
  <c r="A5308" i="20"/>
  <c r="A5250" i="20"/>
  <c r="B6878" i="20"/>
  <c r="B7580" i="20"/>
  <c r="B7312" i="20"/>
  <c r="B7280" i="20"/>
  <c r="B8070" i="20"/>
  <c r="A5422" i="20"/>
  <c r="A5428" i="20"/>
  <c r="A5370" i="20"/>
  <c r="A6476" i="20"/>
  <c r="A6832" i="20"/>
  <c r="A5943" i="20"/>
  <c r="B5404" i="20"/>
  <c r="B4736" i="20"/>
  <c r="A1253" i="20"/>
  <c r="A2051" i="20"/>
  <c r="B4073" i="20"/>
  <c r="A7652" i="20"/>
  <c r="B7452" i="20"/>
  <c r="B6800" i="20"/>
  <c r="B6768" i="20"/>
  <c r="B8006" i="20"/>
  <c r="A5390" i="20"/>
  <c r="A5396" i="20"/>
  <c r="A5338" i="20"/>
  <c r="A6348" i="20"/>
  <c r="A6704" i="20"/>
  <c r="A5911" i="20"/>
  <c r="B5372" i="20"/>
  <c r="B4704" i="20"/>
  <c r="A1221" i="20"/>
  <c r="A2019" i="20"/>
  <c r="A142" i="45"/>
  <c r="B8109" i="20"/>
  <c r="A8695" i="20"/>
  <c r="A7275" i="20"/>
  <c r="B6539" i="20"/>
  <c r="B8924" i="20"/>
  <c r="B7393" i="20"/>
  <c r="B7399" i="20"/>
  <c r="B7341" i="20"/>
  <c r="B1133" i="45"/>
  <c r="A586" i="45"/>
  <c r="A55" i="21"/>
  <c r="B9135" i="20"/>
  <c r="B7842" i="20"/>
  <c r="B9028" i="20"/>
  <c r="A8149" i="20"/>
  <c r="C1" i="37"/>
  <c r="B7412" i="20"/>
  <c r="B7241" i="20"/>
  <c r="B7247" i="20"/>
  <c r="B7189" i="20"/>
  <c r="B7380" i="20"/>
  <c r="B7233" i="20"/>
  <c r="B7239" i="20"/>
  <c r="B7181" i="20"/>
  <c r="B7" i="48"/>
  <c r="B7715" i="20"/>
  <c r="A5278" i="20"/>
  <c r="A5270" i="20"/>
  <c r="A7894" i="20"/>
  <c r="B7353" i="20"/>
  <c r="B7359" i="20"/>
  <c r="B7301" i="20"/>
  <c r="A8226" i="20"/>
  <c r="A6099" i="20"/>
  <c r="A6984" i="20"/>
  <c r="A4285" i="20"/>
  <c r="A4289" i="20"/>
  <c r="A3652" i="20"/>
  <c r="A4450" i="20"/>
  <c r="A3366" i="20"/>
  <c r="B232" i="45"/>
  <c r="A8609" i="20"/>
  <c r="A5150" i="20"/>
  <c r="A5142" i="20"/>
  <c r="A7766" i="20"/>
  <c r="B7321" i="20"/>
  <c r="B7327" i="20"/>
  <c r="B7269" i="20"/>
  <c r="A7688" i="20"/>
  <c r="A6067" i="20"/>
  <c r="A6856" i="20"/>
  <c r="A4253" i="20"/>
  <c r="A4257" i="20"/>
  <c r="A3620" i="20"/>
  <c r="A4418" i="20"/>
  <c r="B458" i="45"/>
  <c r="B8655" i="20"/>
  <c r="B8635" i="20"/>
  <c r="A8974" i="20"/>
  <c r="B7535" i="20"/>
  <c r="A5674" i="20"/>
  <c r="A379" i="32"/>
  <c r="F11" i="33"/>
  <c r="A16" i="25"/>
  <c r="A647" i="49"/>
  <c r="A746" i="49"/>
  <c r="A1270" i="45"/>
  <c r="A8205" i="20"/>
  <c r="D6" i="43"/>
  <c r="A9" i="49"/>
  <c r="A5" i="37"/>
  <c r="A50" i="32"/>
  <c r="A8874" i="20"/>
  <c r="B7636" i="20"/>
  <c r="B1200" i="49"/>
  <c r="A5636" i="20"/>
  <c r="A136" i="32"/>
  <c r="A8477" i="20"/>
  <c r="B7436" i="20"/>
  <c r="B6385" i="20"/>
  <c r="B7404" i="20"/>
  <c r="B22" i="45"/>
  <c r="B242" i="45"/>
  <c r="A8262" i="20"/>
  <c r="B7439" i="20"/>
  <c r="B7431" i="20"/>
  <c r="A385" i="32"/>
  <c r="A8653" i="20"/>
  <c r="B7407" i="20"/>
  <c r="A7893" i="20"/>
  <c r="A5418" i="20"/>
  <c r="B838" i="45"/>
  <c r="A8807" i="20"/>
  <c r="A8612" i="20"/>
  <c r="B7491" i="20"/>
  <c r="A16" i="48"/>
  <c r="B7203" i="20"/>
  <c r="A6872" i="20"/>
  <c r="A5831" i="20"/>
  <c r="B264" i="45"/>
  <c r="B7075" i="20"/>
  <c r="A6744" i="20"/>
  <c r="A5767" i="20"/>
  <c r="B8470" i="20"/>
  <c r="A7178" i="20"/>
  <c r="A5794" i="20"/>
  <c r="B7704" i="20"/>
  <c r="B8603" i="20"/>
  <c r="A5642" i="20"/>
  <c r="A5634" i="20"/>
  <c r="A16" i="43"/>
  <c r="A5754" i="20"/>
  <c r="B5788" i="20"/>
  <c r="A1351" i="20"/>
  <c r="A8990" i="20"/>
  <c r="A5722" i="20"/>
  <c r="B5756" i="20"/>
  <c r="B7300" i="20"/>
  <c r="A5092" i="20"/>
  <c r="A6658" i="20"/>
  <c r="A26" i="37"/>
  <c r="A8513" i="20"/>
  <c r="B7963" i="20"/>
  <c r="A5054" i="20"/>
  <c r="A5002" i="20"/>
  <c r="A5046" i="20"/>
  <c r="A4994" i="20"/>
  <c r="A22" i="49"/>
  <c r="A6722" i="20"/>
  <c r="A5166" i="20"/>
  <c r="A5114" i="20"/>
  <c r="B6875" i="20"/>
  <c r="B5148" i="20"/>
  <c r="B4193" i="20"/>
  <c r="B3049" i="20"/>
  <c r="A526" i="45"/>
  <c r="B7662" i="20"/>
  <c r="A5134" i="20"/>
  <c r="A5082" i="20"/>
  <c r="B6747" i="20"/>
  <c r="B5116" i="20"/>
  <c r="B4065" i="20"/>
  <c r="B7864" i="20"/>
  <c r="A7995" i="20"/>
  <c r="A7588" i="20"/>
  <c r="A7768" i="20"/>
  <c r="B6872" i="20"/>
  <c r="Z7" i="33"/>
  <c r="M29" i="33"/>
  <c r="A336" i="49"/>
  <c r="B477" i="45"/>
  <c r="A314" i="49"/>
  <c r="B328" i="45"/>
  <c r="N71" i="33"/>
  <c r="A160" i="45"/>
  <c r="W2" i="33"/>
  <c r="A8600" i="20"/>
  <c r="A7878" i="20"/>
  <c r="A8350" i="20"/>
  <c r="A8567" i="20"/>
  <c r="A8359" i="20"/>
  <c r="A8535" i="20"/>
  <c r="A8327" i="20"/>
  <c r="B1250" i="45"/>
  <c r="A8504" i="20"/>
  <c r="A11" i="37"/>
  <c r="A425" i="49"/>
  <c r="A19" i="21"/>
  <c r="A38" i="47"/>
  <c r="A2" i="39"/>
  <c r="B7957" i="20"/>
  <c r="A989" i="45"/>
  <c r="A759" i="45"/>
  <c r="B8998" i="20"/>
  <c r="B8982" i="20"/>
  <c r="B7070" i="20"/>
  <c r="A317" i="32"/>
  <c r="A7809" i="20"/>
  <c r="B7682" i="20"/>
  <c r="B9093" i="20"/>
  <c r="B6309" i="20"/>
  <c r="A8799" i="20"/>
  <c r="B8289" i="20"/>
  <c r="A221" i="32"/>
  <c r="U2" i="33"/>
  <c r="A47" i="45"/>
  <c r="M65" i="33"/>
  <c r="B8104" i="20"/>
  <c r="B741" i="45"/>
  <c r="B8801" i="20"/>
  <c r="A387" i="45"/>
  <c r="B7760" i="20"/>
  <c r="B7702" i="20"/>
  <c r="B8376" i="20"/>
  <c r="B8174" i="20"/>
  <c r="A9119" i="20"/>
  <c r="C53" i="21"/>
  <c r="AG2" i="29"/>
  <c r="B7777" i="20"/>
  <c r="B8301" i="20"/>
  <c r="A7905" i="20"/>
  <c r="B7260" i="20"/>
  <c r="B8773" i="20"/>
  <c r="B6021" i="20"/>
  <c r="A7434" i="20"/>
  <c r="B8765" i="20"/>
  <c r="A5974" i="20"/>
  <c r="A5980" i="20"/>
  <c r="A5922" i="20"/>
  <c r="B8063" i="20"/>
  <c r="A8128" i="20"/>
  <c r="B8873" i="20"/>
  <c r="B7840" i="20"/>
  <c r="B21" i="21"/>
  <c r="B8259" i="20"/>
  <c r="A8866" i="20"/>
  <c r="B8749" i="20"/>
  <c r="A7921" i="20"/>
  <c r="A5822" i="20"/>
  <c r="A5828" i="20"/>
  <c r="A5770" i="20"/>
  <c r="A7913" i="20"/>
  <c r="A5814" i="20"/>
  <c r="A5820" i="20"/>
  <c r="A5762" i="20"/>
  <c r="B8886" i="20"/>
  <c r="A8027" i="20"/>
  <c r="B5707" i="20"/>
  <c r="B5699" i="20"/>
  <c r="A8145" i="20"/>
  <c r="A5934" i="20"/>
  <c r="A5940" i="20"/>
  <c r="A5882" i="20"/>
  <c r="B7511" i="20"/>
  <c r="B8915" i="20"/>
  <c r="A6455" i="20"/>
  <c r="B5940" i="20"/>
  <c r="B5248" i="20"/>
  <c r="A1765" i="20"/>
  <c r="A2563" i="20"/>
  <c r="A1479" i="20"/>
  <c r="B626" i="45"/>
  <c r="A7851" i="20"/>
  <c r="B5579" i="20"/>
  <c r="B5571" i="20"/>
  <c r="A8081" i="20"/>
  <c r="A5902" i="20"/>
  <c r="A5908" i="20"/>
  <c r="A5850" i="20"/>
  <c r="B7383" i="20"/>
  <c r="B8385" i="20"/>
  <c r="A6423" i="20"/>
  <c r="B5898" i="20"/>
  <c r="B5216" i="20"/>
  <c r="A1733" i="20"/>
  <c r="A2531" i="20"/>
  <c r="B7428" i="20"/>
  <c r="B8983" i="20"/>
  <c r="A8388" i="20"/>
  <c r="B7017" i="20"/>
  <c r="A5220" i="20"/>
  <c r="A7621" i="20"/>
  <c r="A6838" i="20"/>
  <c r="A6844" i="20"/>
  <c r="A6786" i="20"/>
  <c r="B427" i="49"/>
  <c r="B21" i="49"/>
  <c r="A269" i="45"/>
  <c r="A8898" i="20"/>
  <c r="A8269" i="20"/>
  <c r="B66" i="45"/>
  <c r="A339" i="32"/>
  <c r="B1041" i="45"/>
  <c r="A7803" i="20"/>
  <c r="A6686" i="20"/>
  <c r="A6692" i="20"/>
  <c r="A7725" i="20"/>
  <c r="A7755" i="20"/>
  <c r="A6678" i="20"/>
  <c r="A6684" i="20"/>
  <c r="A7709" i="20"/>
  <c r="A606" i="45"/>
  <c r="A8760" i="20"/>
  <c r="A7339" i="20"/>
  <c r="A7331" i="20"/>
  <c r="A8395" i="20"/>
  <c r="A6798" i="20"/>
  <c r="A6804" i="20"/>
  <c r="A6746" i="20"/>
  <c r="B6930" i="20"/>
  <c r="A6611" i="20"/>
  <c r="A262" i="32"/>
  <c r="B4758" i="20"/>
  <c r="B4762" i="20"/>
  <c r="A4164" i="20"/>
  <c r="B2990" i="20"/>
  <c r="A3878" i="20"/>
  <c r="A8" i="37"/>
  <c r="O77" i="33"/>
  <c r="A7211" i="20"/>
  <c r="A7203" i="20"/>
  <c r="A8227" i="20"/>
  <c r="A6766" i="20"/>
  <c r="A6772" i="20"/>
  <c r="A6714" i="20"/>
  <c r="B6802" i="20"/>
  <c r="A6579" i="20"/>
  <c r="B9011" i="20"/>
  <c r="B4726" i="20"/>
  <c r="B4730" i="20"/>
  <c r="A4132" i="20"/>
  <c r="B2958" i="20"/>
  <c r="A8224" i="20"/>
  <c r="A3" i="27"/>
  <c r="A58" i="32"/>
  <c r="B6698" i="20"/>
  <c r="A7108" i="20"/>
  <c r="A6442" i="20"/>
  <c r="B6690" i="20"/>
  <c r="B5629" i="20"/>
  <c r="B5635" i="20"/>
  <c r="A944" i="49"/>
  <c r="A8051" i="20"/>
  <c r="A340" i="45"/>
  <c r="B8796" i="20"/>
  <c r="B1320" i="45"/>
  <c r="B8048" i="20"/>
  <c r="B7926" i="20"/>
  <c r="B8672" i="20"/>
  <c r="B8398" i="20"/>
  <c r="A7568" i="20"/>
  <c r="B5477" i="20"/>
  <c r="A1278" i="45"/>
  <c r="B698" i="45"/>
  <c r="A7560" i="20"/>
  <c r="B5469" i="20"/>
  <c r="A750" i="45"/>
  <c r="B773" i="45"/>
  <c r="B970" i="49"/>
  <c r="A8580" i="20"/>
  <c r="B7363" i="20"/>
  <c r="B47" i="21"/>
  <c r="A7687" i="20"/>
  <c r="B5589" i="20"/>
  <c r="B5595" i="20"/>
  <c r="B5537" i="20"/>
  <c r="A7455" i="20"/>
  <c r="B5025" i="20"/>
  <c r="A4864" i="20"/>
  <c r="A3651" i="20"/>
  <c r="A3147" i="20"/>
  <c r="B1506" i="20"/>
  <c r="A2861" i="20"/>
  <c r="B318" i="45"/>
  <c r="B1284" i="45"/>
  <c r="A8452" i="20"/>
  <c r="B6851" i="20"/>
  <c r="A8694" i="20"/>
  <c r="A7648" i="20"/>
  <c r="B5557" i="20"/>
  <c r="B5563" i="20"/>
  <c r="B5505" i="20"/>
  <c r="A7327" i="20"/>
  <c r="B4993" i="20"/>
  <c r="A4736" i="20"/>
  <c r="A3619" i="20"/>
  <c r="A3115" i="20"/>
  <c r="B8224" i="20"/>
  <c r="B7958" i="20"/>
  <c r="B6748" i="20"/>
  <c r="B7731" i="20"/>
  <c r="B5509" i="20"/>
  <c r="A6922" i="20"/>
  <c r="B495" i="45"/>
  <c r="A7773" i="20"/>
  <c r="A1022" i="45"/>
  <c r="A8144" i="20"/>
  <c r="B7944" i="20"/>
  <c r="N6" i="33"/>
  <c r="B985" i="45"/>
  <c r="B982" i="45"/>
  <c r="B8415" i="20"/>
  <c r="B7850" i="20"/>
  <c r="B8742" i="20"/>
  <c r="A8993" i="20"/>
  <c r="B8838" i="20"/>
  <c r="A33" i="21"/>
  <c r="A529" i="45"/>
  <c r="B7302" i="20"/>
  <c r="A211" i="49"/>
  <c r="B18" i="43"/>
  <c r="B18" i="37"/>
  <c r="B1084" i="45"/>
  <c r="A297" i="49"/>
  <c r="A201" i="45"/>
  <c r="B8903" i="20"/>
  <c r="B8718" i="20"/>
  <c r="B8926" i="20"/>
  <c r="B9086" i="20"/>
  <c r="A8544" i="20"/>
  <c r="A7716" i="20"/>
  <c r="B7106" i="20"/>
  <c r="B6051" i="20"/>
  <c r="A1" i="23"/>
  <c r="A743" i="45"/>
  <c r="B8383" i="20"/>
  <c r="A928" i="45"/>
  <c r="A135" i="45"/>
  <c r="B8095" i="20"/>
  <c r="B802" i="45"/>
  <c r="A162" i="32"/>
  <c r="A367" i="32"/>
  <c r="A7982" i="20"/>
  <c r="A8449" i="20"/>
  <c r="B7899" i="20"/>
  <c r="A4990" i="20"/>
  <c r="A4938" i="20"/>
  <c r="A4982" i="20"/>
  <c r="A4930" i="20"/>
  <c r="A1106" i="45"/>
  <c r="A7950" i="20"/>
  <c r="A8253" i="20"/>
  <c r="A35" i="47"/>
  <c r="B995" i="45"/>
  <c r="B208" i="45"/>
  <c r="A9012" i="20"/>
  <c r="A331" i="49"/>
  <c r="A7" i="27"/>
  <c r="B8790" i="20"/>
  <c r="B8309" i="20"/>
  <c r="A310" i="45"/>
  <c r="B8608" i="20"/>
  <c r="B8472" i="20"/>
  <c r="A263" i="32"/>
  <c r="E10" i="29"/>
  <c r="B6858" i="20"/>
  <c r="A6884" i="20"/>
  <c r="A6826" i="20"/>
  <c r="B7757" i="20"/>
  <c r="A6870" i="20"/>
  <c r="A6876" i="20"/>
  <c r="A6818" i="20"/>
  <c r="C1" i="45"/>
  <c r="A1304" i="49"/>
  <c r="B781" i="45"/>
  <c r="C55" i="21"/>
  <c r="B7951" i="20"/>
  <c r="B706" i="45"/>
  <c r="B868" i="45"/>
  <c r="A7650" i="20"/>
  <c r="A8651" i="20"/>
  <c r="A6846" i="20"/>
  <c r="A6852" i="20"/>
  <c r="A6794" i="20"/>
  <c r="A8611" i="20"/>
  <c r="B7062" i="20"/>
  <c r="B9052" i="20"/>
  <c r="B9037" i="20"/>
  <c r="A571" i="45"/>
  <c r="A6724" i="20"/>
  <c r="A6058" i="20"/>
  <c r="A443" i="45"/>
  <c r="A539" i="45"/>
  <c r="B346" i="45"/>
  <c r="B878" i="45"/>
  <c r="B7976" i="20"/>
  <c r="C6" i="35"/>
  <c r="B8527" i="20"/>
  <c r="A259" i="45"/>
  <c r="B7728" i="20"/>
  <c r="A8652" i="20"/>
  <c r="B8336" i="20"/>
  <c r="B8142" i="20"/>
  <c r="E10" i="33"/>
  <c r="A8703" i="20"/>
  <c r="B8976" i="20"/>
  <c r="A8287" i="20"/>
  <c r="A216" i="32"/>
  <c r="M2" i="33"/>
  <c r="B8912" i="20"/>
  <c r="A5" i="41"/>
  <c r="A384" i="32"/>
  <c r="B8578" i="20"/>
  <c r="B8482" i="20"/>
  <c r="B8084" i="20"/>
  <c r="B538" i="45"/>
  <c r="B634" i="45"/>
  <c r="A349" i="32"/>
  <c r="B9075" i="20"/>
  <c r="A6418" i="20"/>
  <c r="B4769" i="20"/>
  <c r="B5799" i="20"/>
  <c r="A3395" i="20"/>
  <c r="A2891" i="20"/>
  <c r="B1250" i="20"/>
  <c r="B4594" i="20"/>
  <c r="B798" i="45"/>
  <c r="B740" i="45"/>
  <c r="A8184" i="20"/>
  <c r="A8096" i="20"/>
  <c r="A8554" i="20"/>
  <c r="B26" i="45"/>
  <c r="B122" i="45"/>
  <c r="A9055" i="20"/>
  <c r="B8545" i="20"/>
  <c r="A6290" i="20"/>
  <c r="B4737" i="20"/>
  <c r="B5671" i="20"/>
  <c r="A3363" i="20"/>
  <c r="A2859" i="20"/>
  <c r="B1218" i="20"/>
  <c r="B4562" i="20"/>
  <c r="A8545" i="20"/>
  <c r="A7806" i="20"/>
  <c r="A8776" i="20"/>
  <c r="B6533" i="20"/>
  <c r="A8114" i="20"/>
  <c r="A8768" i="20"/>
  <c r="A6358" i="20"/>
  <c r="A6364" i="20"/>
  <c r="A6306" i="20"/>
  <c r="Z5" i="33"/>
  <c r="B8247" i="20"/>
  <c r="M34" i="33"/>
  <c r="B8352" i="20"/>
  <c r="A8698" i="20"/>
  <c r="B8643" i="20"/>
  <c r="B8920" i="20"/>
  <c r="B9133" i="20"/>
  <c r="B7667" i="20"/>
  <c r="A6206" i="20"/>
  <c r="A6212" i="20"/>
  <c r="A6154" i="20"/>
  <c r="B7659" i="20"/>
  <c r="A6198" i="20"/>
  <c r="A6204" i="20"/>
  <c r="A6146" i="20"/>
  <c r="B7767" i="20"/>
  <c r="B9071" i="20"/>
  <c r="A5284" i="20"/>
  <c r="A5276" i="20"/>
  <c r="B7891" i="20"/>
  <c r="A6318" i="20"/>
  <c r="A6324" i="20"/>
  <c r="A6266" i="20"/>
  <c r="A8250" i="20"/>
  <c r="B6048" i="20"/>
  <c r="B4807" i="20"/>
  <c r="B6554" i="20"/>
  <c r="B5632" i="20"/>
  <c r="A2149" i="20"/>
  <c r="B3811" i="20"/>
  <c r="A1863" i="20"/>
  <c r="C41" i="52"/>
  <c r="B8895" i="20"/>
  <c r="A5156" i="20"/>
  <c r="A5148" i="20"/>
  <c r="B7827" i="20"/>
  <c r="A6286" i="20"/>
  <c r="A6292" i="20"/>
  <c r="A6234" i="20"/>
  <c r="A7732" i="20"/>
  <c r="B6016" i="20"/>
  <c r="B4775" i="20"/>
  <c r="B6490" i="20"/>
  <c r="B5600" i="20"/>
  <c r="A2117" i="20"/>
  <c r="B3683" i="20"/>
  <c r="A8358" i="20"/>
  <c r="A8674" i="20"/>
  <c r="B7918" i="20"/>
  <c r="B7529" i="20"/>
  <c r="A5732" i="20"/>
  <c r="A7630" i="20"/>
  <c r="A7222" i="20"/>
  <c r="A7228" i="20"/>
  <c r="A7170" i="20"/>
  <c r="A7973" i="20"/>
  <c r="B845" i="49"/>
  <c r="B2" i="33"/>
  <c r="B8984" i="20"/>
  <c r="B1289" i="49"/>
  <c r="B215" i="49"/>
  <c r="B8338" i="20"/>
  <c r="A3" i="26"/>
  <c r="B1160" i="45"/>
  <c r="A1150" i="45"/>
  <c r="B8055" i="20"/>
  <c r="A7624" i="20"/>
  <c r="A8381" i="20"/>
  <c r="A733" i="45"/>
  <c r="A7937" i="20"/>
  <c r="B6429" i="20"/>
  <c r="B8434" i="20"/>
  <c r="A2" i="32"/>
  <c r="A18" i="49"/>
  <c r="B7887" i="20"/>
  <c r="B7381" i="20"/>
  <c r="B7373" i="20"/>
  <c r="M25" i="29"/>
  <c r="B546" i="45"/>
  <c r="B7349" i="20"/>
  <c r="B8379" i="20"/>
  <c r="A118" i="32"/>
  <c r="A14" i="49"/>
  <c r="A8198" i="20"/>
  <c r="B8843" i="20"/>
  <c r="B8811" i="20"/>
  <c r="A7727" i="20"/>
  <c r="A1" i="29"/>
  <c r="B6329" i="20"/>
  <c r="B4368" i="20"/>
  <c r="B7446" i="20"/>
  <c r="C18" i="21"/>
  <c r="B6201" i="20"/>
  <c r="B4336" i="20"/>
  <c r="B7004" i="20"/>
  <c r="B8491" i="20"/>
  <c r="A8573" i="20"/>
  <c r="B8991" i="20"/>
  <c r="B8614" i="20"/>
  <c r="B8606" i="20"/>
  <c r="B8271" i="20"/>
  <c r="A7889" i="20"/>
  <c r="B6999" i="20"/>
  <c r="B5120" i="20"/>
  <c r="A8461" i="20"/>
  <c r="A7825" i="20"/>
  <c r="B6871" i="20"/>
  <c r="B5088" i="20"/>
  <c r="B8815" i="20"/>
  <c r="A7109" i="20"/>
  <c r="A52" i="47"/>
  <c r="A8740" i="20"/>
  <c r="A9017" i="20"/>
  <c r="B8847" i="20"/>
  <c r="A7076" i="20"/>
  <c r="B8799" i="20"/>
  <c r="A7068" i="20"/>
  <c r="A834" i="49"/>
  <c r="A6782" i="20"/>
  <c r="A94" i="32"/>
  <c r="A7188" i="20"/>
  <c r="B8126" i="20"/>
  <c r="B6494" i="20"/>
  <c r="B5146" i="20"/>
  <c r="B3374" i="20"/>
  <c r="A873" i="45"/>
  <c r="A6654" i="20"/>
  <c r="A10" i="26"/>
  <c r="A7156" i="20"/>
  <c r="B7870" i="20"/>
  <c r="B6462" i="20"/>
  <c r="B5114" i="20"/>
  <c r="B8712" i="20"/>
  <c r="B8507" i="20"/>
  <c r="A70" i="47"/>
  <c r="B988" i="49"/>
  <c r="B7420" i="20"/>
  <c r="B8478" i="20"/>
  <c r="A5628" i="20"/>
  <c r="A8189" i="20"/>
  <c r="B8407" i="20"/>
  <c r="A339" i="45"/>
  <c r="B657" i="49"/>
  <c r="A863" i="45"/>
  <c r="A3" i="21"/>
  <c r="B548" i="49"/>
  <c r="B9046" i="20"/>
  <c r="A2" i="31"/>
  <c r="A7835" i="20"/>
  <c r="B8981" i="20"/>
  <c r="A122" i="32"/>
  <c r="A6526" i="20"/>
  <c r="A6474" i="20"/>
  <c r="A6518" i="20"/>
  <c r="A6466" i="20"/>
  <c r="B8748" i="20"/>
  <c r="A7787" i="20"/>
  <c r="J2" i="29"/>
  <c r="A552" i="45"/>
  <c r="B983" i="45"/>
  <c r="B583" i="45"/>
  <c r="B8956" i="20"/>
  <c r="A354" i="49"/>
  <c r="A137" i="32"/>
  <c r="A8793" i="20"/>
  <c r="A37" i="31"/>
  <c r="A2" i="21"/>
  <c r="A8347" i="20"/>
  <c r="A8203" i="20"/>
  <c r="B51" i="45"/>
  <c r="A8816" i="20"/>
  <c r="B7370" i="20"/>
  <c r="A7962" i="20"/>
  <c r="A7338" i="20"/>
  <c r="A8911" i="20"/>
  <c r="A7382" i="20"/>
  <c r="A7388" i="20"/>
  <c r="A7330" i="20"/>
  <c r="B161" i="45"/>
  <c r="A338" i="45"/>
  <c r="B246" i="45"/>
  <c r="B234" i="45"/>
  <c r="I1" i="33"/>
  <c r="A7702" i="20"/>
  <c r="A8947" i="20"/>
  <c r="B7132" i="20"/>
  <c r="B19" i="21"/>
  <c r="A7358" i="20"/>
  <c r="A7364" i="20"/>
  <c r="A7306" i="20"/>
  <c r="B9032" i="20"/>
  <c r="B8610" i="20"/>
  <c r="A399" i="45"/>
  <c r="A15" i="43"/>
  <c r="B7082" i="20"/>
  <c r="A7492" i="20"/>
  <c r="A6711" i="20"/>
  <c r="B7074" i="20"/>
  <c r="B5885" i="20"/>
  <c r="B5891" i="20"/>
  <c r="B5833" i="20"/>
  <c r="B8053" i="20"/>
  <c r="B7855" i="20"/>
  <c r="C4" i="21"/>
  <c r="B6732" i="20"/>
  <c r="B8384" i="20"/>
  <c r="B8182" i="20"/>
  <c r="A8067" i="20"/>
  <c r="B8654" i="20"/>
  <c r="B6794" i="20"/>
  <c r="B5733" i="20"/>
  <c r="B5739" i="20"/>
  <c r="B5681" i="20"/>
  <c r="B6786" i="20"/>
  <c r="B5725" i="20"/>
  <c r="B5731" i="20"/>
  <c r="B5673" i="20"/>
  <c r="B6700" i="20"/>
  <c r="B8622" i="20"/>
  <c r="B5649" i="20"/>
  <c r="B5641" i="20"/>
  <c r="B6906" i="20"/>
  <c r="B5845" i="20"/>
  <c r="B5851" i="20"/>
  <c r="B5793" i="20"/>
  <c r="B7453" i="20"/>
  <c r="B5281" i="20"/>
  <c r="A5888" i="20"/>
  <c r="A3907" i="20"/>
  <c r="A3705" i="20"/>
  <c r="B1762" i="20"/>
  <c r="A3117" i="20"/>
  <c r="B3356" i="20"/>
  <c r="A7602" i="20"/>
  <c r="B8494" i="20"/>
  <c r="B5521" i="20"/>
  <c r="B5577" i="20"/>
  <c r="B6874" i="20"/>
  <c r="B5813" i="20"/>
  <c r="B5819" i="20"/>
  <c r="B5761" i="20"/>
  <c r="B7325" i="20"/>
  <c r="B5249" i="20"/>
  <c r="A5760" i="20"/>
  <c r="A3875" i="20"/>
  <c r="A3577" i="20"/>
  <c r="B1730" i="20"/>
  <c r="A3085" i="20"/>
  <c r="B8547" i="20"/>
  <c r="A8446" i="20"/>
  <c r="B932" i="45"/>
  <c r="A5214" i="20"/>
  <c r="B7721" i="20"/>
  <c r="A930" i="45"/>
  <c r="A6883" i="20"/>
  <c r="A6889" i="20"/>
  <c r="A6831" i="20"/>
  <c r="A590" i="45"/>
  <c r="B8862" i="20"/>
  <c r="B8940" i="20"/>
  <c r="A8091" i="20"/>
  <c r="B9096" i="20"/>
  <c r="B25" i="21"/>
  <c r="B817" i="45"/>
  <c r="M50" i="33"/>
  <c r="B8709" i="20"/>
  <c r="A6731" i="20"/>
  <c r="A6737" i="20"/>
  <c r="A6675" i="20"/>
  <c r="B8701" i="20"/>
  <c r="A6723" i="20"/>
  <c r="A6729" i="20"/>
  <c r="B6664" i="20"/>
  <c r="A23" i="32"/>
  <c r="B7614" i="20"/>
  <c r="A7345" i="20"/>
  <c r="A7337" i="20"/>
  <c r="B8933" i="20"/>
  <c r="A6843" i="20"/>
  <c r="A6849" i="20"/>
  <c r="A6791" i="20"/>
  <c r="B5869" i="20"/>
  <c r="B6560" i="20"/>
  <c r="B5319" i="20"/>
  <c r="A5581" i="20"/>
  <c r="B6244" i="20"/>
  <c r="B2678" i="20"/>
  <c r="A2914" i="20"/>
  <c r="A2375" i="20"/>
  <c r="B2" i="41"/>
  <c r="B7358" i="20"/>
  <c r="A7217" i="20"/>
  <c r="A7209" i="20"/>
  <c r="B8869" i="20"/>
  <c r="A6811" i="20"/>
  <c r="A6817" i="20"/>
  <c r="A6759" i="20"/>
  <c r="B5741" i="20"/>
  <c r="B6528" i="20"/>
  <c r="B5287" i="20"/>
  <c r="A5517" i="20"/>
  <c r="B6202" i="20"/>
  <c r="B2633" i="20"/>
  <c r="A2882" i="20"/>
  <c r="B8600" i="20"/>
  <c r="B106" i="45"/>
  <c r="B8558" i="20"/>
  <c r="A7102" i="20"/>
  <c r="A6500" i="20"/>
  <c r="B5585" i="20"/>
  <c r="B7232" i="20"/>
  <c r="B7256" i="20"/>
  <c r="B7024" i="20"/>
  <c r="A438" i="45"/>
  <c r="N78" i="33"/>
  <c r="B305" i="45"/>
  <c r="A834" i="45"/>
  <c r="N18" i="29"/>
  <c r="B6884" i="20"/>
  <c r="M28" i="33"/>
  <c r="B7356" i="20"/>
  <c r="B7286" i="20"/>
  <c r="A7654" i="20"/>
  <c r="B7684" i="20"/>
  <c r="A7530" i="20"/>
  <c r="B7222" i="20"/>
  <c r="A7622" i="20"/>
  <c r="A7646" i="20"/>
  <c r="A7522" i="20"/>
  <c r="A163" i="49"/>
  <c r="A8166" i="20"/>
  <c r="B8715" i="20"/>
  <c r="B8665" i="20"/>
  <c r="A8352" i="20"/>
  <c r="B7072" i="20"/>
  <c r="B7096" i="20"/>
  <c r="B6864" i="20"/>
  <c r="A20" i="25"/>
  <c r="B5503" i="20"/>
  <c r="A5009" i="20"/>
  <c r="B5654" i="20"/>
  <c r="B5658" i="20"/>
  <c r="B3088" i="20"/>
  <c r="B3886" i="20"/>
  <c r="B2802" i="20"/>
  <c r="A864" i="45"/>
  <c r="A8038" i="20"/>
  <c r="B8185" i="20"/>
  <c r="B8153" i="20"/>
  <c r="A8024" i="20"/>
  <c r="B6944" i="20"/>
  <c r="B6968" i="20"/>
  <c r="B6736" i="20"/>
  <c r="A8992" i="20"/>
  <c r="B5443" i="20"/>
  <c r="A4977" i="20"/>
  <c r="B5622" i="20"/>
  <c r="B5626" i="20"/>
  <c r="B3056" i="20"/>
  <c r="B7318" i="20"/>
  <c r="A8" i="26"/>
  <c r="A20" i="21"/>
  <c r="A7600" i="20"/>
  <c r="A6980" i="20"/>
  <c r="A6186" i="20"/>
  <c r="A712" i="45"/>
  <c r="B287" i="49"/>
  <c r="A46" i="21"/>
  <c r="A188" i="32"/>
  <c r="B677" i="45"/>
  <c r="A1282" i="45"/>
  <c r="A1116" i="45"/>
  <c r="A8937" i="20"/>
  <c r="B8405" i="20"/>
  <c r="B8559" i="20"/>
  <c r="B6950" i="20"/>
  <c r="O70" i="33"/>
  <c r="B7046" i="20"/>
  <c r="A205" i="49"/>
  <c r="A79" i="45"/>
  <c r="C88" i="52"/>
  <c r="B247" i="50"/>
  <c r="B7588" i="20"/>
  <c r="B8492" i="20"/>
  <c r="B8460" i="20"/>
  <c r="B1402" i="49"/>
  <c r="B7556" i="20"/>
  <c r="A594" i="45"/>
  <c r="B1105" i="45"/>
  <c r="A453" i="45"/>
  <c r="B8349" i="20"/>
  <c r="B8820" i="20"/>
  <c r="B7125" i="20"/>
  <c r="B7169" i="20"/>
  <c r="B7117" i="20"/>
  <c r="A73" i="56"/>
  <c r="B9007" i="20"/>
  <c r="M38" i="29"/>
  <c r="A21" i="32"/>
  <c r="A497" i="45"/>
  <c r="A8719" i="20"/>
  <c r="B21" i="37"/>
  <c r="B7898" i="20"/>
  <c r="M18" i="29"/>
  <c r="A23" i="25"/>
  <c r="A268" i="32"/>
  <c r="B8485" i="20"/>
  <c r="A7012" i="20"/>
  <c r="B8445" i="20"/>
  <c r="A7004" i="20"/>
  <c r="A8368" i="20"/>
  <c r="A49" i="49"/>
  <c r="B428" i="49"/>
  <c r="A8906" i="20"/>
  <c r="B285" i="45"/>
  <c r="A6" i="31"/>
  <c r="A7984" i="20"/>
  <c r="B8530" i="20"/>
  <c r="A441" i="49"/>
  <c r="E4" i="33"/>
  <c r="B261" i="49"/>
  <c r="A306" i="49"/>
  <c r="A9004" i="20"/>
  <c r="B6796" i="20"/>
  <c r="A99" i="45"/>
  <c r="C42" i="21"/>
  <c r="A7769" i="20"/>
  <c r="A6878" i="20"/>
  <c r="A6929" i="20"/>
  <c r="A6871" i="20"/>
  <c r="B9085" i="20"/>
  <c r="A6915" i="20"/>
  <c r="A6921" i="20"/>
  <c r="A6863" i="20"/>
  <c r="B8806" i="20"/>
  <c r="A9121" i="20"/>
  <c r="A8983" i="20"/>
  <c r="A8299" i="20"/>
  <c r="AC1" i="29"/>
  <c r="M15" i="29"/>
  <c r="B6718" i="20"/>
  <c r="A8784" i="20"/>
  <c r="B9029" i="20"/>
  <c r="A6891" i="20"/>
  <c r="A6897" i="20"/>
  <c r="A6839" i="20"/>
  <c r="B9021" i="20"/>
  <c r="B7920" i="20"/>
  <c r="A331" i="32"/>
  <c r="B8302" i="20"/>
  <c r="A6718" i="20"/>
  <c r="A6116" i="20"/>
  <c r="A8822" i="20"/>
  <c r="A7478" i="20"/>
  <c r="A7484" i="20"/>
  <c r="A7426" i="20"/>
  <c r="R2" i="29"/>
  <c r="M17" i="33"/>
  <c r="B118" i="45"/>
  <c r="D10" i="43"/>
  <c r="N13" i="29"/>
  <c r="A7658" i="20"/>
  <c r="A128" i="32"/>
  <c r="B7100" i="20"/>
  <c r="A10" i="41"/>
  <c r="A7326" i="20"/>
  <c r="A7332" i="20"/>
  <c r="A7274" i="20"/>
  <c r="A299" i="32"/>
  <c r="A7318" i="20"/>
  <c r="A7324" i="20"/>
  <c r="A7266" i="20"/>
  <c r="A259" i="49"/>
  <c r="B7108" i="20"/>
  <c r="B7520" i="20"/>
  <c r="B7488" i="20"/>
  <c r="A107" i="45"/>
  <c r="A7438" i="20"/>
  <c r="A7444" i="20"/>
  <c r="A7386" i="20"/>
  <c r="B8203" i="20"/>
  <c r="B5219" i="20"/>
  <c r="A4753" i="20"/>
  <c r="B5398" i="20"/>
  <c r="B5402" i="20"/>
  <c r="B2832" i="20"/>
  <c r="B3630" i="20"/>
  <c r="A4518" i="20"/>
  <c r="A936" i="45"/>
  <c r="B6980" i="20"/>
  <c r="B7008" i="20"/>
  <c r="B6976" i="20"/>
  <c r="A18" i="43"/>
  <c r="A7406" i="20"/>
  <c r="A7412" i="20"/>
  <c r="A7354" i="20"/>
  <c r="B7947" i="20"/>
  <c r="B5187" i="20"/>
  <c r="A4721" i="20"/>
  <c r="B5366" i="20"/>
  <c r="B5370" i="20"/>
  <c r="B2800" i="20"/>
  <c r="B3598" i="20"/>
  <c r="A8996" i="20"/>
  <c r="A736" i="45"/>
  <c r="C21" i="21"/>
  <c r="B7594" i="20"/>
  <c r="A8346" i="20"/>
  <c r="A7223" i="20"/>
  <c r="B7586" i="20"/>
  <c r="B6269" i="20"/>
  <c r="B6275" i="20"/>
  <c r="B6217" i="20"/>
  <c r="AG3" i="33"/>
  <c r="A8823" i="20"/>
  <c r="A8691" i="20"/>
  <c r="B7116" i="20"/>
  <c r="A7947" i="20"/>
  <c r="B8566" i="20"/>
  <c r="A8579" i="20"/>
  <c r="A8089" i="20"/>
  <c r="B7178" i="20"/>
  <c r="B6117" i="20"/>
  <c r="B6123" i="20"/>
  <c r="B6065" i="20"/>
  <c r="B7170" i="20"/>
  <c r="B6109" i="20"/>
  <c r="B6115" i="20"/>
  <c r="B6057" i="20"/>
  <c r="A8270" i="20"/>
  <c r="B8187" i="20"/>
  <c r="A5226" i="20"/>
  <c r="A5218" i="20"/>
  <c r="B7290" i="20"/>
  <c r="B6229" i="20"/>
  <c r="B6235" i="20"/>
  <c r="B6177" i="20"/>
  <c r="A8018" i="20"/>
  <c r="B6263" i="20"/>
  <c r="A7437" i="20"/>
  <c r="A4291" i="20"/>
  <c r="A3623" i="20"/>
  <c r="B2146" i="20"/>
  <c r="A2815" i="20"/>
  <c r="B1860" i="20"/>
  <c r="A8142" i="20"/>
  <c r="B8059" i="20"/>
  <c r="A5098" i="20"/>
  <c r="A5090" i="20"/>
  <c r="B7258" i="20"/>
  <c r="B6197" i="20"/>
  <c r="B6203" i="20"/>
  <c r="B6145" i="20"/>
  <c r="B7472" i="20"/>
  <c r="B6135" i="20"/>
  <c r="A7309" i="20"/>
  <c r="A4259" i="20"/>
  <c r="A3591" i="20"/>
  <c r="B2114" i="20"/>
  <c r="A2783" i="20"/>
  <c r="A138" i="32"/>
  <c r="B8032" i="20"/>
  <c r="A8598" i="20"/>
  <c r="A5726" i="20"/>
  <c r="A8766" i="20"/>
  <c r="A8566" i="20"/>
  <c r="A7267" i="20"/>
  <c r="A7273" i="20"/>
  <c r="A7215" i="20"/>
  <c r="A321" i="32"/>
  <c r="A258" i="49"/>
  <c r="A179" i="45"/>
  <c r="A8603" i="20"/>
  <c r="A7763" i="20"/>
  <c r="A4" i="24"/>
  <c r="A480" i="45"/>
  <c r="B24" i="49"/>
  <c r="B8010" i="20"/>
  <c r="B7938" i="20"/>
  <c r="B8471" i="20"/>
  <c r="B5539" i="20"/>
  <c r="A129" i="49"/>
  <c r="B8431" i="20"/>
  <c r="A8409" i="20"/>
  <c r="B6377" i="20"/>
  <c r="A138" i="49"/>
  <c r="B928" i="45"/>
  <c r="A6" i="43"/>
  <c r="B8813" i="20"/>
  <c r="A8182" i="20"/>
  <c r="B639" i="45"/>
  <c r="B8266" i="20"/>
  <c r="A8086" i="20"/>
  <c r="A8054" i="20"/>
  <c r="B8441" i="20"/>
  <c r="A166" i="32"/>
  <c r="B571" i="45"/>
  <c r="A8140" i="20"/>
  <c r="B8867" i="20"/>
  <c r="B8835" i="20"/>
  <c r="A8967" i="20"/>
  <c r="E5" i="29"/>
  <c r="A6289" i="20"/>
  <c r="A3177" i="20"/>
  <c r="B8996" i="20"/>
  <c r="A35" i="21"/>
  <c r="A6257" i="20"/>
  <c r="A3145" i="20"/>
  <c r="B8499" i="20"/>
  <c r="A5846" i="20"/>
  <c r="A398" i="49"/>
  <c r="B8131" i="20"/>
  <c r="A5694" i="20"/>
  <c r="A5686" i="20"/>
  <c r="B8288" i="20"/>
  <c r="A5806" i="20"/>
  <c r="A7871" i="20"/>
  <c r="A1637" i="20"/>
  <c r="B8120" i="20"/>
  <c r="A5774" i="20"/>
  <c r="B8308" i="20"/>
  <c r="A1605" i="20"/>
  <c r="A8260" i="20"/>
  <c r="A6710" i="20"/>
  <c r="B1198" i="45"/>
  <c r="B8125" i="20"/>
  <c r="B8767" i="20"/>
  <c r="A8316" i="20"/>
  <c r="A5060" i="20"/>
  <c r="A8308" i="20"/>
  <c r="A5052" i="20"/>
  <c r="A9090" i="20"/>
  <c r="A6730" i="20"/>
  <c r="A8540" i="20"/>
  <c r="A5172" i="20"/>
  <c r="A5452" i="20"/>
  <c r="B9107" i="20"/>
  <c r="A4519" i="20"/>
  <c r="A1795" i="20"/>
  <c r="A8834" i="20"/>
  <c r="A7673" i="20"/>
  <c r="A8476" i="20"/>
  <c r="A5140" i="20"/>
  <c r="A5324" i="20"/>
  <c r="B8577" i="20"/>
  <c r="A4487" i="20"/>
  <c r="B654" i="45"/>
  <c r="A7726" i="20"/>
  <c r="B6848" i="20"/>
  <c r="A7674" i="20"/>
  <c r="A404" i="45"/>
  <c r="A17" i="49"/>
  <c r="B7590" i="20"/>
  <c r="B1" i="44"/>
  <c r="A18" i="47"/>
  <c r="A7696" i="20"/>
  <c r="B379" i="45"/>
  <c r="B116" i="45"/>
  <c r="A70" i="45"/>
  <c r="A1077" i="45"/>
  <c r="A7820" i="20"/>
  <c r="A8292" i="20"/>
  <c r="A8591" i="20"/>
  <c r="A7237" i="20"/>
  <c r="A8559" i="20"/>
  <c r="A25" i="52"/>
  <c r="B25" i="45"/>
  <c r="A1076" i="45"/>
  <c r="B6694" i="20"/>
  <c r="B864" i="45"/>
  <c r="M62" i="33"/>
  <c r="B8103" i="20"/>
  <c r="A8349" i="20"/>
  <c r="B1092" i="49"/>
  <c r="B8876" i="20"/>
  <c r="B8175" i="20"/>
  <c r="A236" i="49"/>
  <c r="A2" i="25"/>
  <c r="B7308" i="20"/>
  <c r="B7204" i="20"/>
  <c r="B6782" i="20"/>
  <c r="A8281" i="20"/>
  <c r="A7938" i="20"/>
  <c r="A7441" i="20"/>
  <c r="A7383" i="20"/>
  <c r="A9088" i="20"/>
  <c r="A7427" i="20"/>
  <c r="A7433" i="20"/>
  <c r="A7375" i="20"/>
  <c r="B78" i="45"/>
  <c r="B8818" i="20"/>
  <c r="A279" i="32"/>
  <c r="B7965" i="20"/>
  <c r="B6806" i="20"/>
  <c r="A8824" i="20"/>
  <c r="A7776" i="20"/>
  <c r="AK1" i="29"/>
  <c r="A9032" i="20"/>
  <c r="A7403" i="20"/>
  <c r="A7409" i="20"/>
  <c r="A7351" i="20"/>
  <c r="A9024" i="20"/>
  <c r="A8331" i="20"/>
  <c r="B836" i="45"/>
  <c r="A7993" i="20"/>
  <c r="A7486" i="20"/>
  <c r="A6769" i="20"/>
  <c r="B5969" i="20"/>
  <c r="A8290" i="20"/>
  <c r="A8314" i="20"/>
  <c r="A8082" i="20"/>
  <c r="A241" i="45"/>
  <c r="A234" i="49"/>
  <c r="B8754" i="20"/>
  <c r="B6942" i="20"/>
  <c r="A9075" i="20"/>
  <c r="B7140" i="20"/>
  <c r="A550" i="45"/>
  <c r="B7612" i="20"/>
  <c r="A7957" i="20"/>
  <c r="B7648" i="20"/>
  <c r="A7677" i="20"/>
  <c r="B7440" i="20"/>
  <c r="A7885" i="20"/>
  <c r="B7616" i="20"/>
  <c r="B7640" i="20"/>
  <c r="B7408" i="20"/>
  <c r="B7925" i="20"/>
  <c r="B8344" i="20"/>
  <c r="B6762" i="20"/>
  <c r="B6754" i="20"/>
  <c r="A28" i="31"/>
  <c r="A8130" i="20"/>
  <c r="A8154" i="20"/>
  <c r="A7922" i="20"/>
  <c r="A8502" i="20"/>
  <c r="B6527" i="20"/>
  <c r="A5265" i="20"/>
  <c r="B5932" i="20"/>
  <c r="B5938" i="20"/>
  <c r="B3344" i="20"/>
  <c r="B4142" i="20"/>
  <c r="B3058" i="20"/>
  <c r="A8435" i="20"/>
  <c r="B8176" i="20"/>
  <c r="A7666" i="20"/>
  <c r="A7656" i="20"/>
  <c r="B8335" i="20"/>
  <c r="A8002" i="20"/>
  <c r="A8026" i="20"/>
  <c r="A7794" i="20"/>
  <c r="A7990" i="20"/>
  <c r="B6399" i="20"/>
  <c r="A5233" i="20"/>
  <c r="B5890" i="20"/>
  <c r="B5894" i="20"/>
  <c r="B3312" i="20"/>
  <c r="B4110" i="20"/>
  <c r="B98" i="45"/>
  <c r="A7916" i="20"/>
  <c r="A8871" i="20"/>
  <c r="A8636" i="20"/>
  <c r="B7953" i="20"/>
  <c r="B6965" i="20"/>
  <c r="A8628" i="20"/>
  <c r="A4822" i="20"/>
  <c r="A4828" i="20"/>
  <c r="A4770" i="20"/>
  <c r="A430" i="45"/>
  <c r="B489" i="45"/>
  <c r="A1082" i="45"/>
  <c r="B7628" i="20"/>
  <c r="A8635" i="20"/>
  <c r="A8129" i="20"/>
  <c r="B8237" i="20"/>
  <c r="A8601" i="20"/>
  <c r="A7748" i="20"/>
  <c r="B6629" i="20"/>
  <c r="B6635" i="20"/>
  <c r="B6577" i="20"/>
  <c r="A7740" i="20"/>
  <c r="B6621" i="20"/>
  <c r="B6627" i="20"/>
  <c r="B6569" i="20"/>
  <c r="B7877" i="20"/>
  <c r="A18" i="23"/>
  <c r="A7287" i="20"/>
  <c r="A7279" i="20"/>
  <c r="A7900" i="20"/>
  <c r="A4782" i="20"/>
  <c r="A4788" i="20"/>
  <c r="A4730" i="20"/>
  <c r="B5875" i="20"/>
  <c r="A6352" i="20"/>
  <c r="A7392" i="20"/>
  <c r="B4764" i="20"/>
  <c r="A4135" i="20"/>
  <c r="B2673" i="20"/>
  <c r="A3401" i="20"/>
  <c r="B2372" i="20"/>
  <c r="B7709" i="20"/>
  <c r="A9104" i="20"/>
  <c r="A7159" i="20"/>
  <c r="A7151" i="20"/>
  <c r="A7860" i="20"/>
  <c r="A4750" i="20"/>
  <c r="A4756" i="20"/>
  <c r="B6663" i="20"/>
  <c r="B5747" i="20"/>
  <c r="A6224" i="20"/>
  <c r="A7264" i="20"/>
  <c r="B4732" i="20"/>
  <c r="A4103" i="20"/>
  <c r="B2630" i="20"/>
  <c r="A3295" i="20"/>
  <c r="AE2" i="33"/>
  <c r="A7939" i="20"/>
  <c r="B9015" i="20"/>
  <c r="A6494" i="20"/>
  <c r="B5643" i="20"/>
  <c r="B8975" i="20"/>
  <c r="B6753" i="20"/>
  <c r="B6759" i="20"/>
  <c r="B6701" i="20"/>
  <c r="J4" i="33"/>
  <c r="B281" i="45"/>
  <c r="B8958" i="20"/>
  <c r="B8261" i="20"/>
  <c r="B7254" i="20"/>
  <c r="A9048" i="20"/>
  <c r="A8376" i="20"/>
  <c r="B8692" i="20"/>
  <c r="N15" i="33"/>
  <c r="A7627" i="20"/>
  <c r="A7633" i="20"/>
  <c r="A7575" i="20"/>
  <c r="AH5" i="33"/>
  <c r="A7619" i="20"/>
  <c r="A7625" i="20"/>
  <c r="A7567" i="20"/>
  <c r="B443" i="45"/>
  <c r="A8108" i="20"/>
  <c r="B8739" i="20"/>
  <c r="B8707" i="20"/>
  <c r="B9060" i="20"/>
  <c r="B6713" i="20"/>
  <c r="B6719" i="20"/>
  <c r="B7696" i="20"/>
  <c r="A7507" i="20"/>
  <c r="A5459" i="20"/>
  <c r="A6504" i="20"/>
  <c r="A3645" i="20"/>
  <c r="A6221" i="20"/>
  <c r="A3012" i="20"/>
  <c r="A3810" i="20"/>
  <c r="A2726" i="20"/>
  <c r="A697" i="45"/>
  <c r="A7980" i="20"/>
  <c r="B8209" i="20"/>
  <c r="B8177" i="20"/>
  <c r="B8932" i="20"/>
  <c r="B6681" i="20"/>
  <c r="B6687" i="20"/>
  <c r="A7655" i="20"/>
  <c r="A7379" i="20"/>
  <c r="A5427" i="20"/>
  <c r="A6376" i="20"/>
  <c r="A3613" i="20"/>
  <c r="A6093" i="20"/>
  <c r="A2980" i="20"/>
  <c r="B8088" i="20"/>
  <c r="B9048" i="20"/>
  <c r="B8430" i="20"/>
  <c r="A6974" i="20"/>
  <c r="A6244" i="20"/>
  <c r="B5457" i="20"/>
  <c r="A1220" i="49"/>
  <c r="B8764" i="20"/>
  <c r="A178" i="32"/>
  <c r="A5" i="24"/>
  <c r="B1144" i="45"/>
  <c r="A771" i="45"/>
  <c r="B8780" i="20"/>
  <c r="A8" i="45"/>
  <c r="A1115" i="45"/>
  <c r="I4" i="33"/>
  <c r="B1308" i="45"/>
  <c r="A346" i="45"/>
  <c r="A141" i="49"/>
  <c r="B7206" i="20"/>
  <c r="B55" i="49"/>
  <c r="A810" i="45"/>
  <c r="B304" i="45"/>
  <c r="B800" i="49"/>
  <c r="B8516" i="20"/>
  <c r="B8484" i="20"/>
  <c r="B176" i="45"/>
  <c r="B544" i="45"/>
  <c r="B8734" i="20"/>
  <c r="B8999" i="20"/>
  <c r="AH4" i="33"/>
  <c r="B7382" i="20"/>
  <c r="B8868" i="20"/>
  <c r="B6001" i="20"/>
  <c r="B6045" i="20"/>
  <c r="B5993" i="20"/>
  <c r="C13" i="21"/>
  <c r="B731" i="45"/>
  <c r="A1053" i="49"/>
  <c r="A8000" i="20"/>
  <c r="A1065" i="45"/>
  <c r="A1184" i="49"/>
  <c r="A7797" i="20"/>
  <c r="B7654" i="20"/>
  <c r="B167" i="45"/>
  <c r="B8037" i="20"/>
  <c r="B8669" i="20"/>
  <c r="A8188" i="20"/>
  <c r="A4996" i="20"/>
  <c r="A8180" i="20"/>
  <c r="A4988" i="20"/>
  <c r="B7526" i="20"/>
  <c r="B1173" i="45"/>
  <c r="A9115" i="20"/>
  <c r="A359" i="49"/>
  <c r="A8891" i="20"/>
  <c r="B855" i="45"/>
  <c r="A170" i="45"/>
  <c r="B8936" i="20"/>
  <c r="B440" i="49"/>
  <c r="A264" i="49"/>
  <c r="B6798" i="20"/>
  <c r="A8780" i="20"/>
  <c r="A2" i="35"/>
  <c r="B8207" i="20"/>
  <c r="B8853" i="20"/>
  <c r="A8155" i="20"/>
  <c r="B7805" i="20"/>
  <c r="A6398" i="20"/>
  <c r="A4868" i="20"/>
  <c r="A4810" i="20"/>
  <c r="A7996" i="20"/>
  <c r="A4854" i="20"/>
  <c r="A4860" i="20"/>
  <c r="A4802" i="20"/>
  <c r="B7014" i="20"/>
  <c r="B46" i="45"/>
  <c r="B1059" i="45"/>
  <c r="A7822" i="20"/>
  <c r="B7821" i="20"/>
  <c r="A8289" i="20"/>
  <c r="B8453" i="20"/>
  <c r="B7739" i="20"/>
  <c r="A7964" i="20"/>
  <c r="A4830" i="20"/>
  <c r="A4836" i="20"/>
  <c r="A4778" i="20"/>
  <c r="A7956" i="20"/>
  <c r="A8952" i="20"/>
  <c r="B8544" i="20"/>
  <c r="A7971" i="20"/>
  <c r="A6110" i="20"/>
  <c r="B474" i="45"/>
  <c r="A7931" i="20"/>
  <c r="A7523" i="20"/>
  <c r="A7529" i="20"/>
  <c r="A7471" i="20"/>
  <c r="A69" i="32"/>
  <c r="B184" i="49"/>
  <c r="A151" i="32"/>
  <c r="B7917" i="20"/>
  <c r="B6742" i="20"/>
  <c r="A8792" i="20"/>
  <c r="A7685" i="20"/>
  <c r="A52" i="25"/>
  <c r="A8968" i="20"/>
  <c r="A7371" i="20"/>
  <c r="A7377" i="20"/>
  <c r="A7319" i="20"/>
  <c r="A8960" i="20"/>
  <c r="A7363" i="20"/>
  <c r="A7369" i="20"/>
  <c r="A7311" i="20"/>
  <c r="M60" i="33"/>
  <c r="A587" i="45"/>
  <c r="B7544" i="20"/>
  <c r="B7512" i="20"/>
  <c r="A38" i="21"/>
  <c r="A7483" i="20"/>
  <c r="A7489" i="20"/>
  <c r="A7431" i="20"/>
  <c r="A6470" i="20"/>
  <c r="A5203" i="20"/>
  <c r="A5480" i="20"/>
  <c r="A3389" i="20"/>
  <c r="A5525" i="20"/>
  <c r="A2756" i="20"/>
  <c r="A3554" i="20"/>
  <c r="B4083" i="20"/>
  <c r="A882" i="45"/>
  <c r="A9133" i="20"/>
  <c r="B7032" i="20"/>
  <c r="B7000" i="20"/>
  <c r="A9128" i="20"/>
  <c r="A7451" i="20"/>
  <c r="A7457" i="20"/>
  <c r="A7399" i="20"/>
  <c r="A6342" i="20"/>
  <c r="A5171" i="20"/>
  <c r="A5352" i="20"/>
  <c r="A3357" i="20"/>
  <c r="A5461" i="20"/>
  <c r="A2724" i="20"/>
  <c r="A3522" i="20"/>
  <c r="B8165" i="20"/>
  <c r="B7486" i="20"/>
  <c r="A8505" i="20"/>
  <c r="A8322" i="20"/>
  <c r="A7281" i="20"/>
  <c r="B6481" i="20"/>
  <c r="A7895" i="20"/>
  <c r="A7919" i="20"/>
  <c r="B8636" i="20"/>
  <c r="A904" i="45"/>
  <c r="A639" i="49"/>
  <c r="B15" i="37"/>
  <c r="A7744" i="20"/>
  <c r="B424" i="45"/>
  <c r="B7524" i="20"/>
  <c r="A1029" i="45"/>
  <c r="A8030" i="20"/>
  <c r="A244" i="32"/>
  <c r="B8236" i="20"/>
  <c r="B8260" i="20"/>
  <c r="B8028" i="20"/>
  <c r="B9002" i="20"/>
  <c r="B8204" i="20"/>
  <c r="B8228" i="20"/>
  <c r="B7996" i="20"/>
  <c r="B7858" i="20"/>
  <c r="B8421" i="20"/>
  <c r="B7782" i="20"/>
  <c r="B7774" i="20"/>
  <c r="A118" i="49"/>
  <c r="A7735" i="20"/>
  <c r="A7759" i="20"/>
  <c r="B8476" i="20"/>
  <c r="A9124" i="20"/>
  <c r="A6136" i="20"/>
  <c r="A5649" i="20"/>
  <c r="B6540" i="20"/>
  <c r="B6548" i="20"/>
  <c r="B3728" i="20"/>
  <c r="B4526" i="20"/>
  <c r="B3442" i="20"/>
  <c r="A8328" i="20"/>
  <c r="B8253" i="20"/>
  <c r="A8508" i="20"/>
  <c r="A8500" i="20"/>
  <c r="C5" i="43"/>
  <c r="B8556" i="20"/>
  <c r="B8580" i="20"/>
  <c r="B8348" i="20"/>
  <c r="A8045" i="20"/>
  <c r="A5976" i="20"/>
  <c r="A5617" i="20"/>
  <c r="B6476" i="20"/>
  <c r="B6484" i="20"/>
  <c r="B3696" i="20"/>
  <c r="B4494" i="20"/>
  <c r="B7532" i="20"/>
  <c r="A8428" i="20"/>
  <c r="A323" i="45"/>
  <c r="B8693" i="20"/>
  <c r="A8998" i="20"/>
  <c r="B7477" i="20"/>
  <c r="B8670" i="20"/>
  <c r="A5206" i="20"/>
  <c r="A5212" i="20"/>
  <c r="A5154" i="20"/>
  <c r="A7944" i="20"/>
  <c r="A372" i="32"/>
  <c r="A3" i="49"/>
  <c r="A8046" i="20"/>
  <c r="B1177" i="45"/>
  <c r="A152" i="50"/>
  <c r="B24" i="21"/>
  <c r="A305" i="32"/>
  <c r="A7672" i="20"/>
  <c r="B8168" i="20"/>
  <c r="A286" i="32"/>
  <c r="A8179" i="20"/>
  <c r="A1379" i="49"/>
  <c r="A8985" i="20"/>
  <c r="B6437" i="20"/>
  <c r="A8729" i="20"/>
  <c r="N9" i="29"/>
  <c r="B428" i="45"/>
  <c r="B7928" i="20"/>
  <c r="B9099" i="20"/>
  <c r="B7425" i="20"/>
  <c r="B95" i="45"/>
  <c r="A296" i="32"/>
  <c r="B7401" i="20"/>
  <c r="A5" i="27"/>
  <c r="B7151" i="20"/>
  <c r="A11" i="25"/>
  <c r="B8458" i="20"/>
  <c r="A8670" i="20"/>
  <c r="B8617" i="20"/>
  <c r="B8585" i="20"/>
  <c r="A8839" i="20"/>
  <c r="B9083" i="20"/>
  <c r="A5823" i="20"/>
  <c r="B4082" i="20"/>
  <c r="B8980" i="20"/>
  <c r="B8955" i="20"/>
  <c r="A5759" i="20"/>
  <c r="A8643" i="20"/>
  <c r="B5893" i="20"/>
  <c r="A5852" i="20"/>
  <c r="B8599" i="20"/>
  <c r="M12" i="33"/>
  <c r="A5700" i="20"/>
  <c r="A5692" i="20"/>
  <c r="B8720" i="20"/>
  <c r="A5812" i="20"/>
  <c r="A6327" i="20"/>
  <c r="A2435" i="20"/>
  <c r="A9022" i="20"/>
  <c r="A5780" i="20"/>
  <c r="A6295" i="20"/>
  <c r="A2403" i="20"/>
  <c r="B6761" i="20"/>
  <c r="A6716" i="20"/>
  <c r="B492" i="45"/>
  <c r="B609" i="45"/>
  <c r="B6844" i="20"/>
  <c r="A7070" i="20"/>
  <c r="A7018" i="20"/>
  <c r="A7062" i="20"/>
  <c r="A7010" i="20"/>
  <c r="B450" i="45"/>
  <c r="A6774" i="20"/>
  <c r="A7182" i="20"/>
  <c r="A7130" i="20"/>
  <c r="B4963" i="20"/>
  <c r="B5142" i="20"/>
  <c r="A4548" i="20"/>
  <c r="A4262" i="20"/>
  <c r="B6" i="39"/>
  <c r="A6646" i="20"/>
  <c r="A7150" i="20"/>
  <c r="A7098" i="20"/>
  <c r="B4931" i="20"/>
  <c r="B5110" i="20"/>
  <c r="A4516" i="20"/>
  <c r="A8237" i="20"/>
  <c r="A182" i="32"/>
  <c r="B9077" i="20"/>
  <c r="A8751" i="20"/>
  <c r="B407" i="45"/>
  <c r="J6" i="33"/>
  <c r="A20" i="45"/>
  <c r="B7297" i="20"/>
  <c r="B9009" i="20"/>
  <c r="A7639" i="20"/>
  <c r="B825" i="45"/>
  <c r="A9130" i="20"/>
  <c r="A7757" i="20"/>
  <c r="B7712" i="20"/>
  <c r="B901" i="45"/>
  <c r="B8952" i="20"/>
  <c r="B880" i="45"/>
  <c r="B3" i="41"/>
  <c r="A6404" i="20"/>
  <c r="A6396" i="20"/>
  <c r="A8940" i="20"/>
  <c r="A8943" i="20"/>
  <c r="A6372" i="20"/>
  <c r="E11" i="29"/>
  <c r="B7107" i="20"/>
  <c r="A50" i="25"/>
  <c r="B7695" i="20"/>
  <c r="A8483" i="20"/>
  <c r="A8443" i="20"/>
  <c r="A1204" i="45"/>
  <c r="B8061" i="20"/>
  <c r="B7442" i="20"/>
  <c r="B4890" i="20"/>
  <c r="B251" i="45"/>
  <c r="B7885" i="20"/>
  <c r="B7314" i="20"/>
  <c r="B4858" i="20"/>
  <c r="A389" i="45"/>
  <c r="A6570" i="20"/>
  <c r="B5705" i="20"/>
  <c r="A7634" i="20"/>
  <c r="B8526" i="20"/>
  <c r="B5553" i="20"/>
  <c r="M23" i="33"/>
  <c r="B5481" i="20"/>
  <c r="B5665" i="20"/>
  <c r="A3779" i="20"/>
  <c r="B358" i="45"/>
  <c r="B1166" i="45"/>
  <c r="B5633" i="20"/>
  <c r="A3747" i="20"/>
  <c r="B8419" i="20"/>
  <c r="A8231" i="20"/>
  <c r="A6703" i="20"/>
  <c r="A7915" i="20"/>
  <c r="A8001" i="20"/>
  <c r="A8473" i="20"/>
  <c r="B6501" i="20"/>
  <c r="B6449" i="20"/>
  <c r="B6493" i="20"/>
  <c r="B6441" i="20"/>
  <c r="A8720" i="20"/>
  <c r="A6767" i="20"/>
  <c r="B6613" i="20"/>
  <c r="B6561" i="20"/>
  <c r="A5840" i="20"/>
  <c r="B4636" i="20"/>
  <c r="B2530" i="20"/>
  <c r="B2244" i="20"/>
  <c r="AK4" i="33"/>
  <c r="A6626" i="20"/>
  <c r="B6581" i="20"/>
  <c r="C1" i="41"/>
  <c r="B8974" i="20"/>
  <c r="B16" i="49"/>
  <c r="B8" i="39"/>
  <c r="B7303" i="20"/>
  <c r="B8264" i="20"/>
  <c r="B5489" i="20"/>
  <c r="B278" i="45"/>
  <c r="B546" i="49"/>
  <c r="A8379" i="20"/>
  <c r="B7490" i="20"/>
  <c r="N37" i="29"/>
  <c r="A593" i="45"/>
  <c r="A172" i="45"/>
  <c r="B8323" i="20"/>
  <c r="B6315" i="20"/>
  <c r="B6307" i="20"/>
  <c r="B788" i="45"/>
  <c r="B7773" i="20"/>
  <c r="B6283" i="20"/>
  <c r="A8574" i="20"/>
  <c r="B6996" i="20"/>
  <c r="B8678" i="20"/>
  <c r="A9039" i="20"/>
  <c r="B8965" i="20"/>
  <c r="B8957" i="20"/>
  <c r="A28" i="32"/>
  <c r="B36" i="21"/>
  <c r="B6381" i="20"/>
  <c r="B6498" i="20"/>
  <c r="A10" i="21"/>
  <c r="B9125" i="20"/>
  <c r="B6253" i="20"/>
  <c r="B6434" i="20"/>
  <c r="A395" i="45"/>
  <c r="B5841" i="20"/>
  <c r="A478" i="45"/>
  <c r="A517" i="45"/>
  <c r="A8536" i="20"/>
  <c r="A8440" i="20"/>
  <c r="B7848" i="20"/>
  <c r="A7789" i="20"/>
  <c r="A398" i="45"/>
  <c r="B5786" i="20"/>
  <c r="A685" i="49"/>
  <c r="B8394" i="20"/>
  <c r="Y3" i="33"/>
  <c r="B5754" i="20"/>
  <c r="A7788" i="20"/>
  <c r="B6709" i="20"/>
  <c r="B6601" i="20"/>
  <c r="B7500" i="20"/>
  <c r="A8396" i="20"/>
  <c r="B7886" i="20"/>
  <c r="A8870" i="20"/>
  <c r="A7448" i="20"/>
  <c r="A8838" i="20"/>
  <c r="B8696" i="20"/>
  <c r="A8315" i="20"/>
  <c r="A7160" i="20"/>
  <c r="F6" i="29"/>
  <c r="A7914" i="20"/>
  <c r="A6545" i="20"/>
  <c r="B4805" i="20"/>
  <c r="A3825" i="20"/>
  <c r="A1230" i="49"/>
  <c r="B8576" i="20"/>
  <c r="A7032" i="20"/>
  <c r="C36" i="21"/>
  <c r="B6854" i="20"/>
  <c r="A175" i="45"/>
  <c r="B703" i="45"/>
  <c r="A261" i="32"/>
  <c r="B7245" i="20"/>
  <c r="B355" i="49"/>
  <c r="B8852" i="20"/>
  <c r="B8" i="45"/>
  <c r="A1064" i="45"/>
  <c r="C15" i="21"/>
  <c r="B7553" i="20"/>
  <c r="B334" i="45"/>
  <c r="A300" i="32"/>
  <c r="B8319" i="20"/>
  <c r="A8204" i="20"/>
  <c r="A7847" i="20"/>
  <c r="A7815" i="20"/>
  <c r="A8160" i="20"/>
  <c r="A8190" i="20"/>
  <c r="B8668" i="20"/>
  <c r="A39" i="31"/>
  <c r="B8158" i="20"/>
  <c r="B6886" i="20"/>
  <c r="B7781" i="20"/>
  <c r="A7924" i="20"/>
  <c r="A7908" i="20"/>
  <c r="B8557" i="20"/>
  <c r="A8068" i="20"/>
  <c r="B6387" i="20"/>
  <c r="A4263" i="20"/>
  <c r="B8389" i="20"/>
  <c r="A8028" i="20"/>
  <c r="B6259" i="20"/>
  <c r="A4231" i="20"/>
  <c r="A8283" i="20"/>
  <c r="A27" i="45"/>
  <c r="A780" i="45"/>
  <c r="B7510" i="20"/>
  <c r="B9124" i="20"/>
  <c r="B9108" i="20"/>
  <c r="A739" i="45"/>
  <c r="A4" i="22"/>
  <c r="B6993" i="20"/>
  <c r="B4701" i="20"/>
  <c r="B950" i="45"/>
  <c r="A8711" i="20"/>
  <c r="B6865" i="20"/>
  <c r="A6605" i="20"/>
  <c r="B7818" i="20"/>
  <c r="A5034" i="20"/>
  <c r="A405" i="45"/>
  <c r="A658" i="45"/>
  <c r="A7884" i="20"/>
  <c r="A8356" i="20"/>
  <c r="B7825" i="20"/>
  <c r="A7493" i="20"/>
  <c r="B7793" i="20"/>
  <c r="A359" i="32"/>
  <c r="B8901" i="20"/>
  <c r="A7205" i="20"/>
  <c r="B8273" i="20"/>
  <c r="B6915" i="20"/>
  <c r="A6033" i="20"/>
  <c r="A5319" i="20"/>
  <c r="A7077" i="20"/>
  <c r="B6787" i="20"/>
  <c r="A6752" i="20"/>
  <c r="B4075" i="20"/>
  <c r="B8756" i="20"/>
  <c r="A5604" i="20"/>
  <c r="B7202" i="20"/>
  <c r="B6013" i="20"/>
  <c r="B6019" i="20"/>
  <c r="B5961" i="20"/>
  <c r="B8565" i="20"/>
  <c r="B8897" i="20"/>
  <c r="B6" i="21"/>
  <c r="B6860" i="20"/>
  <c r="B8560" i="20"/>
  <c r="B8310" i="20"/>
  <c r="A8235" i="20"/>
  <c r="A7833" i="20"/>
  <c r="B6922" i="20"/>
  <c r="B5861" i="20"/>
  <c r="B5867" i="20"/>
  <c r="B5809" i="20"/>
  <c r="B6914" i="20"/>
  <c r="B5853" i="20"/>
  <c r="B5859" i="20"/>
  <c r="B5801" i="20"/>
  <c r="B7212" i="20"/>
  <c r="A8185" i="20"/>
  <c r="B6161" i="20"/>
  <c r="B6153" i="20"/>
  <c r="B7034" i="20"/>
  <c r="B5973" i="20"/>
  <c r="B5979" i="20"/>
  <c r="B5921" i="20"/>
  <c r="A6898" i="20"/>
  <c r="B5409" i="20"/>
  <c r="A6400" i="20"/>
  <c r="A4035" i="20"/>
  <c r="A3367" i="20"/>
  <c r="B1890" i="20"/>
  <c r="A3245" i="20"/>
  <c r="B3868" i="20"/>
  <c r="B7084" i="20"/>
  <c r="A8057" i="20"/>
  <c r="B6033" i="20"/>
  <c r="B6025" i="20"/>
  <c r="B7002" i="20"/>
  <c r="B5941" i="20"/>
  <c r="B5947" i="20"/>
  <c r="B5889" i="20"/>
  <c r="A6770" i="20"/>
  <c r="B5377" i="20"/>
  <c r="A6272" i="20"/>
  <c r="A4003" i="20"/>
  <c r="A3335" i="20"/>
  <c r="B1858" i="20"/>
  <c r="A3213" i="20"/>
  <c r="B3740" i="20"/>
  <c r="B7468" i="20"/>
  <c r="A8441" i="20"/>
  <c r="B6417" i="20"/>
  <c r="B6409" i="20"/>
  <c r="B7098" i="20"/>
  <c r="B6037" i="20"/>
  <c r="A2829" i="20"/>
  <c r="A566" i="45"/>
  <c r="A8363" i="20"/>
  <c r="B6966" i="20"/>
  <c r="A8059" i="20"/>
  <c r="A5998" i="20"/>
  <c r="B6043" i="20"/>
  <c r="B5985" i="20"/>
  <c r="A7154" i="20"/>
  <c r="B5499" i="20"/>
  <c r="B6661" i="20"/>
  <c r="A4099" i="20"/>
  <c r="A3431" i="20"/>
  <c r="B1954" i="20"/>
  <c r="A3329" i="20"/>
  <c r="B4124" i="20"/>
  <c r="A4834" i="20"/>
  <c r="B6081" i="20"/>
  <c r="A4195" i="20"/>
  <c r="B4508" i="20"/>
  <c r="B6909" i="20"/>
  <c r="B5145" i="20"/>
  <c r="A5344" i="20"/>
  <c r="A3771" i="20"/>
  <c r="A3267" i="20"/>
  <c r="B1626" i="20"/>
  <c r="A2981" i="20"/>
  <c r="B2812" i="20"/>
  <c r="A7007" i="20"/>
  <c r="B4913" i="20"/>
  <c r="B6375" i="20"/>
  <c r="A3539" i="20"/>
  <c r="A3035" i="20"/>
  <c r="B1394" i="20"/>
  <c r="A2749" i="20"/>
  <c r="B2921" i="20"/>
  <c r="A142" i="32"/>
  <c r="B5445" i="20"/>
  <c r="A6978" i="20"/>
  <c r="A8503" i="20"/>
  <c r="B6911" i="20"/>
  <c r="A7495" i="20"/>
  <c r="A6739" i="20"/>
  <c r="A5267" i="20"/>
  <c r="A5736" i="20"/>
  <c r="A3453" i="20"/>
  <c r="A5653" i="20"/>
  <c r="A2820" i="20"/>
  <c r="A3618" i="20"/>
  <c r="B4339" i="20"/>
  <c r="A9" i="23"/>
  <c r="B7224" i="20"/>
  <c r="A5041" i="20"/>
  <c r="B3918" i="20"/>
  <c r="A5414" i="20"/>
  <c r="A4939" i="20"/>
  <c r="B6383" i="20"/>
  <c r="B4781" i="20"/>
  <c r="A4997" i="20"/>
  <c r="B4171" i="20"/>
  <c r="A3290" i="20"/>
  <c r="B3027" i="20"/>
  <c r="B6445" i="20"/>
  <c r="A2786" i="20"/>
  <c r="A6644" i="20"/>
  <c r="A5266" i="20"/>
  <c r="A5261" i="20"/>
  <c r="B8863" i="20"/>
  <c r="B8422" i="20"/>
  <c r="A7607" i="20"/>
  <c r="B6720" i="20"/>
  <c r="B6744" i="20"/>
  <c r="A7566" i="20"/>
  <c r="AM4" i="33"/>
  <c r="B872" i="45"/>
  <c r="B758" i="45"/>
  <c r="A267" i="45"/>
  <c r="M16" i="29"/>
  <c r="B6756" i="20"/>
  <c r="B622" i="45"/>
  <c r="B7228" i="20"/>
  <c r="A639" i="45"/>
  <c r="A7454" i="20"/>
  <c r="A7460" i="20"/>
  <c r="A7402" i="20"/>
  <c r="A363" i="45"/>
  <c r="A7446" i="20"/>
  <c r="A7452" i="20"/>
  <c r="A7394" i="20"/>
  <c r="B221" i="45"/>
  <c r="B7620" i="20"/>
  <c r="B8620" i="20"/>
  <c r="B8588" i="20"/>
  <c r="B7158" i="20"/>
  <c r="A7590" i="20"/>
  <c r="A7614" i="20"/>
  <c r="A7514" i="20"/>
  <c r="A15" i="25"/>
  <c r="B5347" i="20"/>
  <c r="A4881" i="20"/>
  <c r="B5526" i="20"/>
  <c r="B5530" i="20"/>
  <c r="B2960" i="20"/>
  <c r="B3758" i="20"/>
  <c r="A4661" i="20"/>
  <c r="B769" i="49"/>
  <c r="B7492" i="20"/>
  <c r="B8108" i="20"/>
  <c r="B8076" i="20"/>
  <c r="B6902" i="20"/>
  <c r="A7534" i="20"/>
  <c r="A7540" i="20"/>
  <c r="A7482" i="20"/>
  <c r="B8989" i="20"/>
  <c r="B5315" i="20"/>
  <c r="A4849" i="20"/>
  <c r="B5494" i="20"/>
  <c r="B5498" i="20"/>
  <c r="B2928" i="20"/>
  <c r="B3726" i="20"/>
  <c r="A4614" i="20"/>
  <c r="B287" i="45"/>
  <c r="A7910" i="20"/>
  <c r="B7673" i="20"/>
  <c r="A8663" i="20"/>
  <c r="B7674" i="20"/>
  <c r="B6816" i="20"/>
  <c r="B6840" i="20"/>
  <c r="A2950" i="20"/>
  <c r="A302" i="45"/>
  <c r="A42" i="32"/>
  <c r="B5949" i="20"/>
  <c r="B7942" i="20"/>
  <c r="B8529" i="20"/>
  <c r="A7638" i="20"/>
  <c r="A8736" i="20"/>
  <c r="B5411" i="20"/>
  <c r="A4945" i="20"/>
  <c r="B5590" i="20"/>
  <c r="B5594" i="20"/>
  <c r="B3024" i="20"/>
  <c r="B3822" i="20"/>
  <c r="B2738" i="20"/>
  <c r="B7909" i="20"/>
  <c r="B8300" i="20"/>
  <c r="A5720" i="20"/>
  <c r="B3632" i="20"/>
  <c r="A8137" i="20"/>
  <c r="B5083" i="20"/>
  <c r="B6614" i="20"/>
  <c r="B5262" i="20"/>
  <c r="B5266" i="20"/>
  <c r="B2696" i="20"/>
  <c r="B3494" i="20"/>
  <c r="A4382" i="20"/>
  <c r="A8212" i="20"/>
  <c r="B4851" i="20"/>
  <c r="B6382" i="20"/>
  <c r="B5030" i="20"/>
  <c r="B5034" i="20"/>
  <c r="A4436" i="20"/>
  <c r="B3262" i="20"/>
  <c r="A3266" i="20"/>
  <c r="A7923" i="20"/>
  <c r="A8761" i="20"/>
  <c r="A5994" i="20"/>
  <c r="A8469" i="20"/>
  <c r="A7291" i="20"/>
  <c r="A4980" i="20"/>
  <c r="A4922" i="20"/>
  <c r="A6645" i="20"/>
  <c r="A7133" i="20"/>
  <c r="B7988" i="20"/>
  <c r="B4956" i="20"/>
  <c r="A4327" i="20"/>
  <c r="B3425" i="20"/>
  <c r="A1603" i="20"/>
  <c r="B2564" i="20"/>
  <c r="C56" i="21"/>
  <c r="B6693" i="20"/>
  <c r="A3677" i="20"/>
  <c r="A2758" i="20"/>
  <c r="A93" i="32"/>
  <c r="A5808" i="20"/>
  <c r="A6848" i="20"/>
  <c r="B4628" i="20"/>
  <c r="A3999" i="20"/>
  <c r="B2522" i="20"/>
  <c r="A3191" i="20"/>
  <c r="B2236" i="20"/>
  <c r="A8391" i="20"/>
  <c r="A6697" i="20"/>
  <c r="B7368" i="20"/>
  <c r="B5159" i="20"/>
  <c r="A4004" i="20"/>
  <c r="B34" i="45"/>
  <c r="A7667" i="20"/>
  <c r="A8124" i="20"/>
  <c r="B6525" i="20"/>
  <c r="B6531" i="20"/>
  <c r="B6473" i="20"/>
  <c r="B8872" i="20"/>
  <c r="A204" i="32"/>
  <c r="B8874" i="20"/>
  <c r="B7372" i="20"/>
  <c r="A8291" i="20"/>
  <c r="A7873" i="20"/>
  <c r="B7901" i="20"/>
  <c r="A8345" i="20"/>
  <c r="B7434" i="20"/>
  <c r="B6373" i="20"/>
  <c r="B6379" i="20"/>
  <c r="B6321" i="20"/>
  <c r="B7426" i="20"/>
  <c r="B6365" i="20"/>
  <c r="B6371" i="20"/>
  <c r="B6313" i="20"/>
  <c r="B8480" i="20"/>
  <c r="A13" i="23"/>
  <c r="A6250" i="20"/>
  <c r="A6242" i="20"/>
  <c r="B7546" i="20"/>
  <c r="B6485" i="20"/>
  <c r="B6491" i="20"/>
  <c r="B6433" i="20"/>
  <c r="B29" i="21"/>
  <c r="A5328" i="20"/>
  <c r="B7435" i="20"/>
  <c r="A4547" i="20"/>
  <c r="A3879" i="20"/>
  <c r="B2402" i="20"/>
  <c r="A3071" i="20"/>
  <c r="B2116" i="20"/>
  <c r="B8312" i="20"/>
  <c r="B9101" i="20"/>
  <c r="A6122" i="20"/>
  <c r="A6114" i="20"/>
  <c r="B7514" i="20"/>
  <c r="B6453" i="20"/>
  <c r="B6459" i="20"/>
  <c r="B6401" i="20"/>
  <c r="B8649" i="20"/>
  <c r="A5200" i="20"/>
  <c r="B7307" i="20"/>
  <c r="A4515" i="20"/>
  <c r="A3847" i="20"/>
  <c r="B2370" i="20"/>
  <c r="A3039" i="20"/>
  <c r="B2084" i="20"/>
  <c r="A7875" i="20"/>
  <c r="A186" i="32"/>
  <c r="A6506" i="20"/>
  <c r="A6498" i="20"/>
  <c r="B7610" i="20"/>
  <c r="B6549" i="20"/>
  <c r="A2275" i="20"/>
  <c r="B359" i="45"/>
  <c r="B7102" i="20"/>
  <c r="B5905" i="20"/>
  <c r="A13" i="43"/>
  <c r="A6779" i="20"/>
  <c r="B6555" i="20"/>
  <c r="B6497" i="20"/>
  <c r="A31" i="21"/>
  <c r="A5584" i="20"/>
  <c r="A7705" i="20"/>
  <c r="A4611" i="20"/>
  <c r="A3943" i="20"/>
  <c r="B2466" i="20"/>
  <c r="A3135" i="20"/>
  <c r="B2180" i="20"/>
  <c r="A4892" i="20"/>
  <c r="A6170" i="20"/>
  <c r="B6362" i="20"/>
  <c r="A1767" i="20"/>
  <c r="A7890" i="20"/>
  <c r="B6231" i="20"/>
  <c r="A7405" i="20"/>
  <c r="A4283" i="20"/>
  <c r="A3615" i="20"/>
  <c r="B2138" i="20"/>
  <c r="A2807" i="20"/>
  <c r="B1852" i="20"/>
  <c r="A6962" i="20"/>
  <c r="B5425" i="20"/>
  <c r="A6464" i="20"/>
  <c r="A4051" i="20"/>
  <c r="A3383" i="20"/>
  <c r="B1906" i="20"/>
  <c r="A3261" i="20"/>
  <c r="A1319" i="20"/>
  <c r="A226" i="32"/>
  <c r="A6046" i="20"/>
  <c r="A703" i="45"/>
  <c r="B8752" i="20"/>
  <c r="B7551" i="20"/>
  <c r="B6981" i="20"/>
  <c r="A6694" i="20"/>
  <c r="A5779" i="20"/>
  <c r="B6771" i="20"/>
  <c r="A3965" i="20"/>
  <c r="A3969" i="20"/>
  <c r="A3332" i="20"/>
  <c r="A4130" i="20"/>
  <c r="A3046" i="20"/>
  <c r="B7726" i="20"/>
  <c r="B5621" i="20"/>
  <c r="B5057" i="20"/>
  <c r="B1538" i="20"/>
  <c r="A7475" i="20"/>
  <c r="A5451" i="20"/>
  <c r="A6472" i="20"/>
  <c r="A3637" i="20"/>
  <c r="A6189" i="20"/>
  <c r="A3004" i="20"/>
  <c r="A3802" i="20"/>
  <c r="A2718" i="20"/>
  <c r="A6534" i="20"/>
  <c r="B4112" i="20"/>
  <c r="B2498" i="20"/>
  <c r="A8966" i="20"/>
  <c r="A232" i="45"/>
  <c r="A8268" i="20"/>
  <c r="A32" i="31"/>
  <c r="M29" i="29"/>
  <c r="A7830" i="20"/>
  <c r="A8806" i="20"/>
  <c r="A6417" i="20"/>
  <c r="A3313" i="20"/>
  <c r="B7284" i="20"/>
  <c r="A8678" i="20"/>
  <c r="A6385" i="20"/>
  <c r="A3273" i="20"/>
  <c r="B7896" i="20"/>
  <c r="A9062" i="20"/>
  <c r="B7010" i="20"/>
  <c r="B6856" i="20"/>
  <c r="A6581" i="20"/>
  <c r="A335" i="45"/>
  <c r="A2033" i="20"/>
  <c r="A5559" i="20"/>
  <c r="A1393" i="20"/>
  <c r="A5095" i="20"/>
  <c r="A1235" i="45"/>
  <c r="A7246" i="20"/>
  <c r="B6240" i="20"/>
  <c r="A2341" i="20"/>
  <c r="A5716" i="20"/>
  <c r="B5912" i="20"/>
  <c r="A2013" i="20"/>
  <c r="B4723" i="20"/>
  <c r="B6254" i="20"/>
  <c r="B4902" i="20"/>
  <c r="B4906" i="20"/>
  <c r="A4308" i="20"/>
  <c r="B3134" i="20"/>
  <c r="A4022" i="20"/>
  <c r="B8795" i="20"/>
  <c r="A3855" i="20"/>
  <c r="A6621" i="20"/>
  <c r="B2835" i="20"/>
  <c r="A1243" i="20"/>
  <c r="A1225" i="20"/>
  <c r="B1029" i="20"/>
  <c r="A1257" i="16"/>
  <c r="A611" i="20"/>
  <c r="B2079" i="20"/>
  <c r="A5981" i="20"/>
  <c r="A2543" i="20"/>
  <c r="A125" i="32"/>
  <c r="A6606" i="20"/>
  <c r="B6336" i="20"/>
  <c r="A2437" i="20"/>
  <c r="B8652" i="20"/>
  <c r="A6187" i="20"/>
  <c r="A7336" i="20"/>
  <c r="A4373" i="20"/>
  <c r="A4377" i="20"/>
  <c r="A3740" i="20"/>
  <c r="A4538" i="20"/>
  <c r="A3454" i="20"/>
  <c r="A7398" i="20"/>
  <c r="A2754" i="20"/>
  <c r="B296" i="49"/>
  <c r="B8677" i="20"/>
  <c r="A5482" i="20"/>
  <c r="B8066" i="20"/>
  <c r="A7035" i="20"/>
  <c r="A4852" i="20"/>
  <c r="A4794" i="20"/>
  <c r="B6131" i="20"/>
  <c r="A6608" i="20"/>
  <c r="B6888" i="20"/>
  <c r="B4828" i="20"/>
  <c r="A4199" i="20"/>
  <c r="B2913" i="20"/>
  <c r="A3657" i="20"/>
  <c r="B2436" i="20"/>
  <c r="A6908" i="20"/>
  <c r="A7207" i="20"/>
  <c r="B4941" i="20"/>
  <c r="B3187" i="20"/>
  <c r="B9051" i="20"/>
  <c r="A5296" i="20"/>
  <c r="B7403" i="20"/>
  <c r="A4539" i="20"/>
  <c r="A3871" i="20"/>
  <c r="B2394" i="20"/>
  <c r="A3063" i="20"/>
  <c r="B2108" i="20"/>
  <c r="A8274" i="20"/>
  <c r="B6327" i="20"/>
  <c r="A7501" i="20"/>
  <c r="A4307" i="20"/>
  <c r="A3639" i="20"/>
  <c r="B2162" i="20"/>
  <c r="A2831" i="20"/>
  <c r="B1876" i="20"/>
  <c r="B6070" i="20"/>
  <c r="A5616" i="20"/>
  <c r="B2474" i="20"/>
  <c r="B1127" i="20"/>
  <c r="A130" i="20"/>
  <c r="B1957" i="20"/>
  <c r="B1127" i="16"/>
  <c r="B2245" i="20"/>
  <c r="B790" i="20"/>
  <c r="A4976" i="20"/>
  <c r="B2314" i="20"/>
  <c r="A1084" i="20"/>
  <c r="B6281" i="20"/>
  <c r="B5953" i="20"/>
  <c r="A4067" i="20"/>
  <c r="B3996" i="20"/>
  <c r="B6781" i="20"/>
  <c r="B5113" i="20"/>
  <c r="A5216" i="20"/>
  <c r="A3739" i="20"/>
  <c r="A3235" i="20"/>
  <c r="B1594" i="20"/>
  <c r="A2949" i="20"/>
  <c r="A4690" i="20"/>
  <c r="A6879" i="20"/>
  <c r="B4881" i="20"/>
  <c r="B6247" i="20"/>
  <c r="A3507" i="20"/>
  <c r="A3457" i="20"/>
  <c r="A273" i="45"/>
  <c r="B8727" i="20"/>
  <c r="C47" i="21"/>
  <c r="B7717" i="20"/>
  <c r="A6254" i="20"/>
  <c r="B6171" i="20"/>
  <c r="B6113" i="20"/>
  <c r="B6960" i="20"/>
  <c r="B6007" i="20"/>
  <c r="A7181" i="20"/>
  <c r="A4227" i="20"/>
  <c r="A3559" i="20"/>
  <c r="B2082" i="20"/>
  <c r="A3841" i="20"/>
  <c r="A4642" i="20"/>
  <c r="A6895" i="20"/>
  <c r="B6593" i="20"/>
  <c r="B4668" i="20"/>
  <c r="B2276" i="20"/>
  <c r="B7421" i="20"/>
  <c r="B5273" i="20"/>
  <c r="A5856" i="20"/>
  <c r="A3899" i="20"/>
  <c r="A3673" i="20"/>
  <c r="B1754" i="20"/>
  <c r="A3109" i="20"/>
  <c r="B3324" i="20"/>
  <c r="A7519" i="20"/>
  <c r="B5041" i="20"/>
  <c r="A4928" i="20"/>
  <c r="A3667" i="20"/>
  <c r="A3163" i="20"/>
  <c r="B1522" i="20"/>
  <c r="A2877" i="20"/>
  <c r="A4368" i="20"/>
  <c r="A3493" i="20"/>
  <c r="A5465" i="20"/>
  <c r="B4342" i="20"/>
  <c r="A484" i="20"/>
  <c r="B2283" i="20"/>
  <c r="A62" i="20"/>
  <c r="B487" i="16"/>
  <c r="A134" i="20"/>
  <c r="A1815" i="16"/>
  <c r="A5305" i="20"/>
  <c r="B4182" i="20"/>
  <c r="B1315" i="45"/>
  <c r="B7414" i="20"/>
  <c r="A218" i="32"/>
  <c r="B5562" i="20"/>
  <c r="A2896" i="20"/>
  <c r="A5234" i="20"/>
  <c r="A6505" i="20"/>
  <c r="B6668" i="20"/>
  <c r="B4645" i="20"/>
  <c r="B4584" i="20"/>
  <c r="A3665" i="20"/>
  <c r="B4298" i="20"/>
  <c r="B2649" i="20"/>
  <c r="B6265" i="20"/>
  <c r="A6273" i="20"/>
  <c r="A5791" i="20"/>
  <c r="A5799" i="20"/>
  <c r="B4352" i="20"/>
  <c r="A3161" i="20"/>
  <c r="B4066" i="20"/>
  <c r="A1713" i="20"/>
  <c r="A4395" i="20"/>
  <c r="B5679" i="20"/>
  <c r="A3114" i="20"/>
  <c r="B4261" i="20"/>
  <c r="B623" i="20"/>
  <c r="B6342" i="20"/>
  <c r="A1430" i="20"/>
  <c r="B661" i="16"/>
  <c r="A8310" i="20"/>
  <c r="A6841" i="20"/>
  <c r="B4824" i="20"/>
  <c r="A5900" i="20"/>
  <c r="B5237" i="20"/>
  <c r="A3351" i="20"/>
  <c r="B3486" i="20"/>
  <c r="A2231" i="20"/>
  <c r="B4862" i="20"/>
  <c r="A4485" i="20"/>
  <c r="B4151" i="20"/>
  <c r="B225" i="19"/>
  <c r="B2661" i="20"/>
  <c r="H97" i="11"/>
  <c r="B197" i="20"/>
  <c r="A631" i="16"/>
  <c r="A5855" i="20"/>
  <c r="A1963" i="20"/>
  <c r="A57" i="25"/>
  <c r="A36" i="25"/>
  <c r="A6598" i="20"/>
  <c r="A5589" i="20"/>
  <c r="A1409" i="20"/>
  <c r="A7786" i="20"/>
  <c r="A5961" i="20"/>
  <c r="A5167" i="20"/>
  <c r="A5175" i="20"/>
  <c r="B4040" i="20"/>
  <c r="A2849" i="20"/>
  <c r="B3754" i="20"/>
  <c r="B435" i="45"/>
  <c r="A6584" i="20"/>
  <c r="A5729" i="20"/>
  <c r="A4703" i="20"/>
  <c r="A4711" i="20"/>
  <c r="B3808" i="20"/>
  <c r="B4606" i="20"/>
  <c r="B3522" i="20"/>
  <c r="A8397" i="20"/>
  <c r="B6500" i="20"/>
  <c r="B7016" i="20"/>
  <c r="A3689" i="20"/>
  <c r="B4308" i="20"/>
  <c r="B4268" i="20"/>
  <c r="A2010" i="20"/>
  <c r="A23" i="11"/>
  <c r="B37" i="20"/>
  <c r="A471" i="16"/>
  <c r="A7040" i="20"/>
  <c r="A3239" i="20"/>
  <c r="B282" i="45"/>
  <c r="A5542" i="20"/>
  <c r="A7201" i="20"/>
  <c r="A8132" i="20"/>
  <c r="A7042" i="20"/>
  <c r="A203" i="32"/>
  <c r="B6716" i="20"/>
  <c r="A6890" i="20"/>
  <c r="A6882" i="20"/>
  <c r="B7329" i="20"/>
  <c r="A7002" i="20"/>
  <c r="B5014" i="20"/>
  <c r="A4134" i="20"/>
  <c r="B7201" i="20"/>
  <c r="A6970" i="20"/>
  <c r="B4982" i="20"/>
  <c r="A4102" i="20"/>
  <c r="B7585" i="20"/>
  <c r="B3443" i="20"/>
  <c r="A7812" i="20"/>
  <c r="B4899" i="20"/>
  <c r="A4484" i="20"/>
  <c r="B7257" i="20"/>
  <c r="A6603" i="20"/>
  <c r="A4156" i="20"/>
  <c r="A6371" i="20"/>
  <c r="A3924" i="20"/>
  <c r="F4" i="29"/>
  <c r="B6427" i="20"/>
  <c r="B7179" i="20"/>
  <c r="A3007" i="20"/>
  <c r="B5692" i="20"/>
  <c r="A6893" i="20"/>
  <c r="A3553" i="20"/>
  <c r="B6192" i="20"/>
  <c r="B4951" i="20"/>
  <c r="A4845" i="20"/>
  <c r="B5776" i="20"/>
  <c r="A2293" i="20"/>
  <c r="B4387" i="20"/>
  <c r="A2007" i="20"/>
  <c r="A5881" i="20"/>
  <c r="A5228" i="20"/>
  <c r="A4463" i="20"/>
  <c r="B3255" i="20"/>
  <c r="A1814" i="20"/>
  <c r="A1804" i="20"/>
  <c r="A309" i="20"/>
  <c r="B164" i="20"/>
  <c r="B1045" i="16"/>
  <c r="B6547" i="20"/>
  <c r="A4303" i="20"/>
  <c r="B3095" i="20"/>
  <c r="A6378" i="20"/>
  <c r="B6523" i="20"/>
  <c r="B7563" i="20"/>
  <c r="A3103" i="20"/>
  <c r="B7351" i="20"/>
  <c r="B8257" i="20"/>
  <c r="A6415" i="20"/>
  <c r="B5886" i="20"/>
  <c r="B5208" i="20"/>
  <c r="A1725" i="20"/>
  <c r="A2523" i="20"/>
  <c r="A1439" i="20"/>
  <c r="A7449" i="20"/>
  <c r="A3974" i="20"/>
  <c r="B8279" i="20"/>
  <c r="B7854" i="20"/>
  <c r="B7073" i="20"/>
  <c r="B8019" i="20"/>
  <c r="B5653" i="20"/>
  <c r="A7783" i="20"/>
  <c r="A9005" i="20"/>
  <c r="A6488" i="20"/>
  <c r="A5713" i="20"/>
  <c r="A6679" i="20"/>
  <c r="A4679" i="20"/>
  <c r="B3792" i="20"/>
  <c r="B4590" i="20"/>
  <c r="B3506" i="20"/>
  <c r="A5" i="31"/>
  <c r="A8604" i="20"/>
  <c r="A5580" i="20"/>
  <c r="A4551" i="20"/>
  <c r="B8013" i="20"/>
  <c r="A5048" i="20"/>
  <c r="A5385" i="20"/>
  <c r="B6092" i="20"/>
  <c r="B6098" i="20"/>
  <c r="B3464" i="20"/>
  <c r="B4262" i="20"/>
  <c r="B3178" i="20"/>
  <c r="A7738" i="20"/>
  <c r="B6079" i="20"/>
  <c r="A5153" i="20"/>
  <c r="B5798" i="20"/>
  <c r="B5802" i="20"/>
  <c r="B3232" i="20"/>
  <c r="B4030" i="20"/>
  <c r="B2946" i="20"/>
  <c r="A6854" i="20"/>
  <c r="A4009" i="20"/>
  <c r="A5199" i="20"/>
  <c r="B3770" i="20"/>
  <c r="A3976" i="20"/>
  <c r="A3936" i="20"/>
  <c r="A808" i="20"/>
  <c r="B38" i="19"/>
  <c r="B2618" i="20"/>
  <c r="G104" i="13"/>
  <c r="A4879" i="20"/>
  <c r="B3610" i="20"/>
  <c r="A8251" i="20"/>
  <c r="B7788" i="20"/>
  <c r="A5208" i="20"/>
  <c r="B3504" i="20"/>
  <c r="A7881" i="20"/>
  <c r="B5051" i="20"/>
  <c r="B6582" i="20"/>
  <c r="B5230" i="20"/>
  <c r="B5234" i="20"/>
  <c r="A4641" i="20"/>
  <c r="B3462" i="20"/>
  <c r="A4350" i="20"/>
  <c r="A8020" i="20"/>
  <c r="B4819" i="20"/>
  <c r="B6350" i="20"/>
  <c r="B4998" i="20"/>
  <c r="B5002" i="20"/>
  <c r="A3206" i="20"/>
  <c r="B7390" i="20"/>
  <c r="A227" i="32"/>
  <c r="A5014" i="20"/>
  <c r="B8198" i="20"/>
  <c r="B9059" i="20"/>
  <c r="B7120" i="20"/>
  <c r="C35" i="21"/>
  <c r="B5759" i="20"/>
  <c r="A5073" i="20"/>
  <c r="B5718" i="20"/>
  <c r="B5722" i="20"/>
  <c r="B3152" i="20"/>
  <c r="B3950" i="20"/>
  <c r="B2866" i="20"/>
  <c r="A4" i="40"/>
  <c r="B8377" i="20"/>
  <c r="A475" i="45"/>
  <c r="B4144" i="20"/>
  <c r="B8139" i="20"/>
  <c r="B5211" i="20"/>
  <c r="A4745" i="20"/>
  <c r="B5390" i="20"/>
  <c r="B5394" i="20"/>
  <c r="B2824" i="20"/>
  <c r="B3622" i="20"/>
  <c r="A4510" i="20"/>
  <c r="B8254" i="20"/>
  <c r="B4979" i="20"/>
  <c r="B6510" i="20"/>
  <c r="B5158" i="20"/>
  <c r="B5162" i="20"/>
  <c r="A4564" i="20"/>
  <c r="B3390" i="20"/>
  <c r="A4278" i="20"/>
  <c r="A6905" i="20"/>
  <c r="B4840" i="20"/>
  <c r="A4101" i="20"/>
  <c r="A3182" i="20"/>
  <c r="A1961" i="20"/>
  <c r="A1921" i="20"/>
  <c r="B2435" i="20"/>
  <c r="A1513" i="16"/>
  <c r="A867" i="20"/>
  <c r="A74" i="11"/>
  <c r="A3941" i="20"/>
  <c r="A3022" i="20"/>
  <c r="A7703" i="20"/>
  <c r="A7643" i="20"/>
  <c r="A5363" i="20"/>
  <c r="A2916" i="20"/>
  <c r="A13" i="25"/>
  <c r="A6443" i="20"/>
  <c r="A7839" i="20"/>
  <c r="B7540" i="20"/>
  <c r="A87" i="52"/>
  <c r="B8328" i="20"/>
  <c r="A40" i="25"/>
  <c r="A1118" i="45"/>
  <c r="B1101" i="45"/>
  <c r="B9116" i="20"/>
  <c r="A7691" i="20"/>
  <c r="A9034" i="20"/>
  <c r="B9" i="45"/>
  <c r="B8929" i="20"/>
  <c r="B7559" i="20"/>
  <c r="A20" i="28"/>
  <c r="A8232" i="20"/>
  <c r="B607" i="45"/>
  <c r="A8994" i="20"/>
  <c r="A6346" i="20"/>
  <c r="A6338" i="20"/>
  <c r="B8568" i="20"/>
  <c r="Q1" i="29"/>
  <c r="A6314" i="20"/>
  <c r="A8516" i="20"/>
  <c r="A6966" i="20"/>
  <c r="B70" i="49"/>
  <c r="B578" i="45"/>
  <c r="A6814" i="20"/>
  <c r="A6806" i="20"/>
  <c r="A1" i="27"/>
  <c r="A6926" i="20"/>
  <c r="B4707" i="20"/>
  <c r="A4292" i="20"/>
  <c r="C5" i="21"/>
  <c r="A6894" i="20"/>
  <c r="B4675" i="20"/>
  <c r="A4260" i="20"/>
  <c r="A314" i="32"/>
  <c r="B6946" i="20"/>
  <c r="A8563" i="20"/>
  <c r="B8216" i="20"/>
  <c r="A7714" i="20"/>
  <c r="A7698" i="20"/>
  <c r="A131" i="45"/>
  <c r="B6778" i="20"/>
  <c r="B6941" i="20"/>
  <c r="A3275" i="20"/>
  <c r="B354" i="45"/>
  <c r="B6746" i="20"/>
  <c r="B6813" i="20"/>
  <c r="A3243" i="20"/>
  <c r="A8318" i="20"/>
  <c r="M5" i="29"/>
  <c r="B3" i="35"/>
  <c r="A7917" i="20"/>
  <c r="A98" i="32"/>
  <c r="B8064" i="20"/>
  <c r="B7631" i="20"/>
  <c r="B8024" i="20"/>
  <c r="B7623" i="20"/>
  <c r="M11" i="33"/>
  <c r="A6827" i="20"/>
  <c r="B8664" i="20"/>
  <c r="A6676" i="20"/>
  <c r="A187" i="45"/>
  <c r="A8479" i="20"/>
  <c r="B4634" i="20"/>
  <c r="B2862" i="20"/>
  <c r="M9" i="33"/>
  <c r="A6699" i="20"/>
  <c r="B8496" i="20"/>
  <c r="A305" i="45"/>
  <c r="A8801" i="20"/>
  <c r="B1240" i="45"/>
  <c r="A394" i="45"/>
  <c r="N26" i="29"/>
  <c r="A7" i="28"/>
  <c r="A8317" i="20"/>
  <c r="B5533" i="20"/>
  <c r="A1303" i="45"/>
  <c r="B7722" i="20"/>
  <c r="B7981" i="20"/>
  <c r="B6435" i="20"/>
  <c r="A1191" i="45"/>
  <c r="A9002" i="20"/>
  <c r="A8640" i="20"/>
  <c r="B7752" i="20"/>
  <c r="B6257" i="20"/>
  <c r="B6249" i="20"/>
  <c r="B7276" i="20"/>
  <c r="A8249" i="20"/>
  <c r="B6225" i="20"/>
  <c r="B7028" i="20"/>
  <c r="A7011" i="20"/>
  <c r="A8865" i="20"/>
  <c r="N2" i="29"/>
  <c r="A6859" i="20"/>
  <c r="A6851" i="20"/>
  <c r="B8002" i="20"/>
  <c r="A6971" i="20"/>
  <c r="A4691" i="20"/>
  <c r="B3179" i="20"/>
  <c r="A8632" i="20"/>
  <c r="A6939" i="20"/>
  <c r="B6662" i="20"/>
  <c r="B3051" i="20"/>
  <c r="A7865" i="20"/>
  <c r="A7778" i="20"/>
  <c r="B938" i="45"/>
  <c r="B7012" i="20"/>
  <c r="B7136" i="20"/>
  <c r="B7104" i="20"/>
  <c r="B8691" i="20"/>
  <c r="B7584" i="20"/>
  <c r="B6015" i="20"/>
  <c r="B3216" i="20"/>
  <c r="A8550" i="20"/>
  <c r="B7456" i="20"/>
  <c r="B5887" i="20"/>
  <c r="B3184" i="20"/>
  <c r="B9012" i="20"/>
  <c r="A8372" i="20"/>
  <c r="F5" i="33"/>
  <c r="A491" i="45"/>
  <c r="B7166" i="20"/>
  <c r="A170" i="32"/>
  <c r="A7121" i="20"/>
  <c r="A154" i="32"/>
  <c r="A7113" i="20"/>
  <c r="A778" i="45"/>
  <c r="A6788" i="20"/>
  <c r="A8680" i="20"/>
  <c r="A7233" i="20"/>
  <c r="A5446" i="20"/>
  <c r="B6415" i="20"/>
  <c r="A5013" i="20"/>
  <c r="A3298" i="20"/>
  <c r="A141" i="45"/>
  <c r="A6660" i="20"/>
  <c r="M22" i="33"/>
  <c r="B295" i="49"/>
  <c r="A1" i="26"/>
  <c r="A8693" i="20"/>
  <c r="B223" i="45"/>
  <c r="A54" i="21"/>
  <c r="C26" i="21"/>
  <c r="B1002" i="45"/>
  <c r="A7700" i="20"/>
  <c r="B1175" i="45"/>
  <c r="B686" i="45"/>
  <c r="A451" i="45"/>
  <c r="B7501" i="20"/>
  <c r="A660" i="45"/>
  <c r="B8520" i="20"/>
  <c r="C9" i="43"/>
  <c r="B674" i="45"/>
  <c r="A6725" i="20"/>
  <c r="A1078" i="49"/>
  <c r="B179" i="45"/>
  <c r="B167" i="49"/>
  <c r="B225" i="49"/>
  <c r="B8166" i="20"/>
  <c r="A4950" i="20"/>
  <c r="A5" i="32"/>
  <c r="A8257" i="20"/>
  <c r="A4798" i="20"/>
  <c r="A4790" i="20"/>
  <c r="B3" i="21"/>
  <c r="A4910" i="20"/>
  <c r="A6877" i="20"/>
  <c r="B3169" i="20"/>
  <c r="B8884" i="20"/>
  <c r="A4878" i="20"/>
  <c r="A6749" i="20"/>
  <c r="B3041" i="20"/>
  <c r="A8730" i="20"/>
  <c r="B6881" i="20"/>
  <c r="B763" i="45"/>
  <c r="A27" i="21"/>
  <c r="B6729" i="20"/>
  <c r="B6721" i="20"/>
  <c r="A8620" i="20"/>
  <c r="B6841" i="20"/>
  <c r="A5587" i="20"/>
  <c r="A3140" i="20"/>
  <c r="A8492" i="20"/>
  <c r="B6809" i="20"/>
  <c r="A5555" i="20"/>
  <c r="A3108" i="20"/>
  <c r="B7995" i="20"/>
  <c r="B8409" i="20"/>
  <c r="E13" i="33"/>
  <c r="M3" i="33"/>
  <c r="A139" i="45"/>
  <c r="B8435" i="20"/>
  <c r="A6596" i="20"/>
  <c r="B8427" i="20"/>
  <c r="A6588" i="20"/>
  <c r="A200" i="32"/>
  <c r="A6833" i="20"/>
  <c r="B8659" i="20"/>
  <c r="A6721" i="20"/>
  <c r="A283" i="45"/>
  <c r="B5191" i="20"/>
  <c r="A2921" i="20"/>
  <c r="B8145" i="20"/>
  <c r="B9040" i="20"/>
  <c r="B4685" i="20"/>
  <c r="A8749" i="20"/>
  <c r="B8740" i="20"/>
  <c r="B7221" i="20"/>
  <c r="B7820" i="20"/>
  <c r="B7844" i="20"/>
  <c r="A8594" i="20"/>
  <c r="B1312" i="45"/>
  <c r="A170" i="49"/>
  <c r="A260" i="32"/>
  <c r="B7198" i="20"/>
  <c r="A527" i="45"/>
  <c r="B7268" i="20"/>
  <c r="A96" i="45"/>
  <c r="A7774" i="20"/>
  <c r="A8868" i="20"/>
  <c r="A8194" i="20"/>
  <c r="A8218" i="20"/>
  <c r="A7986" i="20"/>
  <c r="M14" i="33"/>
  <c r="A8162" i="20"/>
  <c r="A8186" i="20"/>
  <c r="A7954" i="20"/>
  <c r="A8970" i="20"/>
  <c r="A8075" i="20"/>
  <c r="B7274" i="20"/>
  <c r="B7266" i="20"/>
  <c r="A8953" i="20"/>
  <c r="A8642" i="20"/>
  <c r="A8666" i="20"/>
  <c r="A8434" i="20"/>
  <c r="B8189" i="20"/>
  <c r="A5080" i="20"/>
  <c r="A5393" i="20"/>
  <c r="B6102" i="20"/>
  <c r="B6108" i="20"/>
  <c r="B3472" i="20"/>
  <c r="B4270" i="20"/>
  <c r="B3186" i="20"/>
  <c r="A174" i="32"/>
  <c r="A7907" i="20"/>
  <c r="B7146" i="20"/>
  <c r="B7138" i="20"/>
  <c r="B8950" i="20"/>
  <c r="A8514" i="20"/>
  <c r="A8538" i="20"/>
  <c r="A8306" i="20"/>
  <c r="A8523" i="20"/>
  <c r="A4952" i="20"/>
  <c r="A5361" i="20"/>
  <c r="B6060" i="20"/>
  <c r="B6066" i="20"/>
  <c r="B3440" i="20"/>
  <c r="B4238" i="20"/>
  <c r="B3154" i="20"/>
  <c r="A9103" i="20"/>
  <c r="A8419" i="20"/>
  <c r="B7530" i="20"/>
  <c r="B7522" i="20"/>
  <c r="M11" i="29"/>
  <c r="B7916" i="20"/>
  <c r="B7940" i="20"/>
  <c r="A3718" i="20"/>
  <c r="B356" i="45"/>
  <c r="B7030" i="20"/>
  <c r="A7075" i="20"/>
  <c r="A8273" i="20"/>
  <c r="A157" i="32"/>
  <c r="B7708" i="20"/>
  <c r="A350" i="32"/>
  <c r="A5336" i="20"/>
  <c r="A5457" i="20"/>
  <c r="B6188" i="20"/>
  <c r="B6194" i="20"/>
  <c r="B3536" i="20"/>
  <c r="B4334" i="20"/>
  <c r="B3250" i="20"/>
  <c r="A7886" i="20"/>
  <c r="B7194" i="20"/>
  <c r="A7538" i="20"/>
  <c r="A3527" i="20"/>
  <c r="A547" i="45"/>
  <c r="B5983" i="20"/>
  <c r="A5129" i="20"/>
  <c r="B5774" i="20"/>
  <c r="B5778" i="20"/>
  <c r="B3208" i="20"/>
  <c r="B4006" i="20"/>
  <c r="B2922" i="20"/>
  <c r="A20" i="31"/>
  <c r="B5363" i="20"/>
  <c r="A4897" i="20"/>
  <c r="B5542" i="20"/>
  <c r="B5546" i="20"/>
  <c r="B2976" i="20"/>
  <c r="B3774" i="20"/>
  <c r="B3342" i="20"/>
  <c r="B8977" i="20"/>
  <c r="B7894" i="20"/>
  <c r="A6986" i="20"/>
  <c r="A6424" i="20"/>
  <c r="B6905" i="20"/>
  <c r="A5492" i="20"/>
  <c r="A5434" i="20"/>
  <c r="A6745" i="20"/>
  <c r="A7088" i="20"/>
  <c r="A6007" i="20"/>
  <c r="B5468" i="20"/>
  <c r="B4800" i="20"/>
  <c r="A1317" i="20"/>
  <c r="A2115" i="20"/>
  <c r="B4329" i="20"/>
  <c r="B40" i="21"/>
  <c r="B6992" i="20"/>
  <c r="B5686" i="20"/>
  <c r="B2834" i="20"/>
  <c r="A5420" i="20"/>
  <c r="B6843" i="20"/>
  <c r="B8979" i="20"/>
  <c r="B5140" i="20"/>
  <c r="A4511" i="20"/>
  <c r="B4161" i="20"/>
  <c r="A1787" i="20"/>
  <c r="B3017" i="20"/>
  <c r="B6451" i="20"/>
  <c r="B8812" i="20"/>
  <c r="A8958" i="20"/>
  <c r="B6400" i="20"/>
  <c r="A4651" i="20"/>
  <c r="A8300" i="20"/>
  <c r="A7659" i="20"/>
  <c r="B168" i="45"/>
  <c r="A7651" i="20"/>
  <c r="A7657" i="20"/>
  <c r="A7599" i="20"/>
  <c r="B657" i="45"/>
  <c r="N14" i="29"/>
  <c r="B8702" i="20"/>
  <c r="B8093" i="20"/>
  <c r="B6998" i="20"/>
  <c r="A8920" i="20"/>
  <c r="A8032" i="20"/>
  <c r="A131" i="32"/>
  <c r="A2" i="23"/>
  <c r="A7499" i="20"/>
  <c r="A7505" i="20"/>
  <c r="A7447" i="20"/>
  <c r="B54" i="21"/>
  <c r="A7491" i="20"/>
  <c r="A7497" i="20"/>
  <c r="A7439" i="20"/>
  <c r="B432" i="45"/>
  <c r="A55" i="50"/>
  <c r="B8644" i="20"/>
  <c r="B8612" i="20"/>
  <c r="A355" i="32"/>
  <c r="A7611" i="20"/>
  <c r="A7617" i="20"/>
  <c r="A7559" i="20"/>
  <c r="A6995" i="20"/>
  <c r="A5331" i="20"/>
  <c r="A5992" i="20"/>
  <c r="A3517" i="20"/>
  <c r="A5781" i="20"/>
  <c r="A2884" i="20"/>
  <c r="A3682" i="20"/>
  <c r="B4595" i="20"/>
  <c r="N76" i="33"/>
  <c r="A212" i="45"/>
  <c r="B8132" i="20"/>
  <c r="B8100" i="20"/>
  <c r="A99" i="32"/>
  <c r="A7579" i="20"/>
  <c r="A7585" i="20"/>
  <c r="A7527" i="20"/>
  <c r="A6867" i="20"/>
  <c r="A5299" i="20"/>
  <c r="A5864" i="20"/>
  <c r="A3485" i="20"/>
  <c r="A5717" i="20"/>
  <c r="A2852" i="20"/>
  <c r="A3650" i="20"/>
  <c r="B4467" i="20"/>
  <c r="A582" i="45"/>
  <c r="A7852" i="20"/>
  <c r="B7697" i="20"/>
  <c r="B7665" i="20"/>
  <c r="B8804" i="20"/>
  <c r="B7680" i="20"/>
  <c r="B7688" i="20"/>
  <c r="B3433" i="20"/>
  <c r="A235" i="45"/>
  <c r="B5957" i="20"/>
  <c r="A7490" i="20"/>
  <c r="B8505" i="20"/>
  <c r="B7039" i="20"/>
  <c r="A7623" i="20"/>
  <c r="A7251" i="20"/>
  <c r="A5395" i="20"/>
  <c r="A6248" i="20"/>
  <c r="A3581" i="20"/>
  <c r="A5965" i="20"/>
  <c r="A2948" i="20"/>
  <c r="A3746" i="20"/>
  <c r="A2662" i="20"/>
  <c r="A8052" i="20"/>
  <c r="B8324" i="20"/>
  <c r="A5553" i="20"/>
  <c r="B4430" i="20"/>
  <c r="A5926" i="20"/>
  <c r="A5067" i="20"/>
  <c r="A4936" i="20"/>
  <c r="B5293" i="20"/>
  <c r="A5253" i="20"/>
  <c r="A2620" i="20"/>
  <c r="A3418" i="20"/>
  <c r="B3539" i="20"/>
  <c r="A4998" i="20"/>
  <c r="A4835" i="20"/>
  <c r="B5967" i="20"/>
  <c r="A6397" i="20"/>
  <c r="A4789" i="20"/>
  <c r="B3755" i="20"/>
  <c r="A3186" i="20"/>
  <c r="B2898" i="20"/>
  <c r="A144" i="32"/>
  <c r="B8973" i="20"/>
  <c r="B1028" i="45"/>
  <c r="A8808" i="20"/>
  <c r="B6421" i="20"/>
  <c r="M21" i="29"/>
  <c r="A7128" i="20"/>
  <c r="B6585" i="20"/>
  <c r="A6353" i="20"/>
  <c r="A6053" i="20"/>
  <c r="A6069" i="20"/>
  <c r="B4432" i="20"/>
  <c r="A3241" i="20"/>
  <c r="B4146" i="20"/>
  <c r="A104" i="45"/>
  <c r="B57" i="21"/>
  <c r="A7635" i="20"/>
  <c r="A6349" i="20"/>
  <c r="A1537" i="20"/>
  <c r="B8947" i="20"/>
  <c r="A6025" i="20"/>
  <c r="A5295" i="20"/>
  <c r="A5303" i="20"/>
  <c r="B4104" i="20"/>
  <c r="A2913" i="20"/>
  <c r="B3818" i="20"/>
  <c r="A1137" i="20"/>
  <c r="A2533" i="20"/>
  <c r="A6683" i="20"/>
  <c r="A8831" i="20"/>
  <c r="A4643" i="20"/>
  <c r="B7020" i="20"/>
  <c r="B680" i="45"/>
  <c r="B8156" i="20"/>
  <c r="B7897" i="20"/>
  <c r="B7921" i="20"/>
  <c r="B7689" i="20"/>
  <c r="B513" i="49"/>
  <c r="B800" i="45"/>
  <c r="A597" i="45"/>
  <c r="A8416" i="20"/>
  <c r="B875" i="45"/>
  <c r="A7814" i="20"/>
  <c r="A7756" i="20"/>
  <c r="A8286" i="20"/>
  <c r="A8228" i="20"/>
  <c r="A8311" i="20"/>
  <c r="A8335" i="20"/>
  <c r="A8103" i="20"/>
  <c r="A6981" i="20"/>
  <c r="A8279" i="20"/>
  <c r="A8303" i="20"/>
  <c r="A8071" i="20"/>
  <c r="A8980" i="20"/>
  <c r="A8890" i="20"/>
  <c r="B7859" i="20"/>
  <c r="B7851" i="20"/>
  <c r="A6693" i="20"/>
  <c r="B7737" i="20"/>
  <c r="B7761" i="20"/>
  <c r="A8551" i="20"/>
  <c r="A7429" i="20"/>
  <c r="A6968" i="20"/>
  <c r="A5905" i="20"/>
  <c r="A5055" i="20"/>
  <c r="A5063" i="20"/>
  <c r="B3984" i="20"/>
  <c r="A2793" i="20"/>
  <c r="B3698" i="20"/>
  <c r="A194" i="32"/>
  <c r="A5" i="35"/>
  <c r="A8625" i="20"/>
  <c r="A8617" i="20"/>
  <c r="A6552" i="20"/>
  <c r="A8631" i="20"/>
  <c r="A8655" i="20"/>
  <c r="A8423" i="20"/>
  <c r="A7301" i="20"/>
  <c r="B7523" i="20"/>
  <c r="A5873" i="20"/>
  <c r="A4991" i="20"/>
  <c r="A4999" i="20"/>
  <c r="B3952" i="20"/>
  <c r="A2761" i="20"/>
  <c r="B3666" i="20"/>
  <c r="A5" i="21"/>
  <c r="A171" i="32"/>
  <c r="B8371" i="20"/>
  <c r="B8363" i="20"/>
  <c r="A6949" i="20"/>
  <c r="B7993" i="20"/>
  <c r="B8017" i="20"/>
  <c r="A4358" i="20"/>
  <c r="B658" i="45"/>
  <c r="A7929" i="20"/>
  <c r="A7542" i="20"/>
  <c r="B8805" i="20"/>
  <c r="B5909" i="20"/>
  <c r="B7785" i="20"/>
  <c r="A7694" i="20"/>
  <c r="A8298" i="20"/>
  <c r="A5969" i="20"/>
  <c r="A5183" i="20"/>
  <c r="A5191" i="20"/>
  <c r="B4048" i="20"/>
  <c r="A2857" i="20"/>
  <c r="B3762" i="20"/>
  <c r="A249" i="49"/>
  <c r="B7699" i="20"/>
  <c r="B6680" i="20"/>
  <c r="B5536" i="20"/>
  <c r="B9121" i="20"/>
  <c r="A6104" i="20"/>
  <c r="A5641" i="20"/>
  <c r="B6524" i="20"/>
  <c r="B6532" i="20"/>
  <c r="B3720" i="20"/>
  <c r="B4518" i="20"/>
  <c r="B3434" i="20"/>
  <c r="B8525" i="20"/>
  <c r="A5144" i="20"/>
  <c r="A5409" i="20"/>
  <c r="B6124" i="20"/>
  <c r="B6130" i="20"/>
  <c r="B3488" i="20"/>
  <c r="B4286" i="20"/>
  <c r="A3697" i="20"/>
  <c r="B8410" i="20"/>
  <c r="B8483" i="20"/>
  <c r="B193" i="45"/>
  <c r="A7416" i="20"/>
  <c r="B7545" i="20"/>
  <c r="A6004" i="20"/>
  <c r="A5946" i="20"/>
  <c r="A6700" i="20"/>
  <c r="A8918" i="20"/>
  <c r="A6519" i="20"/>
  <c r="B6026" i="20"/>
  <c r="B5312" i="20"/>
  <c r="A1829" i="20"/>
  <c r="A2631" i="20"/>
  <c r="A1543" i="20"/>
  <c r="A6808" i="20"/>
  <c r="B5627" i="20"/>
  <c r="A4992" i="20"/>
  <c r="A2893" i="20"/>
  <c r="A7481" i="20"/>
  <c r="B7592" i="20"/>
  <c r="A6191" i="20"/>
  <c r="B5652" i="20"/>
  <c r="B4984" i="20"/>
  <c r="A1501" i="20"/>
  <c r="A2299" i="20"/>
  <c r="A1215" i="20"/>
  <c r="A6540" i="20"/>
  <c r="B8121" i="20"/>
  <c r="B7790" i="20"/>
  <c r="A8734" i="20"/>
  <c r="A7853" i="20"/>
  <c r="B7824" i="20"/>
  <c r="A8" i="21"/>
  <c r="B9115" i="20"/>
  <c r="A7798" i="20"/>
  <c r="J2" i="33"/>
  <c r="A6309" i="20"/>
  <c r="B4210" i="20"/>
  <c r="B7252" i="20"/>
  <c r="A150" i="32"/>
  <c r="A6181" i="20"/>
  <c r="B4178" i="20"/>
  <c r="B7856" i="20"/>
  <c r="B3026" i="20"/>
  <c r="A9064" i="20"/>
  <c r="A5138" i="20"/>
  <c r="B4560" i="20"/>
  <c r="B7476" i="20"/>
  <c r="B5785" i="20"/>
  <c r="B4232" i="20"/>
  <c r="A7224" i="20"/>
  <c r="B4000" i="20"/>
  <c r="B97" i="45"/>
  <c r="A6516" i="20"/>
  <c r="B4999" i="20"/>
  <c r="B4579" i="20"/>
  <c r="A6231" i="20"/>
  <c r="B4671" i="20"/>
  <c r="B3267" i="20"/>
  <c r="A4707" i="20"/>
  <c r="B5479" i="20"/>
  <c r="A5885" i="20"/>
  <c r="B6530" i="20"/>
  <c r="B3243" i="20"/>
  <c r="A3058" i="20"/>
  <c r="A2519" i="20"/>
  <c r="A5232" i="20"/>
  <c r="A5222" i="20"/>
  <c r="A4901" i="20"/>
  <c r="B1398" i="20"/>
  <c r="A2326" i="20"/>
  <c r="A2316" i="20"/>
  <c r="A821" i="20"/>
  <c r="E53" i="11"/>
  <c r="B1557" i="16"/>
  <c r="B6541" i="20"/>
  <c r="B6578" i="20"/>
  <c r="B1344" i="20"/>
  <c r="A6436" i="20"/>
  <c r="A6612" i="20"/>
  <c r="B5095" i="20"/>
  <c r="A2690" i="20"/>
  <c r="B8685" i="20"/>
  <c r="B6136" i="20"/>
  <c r="B4895" i="20"/>
  <c r="A4733" i="20"/>
  <c r="B5720" i="20"/>
  <c r="A2237" i="20"/>
  <c r="B4163" i="20"/>
  <c r="A1951" i="20"/>
  <c r="A7404" i="20"/>
  <c r="B2770" i="20"/>
  <c r="A8897" i="20"/>
  <c r="B8443" i="20"/>
  <c r="A8686" i="20"/>
  <c r="E6" i="29"/>
  <c r="B6293" i="20"/>
  <c r="B8827" i="20"/>
  <c r="A7692" i="20"/>
  <c r="B6073" i="20"/>
  <c r="A6225" i="20"/>
  <c r="A5695" i="20"/>
  <c r="A5703" i="20"/>
  <c r="B4304" i="20"/>
  <c r="A3113" i="20"/>
  <c r="B4018" i="20"/>
  <c r="A842" i="45"/>
  <c r="A8744" i="20"/>
  <c r="A5574" i="20"/>
  <c r="A5077" i="20"/>
  <c r="A1281" i="20"/>
  <c r="A6840" i="20"/>
  <c r="A5897" i="20"/>
  <c r="A5039" i="20"/>
  <c r="A5047" i="20"/>
  <c r="B3976" i="20"/>
  <c r="A2785" i="20"/>
  <c r="B3690" i="20"/>
  <c r="B8694" i="20"/>
  <c r="A6232" i="20"/>
  <c r="A5665" i="20"/>
  <c r="B6572" i="20"/>
  <c r="B6580" i="20"/>
  <c r="B3744" i="20"/>
  <c r="B4542" i="20"/>
  <c r="B3458" i="20"/>
  <c r="B7677" i="20"/>
  <c r="B6076" i="20"/>
  <c r="A6656" i="20"/>
  <c r="A3143" i="20"/>
  <c r="B4052" i="20"/>
  <c r="B4012" i="20"/>
  <c r="A1754" i="20"/>
  <c r="B4469" i="20"/>
  <c r="A357" i="19"/>
  <c r="A407" i="16"/>
  <c r="B7083" i="20"/>
  <c r="A2983" i="20"/>
  <c r="B7340" i="20"/>
  <c r="B7066" i="20"/>
  <c r="A7026" i="20"/>
  <c r="A3399" i="20"/>
  <c r="A9095" i="20"/>
  <c r="B5855" i="20"/>
  <c r="A5097" i="20"/>
  <c r="B5742" i="20"/>
  <c r="B5746" i="20"/>
  <c r="B3176" i="20"/>
  <c r="B3974" i="20"/>
  <c r="B2890" i="20"/>
  <c r="B9117" i="20"/>
  <c r="B5331" i="20"/>
  <c r="A4865" i="20"/>
  <c r="B5510" i="20"/>
  <c r="B5514" i="20"/>
  <c r="A3846" i="20"/>
  <c r="B1243" i="45"/>
  <c r="A140" i="32"/>
  <c r="A7587" i="20"/>
  <c r="B7763" i="20"/>
  <c r="M45" i="33"/>
  <c r="B8220" i="20"/>
  <c r="A8608" i="20"/>
  <c r="A5848" i="20"/>
  <c r="A5585" i="20"/>
  <c r="B6412" i="20"/>
  <c r="B6420" i="20"/>
  <c r="B3664" i="20"/>
  <c r="B4462" i="20"/>
  <c r="B3378" i="20"/>
  <c r="A8387" i="20"/>
  <c r="A7772" i="20"/>
  <c r="A1300" i="45"/>
  <c r="A4039" i="20"/>
  <c r="A8374" i="20"/>
  <c r="B6495" i="20"/>
  <c r="A5257" i="20"/>
  <c r="B5922" i="20"/>
  <c r="B5926" i="20"/>
  <c r="B3336" i="20"/>
  <c r="B4134" i="20"/>
  <c r="B3050" i="20"/>
  <c r="A67" i="32"/>
  <c r="B5567" i="20"/>
  <c r="A5025" i="20"/>
  <c r="B5670" i="20"/>
  <c r="B5674" i="20"/>
  <c r="B3104" i="20"/>
  <c r="B3902" i="20"/>
  <c r="B2818" i="20"/>
  <c r="A6899" i="20"/>
  <c r="A5733" i="20"/>
  <c r="B6198" i="20"/>
  <c r="B3258" i="20"/>
  <c r="A3464" i="20"/>
  <c r="A3424" i="20"/>
  <c r="A552" i="20"/>
  <c r="B83" i="18"/>
  <c r="B2105" i="20"/>
  <c r="H44" i="13"/>
  <c r="B5986" i="20"/>
  <c r="B3098" i="20"/>
  <c r="A7782" i="20"/>
  <c r="B6688" i="20"/>
  <c r="B5379" i="20"/>
  <c r="B2992" i="20"/>
  <c r="B7806" i="20"/>
  <c r="B4923" i="20"/>
  <c r="B6454" i="20"/>
  <c r="B5102" i="20"/>
  <c r="B5106" i="20"/>
  <c r="A4508" i="20"/>
  <c r="B3334" i="20"/>
  <c r="A4222" i="20"/>
  <c r="B7378" i="20"/>
  <c r="B4691" i="20"/>
  <c r="B442" i="45"/>
  <c r="B4870" i="20"/>
  <c r="B4874" i="20"/>
  <c r="A4276" i="20"/>
  <c r="B3102" i="20"/>
  <c r="A3990" i="20"/>
  <c r="A7751" i="20"/>
  <c r="A3727" i="20"/>
  <c r="A6109" i="20"/>
  <c r="A2575" i="20"/>
  <c r="A1179" i="20"/>
  <c r="A1161" i="20"/>
  <c r="A7231" i="20"/>
  <c r="A1420" i="20"/>
  <c r="A6578" i="20"/>
  <c r="A8702" i="20"/>
  <c r="A7184" i="20"/>
  <c r="A1341" i="20"/>
  <c r="A5059" i="20"/>
  <c r="B5261" i="20"/>
  <c r="A4706" i="20"/>
  <c r="A2770" i="20"/>
  <c r="B3804" i="20"/>
  <c r="B5224" i="20"/>
  <c r="B5320" i="20"/>
  <c r="A836" i="20"/>
  <c r="A2305" i="20"/>
  <c r="B475" i="20"/>
  <c r="A841" i="16"/>
  <c r="A195" i="20"/>
  <c r="A92" i="19"/>
  <c r="B5316" i="20"/>
  <c r="B3721" i="20"/>
  <c r="B563" i="45"/>
  <c r="A7515" i="20"/>
  <c r="A5235" i="20"/>
  <c r="A2788" i="20"/>
  <c r="A48" i="25"/>
  <c r="A6411" i="20"/>
  <c r="B8276" i="20"/>
  <c r="A4597" i="20"/>
  <c r="A4601" i="20"/>
  <c r="A3964" i="20"/>
  <c r="B2790" i="20"/>
  <c r="A3678" i="20"/>
  <c r="B8524" i="20"/>
  <c r="A6179" i="20"/>
  <c r="A7304" i="20"/>
  <c r="A4365" i="20"/>
  <c r="A4369" i="20"/>
  <c r="A3732" i="20"/>
  <c r="A4530" i="20"/>
  <c r="A3446" i="20"/>
  <c r="A6008" i="20"/>
  <c r="B3704" i="20"/>
  <c r="B4836" i="20"/>
  <c r="B2444" i="20"/>
  <c r="B2136" i="20"/>
  <c r="B2118" i="20"/>
  <c r="B261" i="20"/>
  <c r="A681" i="16"/>
  <c r="A35" i="20"/>
  <c r="A83" i="18"/>
  <c r="B4676" i="20"/>
  <c r="B2284" i="20"/>
  <c r="A7770" i="20"/>
  <c r="A4971" i="20"/>
  <c r="A8415" i="20"/>
  <c r="A5546" i="20"/>
  <c r="A7856" i="20"/>
  <c r="B8737" i="20"/>
  <c r="B8141" i="20"/>
  <c r="B8101" i="20"/>
  <c r="B1120" i="45"/>
  <c r="B8759" i="20"/>
  <c r="A8100" i="20"/>
  <c r="B5018" i="20"/>
  <c r="A74" i="45"/>
  <c r="B8573" i="20"/>
  <c r="A7932" i="20"/>
  <c r="B4986" i="20"/>
  <c r="B1303" i="45"/>
  <c r="B9103" i="20"/>
  <c r="A8555" i="20"/>
  <c r="A8410" i="20"/>
  <c r="B6430" i="20"/>
  <c r="B3310" i="20"/>
  <c r="A6003" i="20"/>
  <c r="A6" i="32"/>
  <c r="B2982" i="20"/>
  <c r="A8618" i="20"/>
  <c r="B2750" i="20"/>
  <c r="A280" i="32"/>
  <c r="B6369" i="20"/>
  <c r="A4483" i="20"/>
  <c r="B2052" i="20"/>
  <c r="A1255" i="20"/>
  <c r="A4155" i="20"/>
  <c r="B4348" i="20"/>
  <c r="A4880" i="20"/>
  <c r="B6987" i="20"/>
  <c r="A4435" i="20"/>
  <c r="A3767" i="20"/>
  <c r="B2290" i="20"/>
  <c r="A2959" i="20"/>
  <c r="B2004" i="20"/>
  <c r="A5007" i="20"/>
  <c r="A7683" i="20"/>
  <c r="B3969" i="20"/>
  <c r="B1597" i="20"/>
  <c r="A258" i="20"/>
  <c r="A1282" i="20"/>
  <c r="B1255" i="16"/>
  <c r="A1426" i="20"/>
  <c r="B1799" i="20"/>
  <c r="A7037" i="20"/>
  <c r="B3329" i="20"/>
  <c r="B1437" i="20"/>
  <c r="A6370" i="20"/>
  <c r="B6465" i="20"/>
  <c r="A4579" i="20"/>
  <c r="B2148" i="20"/>
  <c r="B7293" i="20"/>
  <c r="B5241" i="20"/>
  <c r="A5728" i="20"/>
  <c r="A3867" i="20"/>
  <c r="A3545" i="20"/>
  <c r="B1722" i="20"/>
  <c r="A3077" i="20"/>
  <c r="B3196" i="20"/>
  <c r="A7391" i="20"/>
  <c r="A1831" i="20"/>
  <c r="N33" i="33"/>
  <c r="B7081" i="20"/>
  <c r="A5532" i="20"/>
  <c r="B6714" i="20"/>
  <c r="A6996" i="20"/>
  <c r="B7365" i="20"/>
  <c r="B8268" i="20"/>
  <c r="A6163" i="20"/>
  <c r="A7240" i="20"/>
  <c r="A4349" i="20"/>
  <c r="A4353" i="20"/>
  <c r="A3716" i="20"/>
  <c r="A4514" i="20"/>
  <c r="A3430" i="20"/>
  <c r="B6684" i="20"/>
  <c r="A5198" i="20"/>
  <c r="B7003" i="20"/>
  <c r="B4321" i="20"/>
  <c r="A6918" i="20"/>
  <c r="A5835" i="20"/>
  <c r="B6995" i="20"/>
  <c r="A4021" i="20"/>
  <c r="A4025" i="20"/>
  <c r="A3388" i="20"/>
  <c r="A4186" i="20"/>
  <c r="A3102" i="20"/>
  <c r="B7057" i="20"/>
  <c r="A5603" i="20"/>
  <c r="A7093" i="20"/>
  <c r="A3789" i="20"/>
  <c r="B4765" i="20"/>
  <c r="A3156" i="20"/>
  <c r="A3954" i="20"/>
  <c r="A2870" i="20"/>
  <c r="A5819" i="20"/>
  <c r="A3372" i="20"/>
  <c r="A5207" i="20"/>
  <c r="B4369" i="20"/>
  <c r="B1268" i="20"/>
  <c r="B1254" i="20"/>
  <c r="A55" i="19"/>
  <c r="A105" i="16"/>
  <c r="B784" i="20"/>
  <c r="B1448" i="16"/>
  <c r="A4887" i="20"/>
  <c r="B3857" i="20"/>
  <c r="B7402" i="20"/>
  <c r="B7812" i="20"/>
  <c r="A5425" i="20"/>
  <c r="B4302" i="20"/>
  <c r="A5798" i="20"/>
  <c r="A5035" i="20"/>
  <c r="A4808" i="20"/>
  <c r="B5165" i="20"/>
  <c r="A5189" i="20"/>
  <c r="B4555" i="20"/>
  <c r="A3386" i="20"/>
  <c r="B3411" i="20"/>
  <c r="A4870" i="20"/>
  <c r="A4803" i="20"/>
  <c r="B5839" i="20"/>
  <c r="A6269" i="20"/>
  <c r="A4725" i="20"/>
  <c r="B3945" i="20"/>
  <c r="B7190" i="20"/>
  <c r="A5022" i="20"/>
  <c r="A8338" i="20"/>
  <c r="B9035" i="20"/>
  <c r="B7295" i="20"/>
  <c r="B6725" i="20"/>
  <c r="B6737" i="20"/>
  <c r="A5523" i="20"/>
  <c r="A6773" i="20"/>
  <c r="A3709" i="20"/>
  <c r="A6477" i="20"/>
  <c r="A3076" i="20"/>
  <c r="A3874" i="20"/>
  <c r="A2790" i="20"/>
  <c r="C14" i="21"/>
  <c r="B8401" i="20"/>
  <c r="A6065" i="20"/>
  <c r="A2953" i="20"/>
  <c r="A6438" i="20"/>
  <c r="A5195" i="20"/>
  <c r="A5448" i="20"/>
  <c r="A3381" i="20"/>
  <c r="A5509" i="20"/>
  <c r="A2748" i="20"/>
  <c r="A3546" i="20"/>
  <c r="B4051" i="20"/>
  <c r="A5510" i="20"/>
  <c r="A4963" i="20"/>
  <c r="B6479" i="20"/>
  <c r="B4877" i="20"/>
  <c r="A5045" i="20"/>
  <c r="B4267" i="20"/>
  <c r="A3314" i="20"/>
  <c r="B3123" i="20"/>
  <c r="A7248" i="20"/>
  <c r="A7238" i="20"/>
  <c r="A4105" i="20"/>
  <c r="B1740" i="20"/>
  <c r="A2582" i="20"/>
  <c r="A2572" i="20"/>
  <c r="A1077" i="20"/>
  <c r="A40" i="12"/>
  <c r="B1813" i="16"/>
  <c r="A7668" i="20"/>
  <c r="B5373" i="20"/>
  <c r="B1686" i="20"/>
  <c r="A8207" i="20"/>
  <c r="A7649" i="20"/>
  <c r="A6120" i="20"/>
  <c r="A3714" i="20"/>
  <c r="M22" i="29"/>
  <c r="B6392" i="20"/>
  <c r="B5151" i="20"/>
  <c r="A8731" i="20"/>
  <c r="A173" i="45"/>
  <c r="A416" i="45"/>
  <c r="B8842" i="20"/>
  <c r="A14" i="21"/>
  <c r="B9092" i="20"/>
  <c r="A8622" i="20"/>
  <c r="A7631" i="20"/>
  <c r="A333" i="45"/>
  <c r="B152" i="49"/>
  <c r="B7744" i="20"/>
  <c r="A1063" i="45"/>
  <c r="A884" i="45"/>
  <c r="B1047" i="45"/>
  <c r="B9001" i="20"/>
  <c r="B8683" i="20"/>
  <c r="B8043" i="20"/>
  <c r="A7" i="24"/>
  <c r="A9018" i="20"/>
  <c r="B7987" i="20"/>
  <c r="B7979" i="20"/>
  <c r="B7145" i="20"/>
  <c r="A6972" i="20"/>
  <c r="B265" i="45"/>
  <c r="A403" i="45"/>
  <c r="A6820" i="20"/>
  <c r="A6812" i="20"/>
  <c r="B6825" i="20"/>
  <c r="A6932" i="20"/>
  <c r="B65" i="45"/>
  <c r="B3118" i="20"/>
  <c r="B6697" i="20"/>
  <c r="A6900" i="20"/>
  <c r="A3" i="28"/>
  <c r="B3086" i="20"/>
  <c r="B6954" i="20"/>
  <c r="B5757" i="20"/>
  <c r="B20" i="48"/>
  <c r="B8054" i="20"/>
  <c r="B5605" i="20"/>
  <c r="B5597" i="20"/>
  <c r="B8110" i="20"/>
  <c r="B5717" i="20"/>
  <c r="B5153" i="20"/>
  <c r="B1634" i="20"/>
  <c r="B7982" i="20"/>
  <c r="B5685" i="20"/>
  <c r="B5121" i="20"/>
  <c r="B1602" i="20"/>
  <c r="M30" i="29"/>
  <c r="A6755" i="20"/>
  <c r="B530" i="45"/>
  <c r="A8459" i="20"/>
  <c r="B8069" i="20"/>
  <c r="B7562" i="20"/>
  <c r="B6507" i="20"/>
  <c r="B7554" i="20"/>
  <c r="B6499" i="20"/>
  <c r="A8219" i="20"/>
  <c r="A6775" i="20"/>
  <c r="A7719" i="20"/>
  <c r="B6619" i="20"/>
  <c r="B90" i="45"/>
  <c r="A6880" i="20"/>
  <c r="A4007" i="20"/>
  <c r="A3199" i="20"/>
  <c r="A8043" i="20"/>
  <c r="A6634" i="20"/>
  <c r="B7650" i="20"/>
  <c r="B557" i="45"/>
  <c r="A763" i="45"/>
  <c r="A84" i="49"/>
  <c r="A8778" i="20"/>
  <c r="A8333" i="20"/>
  <c r="A903" i="45"/>
  <c r="B8911" i="20"/>
  <c r="B237" i="49"/>
  <c r="A1031" i="45"/>
  <c r="AG4" i="33"/>
  <c r="B7498" i="20"/>
  <c r="B9128" i="20"/>
  <c r="B44" i="45"/>
  <c r="A739" i="49"/>
  <c r="B8642" i="20"/>
  <c r="A8214" i="20"/>
  <c r="B7362" i="20"/>
  <c r="A6" i="23"/>
  <c r="A8163" i="20"/>
  <c r="B7338" i="20"/>
  <c r="B7330" i="20"/>
  <c r="A5470" i="20"/>
  <c r="A7017" i="20"/>
  <c r="A8727" i="20"/>
  <c r="B7692" i="20"/>
  <c r="A6865" i="20"/>
  <c r="A6857" i="20"/>
  <c r="B6831" i="20"/>
  <c r="A6977" i="20"/>
  <c r="B5449" i="20"/>
  <c r="A3042" i="20"/>
  <c r="B6703" i="20"/>
  <c r="A6945" i="20"/>
  <c r="B5415" i="20"/>
  <c r="A3010" i="20"/>
  <c r="A7230" i="20"/>
  <c r="A7802" i="20"/>
  <c r="B884" i="45"/>
  <c r="M48" i="33"/>
  <c r="B7160" i="20"/>
  <c r="B7128" i="20"/>
  <c r="B9136" i="20"/>
  <c r="B7608" i="20"/>
  <c r="A5137" i="20"/>
  <c r="B4014" i="20"/>
  <c r="A14" i="23"/>
  <c r="B7480" i="20"/>
  <c r="A5105" i="20"/>
  <c r="B3982" i="20"/>
  <c r="A8380" i="20"/>
  <c r="B6658" i="20"/>
  <c r="A273" i="32"/>
  <c r="A8454" i="20"/>
  <c r="B7992" i="20"/>
  <c r="A8846" i="20"/>
  <c r="A10" i="37"/>
  <c r="A8814" i="20"/>
  <c r="F9" i="33"/>
  <c r="A8525" i="20"/>
  <c r="A8267" i="20"/>
  <c r="U1" i="29"/>
  <c r="A9086" i="20"/>
  <c r="A5394" i="20"/>
  <c r="B4789" i="20"/>
  <c r="A4625" i="20"/>
  <c r="B4338" i="20"/>
  <c r="A8173" i="20"/>
  <c r="B8536" i="20"/>
  <c r="B20" i="21"/>
  <c r="A289" i="49"/>
  <c r="B1288" i="45"/>
  <c r="B383" i="45"/>
  <c r="B615" i="45"/>
  <c r="B162" i="45"/>
  <c r="A8788" i="20"/>
  <c r="B8067" i="20"/>
  <c r="A9101" i="20"/>
  <c r="A1" i="31"/>
  <c r="A1184" i="45"/>
  <c r="B7561" i="20"/>
  <c r="B1167" i="45"/>
  <c r="A8629" i="20"/>
  <c r="B886" i="45"/>
  <c r="A56" i="31"/>
  <c r="A8049" i="20"/>
  <c r="A8023" i="20"/>
  <c r="A266" i="45"/>
  <c r="A7693" i="20"/>
  <c r="A7927" i="20"/>
  <c r="B804" i="45"/>
  <c r="B8465" i="20"/>
  <c r="A4956" i="20"/>
  <c r="A360" i="45"/>
  <c r="B8413" i="20"/>
  <c r="A4804" i="20"/>
  <c r="A4796" i="20"/>
  <c r="B6773" i="20"/>
  <c r="A4916" i="20"/>
  <c r="A7946" i="20"/>
  <c r="A3913" i="20"/>
  <c r="A7675" i="20"/>
  <c r="A4884" i="20"/>
  <c r="B7400" i="20"/>
  <c r="A3785" i="20"/>
  <c r="A6622" i="20"/>
  <c r="B6887" i="20"/>
  <c r="B53" i="21"/>
  <c r="B7746" i="20"/>
  <c r="B6735" i="20"/>
  <c r="B6727" i="20"/>
  <c r="A52" i="21"/>
  <c r="B6847" i="20"/>
  <c r="A7029" i="20"/>
  <c r="A3938" i="20"/>
  <c r="A32" i="25"/>
  <c r="B6815" i="20"/>
  <c r="A6901" i="20"/>
  <c r="A3906" i="20"/>
  <c r="A8439" i="20"/>
  <c r="B8433" i="20"/>
  <c r="B1097" i="45"/>
  <c r="A7942" i="20"/>
  <c r="A8414" i="20"/>
  <c r="B7801" i="20"/>
  <c r="A8615" i="20"/>
  <c r="B7769" i="20"/>
  <c r="A8583" i="20"/>
  <c r="A8783" i="20"/>
  <c r="B8893" i="20"/>
  <c r="B8249" i="20"/>
  <c r="B8041" i="20"/>
  <c r="A134" i="32"/>
  <c r="A5311" i="20"/>
  <c r="A599" i="45"/>
  <c r="B6587" i="20"/>
  <c r="A4915" i="20"/>
  <c r="A5255" i="20"/>
  <c r="B8035" i="20"/>
  <c r="B7273" i="20"/>
  <c r="A7064" i="20"/>
  <c r="B7137" i="20"/>
  <c r="B7143" i="20"/>
  <c r="B7085" i="20"/>
  <c r="B1091" i="45"/>
  <c r="B1111" i="45"/>
  <c r="A8705" i="20"/>
  <c r="B8791" i="20"/>
  <c r="A8152" i="20"/>
  <c r="A291" i="32"/>
  <c r="B8418" i="20"/>
  <c r="A8743" i="20"/>
  <c r="N74" i="33"/>
  <c r="B6985" i="20"/>
  <c r="B6991" i="20"/>
  <c r="B6933" i="20"/>
  <c r="B353" i="45"/>
  <c r="B6977" i="20"/>
  <c r="B6983" i="20"/>
  <c r="B6925" i="20"/>
  <c r="A866" i="45"/>
  <c r="B8662" i="20"/>
  <c r="B6213" i="20"/>
  <c r="B6205" i="20"/>
  <c r="B6836" i="20"/>
  <c r="B7097" i="20"/>
  <c r="B7103" i="20"/>
  <c r="B7045" i="20"/>
  <c r="A6950" i="20"/>
  <c r="A5843" i="20"/>
  <c r="B7027" i="20"/>
  <c r="A4029" i="20"/>
  <c r="A4033" i="20"/>
  <c r="A3396" i="20"/>
  <c r="A4194" i="20"/>
  <c r="A3110" i="20"/>
  <c r="B8988" i="20"/>
  <c r="B8534" i="20"/>
  <c r="B6085" i="20"/>
  <c r="B6077" i="20"/>
  <c r="B6708" i="20"/>
  <c r="B7065" i="20"/>
  <c r="B7071" i="20"/>
  <c r="B7013" i="20"/>
  <c r="A6822" i="20"/>
  <c r="A5811" i="20"/>
  <c r="B6899" i="20"/>
  <c r="A3997" i="20"/>
  <c r="A4001" i="20"/>
  <c r="A3364" i="20"/>
  <c r="A4162" i="20"/>
  <c r="A3078" i="20"/>
  <c r="A6" i="25"/>
  <c r="A7969" i="20"/>
  <c r="B6469" i="20"/>
  <c r="B6461" i="20"/>
  <c r="B7092" i="20"/>
  <c r="B7161" i="20"/>
  <c r="B7167" i="20"/>
  <c r="A1447" i="20"/>
  <c r="A9081" i="20"/>
  <c r="A7083" i="20"/>
  <c r="B5955" i="20"/>
  <c r="A23" i="31"/>
  <c r="A6740" i="20"/>
  <c r="B7109" i="20"/>
  <c r="A7206" i="20"/>
  <c r="A5907" i="20"/>
  <c r="B7283" i="20"/>
  <c r="A4093" i="20"/>
  <c r="A4097" i="20"/>
  <c r="A3460" i="20"/>
  <c r="A4258" i="20"/>
  <c r="A3174" i="20"/>
  <c r="B7803" i="20"/>
  <c r="B6133" i="20"/>
  <c r="B5879" i="20"/>
  <c r="B2050" i="20"/>
  <c r="B6961" i="20"/>
  <c r="A5579" i="20"/>
  <c r="A6997" i="20"/>
  <c r="A3765" i="20"/>
  <c r="B4669" i="20"/>
  <c r="A3132" i="20"/>
  <c r="A3930" i="20"/>
  <c r="A2846" i="20"/>
  <c r="A7059" i="20"/>
  <c r="A5347" i="20"/>
  <c r="A6056" i="20"/>
  <c r="A3533" i="20"/>
  <c r="A5813" i="20"/>
  <c r="A2900" i="20"/>
  <c r="A3698" i="20"/>
  <c r="B3538" i="20"/>
  <c r="M19" i="33"/>
  <c r="B6812" i="20"/>
  <c r="A8361" i="20"/>
  <c r="B386" i="45"/>
  <c r="A5230" i="20"/>
  <c r="B730" i="45"/>
  <c r="A9078" i="20"/>
  <c r="A6687" i="20"/>
  <c r="B4833" i="20"/>
  <c r="B6055" i="20"/>
  <c r="A3459" i="20"/>
  <c r="A2955" i="20"/>
  <c r="B1314" i="20"/>
  <c r="A4700" i="20"/>
  <c r="A1219" i="45"/>
  <c r="B7714" i="20"/>
  <c r="A5" i="45"/>
  <c r="B5690" i="20"/>
  <c r="A3024" i="20"/>
  <c r="A5362" i="20"/>
  <c r="A6537" i="20"/>
  <c r="B4757" i="20"/>
  <c r="B4773" i="20"/>
  <c r="B4616" i="20"/>
  <c r="A3793" i="20"/>
  <c r="B4330" i="20"/>
  <c r="B3099" i="20"/>
  <c r="B6393" i="20"/>
  <c r="A6705" i="20"/>
  <c r="A6618" i="20"/>
  <c r="A7967" i="20"/>
  <c r="B4592" i="20"/>
  <c r="B8621" i="20"/>
  <c r="B8388" i="20"/>
  <c r="B7723" i="20"/>
  <c r="A5590" i="20"/>
  <c r="A5596" i="20"/>
  <c r="A5538" i="20"/>
  <c r="B8498" i="20"/>
  <c r="A820" i="45"/>
  <c r="B8087" i="20"/>
  <c r="A8430" i="20"/>
  <c r="B8637" i="20"/>
  <c r="B7875" i="20"/>
  <c r="A4" i="28"/>
  <c r="B8347" i="20"/>
  <c r="B8102" i="20"/>
  <c r="A5438" i="20"/>
  <c r="A5444" i="20"/>
  <c r="A5386" i="20"/>
  <c r="B8094" i="20"/>
  <c r="A5430" i="20"/>
  <c r="A5436" i="20"/>
  <c r="A5378" i="20"/>
  <c r="A7992" i="20"/>
  <c r="A8126" i="20"/>
  <c r="B8412" i="20"/>
  <c r="B8380" i="20"/>
  <c r="B8326" i="20"/>
  <c r="A5550" i="20"/>
  <c r="A5556" i="20"/>
  <c r="A5498" i="20"/>
  <c r="A7001" i="20"/>
  <c r="A7344" i="20"/>
  <c r="A6071" i="20"/>
  <c r="B5532" i="20"/>
  <c r="B4864" i="20"/>
  <c r="A1381" i="20"/>
  <c r="A2179" i="20"/>
  <c r="B4585" i="20"/>
  <c r="B7646" i="20"/>
  <c r="A7998" i="20"/>
  <c r="B7900" i="20"/>
  <c r="B7868" i="20"/>
  <c r="B8262" i="20"/>
  <c r="A5518" i="20"/>
  <c r="A5524" i="20"/>
  <c r="A5466" i="20"/>
  <c r="A6873" i="20"/>
  <c r="A7216" i="20"/>
  <c r="A6039" i="20"/>
  <c r="B5500" i="20"/>
  <c r="B4832" i="20"/>
  <c r="A1349" i="20"/>
  <c r="A2147" i="20"/>
  <c r="B4457" i="20"/>
  <c r="A8672" i="20"/>
  <c r="A8382" i="20"/>
  <c r="A8487" i="20"/>
  <c r="A8455" i="20"/>
  <c r="B8454" i="20"/>
  <c r="A5614" i="20"/>
  <c r="B3854" i="20"/>
  <c r="A38" i="25"/>
  <c r="B8406" i="20"/>
  <c r="A7498" i="20"/>
  <c r="A7461" i="20"/>
  <c r="B7033" i="20"/>
  <c r="A5620" i="20"/>
  <c r="A5562" i="20"/>
  <c r="A7257" i="20"/>
  <c r="B6696" i="20"/>
  <c r="A6135" i="20"/>
  <c r="B5596" i="20"/>
  <c r="B4928" i="20"/>
  <c r="A1445" i="20"/>
  <c r="A2243" i="20"/>
  <c r="A1159" i="20"/>
  <c r="A8036" i="20"/>
  <c r="B8092" i="20"/>
  <c r="B6348" i="20"/>
  <c r="B3346" i="20"/>
  <c r="A5932" i="20"/>
  <c r="B7355" i="20"/>
  <c r="B10" i="21"/>
  <c r="B5268" i="20"/>
  <c r="A4647" i="20"/>
  <c r="A1117" i="20"/>
  <c r="A1915" i="20"/>
  <c r="B3529" i="20"/>
  <c r="A5004" i="20"/>
  <c r="A7453" i="20"/>
  <c r="A8319" i="20"/>
  <c r="B5036" i="20"/>
  <c r="A4407" i="20"/>
  <c r="B3745" i="20"/>
  <c r="A1683" i="20"/>
  <c r="B2931" i="20"/>
  <c r="B8144" i="20"/>
  <c r="B361" i="49"/>
  <c r="A7036" i="20"/>
  <c r="B7482" i="20"/>
  <c r="A7898" i="20"/>
  <c r="A6938" i="20"/>
  <c r="A7764" i="20"/>
  <c r="B4771" i="20"/>
  <c r="B6302" i="20"/>
  <c r="B4950" i="20"/>
  <c r="B4954" i="20"/>
  <c r="A4356" i="20"/>
  <c r="B3182" i="20"/>
  <c r="A4070" i="20"/>
  <c r="A8236" i="20"/>
  <c r="B6745" i="20"/>
  <c r="A5491" i="20"/>
  <c r="A3044" i="20"/>
  <c r="B410" i="45"/>
  <c r="A6475" i="20"/>
  <c r="A8351" i="20"/>
  <c r="A4710" i="20"/>
  <c r="B4626" i="20"/>
  <c r="A4028" i="20"/>
  <c r="B2854" i="20"/>
  <c r="A3742" i="20"/>
  <c r="A8599" i="20"/>
  <c r="A2247" i="20"/>
  <c r="A6689" i="20"/>
  <c r="A6451" i="20"/>
  <c r="B4677" i="20"/>
  <c r="B6916" i="20"/>
  <c r="B8364" i="20"/>
  <c r="A4906" i="20"/>
  <c r="B7649" i="20"/>
  <c r="B7655" i="20"/>
  <c r="B7597" i="20"/>
  <c r="B1026" i="45"/>
  <c r="A652" i="45"/>
  <c r="D11" i="43"/>
  <c r="A158" i="32"/>
  <c r="B8522" i="20"/>
  <c r="A8903" i="20"/>
  <c r="B8399" i="20"/>
  <c r="A195" i="45"/>
  <c r="A8470" i="20"/>
  <c r="B7497" i="20"/>
  <c r="B7503" i="20"/>
  <c r="B7445" i="20"/>
  <c r="A8438" i="20"/>
  <c r="B7489" i="20"/>
  <c r="B7495" i="20"/>
  <c r="B7437" i="20"/>
  <c r="B9033" i="20"/>
  <c r="B8757" i="20"/>
  <c r="A6302" i="20"/>
  <c r="A6294" i="20"/>
  <c r="B7984" i="20"/>
  <c r="B7609" i="20"/>
  <c r="B7615" i="20"/>
  <c r="B7557" i="20"/>
  <c r="A48" i="31"/>
  <c r="A6355" i="20"/>
  <c r="A8362" i="20"/>
  <c r="A4541" i="20"/>
  <c r="A4545" i="20"/>
  <c r="A3908" i="20"/>
  <c r="B2734" i="20"/>
  <c r="A3622" i="20"/>
  <c r="B7991" i="20"/>
  <c r="B8611" i="20"/>
  <c r="A6174" i="20"/>
  <c r="A6166" i="20"/>
  <c r="B7808" i="20"/>
  <c r="B7577" i="20"/>
  <c r="B7583" i="20"/>
  <c r="B7525" i="20"/>
  <c r="B8875" i="20"/>
  <c r="A6323" i="20"/>
  <c r="A7850" i="20"/>
  <c r="A4509" i="20"/>
  <c r="A4513" i="20"/>
  <c r="A3876" i="20"/>
  <c r="B2702" i="20"/>
  <c r="A3590" i="20"/>
  <c r="A7" i="31"/>
  <c r="B9013" i="20"/>
  <c r="A6558" i="20"/>
  <c r="A6550" i="20"/>
  <c r="B8320" i="20"/>
  <c r="B7678" i="20"/>
  <c r="B7686" i="20"/>
  <c r="A2215" i="20"/>
  <c r="B6956" i="20"/>
  <c r="A7558" i="20"/>
  <c r="A7081" i="20"/>
  <c r="B6970" i="20"/>
  <c r="A7380" i="20"/>
  <c r="B7621" i="20"/>
  <c r="A123" i="32"/>
  <c r="A6419" i="20"/>
  <c r="B8404" i="20"/>
  <c r="A4605" i="20"/>
  <c r="A4609" i="20"/>
  <c r="A3972" i="20"/>
  <c r="B2798" i="20"/>
  <c r="A3686" i="20"/>
  <c r="B8541" i="20"/>
  <c r="A6222" i="20"/>
  <c r="B5952" i="20"/>
  <c r="A2053" i="20"/>
  <c r="A8098" i="20"/>
  <c r="A6091" i="20"/>
  <c r="A6952" i="20"/>
  <c r="A4277" i="20"/>
  <c r="A4281" i="20"/>
  <c r="A3644" i="20"/>
  <c r="A4442" i="20"/>
  <c r="A3358" i="20"/>
  <c r="A7014" i="20"/>
  <c r="A5859" i="20"/>
  <c r="B7091" i="20"/>
  <c r="A4045" i="20"/>
  <c r="A4049" i="20"/>
  <c r="A3412" i="20"/>
  <c r="A4210" i="20"/>
  <c r="B4306" i="20"/>
  <c r="A7989" i="20"/>
  <c r="B8632" i="20"/>
  <c r="B8613" i="20"/>
  <c r="A8662" i="20"/>
  <c r="A5870" i="20"/>
  <c r="B5915" i="20"/>
  <c r="B5857" i="20"/>
  <c r="A6642" i="20"/>
  <c r="B5345" i="20"/>
  <c r="A6144" i="20"/>
  <c r="A3971" i="20"/>
  <c r="A3961" i="20"/>
  <c r="B1826" i="20"/>
  <c r="A3181" i="20"/>
  <c r="C5" i="35"/>
  <c r="B9088" i="20"/>
  <c r="B5569" i="20"/>
  <c r="A3683" i="20"/>
  <c r="B3100" i="20"/>
  <c r="A7423" i="20"/>
  <c r="B5017" i="20"/>
  <c r="A4832" i="20"/>
  <c r="A3643" i="20"/>
  <c r="A3139" i="20"/>
  <c r="B1498" i="20"/>
  <c r="A2853" i="20"/>
  <c r="A4272" i="20"/>
  <c r="A6482" i="20"/>
  <c r="A5318" i="20"/>
  <c r="A8" i="27"/>
  <c r="B946" i="45"/>
  <c r="N6" i="29"/>
  <c r="B7758" i="20"/>
  <c r="A6936" i="20"/>
  <c r="A470" i="49"/>
  <c r="A6648" i="20"/>
  <c r="A7384" i="20"/>
  <c r="A6325" i="20"/>
  <c r="A618" i="45"/>
  <c r="B7587" i="20"/>
  <c r="A7256" i="20"/>
  <c r="A6197" i="20"/>
  <c r="B164" i="49"/>
  <c r="A6904" i="20"/>
  <c r="A535" i="45"/>
  <c r="A4718" i="20"/>
  <c r="A6481" i="20"/>
  <c r="A3569" i="20"/>
  <c r="A7695" i="20"/>
  <c r="A6153" i="20"/>
  <c r="A3041" i="20"/>
  <c r="A5921" i="20"/>
  <c r="A2809" i="20"/>
  <c r="A6052" i="20"/>
  <c r="A6458" i="20"/>
  <c r="A4941" i="20"/>
  <c r="A2055" i="20"/>
  <c r="A2339" i="20"/>
  <c r="B6282" i="20"/>
  <c r="A1727" i="20"/>
  <c r="A6941" i="20"/>
  <c r="A8202" i="20"/>
  <c r="B4908" i="20"/>
  <c r="A4279" i="20"/>
  <c r="B3233" i="20"/>
  <c r="A1555" i="20"/>
  <c r="B2516" i="20"/>
  <c r="B7339" i="20"/>
  <c r="A4891" i="20"/>
  <c r="B3979" i="20"/>
  <c r="A1272" i="20"/>
  <c r="A770" i="20"/>
  <c r="B1412" i="20"/>
  <c r="B1767" i="16"/>
  <c r="B1604" i="20"/>
  <c r="F60" i="12"/>
  <c r="A4731" i="20"/>
  <c r="B3339" i="20"/>
  <c r="A1232" i="20"/>
  <c r="A6428" i="20"/>
  <c r="A6554" i="20"/>
  <c r="A5133" i="20"/>
  <c r="A2151" i="20"/>
  <c r="B8444" i="20"/>
  <c r="B6615" i="20"/>
  <c r="B6763" i="20"/>
  <c r="A4379" i="20"/>
  <c r="A3711" i="20"/>
  <c r="B2234" i="20"/>
  <c r="A2903" i="20"/>
  <c r="B1948" i="20"/>
  <c r="A7346" i="20"/>
  <c r="A2471" i="20"/>
  <c r="A8526" i="20"/>
  <c r="A8718" i="20"/>
  <c r="B7079" i="20"/>
  <c r="B7354" i="20"/>
  <c r="B7352" i="20"/>
  <c r="A6810" i="20"/>
  <c r="B7186" i="20"/>
  <c r="B4643" i="20"/>
  <c r="B8704" i="20"/>
  <c r="B4822" i="20"/>
  <c r="B4826" i="20"/>
  <c r="A4228" i="20"/>
  <c r="B3054" i="20"/>
  <c r="A3942" i="20"/>
  <c r="B8758" i="20"/>
  <c r="A7259" i="20"/>
  <c r="A4979" i="20"/>
  <c r="B4331" i="20"/>
  <c r="A43" i="25"/>
  <c r="A6347" i="20"/>
  <c r="A8234" i="20"/>
  <c r="A4533" i="20"/>
  <c r="A4537" i="20"/>
  <c r="A3900" i="20"/>
  <c r="B2726" i="20"/>
  <c r="A3614" i="20"/>
  <c r="A8482" i="20"/>
  <c r="A6115" i="20"/>
  <c r="A7048" i="20"/>
  <c r="A4301" i="20"/>
  <c r="A4305" i="20"/>
  <c r="A3668" i="20"/>
  <c r="A4466" i="20"/>
  <c r="A3382" i="20"/>
  <c r="A4984" i="20"/>
  <c r="B3448" i="20"/>
  <c r="A4619" i="20"/>
  <c r="B2188" i="20"/>
  <c r="B2008" i="20"/>
  <c r="B1990" i="20"/>
  <c r="B183" i="20"/>
  <c r="A617" i="16"/>
  <c r="B354" i="19"/>
  <c r="B40" i="18"/>
  <c r="A4459" i="20"/>
  <c r="B2028" i="20"/>
  <c r="A8313" i="20"/>
  <c r="B6005" i="20"/>
  <c r="B5441" i="20"/>
  <c r="B1922" i="20"/>
  <c r="B6833" i="20"/>
  <c r="A5547" i="20"/>
  <c r="A6869" i="20"/>
  <c r="A3733" i="20"/>
  <c r="A6573" i="20"/>
  <c r="A3100" i="20"/>
  <c r="A3898" i="20"/>
  <c r="A2814" i="20"/>
  <c r="A6931" i="20"/>
  <c r="A5315" i="20"/>
  <c r="A5928" i="20"/>
  <c r="A3501" i="20"/>
  <c r="A5749" i="20"/>
  <c r="A1703" i="20"/>
  <c r="B8746" i="20"/>
  <c r="A7595" i="20"/>
  <c r="A5020" i="20"/>
  <c r="B449" i="45"/>
  <c r="A6868" i="20"/>
  <c r="B7237" i="20"/>
  <c r="B7168" i="20"/>
  <c r="A6035" i="20"/>
  <c r="A6728" i="20"/>
  <c r="A4221" i="20"/>
  <c r="A4225" i="20"/>
  <c r="A3588" i="20"/>
  <c r="A4386" i="20"/>
  <c r="A3302" i="20"/>
  <c r="A8848" i="20"/>
  <c r="B6647" i="20"/>
  <c r="A5968" i="20"/>
  <c r="B2562" i="20"/>
  <c r="B7473" i="20"/>
  <c r="A5707" i="20"/>
  <c r="A7509" i="20"/>
  <c r="A3893" i="20"/>
  <c r="B5181" i="20"/>
  <c r="A3260" i="20"/>
  <c r="A4058" i="20"/>
  <c r="A2974" i="20"/>
  <c r="A7571" i="20"/>
  <c r="A5475" i="20"/>
  <c r="A6568" i="20"/>
  <c r="A3661" i="20"/>
  <c r="A6285" i="20"/>
  <c r="A3028" i="20"/>
  <c r="A3826" i="20"/>
  <c r="A2742" i="20"/>
  <c r="A5307" i="20"/>
  <c r="A8794" i="20"/>
  <c r="B6204" i="20"/>
  <c r="B2961" i="20"/>
  <c r="B4463" i="20"/>
  <c r="B4415" i="20"/>
  <c r="B3805" i="20"/>
  <c r="B9" i="14"/>
  <c r="B272" i="20"/>
  <c r="B8280" i="20"/>
  <c r="B5990" i="20"/>
  <c r="B2646" i="20"/>
  <c r="A8183" i="20"/>
  <c r="B6712" i="20"/>
  <c r="A4913" i="20"/>
  <c r="B3790" i="20"/>
  <c r="A5286" i="20"/>
  <c r="A4907" i="20"/>
  <c r="B6255" i="20"/>
  <c r="B4653" i="20"/>
  <c r="A4933" i="20"/>
  <c r="B4043" i="20"/>
  <c r="A3258" i="20"/>
  <c r="B2899" i="20"/>
  <c r="B6317" i="20"/>
  <c r="A4675" i="20"/>
  <c r="B5431" i="20"/>
  <c r="A5805" i="20"/>
  <c r="B6466" i="20"/>
  <c r="B3115" i="20"/>
  <c r="A3026" i="20"/>
  <c r="A2487" i="20"/>
  <c r="A4720" i="20"/>
  <c r="A6681" i="20"/>
  <c r="B6643" i="20"/>
  <c r="B1356" i="20"/>
  <c r="A2294" i="20"/>
  <c r="A2284" i="20"/>
  <c r="A3091" i="20"/>
  <c r="B308" i="19"/>
  <c r="A2931" i="20"/>
  <c r="A6437" i="20"/>
  <c r="A6031" i="20"/>
  <c r="A2139" i="20"/>
  <c r="A6663" i="20"/>
  <c r="B5253" i="20"/>
  <c r="A2517" i="20"/>
  <c r="A3229" i="20"/>
  <c r="B7415" i="20"/>
  <c r="A6732" i="20"/>
  <c r="B1322" i="20"/>
  <c r="A2345" i="20"/>
  <c r="A2028" i="20"/>
  <c r="A405" i="20"/>
  <c r="B548" i="20"/>
  <c r="B1141" i="16"/>
  <c r="A6124" i="20"/>
  <c r="B4648" i="20"/>
  <c r="B3479" i="20"/>
  <c r="A8090" i="20"/>
  <c r="A7521" i="20"/>
  <c r="A5608" i="20"/>
  <c r="A3586" i="20"/>
  <c r="A17" i="28"/>
  <c r="B6360" i="20"/>
  <c r="B5119" i="20"/>
  <c r="A5181" i="20"/>
  <c r="B5978" i="20"/>
  <c r="A2461" i="20"/>
  <c r="A2714" i="20"/>
  <c r="A2175" i="20"/>
  <c r="B8548" i="20"/>
  <c r="B6128" i="20"/>
  <c r="B4887" i="20"/>
  <c r="A4717" i="20"/>
  <c r="B5712" i="20"/>
  <c r="A2229" i="20"/>
  <c r="B4131" i="20"/>
  <c r="A1943" i="20"/>
  <c r="A5625" i="20"/>
  <c r="B6163" i="20"/>
  <c r="A4207" i="20"/>
  <c r="B2999" i="20"/>
  <c r="A1750" i="20"/>
  <c r="A1740" i="20"/>
  <c r="A245" i="20"/>
  <c r="A292" i="19"/>
  <c r="B981" i="16"/>
  <c r="B5523" i="20"/>
  <c r="A4047" i="20"/>
  <c r="B2839" i="20"/>
  <c r="A5169" i="20"/>
  <c r="B6511" i="20"/>
  <c r="A4655" i="20"/>
  <c r="A7094" i="20"/>
  <c r="B362" i="49"/>
  <c r="A355" i="45"/>
  <c r="A6942" i="20"/>
  <c r="A6934" i="20"/>
  <c r="A14" i="28"/>
  <c r="A7054" i="20"/>
  <c r="B4835" i="20"/>
  <c r="A4420" i="20"/>
  <c r="B8964" i="20"/>
  <c r="A7022" i="20"/>
  <c r="B4803" i="20"/>
  <c r="A4388" i="20"/>
  <c r="A19" i="28"/>
  <c r="A7118" i="20"/>
  <c r="B7018" i="20"/>
  <c r="A7066" i="20"/>
  <c r="B5078" i="20"/>
  <c r="A4198" i="20"/>
  <c r="A3556" i="20"/>
  <c r="B4750" i="20"/>
  <c r="A3870" i="20"/>
  <c r="A4557" i="20"/>
  <c r="A1763" i="20"/>
  <c r="A8858" i="20"/>
  <c r="B8137" i="20"/>
  <c r="A3815" i="20"/>
  <c r="B8987" i="20"/>
  <c r="A7378" i="20"/>
  <c r="A3487" i="20"/>
  <c r="B7517" i="20"/>
  <c r="A5793" i="20"/>
  <c r="A4831" i="20"/>
  <c r="A4839" i="20"/>
  <c r="B3872" i="20"/>
  <c r="A2681" i="20"/>
  <c r="B3586" i="20"/>
  <c r="B2897" i="20"/>
  <c r="A5015" i="20"/>
  <c r="B8193" i="20"/>
  <c r="A1739" i="20"/>
  <c r="B4564" i="20"/>
  <c r="B4524" i="20"/>
  <c r="A2266" i="20"/>
  <c r="F53" i="11"/>
  <c r="B101" i="20"/>
  <c r="A535" i="16"/>
  <c r="A8586" i="20"/>
  <c r="A1579" i="20"/>
  <c r="B8656" i="20"/>
  <c r="B7578" i="20"/>
  <c r="A43" i="45"/>
  <c r="A3911" i="20"/>
  <c r="A7862" i="20"/>
  <c r="B6367" i="20"/>
  <c r="A5225" i="20"/>
  <c r="B5878" i="20"/>
  <c r="B5884" i="20"/>
  <c r="B3304" i="20"/>
  <c r="B4102" i="20"/>
  <c r="B3018" i="20"/>
  <c r="A9120" i="20"/>
  <c r="B5471" i="20"/>
  <c r="A725" i="49"/>
  <c r="B8708" i="20"/>
  <c r="A5540" i="20"/>
  <c r="B186" i="45"/>
  <c r="A6990" i="20"/>
  <c r="A6388" i="20"/>
  <c r="A6330" i="20"/>
  <c r="B8292" i="20"/>
  <c r="B6112" i="20"/>
  <c r="B4871" i="20"/>
  <c r="A4685" i="20"/>
  <c r="B5696" i="20"/>
  <c r="A2213" i="20"/>
  <c r="B4067" i="20"/>
  <c r="A1927" i="20"/>
  <c r="A6858" i="20"/>
  <c r="A5204" i="20"/>
  <c r="I6" i="33"/>
  <c r="A1827" i="20"/>
  <c r="A6924" i="20"/>
  <c r="A24" i="32"/>
  <c r="A6575" i="20"/>
  <c r="B6100" i="20"/>
  <c r="B5368" i="20"/>
  <c r="A1885" i="20"/>
  <c r="B2755" i="20"/>
  <c r="A1599" i="20"/>
  <c r="B7063" i="20"/>
  <c r="A8127" i="20"/>
  <c r="A6343" i="20"/>
  <c r="B5804" i="20"/>
  <c r="B5136" i="20"/>
  <c r="A1653" i="20"/>
  <c r="A2451" i="20"/>
  <c r="A1367" i="20"/>
  <c r="B6931" i="20"/>
  <c r="B7828" i="20"/>
  <c r="B4056" i="20"/>
  <c r="A2168" i="20"/>
  <c r="A1174" i="20"/>
  <c r="A1164" i="20"/>
  <c r="B4373" i="20"/>
  <c r="B1658" i="16"/>
  <c r="B405" i="16"/>
  <c r="A7653" i="20"/>
  <c r="B3896" i="20"/>
  <c r="A2128" i="20"/>
  <c r="B7394" i="20"/>
  <c r="A8562" i="20"/>
  <c r="B6146" i="20"/>
  <c r="B3218" i="20"/>
  <c r="A5804" i="20"/>
  <c r="B7227" i="20"/>
  <c r="A20" i="37"/>
  <c r="B5236" i="20"/>
  <c r="A4607" i="20"/>
  <c r="B4545" i="20"/>
  <c r="A1883" i="20"/>
  <c r="B3401" i="20"/>
  <c r="A4876" i="20"/>
  <c r="A7325" i="20"/>
  <c r="A7807" i="20"/>
  <c r="B5004" i="20"/>
  <c r="B4366" i="20"/>
  <c r="B9098" i="20"/>
  <c r="A8481" i="20"/>
  <c r="A8370" i="20"/>
  <c r="B6947" i="20"/>
  <c r="B7289" i="20"/>
  <c r="A5748" i="20"/>
  <c r="A5690" i="20"/>
  <c r="B6743" i="20"/>
  <c r="B7796" i="20"/>
  <c r="A6263" i="20"/>
  <c r="B5724" i="20"/>
  <c r="B5056" i="20"/>
  <c r="A1573" i="20"/>
  <c r="A2371" i="20"/>
  <c r="A1287" i="20"/>
  <c r="B9" i="21"/>
  <c r="B8169" i="20"/>
  <c r="A5375" i="20"/>
  <c r="B3858" i="20"/>
  <c r="A6444" i="20"/>
  <c r="A6800" i="20"/>
  <c r="A5935" i="20"/>
  <c r="B5396" i="20"/>
  <c r="B4728" i="20"/>
  <c r="A1245" i="20"/>
  <c r="A2043" i="20"/>
  <c r="B4041" i="20"/>
  <c r="A5516" i="20"/>
  <c r="B6939" i="20"/>
  <c r="C4" i="30"/>
  <c r="B5164" i="20"/>
  <c r="A4535" i="20"/>
  <c r="B4257" i="20"/>
  <c r="A1811" i="20"/>
  <c r="B3113" i="20"/>
  <c r="A6047" i="20"/>
  <c r="A5915" i="20"/>
  <c r="A3468" i="20"/>
  <c r="A1528" i="20"/>
  <c r="A1026" i="20"/>
  <c r="A1203" i="20"/>
  <c r="B82" i="18"/>
  <c r="A1491" i="20"/>
  <c r="A45" i="13"/>
  <c r="A5755" i="20"/>
  <c r="A3308" i="20"/>
  <c r="A1488" i="20"/>
  <c r="A8175" i="20"/>
  <c r="A7591" i="20"/>
  <c r="A3549" i="20"/>
  <c r="A2630" i="20"/>
  <c r="B39" i="21"/>
  <c r="B16" i="45"/>
  <c r="C17" i="21"/>
  <c r="B498" i="45"/>
  <c r="B7305" i="20"/>
  <c r="A13" i="49"/>
  <c r="B8539" i="20"/>
  <c r="A858" i="45"/>
  <c r="A311" i="45"/>
  <c r="B236" i="45"/>
  <c r="B7567" i="20"/>
  <c r="B108" i="45"/>
  <c r="B289" i="45"/>
  <c r="B8567" i="20"/>
  <c r="A9063" i="20"/>
  <c r="B7433" i="20"/>
  <c r="A6390" i="20"/>
  <c r="A306" i="32"/>
  <c r="B8821" i="20"/>
  <c r="A6366" i="20"/>
  <c r="A7846" i="20"/>
  <c r="A5476" i="20"/>
  <c r="A6914" i="20"/>
  <c r="B12" i="21"/>
  <c r="A7618" i="20"/>
  <c r="A6762" i="20"/>
  <c r="A6754" i="20"/>
  <c r="B6817" i="20"/>
  <c r="A6874" i="20"/>
  <c r="B4886" i="20"/>
  <c r="A4006" i="20"/>
  <c r="B6689" i="20"/>
  <c r="A6842" i="20"/>
  <c r="B4854" i="20"/>
  <c r="A8568" i="20"/>
  <c r="A7236" i="20"/>
  <c r="B5763" i="20"/>
  <c r="E14" i="33"/>
  <c r="A7899" i="20"/>
  <c r="B5611" i="20"/>
  <c r="B5603" i="20"/>
  <c r="A7775" i="20"/>
  <c r="B5723" i="20"/>
  <c r="A5376" i="20"/>
  <c r="A2989" i="20"/>
  <c r="B7624" i="20"/>
  <c r="B5691" i="20"/>
  <c r="A5248" i="20"/>
  <c r="A2957" i="20"/>
  <c r="A5086" i="20"/>
  <c r="A6761" i="20"/>
  <c r="A115" i="32"/>
  <c r="A45" i="32"/>
  <c r="B6" i="43"/>
  <c r="B7625" i="20"/>
  <c r="B7573" i="20"/>
  <c r="B7617" i="20"/>
  <c r="B7565" i="20"/>
  <c r="A6" i="26"/>
  <c r="A6819" i="20"/>
  <c r="A6670" i="20"/>
  <c r="B7694" i="20"/>
  <c r="A6483" i="20"/>
  <c r="B4630" i="20"/>
  <c r="A4036" i="20"/>
  <c r="A3750" i="20"/>
  <c r="A4" i="21"/>
  <c r="A6691" i="20"/>
  <c r="A7736" i="20"/>
  <c r="A13" i="45"/>
  <c r="B7751" i="20"/>
  <c r="A10" i="45"/>
  <c r="A970" i="45"/>
  <c r="B7311" i="20"/>
  <c r="A7861" i="20"/>
  <c r="B8486" i="20"/>
  <c r="B874" i="45"/>
  <c r="B191" i="45"/>
  <c r="A8877" i="20"/>
  <c r="B6443" i="20"/>
  <c r="A46" i="31"/>
  <c r="B137" i="49"/>
  <c r="B1158" i="45"/>
  <c r="B8354" i="20"/>
  <c r="A5886" i="20"/>
  <c r="B6301" i="20"/>
  <c r="B8726" i="20"/>
  <c r="A7777" i="20"/>
  <c r="B6277" i="20"/>
  <c r="B8949" i="20"/>
  <c r="B8233" i="20"/>
  <c r="A6959" i="20"/>
  <c r="A8259" i="20"/>
  <c r="A8752" i="20"/>
  <c r="A6807" i="20"/>
  <c r="A6799" i="20"/>
  <c r="B6823" i="20"/>
  <c r="A6919" i="20"/>
  <c r="A5837" i="20"/>
  <c r="A2503" i="20"/>
  <c r="B6695" i="20"/>
  <c r="A6887" i="20"/>
  <c r="A5773" i="20"/>
  <c r="A7819" i="20"/>
  <c r="A6628" i="20"/>
  <c r="B7536" i="20"/>
  <c r="B6686" i="20"/>
  <c r="B7484" i="20"/>
  <c r="B6928" i="20"/>
  <c r="B6896" i="20"/>
  <c r="B9072" i="20"/>
  <c r="B7376" i="20"/>
  <c r="B5782" i="20"/>
  <c r="B2930" i="20"/>
  <c r="A42" i="21"/>
  <c r="B7248" i="20"/>
  <c r="B5750" i="20"/>
  <c r="A677" i="45"/>
  <c r="A8463" i="20"/>
  <c r="B6666" i="20"/>
  <c r="B40" i="45"/>
  <c r="A330" i="32"/>
  <c r="A9008" i="20"/>
  <c r="A7115" i="20"/>
  <c r="A7063" i="20"/>
  <c r="A7107" i="20"/>
  <c r="A7055" i="20"/>
  <c r="B114" i="45"/>
  <c r="A6780" i="20"/>
  <c r="A7227" i="20"/>
  <c r="A7175" i="20"/>
  <c r="A4947" i="20"/>
  <c r="B4813" i="20"/>
  <c r="B4203" i="20"/>
  <c r="B3059" i="20"/>
  <c r="B35" i="21"/>
  <c r="A6652" i="20"/>
  <c r="A7195" i="20"/>
  <c r="A1127" i="45"/>
  <c r="A578" i="49"/>
  <c r="N30" i="33"/>
  <c r="A18" i="28"/>
  <c r="B7253" i="20"/>
  <c r="A353" i="49"/>
  <c r="A5630" i="20"/>
  <c r="B9022" i="20"/>
  <c r="A9033" i="20"/>
  <c r="A334" i="32"/>
  <c r="B7509" i="20"/>
  <c r="A254" i="32"/>
  <c r="B1305" i="49"/>
  <c r="B174" i="45"/>
  <c r="A19" i="25"/>
  <c r="B9123" i="20"/>
  <c r="A8047" i="20"/>
  <c r="A81" i="45"/>
  <c r="B7626" i="20"/>
  <c r="A7951" i="20"/>
  <c r="A8044" i="20"/>
  <c r="B7093" i="20"/>
  <c r="A4898" i="20"/>
  <c r="A7790" i="20"/>
  <c r="B7707" i="20"/>
  <c r="A4746" i="20"/>
  <c r="A4738" i="20"/>
  <c r="B6765" i="20"/>
  <c r="A4858" i="20"/>
  <c r="B4892" i="20"/>
  <c r="B2500" i="20"/>
  <c r="B7664" i="20"/>
  <c r="A4826" i="20"/>
  <c r="B4860" i="20"/>
  <c r="B8836" i="20"/>
  <c r="B5899" i="20"/>
  <c r="B6829" i="20"/>
  <c r="B8429" i="20"/>
  <c r="B8948" i="20"/>
  <c r="A7728" i="20"/>
  <c r="A7712" i="20"/>
  <c r="B9120" i="20"/>
  <c r="B6789" i="20"/>
  <c r="A3773" i="20"/>
  <c r="A2854" i="20"/>
  <c r="A2" i="22"/>
  <c r="B6757" i="20"/>
  <c r="A3741" i="20"/>
  <c r="A24" i="31"/>
  <c r="B6767" i="20"/>
  <c r="B8201" i="20"/>
  <c r="B7778" i="20"/>
  <c r="B9045" i="20"/>
  <c r="A250" i="32"/>
  <c r="A6590" i="20"/>
  <c r="A6538" i="20"/>
  <c r="A6582" i="20"/>
  <c r="A6530" i="20"/>
  <c r="A7620" i="20"/>
  <c r="A6825" i="20"/>
  <c r="A6715" i="20"/>
  <c r="B6653" i="20"/>
  <c r="B6432" i="20"/>
  <c r="A5325" i="20"/>
  <c r="B8627" i="20"/>
  <c r="A7143" i="20"/>
  <c r="A6001" i="20"/>
  <c r="A3975" i="20"/>
  <c r="A206" i="32"/>
  <c r="A230" i="32"/>
  <c r="A12" i="27"/>
  <c r="A6102" i="20"/>
  <c r="A6108" i="20"/>
  <c r="A6050" i="20"/>
  <c r="B8575" i="20"/>
  <c r="B8170" i="20"/>
  <c r="B9129" i="20"/>
  <c r="B8016" i="20"/>
  <c r="M17" i="29"/>
  <c r="B8387" i="20"/>
  <c r="A9122" i="20"/>
  <c r="B8877" i="20"/>
  <c r="A8177" i="20"/>
  <c r="A5950" i="20"/>
  <c r="A5956" i="20"/>
  <c r="A5898" i="20"/>
  <c r="A8169" i="20"/>
  <c r="A5942" i="20"/>
  <c r="A5948" i="20"/>
  <c r="A5890" i="20"/>
  <c r="B366" i="45"/>
  <c r="B7685" i="20"/>
  <c r="B6219" i="20"/>
  <c r="B6211" i="20"/>
  <c r="A8401" i="20"/>
  <c r="A6062" i="20"/>
  <c r="A6068" i="20"/>
  <c r="A6010" i="20"/>
  <c r="A6956" i="20"/>
  <c r="A8895" i="20"/>
  <c r="A6583" i="20"/>
  <c r="B6110" i="20"/>
  <c r="B5376" i="20"/>
  <c r="A1893" i="20"/>
  <c r="B2787" i="20"/>
  <c r="A1607" i="20"/>
  <c r="C43" i="21"/>
  <c r="A8539" i="20"/>
  <c r="B6091" i="20"/>
  <c r="B6083" i="20"/>
  <c r="A8337" i="20"/>
  <c r="A6030" i="20"/>
  <c r="A6036" i="20"/>
  <c r="A5978" i="20"/>
  <c r="A6828" i="20"/>
  <c r="A283" i="32"/>
  <c r="A6551" i="20"/>
  <c r="B6068" i="20"/>
  <c r="B5344" i="20"/>
  <c r="A1861" i="20"/>
  <c r="B2674" i="20"/>
  <c r="A1575" i="20"/>
  <c r="A51" i="31"/>
  <c r="B8029" i="20"/>
  <c r="B6475" i="20"/>
  <c r="B6467" i="20"/>
  <c r="A8529" i="20"/>
  <c r="A6126" i="20"/>
  <c r="B1474" i="20"/>
  <c r="B785" i="45"/>
  <c r="A266" i="32"/>
  <c r="B5963" i="20"/>
  <c r="A8042" i="20"/>
  <c r="A6734" i="20"/>
  <c r="A6132" i="20"/>
  <c r="A6074" i="20"/>
  <c r="A7212" i="20"/>
  <c r="B5856" i="20"/>
  <c r="B6649" i="20"/>
  <c r="B6196" i="20"/>
  <c r="B5440" i="20"/>
  <c r="A1957" i="20"/>
  <c r="B3043" i="20"/>
  <c r="A1671" i="20"/>
  <c r="A4842" i="20"/>
  <c r="B6139" i="20"/>
  <c r="A7053" i="20"/>
  <c r="A3713" i="20"/>
  <c r="B6967" i="20"/>
  <c r="A7743" i="20"/>
  <c r="A6319" i="20"/>
  <c r="B5780" i="20"/>
  <c r="B5112" i="20"/>
  <c r="A1629" i="20"/>
  <c r="A2427" i="20"/>
  <c r="A1343" i="20"/>
  <c r="A7065" i="20"/>
  <c r="A7408" i="20"/>
  <c r="A6087" i="20"/>
  <c r="B5548" i="20"/>
  <c r="B4880" i="20"/>
  <c r="A1397" i="20"/>
  <c r="A2195" i="20"/>
  <c r="A2822" i="20"/>
  <c r="B8856" i="20"/>
  <c r="A8369" i="20"/>
  <c r="A273" i="49"/>
  <c r="A8668" i="20"/>
  <c r="A8527" i="20"/>
  <c r="A7450" i="20"/>
  <c r="B8733" i="20"/>
  <c r="B5283" i="20"/>
  <c r="A4817" i="20"/>
  <c r="B5462" i="20"/>
  <c r="B5466" i="20"/>
  <c r="B2896" i="20"/>
  <c r="B3694" i="20"/>
  <c r="A4582" i="20"/>
  <c r="A8294" i="20"/>
  <c r="B7200" i="20"/>
  <c r="B5631" i="20"/>
  <c r="B3120" i="20"/>
  <c r="B8062" i="20"/>
  <c r="B4955" i="20"/>
  <c r="B6486" i="20"/>
  <c r="B5134" i="20"/>
  <c r="B5138" i="20"/>
  <c r="A4540" i="20"/>
  <c r="B3366" i="20"/>
  <c r="A4254" i="20"/>
  <c r="B7506" i="20"/>
  <c r="B6074" i="20"/>
  <c r="B8595" i="20"/>
  <c r="A8735" i="20"/>
  <c r="B4661" i="20"/>
  <c r="A2501" i="20"/>
  <c r="B7867" i="20"/>
  <c r="A4964" i="20"/>
  <c r="A7592" i="20"/>
  <c r="B5501" i="20"/>
  <c r="B5507" i="20"/>
  <c r="B986" i="45"/>
  <c r="B8488" i="20"/>
  <c r="B808" i="45"/>
  <c r="A354" i="32"/>
  <c r="B225" i="45"/>
  <c r="B7872" i="20"/>
  <c r="B7798" i="20"/>
  <c r="B8504" i="20"/>
  <c r="B8270" i="20"/>
  <c r="A59" i="45"/>
  <c r="A155" i="45"/>
  <c r="D2" i="43"/>
  <c r="M13" i="29"/>
  <c r="B666" i="45"/>
  <c r="B762" i="45"/>
  <c r="A57" i="45"/>
  <c r="A77" i="47"/>
  <c r="B1065" i="45"/>
  <c r="B1259" i="45"/>
  <c r="A544" i="45"/>
  <c r="B8161" i="20"/>
  <c r="A7552" i="20"/>
  <c r="B5461" i="20"/>
  <c r="A238" i="45"/>
  <c r="A285" i="32"/>
  <c r="A6943" i="20"/>
  <c r="B4897" i="20"/>
  <c r="B6311" i="20"/>
  <c r="A3523" i="20"/>
  <c r="A3019" i="20"/>
  <c r="B1378" i="20"/>
  <c r="A2733" i="20"/>
  <c r="A372" i="45"/>
  <c r="B7" i="37"/>
  <c r="B273" i="45"/>
  <c r="A271" i="45"/>
  <c r="A8671" i="20"/>
  <c r="A1026" i="45"/>
  <c r="B900" i="45"/>
  <c r="A507" i="45"/>
  <c r="B8832" i="20"/>
  <c r="A6815" i="20"/>
  <c r="B4865" i="20"/>
  <c r="B6183" i="20"/>
  <c r="A3491" i="20"/>
  <c r="A2987" i="20"/>
  <c r="B1346" i="20"/>
  <c r="A2701" i="20"/>
  <c r="B628" i="45"/>
  <c r="N36" i="33"/>
  <c r="A8324" i="20"/>
  <c r="A7365" i="20"/>
  <c r="C45" i="21"/>
  <c r="A7616" i="20"/>
  <c r="B5525" i="20"/>
  <c r="B3794" i="20"/>
  <c r="A7" i="39"/>
  <c r="B7324" i="20"/>
  <c r="A26" i="32"/>
  <c r="A7610" i="20"/>
  <c r="A5358" i="20"/>
  <c r="B5531" i="20"/>
  <c r="B5473" i="20"/>
  <c r="A7199" i="20"/>
  <c r="B4961" i="20"/>
  <c r="B6567" i="20"/>
  <c r="A3587" i="20"/>
  <c r="A3083" i="20"/>
  <c r="B1442" i="20"/>
  <c r="A2797" i="20"/>
  <c r="B7270" i="20"/>
  <c r="A249" i="32"/>
  <c r="B7350" i="20"/>
  <c r="B6356" i="20"/>
  <c r="A3536" i="20"/>
  <c r="A5874" i="20"/>
  <c r="B6673" i="20"/>
  <c r="B5269" i="20"/>
  <c r="B5285" i="20"/>
  <c r="A2755" i="20"/>
  <c r="B4535" i="20"/>
  <c r="B4458" i="20"/>
  <c r="A2736" i="20"/>
  <c r="A4946" i="20"/>
  <c r="A6433" i="20"/>
  <c r="A6373" i="20"/>
  <c r="A6389" i="20"/>
  <c r="B4512" i="20"/>
  <c r="A3377" i="20"/>
  <c r="B4226" i="20"/>
  <c r="B1956" i="20"/>
  <c r="B8000" i="20"/>
  <c r="A7044" i="20"/>
  <c r="A5986" i="20"/>
  <c r="A7874" i="20"/>
  <c r="A7297" i="20"/>
  <c r="A6983" i="20"/>
  <c r="B6637" i="20"/>
  <c r="A4755" i="20"/>
  <c r="B5647" i="20"/>
  <c r="A6077" i="20"/>
  <c r="B6626" i="20"/>
  <c r="B3435" i="20"/>
  <c r="A3106" i="20"/>
  <c r="A2567" i="20"/>
  <c r="A27" i="25"/>
  <c r="B6751" i="20"/>
  <c r="A6632" i="20"/>
  <c r="A3842" i="20"/>
  <c r="B506" i="45"/>
  <c r="B6424" i="20"/>
  <c r="B5183" i="20"/>
  <c r="A5309" i="20"/>
  <c r="B6062" i="20"/>
  <c r="A2525" i="20"/>
  <c r="A2778" i="20"/>
  <c r="A2239" i="20"/>
  <c r="A8623" i="20"/>
  <c r="B770" i="45"/>
  <c r="B7653" i="20"/>
  <c r="A6513" i="20"/>
  <c r="B6030" i="20"/>
  <c r="A8472" i="20"/>
  <c r="A4958" i="20"/>
  <c r="B8724" i="20"/>
  <c r="A6614" i="20"/>
  <c r="A6620" i="20"/>
  <c r="A6562" i="20"/>
  <c r="B8892" i="20"/>
  <c r="E1" i="29"/>
  <c r="A9132" i="20"/>
  <c r="A7747" i="20"/>
  <c r="A50" i="21"/>
  <c r="B8917" i="20"/>
  <c r="N41" i="33"/>
  <c r="A52" i="31"/>
  <c r="B8179" i="20"/>
  <c r="A6462" i="20"/>
  <c r="A6468" i="20"/>
  <c r="A6410" i="20"/>
  <c r="B8171" i="20"/>
  <c r="A6454" i="20"/>
  <c r="A6460" i="20"/>
  <c r="A6402" i="20"/>
  <c r="A8812" i="20"/>
  <c r="A120" i="32"/>
  <c r="A6308" i="20"/>
  <c r="A6300" i="20"/>
  <c r="B8403" i="20"/>
  <c r="A6574" i="20"/>
  <c r="A6580" i="20"/>
  <c r="A6522" i="20"/>
  <c r="A38" i="32"/>
  <c r="B6304" i="20"/>
  <c r="B5063" i="20"/>
  <c r="A5069" i="20"/>
  <c r="B5902" i="20"/>
  <c r="A2405" i="20"/>
  <c r="A2658" i="20"/>
  <c r="A2119" i="20"/>
  <c r="A370" i="32"/>
  <c r="B8792" i="20"/>
  <c r="A6180" i="20"/>
  <c r="A6172" i="20"/>
  <c r="B8339" i="20"/>
  <c r="A6542" i="20"/>
  <c r="A6548" i="20"/>
  <c r="A6490" i="20"/>
  <c r="B8899" i="20"/>
  <c r="B6272" i="20"/>
  <c r="B5031" i="20"/>
  <c r="A5005" i="20"/>
  <c r="B5860" i="20"/>
  <c r="A2373" i="20"/>
  <c r="A2626" i="20"/>
  <c r="A2087" i="20"/>
  <c r="F10" i="29"/>
  <c r="B618" i="45"/>
  <c r="A6564" i="20"/>
  <c r="A6556" i="20"/>
  <c r="B8531" i="20"/>
  <c r="A6638" i="20"/>
  <c r="B6645" i="20"/>
  <c r="B3228" i="20"/>
  <c r="B6852" i="20"/>
  <c r="A7089" i="20"/>
  <c r="B5897" i="20"/>
  <c r="A7374" i="20"/>
  <c r="A6785" i="20"/>
  <c r="A6586" i="20"/>
  <c r="A219" i="32"/>
  <c r="B6368" i="20"/>
  <c r="B5127" i="20"/>
  <c r="A5197" i="20"/>
  <c r="B5988" i="20"/>
  <c r="A2469" i="20"/>
  <c r="A2722" i="20"/>
  <c r="A2183" i="20"/>
  <c r="A4900" i="20"/>
  <c r="A6228" i="20"/>
  <c r="B4711" i="20"/>
  <c r="B3427" i="20"/>
  <c r="A8122" i="20"/>
  <c r="B6040" i="20"/>
  <c r="B4799" i="20"/>
  <c r="B6538" i="20"/>
  <c r="B5624" i="20"/>
  <c r="A2141" i="20"/>
  <c r="B3779" i="20"/>
  <c r="A1855" i="20"/>
  <c r="A7020" i="20"/>
  <c r="B58" i="45"/>
  <c r="A6599" i="20"/>
  <c r="B6132" i="20"/>
  <c r="B5392" i="20"/>
  <c r="A1909" i="20"/>
  <c r="B2851" i="20"/>
  <c r="A3462" i="20"/>
  <c r="F5" i="29"/>
  <c r="B8653" i="20"/>
  <c r="A6038" i="20"/>
  <c r="A8017" i="20"/>
  <c r="B8800" i="20"/>
  <c r="A8178" i="20"/>
  <c r="A7843" i="20"/>
  <c r="A4824" i="20"/>
  <c r="A5329" i="20"/>
  <c r="B6018" i="20"/>
  <c r="B6022" i="20"/>
  <c r="B3408" i="20"/>
  <c r="B4206" i="20"/>
  <c r="B3122" i="20"/>
  <c r="B37" i="21"/>
  <c r="B6682" i="20"/>
  <c r="A7583" i="20"/>
  <c r="A3179" i="20"/>
  <c r="B32" i="21"/>
  <c r="B5487" i="20"/>
  <c r="A5001" i="20"/>
  <c r="B5646" i="20"/>
  <c r="B5650" i="20"/>
  <c r="B3080" i="20"/>
  <c r="B3878" i="20"/>
  <c r="B2794" i="20"/>
  <c r="B8331" i="20"/>
  <c r="B5235" i="20"/>
  <c r="A5247" i="20"/>
  <c r="A8942" i="20"/>
  <c r="A63" i="47"/>
  <c r="A8326" i="20"/>
  <c r="M37" i="29"/>
  <c r="E9" i="29"/>
  <c r="B8098" i="20"/>
  <c r="A8782" i="20"/>
  <c r="A4882" i="20"/>
  <c r="B4496" i="20"/>
  <c r="B7754" i="20"/>
  <c r="A11" i="43"/>
  <c r="A4754" i="20"/>
  <c r="B4464" i="20"/>
  <c r="A7829" i="20"/>
  <c r="A9038" i="20"/>
  <c r="A8976" i="20"/>
  <c r="A8830" i="20"/>
  <c r="A6565" i="20"/>
  <c r="B4274" i="20"/>
  <c r="A4193" i="20"/>
  <c r="A5551" i="20"/>
  <c r="B3946" i="20"/>
  <c r="A5087" i="20"/>
  <c r="B3714" i="20"/>
  <c r="B5545" i="20"/>
  <c r="B8369" i="20"/>
  <c r="B5824" i="20"/>
  <c r="B9019" i="20"/>
  <c r="A7436" i="20"/>
  <c r="B5496" i="20"/>
  <c r="B7575" i="20"/>
  <c r="A6305" i="20"/>
  <c r="A5861" i="20"/>
  <c r="A5877" i="20"/>
  <c r="B4384" i="20"/>
  <c r="A3193" i="20"/>
  <c r="B4098" i="20"/>
  <c r="A1841" i="20"/>
  <c r="A4523" i="20"/>
  <c r="B6191" i="20"/>
  <c r="A3242" i="20"/>
  <c r="B99" i="19"/>
  <c r="B655" i="20"/>
  <c r="A1123" i="20"/>
  <c r="A23" i="13"/>
  <c r="B749" i="20"/>
  <c r="A1047" i="16"/>
  <c r="B5551" i="20"/>
  <c r="A3082" i="20"/>
  <c r="A9068" i="20"/>
  <c r="B8467" i="20"/>
  <c r="A8902" i="20"/>
  <c r="B5946" i="20"/>
  <c r="B894" i="45"/>
  <c r="A6616" i="20"/>
  <c r="A5737" i="20"/>
  <c r="A4719" i="20"/>
  <c r="A4727" i="20"/>
  <c r="B3816" i="20"/>
  <c r="B4614" i="20"/>
  <c r="B3530" i="20"/>
  <c r="A61" i="32"/>
  <c r="A5528" i="20"/>
  <c r="A2775" i="20"/>
  <c r="A8422" i="20"/>
  <c r="B7087" i="20"/>
  <c r="A5474" i="20"/>
  <c r="B7328" i="20"/>
  <c r="A7041" i="20"/>
  <c r="A6855" i="20"/>
  <c r="B6125" i="20"/>
  <c r="B6624" i="20"/>
  <c r="B5383" i="20"/>
  <c r="A5709" i="20"/>
  <c r="B6370" i="20"/>
  <c r="B2923" i="20"/>
  <c r="A2978" i="20"/>
  <c r="A2439" i="20"/>
  <c r="A6916" i="20"/>
  <c r="A7265" i="20"/>
  <c r="B6543" i="20"/>
  <c r="A3330" i="20"/>
  <c r="A12" i="28"/>
  <c r="B6296" i="20"/>
  <c r="B5055" i="20"/>
  <c r="A5053" i="20"/>
  <c r="B5892" i="20"/>
  <c r="A2397" i="20"/>
  <c r="A2650" i="20"/>
  <c r="A2111" i="20"/>
  <c r="A8506" i="20"/>
  <c r="B6064" i="20"/>
  <c r="B4823" i="20"/>
  <c r="B6586" i="20"/>
  <c r="B5648" i="20"/>
  <c r="A2165" i="20"/>
  <c r="B3875" i="20"/>
  <c r="A1879" i="20"/>
  <c r="A5369" i="20"/>
  <c r="AK2" i="29"/>
  <c r="A3951" i="20"/>
  <c r="B2743" i="20"/>
  <c r="A1686" i="20"/>
  <c r="A1676" i="20"/>
  <c r="A181" i="20"/>
  <c r="A64" i="19"/>
  <c r="B917" i="16"/>
  <c r="B7753" i="20"/>
  <c r="A3791" i="20"/>
  <c r="B2648" i="20"/>
  <c r="B6289" i="20"/>
  <c r="B6011" i="20"/>
  <c r="A6528" i="20"/>
  <c r="A3277" i="20"/>
  <c r="B6839" i="20"/>
  <c r="B8180" i="20"/>
  <c r="A6287" i="20"/>
  <c r="B5748" i="20"/>
  <c r="B5080" i="20"/>
  <c r="A1597" i="20"/>
  <c r="A2395" i="20"/>
  <c r="A1311" i="20"/>
  <c r="A6937" i="20"/>
  <c r="A7280" i="20"/>
  <c r="A6055" i="20"/>
  <c r="B5516" i="20"/>
  <c r="B4848" i="20"/>
  <c r="A306" i="45"/>
  <c r="A9016" i="20"/>
  <c r="A5028" i="20"/>
  <c r="A8159" i="20"/>
  <c r="A6862" i="20"/>
  <c r="A6260" i="20"/>
  <c r="A6202" i="20"/>
  <c r="B7192" i="20"/>
  <c r="B5984" i="20"/>
  <c r="B4743" i="20"/>
  <c r="B6426" i="20"/>
  <c r="B5568" i="20"/>
  <c r="A2085" i="20"/>
  <c r="B3555" i="20"/>
  <c r="A1799" i="20"/>
  <c r="A6903" i="20"/>
  <c r="B6655" i="20"/>
  <c r="A7008" i="20"/>
  <c r="A3231" i="20"/>
  <c r="B7479" i="20"/>
  <c r="B8787" i="20"/>
  <c r="A6447" i="20"/>
  <c r="B5930" i="20"/>
  <c r="B5240" i="20"/>
  <c r="A1757" i="20"/>
  <c r="A2555" i="20"/>
  <c r="A1471" i="20"/>
  <c r="A7577" i="20"/>
  <c r="A8010" i="20"/>
  <c r="A6215" i="20"/>
  <c r="B5676" i="20"/>
  <c r="B5008" i="20"/>
  <c r="A1525" i="20"/>
  <c r="A2323" i="20"/>
  <c r="A1239" i="20"/>
  <c r="A5896" i="20"/>
  <c r="A5368" i="20"/>
  <c r="B3544" i="20"/>
  <c r="A2040" i="20"/>
  <c r="B2989" i="20"/>
  <c r="B2829" i="20"/>
  <c r="B1112" i="20"/>
  <c r="B1530" i="16"/>
  <c r="B277" i="16"/>
  <c r="A4728" i="20"/>
  <c r="B3384" i="20"/>
  <c r="A2000" i="20"/>
  <c r="A8151" i="20"/>
  <c r="A7550" i="20"/>
  <c r="B5558" i="20"/>
  <c r="B2706" i="20"/>
  <c r="A5292" i="20"/>
  <c r="B6715" i="20"/>
  <c r="B8449" i="20"/>
  <c r="B5108" i="20"/>
  <c r="A4479" i="20"/>
  <c r="B4033" i="20"/>
  <c r="A1755" i="20"/>
  <c r="B2889" i="20"/>
  <c r="B6323" i="20"/>
  <c r="A6813" i="20"/>
  <c r="B7656" i="20"/>
  <c r="B4876" i="20"/>
  <c r="A4247" i="20"/>
  <c r="B3105" i="20"/>
  <c r="A3849" i="20"/>
  <c r="B2484" i="20"/>
  <c r="B6827" i="20"/>
  <c r="A4763" i="20"/>
  <c r="B3467" i="20"/>
  <c r="A1240" i="20"/>
  <c r="A738" i="20"/>
  <c r="A1623" i="20"/>
  <c r="A2424" i="20"/>
  <c r="C9" i="18"/>
  <c r="A2384" i="20"/>
  <c r="B4242" i="20"/>
  <c r="B5492" i="20"/>
  <c r="B4425" i="20"/>
  <c r="A4904" i="20"/>
  <c r="A5237" i="20"/>
  <c r="B1874" i="20"/>
  <c r="A4374" i="20"/>
  <c r="B4745" i="20"/>
  <c r="B4841" i="20"/>
  <c r="A3566" i="20"/>
  <c r="A2038" i="20"/>
  <c r="A1666" i="20"/>
  <c r="B1351" i="16"/>
  <c r="A1810" i="20"/>
  <c r="H1" i="11"/>
  <c r="B7547" i="20"/>
  <c r="A1165" i="20"/>
  <c r="B1821" i="20"/>
  <c r="A8058" i="20"/>
  <c r="A7463" i="20"/>
  <c r="A3421" i="20"/>
  <c r="B4211" i="20"/>
  <c r="A9054" i="20"/>
  <c r="A5552" i="20"/>
  <c r="A7660" i="20"/>
  <c r="A4603" i="20"/>
  <c r="A3935" i="20"/>
  <c r="B2458" i="20"/>
  <c r="A3127" i="20"/>
  <c r="B2172" i="20"/>
  <c r="B8316" i="20"/>
  <c r="B6583" i="20"/>
  <c r="B6731" i="20"/>
  <c r="A4371" i="20"/>
  <c r="A3703" i="20"/>
  <c r="B2226" i="20"/>
  <c r="A2895" i="20"/>
  <c r="B1940" i="20"/>
  <c r="B6492" i="20"/>
  <c r="B6640" i="20"/>
  <c r="B2945" i="20"/>
  <c r="B1341" i="20"/>
  <c r="A194" i="20"/>
  <c r="B2679" i="20"/>
  <c r="B1191" i="16"/>
  <c r="A1170" i="20"/>
  <c r="B1046" i="20"/>
  <c r="A6000" i="20"/>
  <c r="B2570" i="20"/>
  <c r="B1181" i="20"/>
  <c r="B4046" i="20"/>
  <c r="B3826" i="20"/>
  <c r="A7974" i="20"/>
  <c r="A7100" i="20"/>
  <c r="B844" i="45"/>
  <c r="B9014" i="20"/>
  <c r="A6948" i="20"/>
  <c r="A6940" i="20"/>
  <c r="B7337" i="20"/>
  <c r="A7060" i="20"/>
  <c r="B6366" i="20"/>
  <c r="B3246" i="20"/>
  <c r="B7209" i="20"/>
  <c r="A7028" i="20"/>
  <c r="B6334" i="20"/>
  <c r="B3214" i="20"/>
  <c r="B7593" i="20"/>
  <c r="A7124" i="20"/>
  <c r="A7554" i="20"/>
  <c r="A8596" i="20"/>
  <c r="B5082" i="20"/>
  <c r="A8353" i="20"/>
  <c r="B6898" i="20"/>
  <c r="B4754" i="20"/>
  <c r="M42" i="33"/>
  <c r="A4561" i="20"/>
  <c r="A1194" i="49"/>
  <c r="A6510" i="20"/>
  <c r="A5072" i="20"/>
  <c r="B2338" i="20"/>
  <c r="A5658" i="20"/>
  <c r="B5719" i="20"/>
  <c r="B2010" i="20"/>
  <c r="A6243" i="20"/>
  <c r="A7578" i="20"/>
  <c r="A4429" i="20"/>
  <c r="A4433" i="20"/>
  <c r="A3796" i="20"/>
  <c r="A4594" i="20"/>
  <c r="A3510" i="20"/>
  <c r="B7651" i="20"/>
  <c r="B3960" i="20"/>
  <c r="B5092" i="20"/>
  <c r="B2825" i="20"/>
  <c r="B2264" i="20"/>
  <c r="B2246" i="20"/>
  <c r="B347" i="20"/>
  <c r="A745" i="16"/>
  <c r="A99" i="20"/>
  <c r="C126" i="18"/>
  <c r="B4932" i="20"/>
  <c r="B2540" i="20"/>
  <c r="M39" i="29"/>
  <c r="B6517" i="20"/>
  <c r="A5456" i="20"/>
  <c r="B2434" i="20"/>
  <c r="B7345" i="20"/>
  <c r="A5675" i="20"/>
  <c r="A7381" i="20"/>
  <c r="A3861" i="20"/>
  <c r="B5053" i="20"/>
  <c r="A3228" i="20"/>
  <c r="A4026" i="20"/>
  <c r="A2942" i="20"/>
  <c r="A7443" i="20"/>
  <c r="A3167" i="20"/>
  <c r="B713" i="49"/>
  <c r="A30" i="32"/>
  <c r="A7320" i="20"/>
  <c r="B8397" i="20"/>
  <c r="A6382" i="20"/>
  <c r="B6299" i="20"/>
  <c r="B6241" i="20"/>
  <c r="B8060" i="20"/>
  <c r="B6519" i="20"/>
  <c r="A7708" i="20"/>
  <c r="A4355" i="20"/>
  <c r="A3687" i="20"/>
  <c r="B2210" i="20"/>
  <c r="A2879" i="20"/>
  <c r="B1924" i="20"/>
  <c r="A6850" i="20"/>
  <c r="A5146" i="20"/>
  <c r="B5180" i="20"/>
  <c r="B3177" i="20"/>
  <c r="A6866" i="20"/>
  <c r="B5401" i="20"/>
  <c r="A6368" i="20"/>
  <c r="A4027" i="20"/>
  <c r="A3359" i="20"/>
  <c r="B1882" i="20"/>
  <c r="A3237" i="20"/>
  <c r="B3836" i="20"/>
  <c r="B7005" i="20"/>
  <c r="B5169" i="20"/>
  <c r="A5440" i="20"/>
  <c r="A3795" i="20"/>
  <c r="A3291" i="20"/>
  <c r="B1650" i="20"/>
  <c r="A3005" i="20"/>
  <c r="B2908" i="20"/>
  <c r="A4005" i="20"/>
  <c r="A5977" i="20"/>
  <c r="A2865" i="20"/>
  <c r="A612" i="20"/>
  <c r="B3205" i="20"/>
  <c r="A318" i="20"/>
  <c r="B615" i="16"/>
  <c r="A390" i="20"/>
  <c r="C28" i="18"/>
  <c r="A5817" i="20"/>
  <c r="A2705" i="20"/>
  <c r="N23" i="33"/>
  <c r="B484" i="45"/>
  <c r="B8887" i="20"/>
  <c r="B6150" i="20"/>
  <c r="A3408" i="20"/>
  <c r="A5746" i="20"/>
  <c r="A6633" i="20"/>
  <c r="B5141" i="20"/>
  <c r="B5157" i="20"/>
  <c r="A2723" i="20"/>
  <c r="B4407" i="20"/>
  <c r="B4426" i="20"/>
  <c r="A4640" i="20"/>
  <c r="A4818" i="20"/>
  <c r="A6401" i="20"/>
  <c r="A6245" i="20"/>
  <c r="A6261" i="20"/>
  <c r="B3922" i="20"/>
  <c r="B9066" i="20"/>
  <c r="A7870" i="20"/>
  <c r="A195" i="32"/>
  <c r="B7604" i="20"/>
  <c r="A5486" i="20"/>
  <c r="B5659" i="20"/>
  <c r="B5601" i="20"/>
  <c r="B6685" i="20"/>
  <c r="B5089" i="20"/>
  <c r="A5120" i="20"/>
  <c r="A3715" i="20"/>
  <c r="A3211" i="20"/>
  <c r="B1570" i="20"/>
  <c r="A2925" i="20"/>
  <c r="A33" i="25"/>
  <c r="A7333" i="20"/>
  <c r="B7043" i="20"/>
  <c r="A5383" i="20"/>
  <c r="A4048" i="20"/>
  <c r="A6386" i="20"/>
  <c r="B4761" i="20"/>
  <c r="B5767" i="20"/>
  <c r="A3387" i="20"/>
  <c r="A2883" i="20"/>
  <c r="B1242" i="20"/>
  <c r="B4586" i="20"/>
  <c r="A3248" i="20"/>
  <c r="A5458" i="20"/>
  <c r="A6561" i="20"/>
  <c r="B4853" i="20"/>
  <c r="B4869" i="20"/>
  <c r="A4650" i="20"/>
  <c r="A3889" i="20"/>
  <c r="B4354" i="20"/>
  <c r="B3483" i="20"/>
  <c r="B5508" i="20"/>
  <c r="B7315" i="20"/>
  <c r="A4266" i="20"/>
  <c r="B355" i="19"/>
  <c r="B911" i="20"/>
  <c r="A4248" i="20"/>
  <c r="B8" i="14"/>
  <c r="B1091" i="20"/>
  <c r="A1303" i="16"/>
  <c r="A7724" i="20"/>
  <c r="A4106" i="20"/>
  <c r="A465" i="45"/>
  <c r="B8676" i="20"/>
  <c r="A7123" i="20"/>
  <c r="A5845" i="20"/>
  <c r="A1473" i="20"/>
  <c r="A7903" i="20"/>
  <c r="A5993" i="20"/>
  <c r="A5231" i="20"/>
  <c r="B8784" i="20"/>
  <c r="A5245" i="20"/>
  <c r="B6020" i="20"/>
  <c r="A2493" i="20"/>
  <c r="A2746" i="20"/>
  <c r="A2207" i="20"/>
  <c r="A8111" i="20"/>
  <c r="B6160" i="20"/>
  <c r="B4919" i="20"/>
  <c r="A4781" i="20"/>
  <c r="B5744" i="20"/>
  <c r="A2261" i="20"/>
  <c r="B4259" i="20"/>
  <c r="A1975" i="20"/>
  <c r="A5753" i="20"/>
  <c r="A4716" i="20"/>
  <c r="A4335" i="20"/>
  <c r="B3127" i="20"/>
  <c r="A1782" i="20"/>
  <c r="A1772" i="20"/>
  <c r="B1450" i="20"/>
  <c r="B871" i="16"/>
  <c r="B1290" i="20"/>
  <c r="A6453" i="20"/>
  <c r="B6151" i="20"/>
  <c r="A2693" i="20"/>
  <c r="A5633" i="20"/>
  <c r="B6516" i="20"/>
  <c r="A1877" i="20"/>
  <c r="B4450" i="20"/>
  <c r="A6322" i="20"/>
  <c r="A6719" i="20"/>
  <c r="A4669" i="20"/>
  <c r="B2873" i="20"/>
  <c r="A1388" i="20"/>
  <c r="B276" i="19"/>
  <c r="A30" i="17"/>
  <c r="B629" i="16"/>
  <c r="A6066" i="20"/>
  <c r="A2803" i="20"/>
  <c r="A2352" i="20"/>
  <c r="A7858" i="20"/>
  <c r="A5460" i="20"/>
  <c r="A5975" i="20"/>
  <c r="A2083" i="20"/>
  <c r="A7180" i="20"/>
  <c r="B5848" i="20"/>
  <c r="A6639" i="20"/>
  <c r="B6186" i="20"/>
  <c r="B5432" i="20"/>
  <c r="A1949" i="20"/>
  <c r="B3011" i="20"/>
  <c r="A1663" i="20"/>
  <c r="B7319" i="20"/>
  <c r="B8129" i="20"/>
  <c r="A6407" i="20"/>
  <c r="B5876" i="20"/>
  <c r="B5200" i="20"/>
  <c r="A1717" i="20"/>
  <c r="A2515" i="20"/>
  <c r="A1431" i="20"/>
  <c r="A6888" i="20"/>
  <c r="B6105" i="20"/>
  <c r="B4312" i="20"/>
  <c r="A2232" i="20"/>
  <c r="A1238" i="20"/>
  <c r="A1228" i="20"/>
  <c r="B116" i="19"/>
  <c r="B1722" i="16"/>
  <c r="B469" i="16"/>
  <c r="B5465" i="20"/>
  <c r="B4152" i="20"/>
  <c r="A2192" i="20"/>
  <c r="B5814" i="20"/>
  <c r="B7913" i="20"/>
  <c r="A5598" i="20"/>
  <c r="A7087" i="20"/>
  <c r="A8427" i="20"/>
  <c r="A8880" i="20"/>
  <c r="A6935" i="20"/>
  <c r="A6927" i="20"/>
  <c r="B7335" i="20"/>
  <c r="A7047" i="20"/>
  <c r="A6333" i="20"/>
  <c r="B2636" i="20"/>
  <c r="B7207" i="20"/>
  <c r="A7015" i="20"/>
  <c r="A6205" i="20"/>
  <c r="A2599" i="20"/>
  <c r="B7591" i="20"/>
  <c r="B2212" i="20"/>
  <c r="A8386" i="20"/>
  <c r="A4883" i="20"/>
  <c r="B3947" i="20"/>
  <c r="B7263" i="20"/>
  <c r="B6552" i="20"/>
  <c r="B2665" i="20"/>
  <c r="B6320" i="20"/>
  <c r="A2421" i="20"/>
  <c r="B8366" i="20"/>
  <c r="A8295" i="20"/>
  <c r="A4927" i="20"/>
  <c r="B3634" i="20"/>
  <c r="B5024" i="20"/>
  <c r="B6268" i="20"/>
  <c r="B3306" i="20"/>
  <c r="A24" i="21"/>
  <c r="A6471" i="20"/>
  <c r="B5962" i="20"/>
  <c r="B5264" i="20"/>
  <c r="A1781" i="20"/>
  <c r="A2579" i="20"/>
  <c r="A1495" i="20"/>
  <c r="A7978" i="20"/>
  <c r="A5170" i="20"/>
  <c r="B4568" i="20"/>
  <c r="A2296" i="20"/>
  <c r="A1302" i="20"/>
  <c r="A1292" i="20"/>
  <c r="B180" i="19"/>
  <c r="B1786" i="16"/>
  <c r="B533" i="16"/>
  <c r="B6489" i="20"/>
  <c r="B4408" i="20"/>
  <c r="A2256" i="20"/>
  <c r="B8107" i="20"/>
  <c r="B8695" i="20"/>
  <c r="A5119" i="20"/>
  <c r="B3730" i="20"/>
  <c r="A6316" i="20"/>
  <c r="A6672" i="20"/>
  <c r="A5903" i="20"/>
  <c r="B5364" i="20"/>
  <c r="B4696" i="20"/>
  <c r="A1213" i="20"/>
  <c r="A2011" i="20"/>
  <c r="B3913" i="20"/>
  <c r="A5388" i="20"/>
  <c r="A3334" i="20"/>
  <c r="A8109" i="20"/>
  <c r="B6772" i="20"/>
  <c r="A5526" i="20"/>
  <c r="A7761" i="20"/>
  <c r="A358" i="32"/>
  <c r="B7632" i="20"/>
  <c r="B7444" i="20"/>
  <c r="B6271" i="20"/>
  <c r="A5201" i="20"/>
  <c r="B5846" i="20"/>
  <c r="B5852" i="20"/>
  <c r="B3280" i="20"/>
  <c r="B4078" i="20"/>
  <c r="B2994" i="20"/>
  <c r="B8463" i="20"/>
  <c r="A251" i="32"/>
  <c r="A5522" i="20"/>
  <c r="A4692" i="20"/>
  <c r="C30" i="21"/>
  <c r="B5339" i="20"/>
  <c r="A4873" i="20"/>
  <c r="B5518" i="20"/>
  <c r="B5522" i="20"/>
  <c r="B2952" i="20"/>
  <c r="B3750" i="20"/>
  <c r="A4645" i="20"/>
  <c r="A8329" i="20"/>
  <c r="B5107" i="20"/>
  <c r="B6638" i="20"/>
  <c r="B5286" i="20"/>
  <c r="B5290" i="20"/>
  <c r="B2720" i="20"/>
  <c r="B3518" i="20"/>
  <c r="A4406" i="20"/>
  <c r="A6860" i="20"/>
  <c r="B5352" i="20"/>
  <c r="A4613" i="20"/>
  <c r="A3694" i="20"/>
  <c r="A2473" i="20"/>
  <c r="A2433" i="20"/>
  <c r="B167" i="19"/>
  <c r="A1641" i="16"/>
  <c r="A995" i="20"/>
  <c r="B3" i="12"/>
  <c r="A4453" i="20"/>
  <c r="A3534" i="20"/>
  <c r="A7841" i="20"/>
  <c r="B7129" i="20"/>
  <c r="A5875" i="20"/>
  <c r="A3428" i="20"/>
  <c r="B6770" i="20"/>
  <c r="A6571" i="20"/>
  <c r="B8883" i="20"/>
  <c r="B4718" i="20"/>
  <c r="B4722" i="20"/>
  <c r="A4124" i="20"/>
  <c r="B2950" i="20"/>
  <c r="A3838" i="20"/>
  <c r="B9131" i="20"/>
  <c r="A6339" i="20"/>
  <c r="A8106" i="20"/>
  <c r="A4525" i="20"/>
  <c r="A4529" i="20"/>
  <c r="B3955" i="20"/>
  <c r="B8221" i="20"/>
  <c r="A8252" i="20"/>
  <c r="A8570" i="20"/>
  <c r="A7988" i="20"/>
  <c r="B8452" i="20"/>
  <c r="A7194" i="20"/>
  <c r="B8638" i="20"/>
  <c r="B5027" i="20"/>
  <c r="B6558" i="20"/>
  <c r="B5206" i="20"/>
  <c r="B5210" i="20"/>
  <c r="A4612" i="20"/>
  <c r="B3438" i="20"/>
  <c r="A4326" i="20"/>
  <c r="A10" i="32"/>
  <c r="A6702" i="20"/>
  <c r="A6515" i="20"/>
  <c r="A4068" i="20"/>
  <c r="B7410" i="20"/>
  <c r="B4699" i="20"/>
  <c r="A219" i="45"/>
  <c r="B4878" i="20"/>
  <c r="B4882" i="20"/>
  <c r="A4284" i="20"/>
  <c r="B3110" i="20"/>
  <c r="A3998" i="20"/>
  <c r="B1009" i="45"/>
  <c r="A6499" i="20"/>
  <c r="B7713" i="20"/>
  <c r="B4646" i="20"/>
  <c r="B4650" i="20"/>
  <c r="A4052" i="20"/>
  <c r="B2878" i="20"/>
  <c r="A3766" i="20"/>
  <c r="A6847" i="20"/>
  <c r="A2995" i="20"/>
  <c r="B6206" i="20"/>
  <c r="A1679" i="20"/>
  <c r="B3129" i="20"/>
  <c r="B3057" i="20"/>
  <c r="B689" i="20"/>
  <c r="A1001" i="16"/>
  <c r="A355" i="20"/>
  <c r="B348" i="20"/>
  <c r="B5994" i="20"/>
  <c r="A1519" i="20"/>
  <c r="A8254" i="20"/>
  <c r="A5582" i="20"/>
  <c r="A7472" i="20"/>
  <c r="A1413" i="20"/>
  <c r="A7302" i="20"/>
  <c r="A5931" i="20"/>
  <c r="B7379" i="20"/>
  <c r="A4117" i="20"/>
  <c r="A4121" i="20"/>
  <c r="A3484" i="20"/>
  <c r="A4282" i="20"/>
  <c r="A3198" i="20"/>
  <c r="B7441" i="20"/>
  <c r="A5699" i="20"/>
  <c r="A7477" i="20"/>
  <c r="A3885" i="20"/>
  <c r="B5149" i="20"/>
  <c r="A3252" i="20"/>
  <c r="A4050" i="20"/>
  <c r="A2966" i="20"/>
  <c r="A6203" i="20"/>
  <c r="A3756" i="20"/>
  <c r="A6101" i="20"/>
  <c r="A2065" i="20"/>
  <c r="B1396" i="20"/>
  <c r="B1382" i="20"/>
  <c r="B6599" i="20"/>
  <c r="B1869" i="20"/>
  <c r="B5959" i="20"/>
  <c r="A5010" i="20"/>
  <c r="A4841" i="20"/>
  <c r="B3718" i="20"/>
  <c r="B7323" i="20"/>
  <c r="B5260" i="20"/>
  <c r="A3380" i="20"/>
  <c r="A1907" i="20"/>
  <c r="A1121" i="20"/>
  <c r="A4268" i="20"/>
  <c r="A3852" i="20"/>
  <c r="B2035" i="20"/>
  <c r="B1552" i="20"/>
  <c r="B2305" i="20"/>
  <c r="F67" i="13"/>
  <c r="B55" i="19"/>
  <c r="A8521" i="20"/>
  <c r="B5314" i="20"/>
  <c r="B2318" i="20"/>
  <c r="B8865" i="20"/>
  <c r="A411" i="45"/>
  <c r="B4801" i="20"/>
  <c r="B1282" i="20"/>
  <c r="A7219" i="20"/>
  <c r="A5387" i="20"/>
  <c r="A6216" i="20"/>
  <c r="A3573" i="20"/>
  <c r="A5933" i="20"/>
  <c r="A2940" i="20"/>
  <c r="A3738" i="20"/>
  <c r="A2654" i="20"/>
  <c r="A6278" i="20"/>
  <c r="A5155" i="20"/>
  <c r="A5288" i="20"/>
  <c r="A3341" i="20"/>
  <c r="A5429" i="20"/>
  <c r="A2708" i="20"/>
  <c r="A3506" i="20"/>
  <c r="B3891" i="20"/>
  <c r="B6024" i="20"/>
  <c r="B7218" i="20"/>
  <c r="B4834" i="20"/>
  <c r="B2078" i="20"/>
  <c r="B3119" i="20"/>
  <c r="B3079" i="20"/>
  <c r="B1665" i="20"/>
  <c r="B130" i="12"/>
  <c r="B70" i="18"/>
  <c r="A7608" i="20"/>
  <c r="B4674" i="20"/>
  <c r="B1998" i="20"/>
  <c r="B6932" i="20"/>
  <c r="A6569" i="20"/>
  <c r="B6287" i="20"/>
  <c r="B8414" i="20"/>
  <c r="B7398" i="20"/>
  <c r="B7949" i="20"/>
  <c r="A8092" i="20"/>
  <c r="A8084" i="20"/>
  <c r="A51" i="25"/>
  <c r="A8284" i="20"/>
  <c r="A4940" i="20"/>
  <c r="A4391" i="20"/>
  <c r="B9087" i="20"/>
  <c r="A8220" i="20"/>
  <c r="A4812" i="20"/>
  <c r="A4359" i="20"/>
  <c r="V2" i="33"/>
  <c r="A8412" i="20"/>
  <c r="B852" i="45"/>
  <c r="A5108" i="20"/>
  <c r="B8065" i="20"/>
  <c r="A1731" i="20"/>
  <c r="A4189" i="20"/>
  <c r="A7360" i="20"/>
  <c r="A3369" i="20"/>
  <c r="B7499" i="20"/>
  <c r="A3087" i="20"/>
  <c r="A6044" i="20"/>
  <c r="B8345" i="20"/>
  <c r="A4481" i="20"/>
  <c r="B7784" i="20"/>
  <c r="A7430" i="20"/>
  <c r="A4153" i="20"/>
  <c r="B7569" i="20"/>
  <c r="B4785" i="20"/>
  <c r="B5863" i="20"/>
  <c r="A3411" i="20"/>
  <c r="A2907" i="20"/>
  <c r="B1266" i="20"/>
  <c r="B4610" i="20"/>
  <c r="A3344" i="20"/>
  <c r="A5021" i="20"/>
  <c r="B6438" i="20"/>
  <c r="B3318" i="20"/>
  <c r="A228" i="20"/>
  <c r="B1259" i="20"/>
  <c r="B2523" i="20"/>
  <c r="B231" i="16"/>
  <c r="B3269" i="20"/>
  <c r="A1559" i="16"/>
  <c r="B6278" i="20"/>
  <c r="B3158" i="20"/>
  <c r="A9036" i="20"/>
  <c r="B8152" i="20"/>
  <c r="A8878" i="20"/>
  <c r="A4577" i="20"/>
  <c r="A2417" i="20"/>
  <c r="B6169" i="20"/>
  <c r="A6249" i="20"/>
  <c r="A5743" i="20"/>
  <c r="A5751" i="20"/>
  <c r="B4328" i="20"/>
  <c r="A3137" i="20"/>
  <c r="B4042" i="20"/>
  <c r="A1617" i="20"/>
  <c r="B8417" i="20"/>
  <c r="B2468" i="20"/>
  <c r="B8783" i="20"/>
  <c r="A8742" i="20"/>
  <c r="B7021" i="20"/>
  <c r="A7991" i="20"/>
  <c r="B6783" i="20"/>
  <c r="A7367" i="20"/>
  <c r="A6214" i="20"/>
  <c r="A5139" i="20"/>
  <c r="A5224" i="20"/>
  <c r="A3325" i="20"/>
  <c r="A5397" i="20"/>
  <c r="A2692" i="20"/>
  <c r="A3490" i="20"/>
  <c r="B3827" i="20"/>
  <c r="A6910" i="20"/>
  <c r="A7220" i="20"/>
  <c r="B6526" i="20"/>
  <c r="B3406" i="20"/>
  <c r="A4902" i="20"/>
  <c r="A4811" i="20"/>
  <c r="B5871" i="20"/>
  <c r="A6301" i="20"/>
  <c r="A4741" i="20"/>
  <c r="B3659" i="20"/>
  <c r="A3162" i="20"/>
  <c r="B2625" i="20"/>
  <c r="B5933" i="20"/>
  <c r="B6576" i="20"/>
  <c r="B5335" i="20"/>
  <c r="A5613" i="20"/>
  <c r="B6274" i="20"/>
  <c r="B2731" i="20"/>
  <c r="A2930" i="20"/>
  <c r="A2391" i="20"/>
  <c r="B5385" i="20"/>
  <c r="B8736" i="20"/>
  <c r="B5998" i="20"/>
  <c r="B1228" i="20"/>
  <c r="A2198" i="20"/>
  <c r="A2188" i="20"/>
  <c r="A693" i="20"/>
  <c r="B139" i="10"/>
  <c r="B1429" i="16"/>
  <c r="B7985" i="20"/>
  <c r="B5800" i="20"/>
  <c r="B1174" i="20"/>
  <c r="B6347" i="20"/>
  <c r="A6100" i="20"/>
  <c r="A6615" i="20"/>
  <c r="B2915" i="20"/>
  <c r="B7576" i="20"/>
  <c r="B6008" i="20"/>
  <c r="B4767" i="20"/>
  <c r="B6474" i="20"/>
  <c r="B5592" i="20"/>
  <c r="A2109" i="20"/>
  <c r="B3651" i="20"/>
  <c r="A1823" i="20"/>
  <c r="A6892" i="20"/>
  <c r="B9024" i="20"/>
  <c r="A6567" i="20"/>
  <c r="B6090" i="20"/>
  <c r="B5360" i="20"/>
  <c r="B4252" i="20"/>
  <c r="B7364" i="20"/>
  <c r="A7601" i="20"/>
  <c r="A4962" i="20"/>
  <c r="A7502" i="20"/>
  <c r="A6913" i="20"/>
  <c r="A6727" i="20"/>
  <c r="B5613" i="20"/>
  <c r="B6496" i="20"/>
  <c r="B5255" i="20"/>
  <c r="A5453" i="20"/>
  <c r="B6158" i="20"/>
  <c r="A2597" i="20"/>
  <c r="A2850" i="20"/>
  <c r="A2311" i="20"/>
  <c r="A6961" i="20"/>
  <c r="A6753" i="20"/>
  <c r="B5223" i="20"/>
  <c r="A2818" i="20"/>
  <c r="A8239" i="20"/>
  <c r="B6168" i="20"/>
  <c r="B4927" i="20"/>
  <c r="A4797" i="20"/>
  <c r="B5752" i="20"/>
  <c r="A2269" i="20"/>
  <c r="B4291" i="20"/>
  <c r="A1983" i="20"/>
  <c r="A7532" i="20"/>
  <c r="B5936" i="20"/>
  <c r="B4695" i="20"/>
  <c r="B6330" i="20"/>
  <c r="B5520" i="20"/>
  <c r="A2037" i="20"/>
  <c r="B3363" i="20"/>
  <c r="A1751" i="20"/>
  <c r="A4857" i="20"/>
  <c r="A7186" i="20"/>
  <c r="A3439" i="20"/>
  <c r="A2552" i="20"/>
  <c r="A1558" i="20"/>
  <c r="A1548" i="20"/>
  <c r="A53" i="20"/>
  <c r="A95" i="18"/>
  <c r="B789" i="16"/>
  <c r="B7613" i="20"/>
  <c r="A3865" i="20"/>
  <c r="A2512" i="20"/>
  <c r="A6853" i="20"/>
  <c r="A1133" i="45"/>
  <c r="B6439" i="20"/>
  <c r="A2765" i="20"/>
  <c r="A7353" i="20"/>
  <c r="B7080" i="20"/>
  <c r="A6159" i="20"/>
  <c r="B5620" i="20"/>
  <c r="B4952" i="20"/>
  <c r="A1469" i="20"/>
  <c r="A2267" i="20"/>
  <c r="A1183" i="20"/>
  <c r="A6412" i="20"/>
  <c r="A6768" i="20"/>
  <c r="A5927" i="20"/>
  <c r="B5388" i="20"/>
  <c r="B4720" i="20"/>
  <c r="A1237" i="20"/>
  <c r="A2035" i="20"/>
  <c r="B4009" i="20"/>
  <c r="B4911" i="20"/>
  <c r="B4779" i="20"/>
  <c r="A4364" i="20"/>
  <c r="A1752" i="20"/>
  <c r="B1589" i="20"/>
  <c r="A3126" i="20"/>
  <c r="A4080" i="20"/>
  <c r="A361" i="16"/>
  <c r="A3440" i="20"/>
  <c r="A3441" i="20"/>
  <c r="A3477" i="20"/>
  <c r="B4435" i="20"/>
  <c r="A6920" i="20"/>
  <c r="A4273" i="20"/>
  <c r="B2514" i="20"/>
  <c r="B3170" i="20"/>
  <c r="B8513" i="20"/>
  <c r="A9046" i="20"/>
  <c r="A2677" i="20"/>
  <c r="B2735" i="20"/>
  <c r="B1968" i="20"/>
  <c r="A11" i="17"/>
  <c r="B2256" i="20"/>
  <c r="B105" i="12"/>
  <c r="A5115" i="20"/>
  <c r="A2668" i="20"/>
  <c r="A1328" i="20"/>
  <c r="A8034" i="20"/>
  <c r="A7418" i="20"/>
  <c r="B3662" i="20"/>
  <c r="A6557" i="20"/>
  <c r="B2771" i="20"/>
  <c r="A5741" i="20"/>
  <c r="A2455" i="20"/>
  <c r="B1312" i="20"/>
  <c r="H23" i="11"/>
  <c r="B1260" i="20"/>
  <c r="A5061" i="20"/>
  <c r="B6573" i="20"/>
  <c r="B6594" i="20"/>
  <c r="A5744" i="20"/>
  <c r="A2358" i="20"/>
  <c r="B1589" i="16"/>
  <c r="B1619" i="20"/>
  <c r="B263" i="20"/>
  <c r="B3007" i="20"/>
  <c r="A6237" i="20"/>
  <c r="B1771" i="20"/>
  <c r="A1687" i="16"/>
  <c r="B8927" i="20"/>
  <c r="A4722" i="20"/>
  <c r="B4456" i="20"/>
  <c r="B5753" i="20"/>
  <c r="B6252" i="20"/>
  <c r="B4608" i="20"/>
  <c r="B2718" i="20"/>
  <c r="A1335" i="20"/>
  <c r="B5380" i="20"/>
  <c r="B5476" i="20"/>
  <c r="A2136" i="20"/>
  <c r="B879" i="20"/>
  <c r="A1000" i="20"/>
  <c r="A350" i="19"/>
  <c r="B4029" i="20"/>
  <c r="B5" i="15"/>
  <c r="A5647" i="20"/>
  <c r="B3994" i="20"/>
  <c r="B8751" i="20"/>
  <c r="A8116" i="20"/>
  <c r="B6515" i="20"/>
  <c r="A4295" i="20"/>
  <c r="B8624" i="20"/>
  <c r="A4792" i="20"/>
  <c r="A5321" i="20"/>
  <c r="B6006" i="20"/>
  <c r="B6012" i="20"/>
  <c r="B3400" i="20"/>
  <c r="B4198" i="20"/>
  <c r="B3114" i="20"/>
  <c r="A8679" i="20"/>
  <c r="B5823" i="20"/>
  <c r="A5089" i="20"/>
  <c r="B5734" i="20"/>
  <c r="B5738" i="20"/>
  <c r="B3168" i="20"/>
  <c r="B3966" i="20"/>
  <c r="B2882" i="20"/>
  <c r="B6897" i="20"/>
  <c r="A6637" i="20"/>
  <c r="A4687" i="20"/>
  <c r="B3514" i="20"/>
  <c r="A3720" i="20"/>
  <c r="A3680" i="20"/>
  <c r="A680" i="20"/>
  <c r="A127" i="18"/>
  <c r="B2361" i="20"/>
  <c r="B74" i="13"/>
  <c r="B6364" i="20"/>
  <c r="B3354" i="20"/>
  <c r="B250" i="45"/>
  <c r="B705" i="45"/>
  <c r="A4031" i="20"/>
  <c r="B7881" i="20"/>
  <c r="A3799" i="20"/>
  <c r="A5263" i="20"/>
  <c r="A290" i="20"/>
  <c r="B2311" i="20"/>
  <c r="A4456" i="20"/>
  <c r="A4416" i="20"/>
  <c r="A1048" i="20"/>
  <c r="A4367" i="20"/>
  <c r="A1481" i="20"/>
  <c r="H14" i="11"/>
  <c r="A7131" i="20"/>
  <c r="A6315" i="20"/>
  <c r="A3868" i="20"/>
  <c r="A6595" i="20"/>
  <c r="B4742" i="20"/>
  <c r="B3712" i="20"/>
  <c r="A3794" i="20"/>
  <c r="B2612" i="20"/>
  <c r="B5906" i="20"/>
  <c r="B6034" i="20"/>
  <c r="A1368" i="20"/>
  <c r="B3884" i="20"/>
  <c r="B103" i="19"/>
  <c r="A1609" i="16"/>
  <c r="A963" i="20"/>
  <c r="B118" i="11"/>
  <c r="A4325" i="20"/>
  <c r="A3406" i="20"/>
  <c r="AG1" i="29"/>
  <c r="A8375" i="20"/>
  <c r="A7525" i="20"/>
  <c r="B3888" i="20"/>
  <c r="A8649" i="20"/>
  <c r="B5147" i="20"/>
  <c r="A4681" i="20"/>
  <c r="B5326" i="20"/>
  <c r="B5330" i="20"/>
  <c r="B2760" i="20"/>
  <c r="B3558" i="20"/>
  <c r="A4446" i="20"/>
  <c r="B7742" i="20"/>
  <c r="B4915" i="20"/>
  <c r="B6446" i="20"/>
  <c r="B5094" i="20"/>
  <c r="B5098" i="20"/>
  <c r="A4500" i="20"/>
  <c r="B3326" i="20"/>
  <c r="A4214" i="20"/>
  <c r="A5868" i="20"/>
  <c r="A4623" i="20"/>
  <c r="A3845" i="20"/>
  <c r="A2926" i="20"/>
  <c r="A1705" i="20"/>
  <c r="A1665" i="20"/>
  <c r="B1923" i="20"/>
  <c r="A1449" i="16"/>
  <c r="A803" i="20"/>
  <c r="G44" i="11"/>
  <c r="A3685" i="20"/>
  <c r="A2766" i="20"/>
  <c r="A7953" i="20"/>
  <c r="A5688" i="20"/>
  <c r="B3624" i="20"/>
  <c r="A4760" i="20"/>
  <c r="B3392" i="20"/>
  <c r="A4667" i="20"/>
  <c r="A4576" i="20"/>
  <c r="A55" i="16"/>
  <c r="A2441" i="20"/>
  <c r="A2401" i="20"/>
  <c r="B151" i="19"/>
  <c r="A1633" i="16"/>
  <c r="A987" i="20"/>
  <c r="B131" i="11"/>
  <c r="A2027" i="20"/>
  <c r="B215" i="20"/>
  <c r="H86" i="11"/>
  <c r="A607" i="16"/>
  <c r="A453" i="16"/>
  <c r="A6143" i="20"/>
  <c r="B3135" i="20"/>
  <c r="A5983" i="20"/>
  <c r="A5068" i="20"/>
  <c r="A5353" i="20"/>
  <c r="B4230" i="20"/>
  <c r="B7464" i="20"/>
  <c r="B5644" i="20"/>
  <c r="A3508" i="20"/>
  <c r="A2163" i="20"/>
  <c r="A1377" i="20"/>
  <c r="B2808" i="20"/>
  <c r="B2904" i="20"/>
  <c r="B2547" i="20"/>
  <c r="B1724" i="20"/>
  <c r="B3293" i="20"/>
  <c r="G130" i="13"/>
  <c r="B144" i="20"/>
  <c r="B7060" i="20"/>
  <c r="B5826" i="20"/>
  <c r="B2574" i="20"/>
  <c r="A7801" i="20"/>
  <c r="B5877" i="20"/>
  <c r="B5313" i="20"/>
  <c r="B1794" i="20"/>
  <c r="B6705" i="20"/>
  <c r="A5515" i="20"/>
  <c r="A6741" i="20"/>
  <c r="A3701" i="20"/>
  <c r="A6445" i="20"/>
  <c r="A3068" i="20"/>
  <c r="A3866" i="20"/>
  <c r="A2782" i="20"/>
  <c r="A6803" i="20"/>
  <c r="A5283" i="20"/>
  <c r="A5800" i="20"/>
  <c r="A3469" i="20"/>
  <c r="A5685" i="20"/>
  <c r="A2836" i="20"/>
  <c r="A3634" i="20"/>
  <c r="B4403" i="20"/>
  <c r="B6536" i="20"/>
  <c r="B7755" i="20"/>
  <c r="B5346" i="20"/>
  <c r="B2334" i="20"/>
  <c r="B3631" i="20"/>
  <c r="B3591" i="20"/>
  <c r="B2177" i="20"/>
  <c r="B53" i="13"/>
  <c r="B12" i="19"/>
  <c r="B8446" i="20"/>
  <c r="B5186" i="20"/>
  <c r="A5033" i="20"/>
  <c r="B5214" i="20"/>
  <c r="A2564" i="20"/>
  <c r="B644" i="20"/>
  <c r="C109" i="18"/>
  <c r="A2919" i="20"/>
  <c r="B1796" i="20"/>
  <c r="B560" i="20"/>
  <c r="A197" i="16"/>
  <c r="A960" i="20"/>
  <c r="A1394" i="16"/>
  <c r="A880" i="20"/>
  <c r="A3374" i="20"/>
  <c r="A2113" i="20"/>
  <c r="A1561" i="16"/>
  <c r="G96" i="11"/>
  <c r="H28" i="11"/>
  <c r="A896" i="20"/>
  <c r="A1362" i="16"/>
  <c r="A816" i="20"/>
  <c r="B3475" i="20"/>
  <c r="A1305" i="20"/>
  <c r="A7348" i="20"/>
  <c r="A4843" i="20"/>
  <c r="B3787" i="20"/>
  <c r="B6608" i="20"/>
  <c r="B2859" i="20"/>
  <c r="B5645" i="20"/>
  <c r="A2220" i="20"/>
  <c r="A9030" i="20"/>
  <c r="B2440" i="20"/>
  <c r="B2422" i="20"/>
  <c r="B465" i="20"/>
  <c r="A833" i="16"/>
  <c r="A187" i="20"/>
  <c r="A76" i="19"/>
  <c r="B2963" i="20"/>
  <c r="A1241" i="20"/>
  <c r="A1265" i="16"/>
  <c r="B2207" i="20"/>
  <c r="B788" i="20"/>
  <c r="B4197" i="20"/>
  <c r="A754" i="16"/>
  <c r="B2917" i="20"/>
  <c r="A2647" i="20"/>
  <c r="A1193" i="20"/>
  <c r="A1241" i="16"/>
  <c r="B1823" i="20"/>
  <c r="B724" i="20"/>
  <c r="B3173" i="20"/>
  <c r="A722" i="16"/>
  <c r="A5164" i="20"/>
  <c r="A4447" i="20"/>
  <c r="B6195" i="20"/>
  <c r="A4215" i="20"/>
  <c r="A7341" i="20"/>
  <c r="A706" i="20"/>
  <c r="B30" i="12"/>
  <c r="B3248" i="20"/>
  <c r="B4289" i="20"/>
  <c r="A7069" i="20"/>
  <c r="B3361" i="20"/>
  <c r="A5019" i="20"/>
  <c r="B1582" i="20"/>
  <c r="A4859" i="20"/>
  <c r="B1598" i="20"/>
  <c r="B1584" i="20"/>
  <c r="A303" i="19"/>
  <c r="B5598" i="20"/>
  <c r="A296" i="20"/>
  <c r="B5438" i="20"/>
  <c r="B4867" i="20"/>
  <c r="B6326" i="20"/>
  <c r="B3206" i="20"/>
  <c r="B6811" i="20"/>
  <c r="B5132" i="20"/>
  <c r="A3124" i="20"/>
  <c r="A1779" i="20"/>
  <c r="B3665" i="20"/>
  <c r="A3244" i="20"/>
  <c r="A3340" i="20"/>
  <c r="B1523" i="20"/>
  <c r="B1212" i="20"/>
  <c r="B1793" i="20"/>
  <c r="A8" i="13"/>
  <c r="C91" i="18"/>
  <c r="B7090" i="20"/>
  <c r="B4802" i="20"/>
  <c r="B2062" i="20"/>
  <c r="A419" i="45"/>
  <c r="A102" i="32"/>
  <c r="A6321" i="20"/>
  <c r="A3209" i="20"/>
  <c r="A6707" i="20"/>
  <c r="A5259" i="20"/>
  <c r="A5704" i="20"/>
  <c r="A3445" i="20"/>
  <c r="A5637" i="20"/>
  <c r="A2812" i="20"/>
  <c r="A3610" i="20"/>
  <c r="B4307" i="20"/>
  <c r="A5766" i="20"/>
  <c r="A5027" i="20"/>
  <c r="A4776" i="20"/>
  <c r="B5133" i="20"/>
  <c r="A5173" i="20"/>
  <c r="B4523" i="20"/>
  <c r="A3378" i="20"/>
  <c r="B3379" i="20"/>
  <c r="B8436" i="20"/>
  <c r="B8396" i="20"/>
  <c r="A4361" i="20"/>
  <c r="B1824" i="20"/>
  <c r="B2656" i="20"/>
  <c r="A2643" i="20"/>
  <c r="B1153" i="20"/>
  <c r="G69" i="12"/>
  <c r="A25" i="17"/>
  <c r="B6784" i="20"/>
  <c r="A4201" i="20"/>
  <c r="B1772" i="20"/>
  <c r="B7121" i="20"/>
  <c r="A6057" i="20"/>
  <c r="A2945" i="20"/>
  <c r="A5825" i="20"/>
  <c r="A2713" i="20"/>
  <c r="A11" i="24"/>
  <c r="A2394" i="20"/>
  <c r="B7681" i="20"/>
  <c r="B3343" i="20"/>
  <c r="B3303" i="20"/>
  <c r="B1889" i="20"/>
  <c r="A5997" i="20"/>
  <c r="A949" i="20"/>
  <c r="A5605" i="20"/>
  <c r="B6031" i="20"/>
  <c r="B5023" i="20"/>
  <c r="A2618" i="20"/>
  <c r="B5137" i="20"/>
  <c r="A3763" i="20"/>
  <c r="B3627" i="20"/>
  <c r="A2799" i="20"/>
  <c r="A6374" i="20"/>
  <c r="A6771" i="20"/>
  <c r="B2346" i="20"/>
  <c r="A3336" i="20"/>
  <c r="A2412" i="20"/>
  <c r="A661" i="20"/>
  <c r="B3541" i="20"/>
  <c r="B1397" i="16"/>
  <c r="B7908" i="20"/>
  <c r="B5672" i="20"/>
  <c r="B4607" i="20"/>
  <c r="A5918" i="20"/>
  <c r="B7519" i="20"/>
  <c r="B6792" i="20"/>
  <c r="A4610" i="20"/>
  <c r="B6093" i="20"/>
  <c r="B6616" i="20"/>
  <c r="B5375" i="20"/>
  <c r="A5693" i="20"/>
  <c r="B6354" i="20"/>
  <c r="B2891" i="20"/>
  <c r="A2970" i="20"/>
  <c r="A2431" i="20"/>
  <c r="B8992" i="20"/>
  <c r="B6384" i="20"/>
  <c r="B5143" i="20"/>
  <c r="A5229" i="20"/>
  <c r="B6010" i="20"/>
  <c r="A2485" i="20"/>
  <c r="A2738" i="20"/>
  <c r="A2199" i="20"/>
  <c r="B6652" i="20"/>
  <c r="B7287" i="20"/>
  <c r="B5192" i="20"/>
  <c r="B4023" i="20"/>
  <c r="A2006" i="20"/>
  <c r="A1996" i="20"/>
  <c r="A501" i="20"/>
  <c r="B932" i="20"/>
  <c r="B1237" i="16"/>
  <c r="A7678" i="20"/>
  <c r="B5032" i="20"/>
  <c r="B3863" i="20"/>
  <c r="A8383" i="20"/>
  <c r="B7635" i="20"/>
  <c r="A4346" i="20"/>
  <c r="B6707" i="20"/>
  <c r="A4114" i="20"/>
  <c r="B5093" i="20"/>
  <c r="A215" i="19"/>
  <c r="A6485" i="20"/>
  <c r="A2190" i="20"/>
  <c r="A2180" i="20"/>
  <c r="A685" i="20"/>
  <c r="A136" i="10"/>
  <c r="B1421" i="16"/>
  <c r="B416" i="16"/>
  <c r="A1856" i="20"/>
  <c r="B3588" i="20"/>
  <c r="B4164" i="20"/>
  <c r="B90" i="13"/>
  <c r="A3638" i="20"/>
  <c r="A1167" i="20"/>
  <c r="A873" i="16"/>
  <c r="B4233" i="20"/>
  <c r="B3809" i="20"/>
  <c r="A3989" i="20"/>
  <c r="A3070" i="20"/>
  <c r="A8223" i="20"/>
  <c r="A4694" i="20"/>
  <c r="B2651" i="20"/>
  <c r="B3298" i="20"/>
  <c r="A6673" i="20"/>
  <c r="B6248" i="20"/>
  <c r="A3189" i="20"/>
  <c r="B3759" i="20"/>
  <c r="B3993" i="20"/>
  <c r="A61" i="18"/>
  <c r="A1235" i="20"/>
  <c r="G29" i="13"/>
  <c r="A5627" i="20"/>
  <c r="A3180" i="20"/>
  <c r="A1456" i="20"/>
  <c r="B6882" i="20"/>
  <c r="A8050" i="20"/>
  <c r="B5974" i="20"/>
  <c r="B3090" i="20"/>
  <c r="A5676" i="20"/>
  <c r="B7099" i="20"/>
  <c r="A8982" i="20"/>
  <c r="B5204" i="20"/>
  <c r="A4575" i="20"/>
  <c r="B4417" i="20"/>
  <c r="A1851" i="20"/>
  <c r="B3273" i="20"/>
  <c r="A4748" i="20"/>
  <c r="A7197" i="20"/>
  <c r="B8244" i="20"/>
  <c r="B4972" i="20"/>
  <c r="A4343" i="20"/>
  <c r="B3489" i="20"/>
  <c r="A1619" i="20"/>
  <c r="B2580" i="20"/>
  <c r="A7296" i="20"/>
  <c r="A5147" i="20"/>
  <c r="A2700" i="20"/>
  <c r="A1336" i="20"/>
  <c r="A834" i="20"/>
  <c r="B1752" i="20"/>
  <c r="B1831" i="16"/>
  <c r="B2000" i="20"/>
  <c r="F90" i="12"/>
  <c r="A4987" i="20"/>
  <c r="B4363" i="20"/>
  <c r="B2826" i="20"/>
  <c r="A1801" i="16"/>
  <c r="B172" i="19"/>
  <c r="B1081" i="20"/>
  <c r="A188" i="19"/>
  <c r="A556" i="20"/>
  <c r="A125" i="20"/>
  <c r="B135" i="10"/>
  <c r="A5680" i="20"/>
  <c r="A4639" i="20"/>
  <c r="A3967" i="20"/>
  <c r="B2490" i="20"/>
  <c r="A3159" i="20"/>
  <c r="B2204" i="20"/>
  <c r="A7879" i="20"/>
  <c r="A4752" i="20"/>
  <c r="B6859" i="20"/>
  <c r="A4403" i="20"/>
  <c r="A3735" i="20"/>
  <c r="B2258" i="20"/>
  <c r="A2927" i="20"/>
  <c r="B1972" i="20"/>
  <c r="A4751" i="20"/>
  <c r="A7165" i="20"/>
  <c r="B3457" i="20"/>
  <c r="B1469" i="20"/>
  <c r="A226" i="20"/>
  <c r="B3932" i="20"/>
  <c r="A868" i="20"/>
  <c r="A902" i="20"/>
  <c r="B1007" i="45"/>
  <c r="A4432" i="20"/>
  <c r="A3483" i="20"/>
  <c r="A3632" i="20"/>
  <c r="B4791" i="20"/>
  <c r="B5616" i="20"/>
  <c r="B4503" i="20"/>
  <c r="A3734" i="20"/>
  <c r="B25" i="37"/>
  <c r="B7432" i="20"/>
  <c r="A1551" i="20"/>
  <c r="A1398" i="20"/>
  <c r="A766" i="20"/>
  <c r="B839" i="16"/>
  <c r="A838" i="20"/>
  <c r="B57" i="19"/>
  <c r="B4681" i="20"/>
  <c r="B1162" i="20"/>
  <c r="A796" i="20"/>
  <c r="A7826" i="20"/>
  <c r="A5402" i="20"/>
  <c r="B5436" i="20"/>
  <c r="B4201" i="20"/>
  <c r="A7122" i="20"/>
  <c r="B5483" i="20"/>
  <c r="A6624" i="20"/>
  <c r="A4091" i="20"/>
  <c r="A3423" i="20"/>
  <c r="B1946" i="20"/>
  <c r="A3303" i="20"/>
  <c r="B4092" i="20"/>
  <c r="B7261" i="20"/>
  <c r="B5233" i="20"/>
  <c r="A5696" i="20"/>
  <c r="A3859" i="20"/>
  <c r="A3513" i="20"/>
  <c r="B1714" i="20"/>
  <c r="A3069" i="20"/>
  <c r="B3164" i="20"/>
  <c r="A4261" i="20"/>
  <c r="A6233" i="20"/>
  <c r="A3121" i="20"/>
  <c r="A676" i="20"/>
  <c r="B4229" i="20"/>
  <c r="A446" i="20"/>
  <c r="B679" i="16"/>
  <c r="A518" i="20"/>
  <c r="B71" i="18"/>
  <c r="A6073" i="20"/>
  <c r="A2961" i="20"/>
  <c r="A636" i="20"/>
  <c r="B2962" i="20"/>
  <c r="A5712" i="20"/>
  <c r="B7508" i="20"/>
  <c r="A236" i="32"/>
  <c r="B202" i="45"/>
  <c r="A1" i="22"/>
  <c r="C52" i="21"/>
  <c r="A49" i="32"/>
  <c r="A106" i="32"/>
  <c r="A4934" i="20"/>
  <c r="A4757" i="20"/>
  <c r="C11" i="21"/>
  <c r="A36" i="31"/>
  <c r="A4806" i="20"/>
  <c r="A4693" i="20"/>
  <c r="B364" i="45"/>
  <c r="A362" i="32"/>
  <c r="A7739" i="20"/>
  <c r="A7425" i="20"/>
  <c r="B6159" i="20"/>
  <c r="A3234" i="20"/>
  <c r="B7670" i="20"/>
  <c r="B5311" i="20"/>
  <c r="A2906" i="20"/>
  <c r="B5079" i="20"/>
  <c r="A2674" i="20"/>
  <c r="A7030" i="20"/>
  <c r="A7173" i="20"/>
  <c r="A4935" i="20"/>
  <c r="A7765" i="20"/>
  <c r="B586" i="45"/>
  <c r="B6276" i="20"/>
  <c r="B7776" i="20"/>
  <c r="B5297" i="20"/>
  <c r="A5952" i="20"/>
  <c r="A3923" i="20"/>
  <c r="A3769" i="20"/>
  <c r="B1778" i="20"/>
  <c r="A3133" i="20"/>
  <c r="B3420" i="20"/>
  <c r="A4517" i="20"/>
  <c r="A6489" i="20"/>
  <c r="A3601" i="20"/>
  <c r="A740" i="20"/>
  <c r="B129" i="19"/>
  <c r="A574" i="20"/>
  <c r="B743" i="16"/>
  <c r="A646" i="20"/>
  <c r="A115" i="18"/>
  <c r="A6329" i="20"/>
  <c r="A3217" i="20"/>
  <c r="A4" i="37"/>
  <c r="A6821" i="20"/>
  <c r="A7557" i="20"/>
  <c r="A5127" i="20"/>
  <c r="A3920" i="20"/>
  <c r="A6258" i="20"/>
  <c r="B4729" i="20"/>
  <c r="B5639" i="20"/>
  <c r="A3355" i="20"/>
  <c r="A2851" i="20"/>
  <c r="B1210" i="20"/>
  <c r="B4554" i="20"/>
  <c r="A3120" i="20"/>
  <c r="A5330" i="20"/>
  <c r="A1191" i="20"/>
  <c r="A8408" i="20"/>
  <c r="A5534" i="20"/>
  <c r="A214" i="32"/>
  <c r="A310" i="32"/>
  <c r="B7423" i="20"/>
  <c r="B6853" i="20"/>
  <c r="B7249" i="20"/>
  <c r="A5651" i="20"/>
  <c r="A7285" i="20"/>
  <c r="A3837" i="20"/>
  <c r="B4957" i="20"/>
  <c r="A3204" i="20"/>
  <c r="A4002" i="20"/>
  <c r="A2918" i="20"/>
  <c r="B7973" i="20"/>
  <c r="A347" i="32"/>
  <c r="A6577" i="20"/>
  <c r="A3953" i="20"/>
  <c r="A6963" i="20"/>
  <c r="A5323" i="20"/>
  <c r="A5960" i="20"/>
  <c r="A3509" i="20"/>
  <c r="A5765" i="20"/>
  <c r="A2876" i="20"/>
  <c r="A3674" i="20"/>
  <c r="B4563" i="20"/>
  <c r="A6022" i="20"/>
  <c r="A5091" i="20"/>
  <c r="A5032" i="20"/>
  <c r="B5389" i="20"/>
  <c r="A5301" i="20"/>
  <c r="A2644" i="20"/>
  <c r="A3442" i="20"/>
  <c r="B3635" i="20"/>
  <c r="B8768" i="20"/>
  <c r="B8688" i="20"/>
  <c r="A4617" i="20"/>
  <c r="B1950" i="20"/>
  <c r="B2863" i="20"/>
  <c r="B2823" i="20"/>
  <c r="B1409" i="20"/>
  <c r="G100" i="12"/>
  <c r="C27" i="18"/>
  <c r="B7961" i="20"/>
  <c r="A4457" i="20"/>
  <c r="B1870" i="20"/>
  <c r="B6341" i="20"/>
  <c r="B7135" i="20"/>
  <c r="B7155" i="20"/>
  <c r="A4226" i="20"/>
  <c r="B5709" i="20"/>
  <c r="B6520" i="20"/>
  <c r="B5279" i="20"/>
  <c r="A5501" i="20"/>
  <c r="B6190" i="20"/>
  <c r="A2623" i="20"/>
  <c r="A2874" i="20"/>
  <c r="A2335" i="20"/>
  <c r="B13" i="21"/>
  <c r="B6288" i="20"/>
  <c r="B5047" i="20"/>
  <c r="A5037" i="20"/>
  <c r="B5882" i="20"/>
  <c r="B2340" i="20"/>
  <c r="B8077" i="20"/>
  <c r="A8602" i="20"/>
  <c r="A7535" i="20"/>
  <c r="B8428" i="20"/>
  <c r="A7553" i="20"/>
  <c r="A7239" i="20"/>
  <c r="A5702" i="20"/>
  <c r="A5011" i="20"/>
  <c r="A4712" i="20"/>
  <c r="B5069" i="20"/>
  <c r="A5141" i="20"/>
  <c r="B4459" i="20"/>
  <c r="A3362" i="20"/>
  <c r="B3315" i="20"/>
  <c r="A6955" i="20"/>
  <c r="A6708" i="20"/>
  <c r="B7969" i="20"/>
  <c r="B2894" i="20"/>
  <c r="B6349" i="20"/>
  <c r="A4683" i="20"/>
  <c r="B5439" i="20"/>
  <c r="A5821" i="20"/>
  <c r="B6482" i="20"/>
  <c r="B3147" i="20"/>
  <c r="A3034" i="20"/>
  <c r="A2495" i="20"/>
  <c r="A898" i="45"/>
  <c r="B6448" i="20"/>
  <c r="B5207" i="20"/>
  <c r="A5357" i="20"/>
  <c r="B6094" i="20"/>
  <c r="A2549" i="20"/>
  <c r="A2802" i="20"/>
  <c r="A2263" i="20"/>
  <c r="B4873" i="20"/>
  <c r="A7244" i="20"/>
  <c r="B5448" i="20"/>
  <c r="B4303" i="20"/>
  <c r="A2070" i="20"/>
  <c r="A2060" i="20"/>
  <c r="A565" i="20"/>
  <c r="B1343" i="20"/>
  <c r="B1301" i="16"/>
  <c r="A7676" i="20"/>
  <c r="B5288" i="20"/>
  <c r="B4119" i="20"/>
  <c r="A7975" i="20"/>
  <c r="A5588" i="20"/>
  <c r="A6103" i="20"/>
  <c r="A2211" i="20"/>
  <c r="A7308" i="20"/>
  <c r="B5880" i="20"/>
  <c r="B4639" i="20"/>
  <c r="B6228" i="20"/>
  <c r="B5464" i="20"/>
  <c r="A1981" i="20"/>
  <c r="B3139" i="20"/>
  <c r="A1695" i="20"/>
  <c r="B7447" i="20"/>
  <c r="B8641" i="20"/>
  <c r="A6439" i="20"/>
  <c r="B5918" i="20"/>
  <c r="B5232" i="20"/>
  <c r="A1749" i="20"/>
  <c r="A2547" i="20"/>
  <c r="A1463" i="20"/>
  <c r="A7400" i="20"/>
  <c r="B6617" i="20"/>
  <c r="B4440" i="20"/>
  <c r="A2264" i="20"/>
  <c r="A1270" i="20"/>
  <c r="B3202" i="20"/>
  <c r="A2805" i="20"/>
  <c r="B606" i="20"/>
  <c r="A4638" i="20"/>
  <c r="B4528" i="20"/>
  <c r="B5486" i="20"/>
  <c r="A4606" i="20"/>
  <c r="B6606" i="20"/>
  <c r="B5258" i="20"/>
  <c r="A4652" i="20"/>
  <c r="B3810" i="20"/>
  <c r="B4683" i="20"/>
  <c r="A6299" i="20"/>
  <c r="B2641" i="20"/>
  <c r="B1566" i="20"/>
  <c r="B3972" i="20"/>
  <c r="B472" i="20"/>
  <c r="B4548" i="20"/>
  <c r="B117" i="16"/>
  <c r="B5131" i="20"/>
  <c r="B2744" i="20"/>
  <c r="A1840" i="20"/>
  <c r="B8591" i="20"/>
  <c r="B218" i="45"/>
  <c r="B5927" i="20"/>
  <c r="B4627" i="20"/>
  <c r="A7225" i="20"/>
  <c r="A7598" i="20"/>
  <c r="A6127" i="20"/>
  <c r="B5588" i="20"/>
  <c r="B4920" i="20"/>
  <c r="A1437" i="20"/>
  <c r="A2235" i="20"/>
  <c r="A1151" i="20"/>
  <c r="A6284" i="20"/>
  <c r="A6640" i="20"/>
  <c r="A5895" i="20"/>
  <c r="B5356" i="20"/>
  <c r="B4688" i="20"/>
  <c r="A1205" i="20"/>
  <c r="A2003" i="20"/>
  <c r="B3881" i="20"/>
  <c r="B4783" i="20"/>
  <c r="B4651" i="20"/>
  <c r="A4236" i="20"/>
  <c r="A1720" i="20"/>
  <c r="B1461" i="20"/>
  <c r="A3384" i="20"/>
  <c r="A216" i="19"/>
  <c r="A3960" i="20"/>
  <c r="H136" i="13"/>
  <c r="A6523" i="20"/>
  <c r="A4076" i="20"/>
  <c r="A1680" i="20"/>
  <c r="B5818" i="20"/>
  <c r="B4885" i="20"/>
  <c r="B4080" i="20"/>
  <c r="A5078" i="20"/>
  <c r="B529" i="45"/>
  <c r="A8385" i="20"/>
  <c r="A4926" i="20"/>
  <c r="A4918" i="20"/>
  <c r="B290" i="45"/>
  <c r="A5038" i="20"/>
  <c r="A7389" i="20"/>
  <c r="B3681" i="20"/>
  <c r="N25" i="33"/>
  <c r="A5006" i="20"/>
  <c r="A7261" i="20"/>
  <c r="B3553" i="20"/>
  <c r="A579" i="45"/>
  <c r="A5102" i="20"/>
  <c r="A7031" i="20"/>
  <c r="A5050" i="20"/>
  <c r="B5084" i="20"/>
  <c r="B2793" i="20"/>
  <c r="A3270" i="20"/>
  <c r="B4756" i="20"/>
  <c r="B2364" i="20"/>
  <c r="A4563" i="20"/>
  <c r="A1959" i="20"/>
  <c r="B6842" i="20"/>
  <c r="A6291" i="20"/>
  <c r="A3844" i="20"/>
  <c r="A5710" i="20"/>
  <c r="A5963" i="20"/>
  <c r="A3516" i="20"/>
  <c r="B6591" i="20"/>
  <c r="A4769" i="20"/>
  <c r="B5414" i="20"/>
  <c r="B5418" i="20"/>
  <c r="B2848" i="20"/>
  <c r="B3646" i="20"/>
  <c r="A4534" i="20"/>
  <c r="B9027" i="20"/>
  <c r="B5870" i="20"/>
  <c r="B5086" i="20"/>
  <c r="A4206" i="20"/>
  <c r="B3963" i="20"/>
  <c r="B3803" i="20"/>
  <c r="A40" i="20"/>
  <c r="A1769" i="16"/>
  <c r="A1126" i="20"/>
  <c r="A62" i="12"/>
  <c r="B4926" i="20"/>
  <c r="A4046" i="20"/>
  <c r="B8885" i="20"/>
  <c r="B7641" i="20"/>
  <c r="A6387" i="20"/>
  <c r="A3940" i="20"/>
  <c r="B7282" i="20"/>
  <c r="B4667" i="20"/>
  <c r="A8767" i="20"/>
  <c r="B4846" i="20"/>
  <c r="B4850" i="20"/>
  <c r="A4252" i="20"/>
  <c r="B3078" i="20"/>
  <c r="A3966" i="20"/>
  <c r="B4" i="35"/>
  <c r="B2830" i="20"/>
  <c r="A7933" i="20"/>
  <c r="A8364" i="20"/>
  <c r="B7029" i="20"/>
  <c r="B106" i="52"/>
  <c r="B6777" i="20"/>
  <c r="A5364" i="20"/>
  <c r="A5306" i="20"/>
  <c r="A6220" i="20"/>
  <c r="B7643" i="20"/>
  <c r="A5879" i="20"/>
  <c r="B5340" i="20"/>
  <c r="B4672" i="20"/>
  <c r="A1189" i="20"/>
  <c r="A1987" i="20"/>
  <c r="B3817" i="20"/>
  <c r="A6902" i="20"/>
  <c r="A7162" i="20"/>
  <c r="B5174" i="20"/>
  <c r="A4294" i="20"/>
  <c r="A4908" i="20"/>
  <c r="A7357" i="20"/>
  <c r="A7935" i="20"/>
  <c r="B5012" i="20"/>
  <c r="A4383" i="20"/>
  <c r="B3649" i="20"/>
  <c r="A1659" i="20"/>
  <c r="B2622" i="20"/>
  <c r="B5939" i="20"/>
  <c r="A6416" i="20"/>
  <c r="A7456" i="20"/>
  <c r="B4780" i="20"/>
  <c r="A4151" i="20"/>
  <c r="B2721" i="20"/>
  <c r="A3465" i="20"/>
  <c r="B2388" i="20"/>
  <c r="A6304" i="20"/>
  <c r="B6376" i="20"/>
  <c r="A2477" i="20"/>
  <c r="B4557" i="20"/>
  <c r="A642" i="20"/>
  <c r="B3295" i="20"/>
  <c r="B1639" i="16"/>
  <c r="B3871" i="20"/>
  <c r="A2" i="12"/>
  <c r="B6216" i="20"/>
  <c r="A2317" i="20"/>
  <c r="B3917" i="20"/>
  <c r="B6339" i="20"/>
  <c r="A6042" i="20"/>
  <c r="B6154" i="20"/>
  <c r="A1639" i="20"/>
  <c r="B7344" i="20"/>
  <c r="B6103" i="20"/>
  <c r="A7277" i="20"/>
  <c r="A4251" i="20"/>
  <c r="A3583" i="20"/>
  <c r="B2106" i="20"/>
  <c r="A3937" i="20"/>
  <c r="A2743" i="20"/>
  <c r="A6834" i="20"/>
  <c r="B5393" i="20"/>
  <c r="A6336" i="20"/>
  <c r="A4019" i="20"/>
  <c r="B3171" i="20"/>
  <c r="A742" i="49"/>
  <c r="A8288" i="20"/>
  <c r="A4970" i="20"/>
  <c r="A7682" i="20"/>
  <c r="A6907" i="20"/>
  <c r="A4724" i="20"/>
  <c r="B6625" i="20"/>
  <c r="B5619" i="20"/>
  <c r="A6096" i="20"/>
  <c r="A7136" i="20"/>
  <c r="B4700" i="20"/>
  <c r="A4071" i="20"/>
  <c r="B2594" i="20"/>
  <c r="A3263" i="20"/>
  <c r="B2308" i="20"/>
  <c r="A6953" i="20"/>
  <c r="A6695" i="20"/>
  <c r="A5389" i="20"/>
  <c r="A2279" i="20"/>
  <c r="A8007" i="20"/>
  <c r="A4784" i="20"/>
  <c r="B6891" i="20"/>
  <c r="A4411" i="20"/>
  <c r="A3743" i="20"/>
  <c r="B2266" i="20"/>
  <c r="A2935" i="20"/>
  <c r="B1980" i="20"/>
  <c r="A7474" i="20"/>
  <c r="B5815" i="20"/>
  <c r="A6989" i="20"/>
  <c r="A4179" i="20"/>
  <c r="A3511" i="20"/>
  <c r="B2034" i="20"/>
  <c r="A3649" i="20"/>
  <c r="B4444" i="20"/>
  <c r="B5502" i="20"/>
  <c r="B5527" i="20"/>
  <c r="B1962" i="20"/>
  <c r="A996" i="20"/>
  <c r="A2" i="20"/>
  <c r="A1086" i="20"/>
  <c r="B999" i="16"/>
  <c r="B1221" i="20"/>
  <c r="B278" i="20"/>
  <c r="B5321" i="20"/>
  <c r="B1802" i="20"/>
  <c r="B389" i="49"/>
  <c r="B8673" i="20"/>
  <c r="A110" i="45"/>
  <c r="A3555" i="20"/>
  <c r="B2972" i="20"/>
  <c r="A7295" i="20"/>
  <c r="B4985" i="20"/>
  <c r="B6671" i="20"/>
  <c r="A3611" i="20"/>
  <c r="A3107" i="20"/>
  <c r="B1466" i="20"/>
  <c r="A2821" i="20"/>
  <c r="A4144" i="20"/>
  <c r="A6354" i="20"/>
  <c r="B4753" i="20"/>
  <c r="B5735" i="20"/>
  <c r="A3379" i="20"/>
  <c r="A2875" i="20"/>
  <c r="B1234" i="20"/>
  <c r="B4578" i="20"/>
  <c r="A3216" i="20"/>
  <c r="A4765" i="20"/>
  <c r="B6310" i="20"/>
  <c r="B3190" i="20"/>
  <c r="A196" i="20"/>
  <c r="B1142" i="20"/>
  <c r="B4811" i="20"/>
  <c r="B1608" i="20"/>
  <c r="B98" i="19"/>
  <c r="A8342" i="20"/>
  <c r="A6835" i="20"/>
  <c r="A5701" i="20"/>
  <c r="A5894" i="20"/>
  <c r="A7373" i="20"/>
  <c r="A3991" i="20"/>
  <c r="B4254" i="20"/>
  <c r="B3507" i="20"/>
  <c r="B5703" i="20"/>
  <c r="B6087" i="20"/>
  <c r="B1886" i="20"/>
  <c r="A482" i="20"/>
  <c r="A2233" i="20"/>
  <c r="G67" i="13"/>
  <c r="B877" i="20"/>
  <c r="A1143" i="16"/>
  <c r="A5128" i="20"/>
  <c r="A3466" i="20"/>
  <c r="B21" i="48"/>
  <c r="A686" i="45"/>
  <c r="B8459" i="20"/>
  <c r="A5158" i="20"/>
  <c r="A4869" i="20"/>
  <c r="B6189" i="20"/>
  <c r="B6402" i="20"/>
  <c r="B6167" i="20"/>
  <c r="A2262" i="20"/>
  <c r="B1493" i="16"/>
  <c r="B6143" i="20"/>
  <c r="B4299" i="20"/>
  <c r="A4739" i="20"/>
  <c r="B3371" i="20"/>
  <c r="A5734" i="20"/>
  <c r="A2348" i="20"/>
  <c r="A5094" i="20"/>
  <c r="B2504" i="20"/>
  <c r="B2486" i="20"/>
  <c r="B507" i="20"/>
  <c r="A4953" i="20"/>
  <c r="B189" i="19"/>
  <c r="A4793" i="20"/>
  <c r="A8340" i="20"/>
  <c r="A6377" i="20"/>
  <c r="A3265" i="20"/>
  <c r="B5904" i="20"/>
  <c r="B6266" i="20"/>
  <c r="A3892" i="20"/>
  <c r="A2419" i="20"/>
  <c r="B2971" i="20"/>
  <c r="B4344" i="20"/>
  <c r="B3928" i="20"/>
  <c r="B323" i="19"/>
  <c r="B2438" i="20"/>
  <c r="A151" i="19"/>
  <c r="A201" i="16"/>
  <c r="B1263" i="20"/>
  <c r="B1544" i="16"/>
  <c r="A5655" i="20"/>
  <c r="A1489" i="20"/>
  <c r="M20" i="33"/>
  <c r="A4942" i="20"/>
  <c r="A7005" i="20"/>
  <c r="B3297" i="20"/>
  <c r="A6662" i="20"/>
  <c r="A5771" i="20"/>
  <c r="B6739" i="20"/>
  <c r="A3957" i="20"/>
  <c r="B5437" i="20"/>
  <c r="A3324" i="20"/>
  <c r="A4122" i="20"/>
  <c r="A3038" i="20"/>
  <c r="B6801" i="20"/>
  <c r="A5539" i="20"/>
  <c r="A6837" i="20"/>
  <c r="A3725" i="20"/>
  <c r="A6541" i="20"/>
  <c r="A3092" i="20"/>
  <c r="A3890" i="20"/>
  <c r="A2806" i="20"/>
  <c r="A5563" i="20"/>
  <c r="A457" i="45"/>
  <c r="A4695" i="20"/>
  <c r="B3601" i="20"/>
  <c r="B1182" i="20"/>
  <c r="B1168" i="20"/>
  <c r="C147" i="18"/>
  <c r="A41" i="16"/>
  <c r="B528" i="20"/>
  <c r="B7606" i="20"/>
  <c r="B6372" i="20"/>
  <c r="B3217" i="20"/>
  <c r="B6821" i="20"/>
  <c r="A5936" i="20"/>
  <c r="B2554" i="20"/>
  <c r="A5008" i="20"/>
  <c r="B2322" i="20"/>
  <c r="B7163" i="20"/>
  <c r="A1410" i="20"/>
  <c r="A7549" i="20"/>
  <c r="B1428" i="20"/>
  <c r="B1414" i="20"/>
  <c r="A175" i="19"/>
  <c r="A3589" i="20"/>
  <c r="B1411" i="20"/>
  <c r="A3429" i="20"/>
  <c r="A4851" i="20"/>
  <c r="A7699" i="20"/>
  <c r="B2694" i="20"/>
  <c r="A6288" i="20"/>
  <c r="B4748" i="20"/>
  <c r="A2996" i="20"/>
  <c r="A1651" i="20"/>
  <c r="A8118" i="20"/>
  <c r="A8011" i="20"/>
  <c r="A2828" i="20"/>
  <c r="B3924" i="20"/>
  <c r="B4239" i="20"/>
  <c r="B1281" i="20"/>
  <c r="H85" i="12"/>
  <c r="B6" i="18"/>
  <c r="B7884" i="20"/>
  <c r="A4329" i="20"/>
  <c r="B1814" i="20"/>
  <c r="A8113" i="20"/>
  <c r="A8399" i="20"/>
  <c r="A5809" i="20"/>
  <c r="A2697" i="20"/>
  <c r="A6182" i="20"/>
  <c r="A5131" i="20"/>
  <c r="A5192" i="20"/>
  <c r="A3317" i="20"/>
  <c r="A5381" i="20"/>
  <c r="A2684" i="20"/>
  <c r="A3482" i="20"/>
  <c r="B3795" i="20"/>
  <c r="A5254" i="20"/>
  <c r="A4899" i="20"/>
  <c r="B6223" i="20"/>
  <c r="B6657" i="20"/>
  <c r="A4917" i="20"/>
  <c r="B4011" i="20"/>
  <c r="A3250" i="20"/>
  <c r="B2867" i="20"/>
  <c r="B7291" i="20"/>
  <c r="B7281" i="20"/>
  <c r="B4989" i="20"/>
  <c r="B1654" i="20"/>
  <c r="A2518" i="20"/>
  <c r="A2508" i="20"/>
  <c r="A1013" i="20"/>
  <c r="B10" i="12"/>
  <c r="B1749" i="16"/>
  <c r="A7670" i="20"/>
  <c r="A6381" i="20"/>
  <c r="B1600" i="20"/>
  <c r="B7127" i="20"/>
  <c r="A5545" i="20"/>
  <c r="B4422" i="20"/>
  <c r="A5313" i="20"/>
  <c r="B4190" i="20"/>
  <c r="B5077" i="20"/>
  <c r="B1132" i="20"/>
  <c r="A6469" i="20"/>
  <c r="B2831" i="20"/>
  <c r="B2791" i="20"/>
  <c r="B1377" i="20"/>
  <c r="B97" i="12"/>
  <c r="B22" i="18"/>
  <c r="B928" i="16"/>
  <c r="B3543" i="20"/>
  <c r="A1876" i="20"/>
  <c r="B452" i="20"/>
  <c r="B552" i="16"/>
  <c r="B434" i="16"/>
  <c r="A2251" i="20"/>
  <c r="B112" i="11"/>
  <c r="A2091" i="20"/>
  <c r="A4423" i="20"/>
  <c r="B6050" i="20"/>
  <c r="B3146" i="20"/>
  <c r="A4993" i="20"/>
  <c r="B5642" i="20"/>
  <c r="A1365" i="20"/>
  <c r="B3938" i="20"/>
  <c r="B5195" i="20"/>
  <c r="B5291" i="20"/>
  <c r="B4611" i="20"/>
  <c r="B1736" i="20"/>
  <c r="B2573" i="20"/>
  <c r="B984" i="20"/>
  <c r="B1498" i="16"/>
  <c r="B245" i="16"/>
  <c r="B6175" i="20"/>
  <c r="B3256" i="20"/>
  <c r="A1968" i="20"/>
  <c r="B5777" i="20"/>
  <c r="B5883" i="20"/>
  <c r="A6016" i="20"/>
  <c r="A3149" i="20"/>
  <c r="B6711" i="20"/>
  <c r="A8650" i="20"/>
  <c r="A6255" i="20"/>
  <c r="B5716" i="20"/>
  <c r="B5048" i="20"/>
  <c r="A1565" i="20"/>
  <c r="A2363" i="20"/>
  <c r="A1279" i="20"/>
  <c r="A6809" i="20"/>
  <c r="A7152" i="20"/>
  <c r="A6023" i="20"/>
  <c r="B5484" i="20"/>
  <c r="B4816" i="20"/>
  <c r="A1333" i="20"/>
  <c r="A2131" i="20"/>
  <c r="B4393" i="20"/>
  <c r="B5295" i="20"/>
  <c r="B5163" i="20"/>
  <c r="B2776" i="20"/>
  <c r="A1848" i="20"/>
  <c r="B1973" i="20"/>
  <c r="B3460" i="20"/>
  <c r="B344" i="20"/>
  <c r="B4036" i="20"/>
  <c r="B85" i="16"/>
  <c r="B5003" i="20"/>
  <c r="A4588" i="20"/>
  <c r="B3910" i="20"/>
  <c r="A104" i="20"/>
  <c r="A1069" i="20"/>
  <c r="A630" i="20"/>
  <c r="E70" i="11"/>
  <c r="A1344" i="20"/>
  <c r="A153" i="18"/>
  <c r="A351" i="16"/>
  <c r="B95" i="12"/>
  <c r="B320" i="20"/>
  <c r="G29" i="6"/>
  <c r="B232" i="20"/>
  <c r="A1576" i="20"/>
  <c r="A1625" i="20"/>
  <c r="A2201" i="20"/>
  <c r="H7" i="13"/>
  <c r="H90" i="12"/>
  <c r="B256" i="20"/>
  <c r="A26" i="6"/>
  <c r="B168" i="20"/>
  <c r="A1312" i="20"/>
  <c r="B1624" i="20"/>
  <c r="B6659" i="20"/>
  <c r="B5999" i="20"/>
  <c r="A3194" i="20"/>
  <c r="B5367" i="20"/>
  <c r="A2962" i="20"/>
  <c r="B6170" i="20"/>
  <c r="A725" i="20"/>
  <c r="B5956" i="20"/>
  <c r="A1902" i="20"/>
  <c r="A1892" i="20"/>
  <c r="A397" i="20"/>
  <c r="B516" i="20"/>
  <c r="B1133" i="16"/>
  <c r="B128" i="16"/>
  <c r="A1280" i="20"/>
  <c r="B1454" i="20"/>
  <c r="B1646" i="20"/>
  <c r="B49" i="12"/>
  <c r="H127" i="11"/>
  <c r="B78" i="18"/>
  <c r="B122" i="20"/>
  <c r="C63" i="18"/>
  <c r="A1256" i="20"/>
  <c r="B1326" i="20"/>
  <c r="B1518" i="20"/>
  <c r="H45" i="12"/>
  <c r="G120" i="11"/>
  <c r="C67" i="18"/>
  <c r="A378" i="19"/>
  <c r="A7613" i="20"/>
  <c r="B3905" i="20"/>
  <c r="A6685" i="20"/>
  <c r="B2977" i="20"/>
  <c r="B6632" i="20"/>
  <c r="B4359" i="20"/>
  <c r="B6472" i="20"/>
  <c r="B6518" i="20"/>
  <c r="A1819" i="20"/>
  <c r="B7732" i="20"/>
  <c r="A1587" i="20"/>
  <c r="B4491" i="20"/>
  <c r="B1799" i="16"/>
  <c r="B3851" i="20"/>
  <c r="A1422" i="20"/>
  <c r="A1412" i="20"/>
  <c r="B2690" i="20"/>
  <c r="B2746" i="20"/>
  <c r="B44" i="17"/>
  <c r="A4558" i="20"/>
  <c r="A4452" i="20"/>
  <c r="B4974" i="20"/>
  <c r="A4094" i="20"/>
  <c r="B6478" i="20"/>
  <c r="B5130" i="20"/>
  <c r="B4129" i="20"/>
  <c r="B3682" i="20"/>
  <c r="A5691" i="20"/>
  <c r="A5787" i="20"/>
  <c r="A2123" i="20"/>
  <c r="B1224" i="20"/>
  <c r="A3896" i="20"/>
  <c r="A344" i="19"/>
  <c r="A4472" i="20"/>
  <c r="A4" i="15"/>
  <c r="A6655" i="20"/>
  <c r="A4204" i="20"/>
  <c r="A1712" i="20"/>
  <c r="A291" i="45"/>
  <c r="A51" i="21"/>
  <c r="A5925" i="20"/>
  <c r="B4114" i="20"/>
  <c r="A6713" i="20"/>
  <c r="A7056" i="20"/>
  <c r="A5999" i="20"/>
  <c r="B5460" i="20"/>
  <c r="B4792" i="20"/>
  <c r="A1309" i="20"/>
  <c r="A2107" i="20"/>
  <c r="B4297" i="20"/>
  <c r="A5772" i="20"/>
  <c r="B7195" i="20"/>
  <c r="A27" i="32"/>
  <c r="B5228" i="20"/>
  <c r="A4599" i="20"/>
  <c r="B4513" i="20"/>
  <c r="A1875" i="20"/>
  <c r="B3369" i="20"/>
  <c r="A6303" i="20"/>
  <c r="A6171" i="20"/>
  <c r="A3724" i="20"/>
  <c r="A1592" i="20"/>
  <c r="A1090" i="20"/>
  <c r="A1881" i="20"/>
  <c r="A126" i="18"/>
  <c r="A2457" i="20"/>
  <c r="G74" i="13"/>
  <c r="A6011" i="20"/>
  <c r="A3564" i="20"/>
  <c r="A1552" i="20"/>
  <c r="B4829" i="20"/>
  <c r="A5359" i="20"/>
  <c r="B3850" i="20"/>
  <c r="A4895" i="20"/>
  <c r="B3618" i="20"/>
  <c r="A1867" i="20"/>
  <c r="F68" i="11"/>
  <c r="A1707" i="20"/>
  <c r="B1685" i="20"/>
  <c r="A4280" i="20"/>
  <c r="B2657" i="20"/>
  <c r="B1568" i="20"/>
  <c r="A112" i="11"/>
  <c r="B1516" i="20"/>
  <c r="A3202" i="20"/>
  <c r="A4989" i="20"/>
  <c r="A2079" i="20"/>
  <c r="A6965" i="20"/>
  <c r="B6679" i="20"/>
  <c r="B2130" i="20"/>
  <c r="B2786" i="20"/>
  <c r="A6781" i="20"/>
  <c r="A5104" i="20"/>
  <c r="B3130" i="20"/>
  <c r="A2422" i="20"/>
  <c r="B2783" i="20"/>
  <c r="B1607" i="16"/>
  <c r="B3359" i="20"/>
  <c r="G118" i="11"/>
  <c r="B6088" i="20"/>
  <c r="A2189" i="20"/>
  <c r="B3405" i="20"/>
  <c r="A5910" i="20"/>
  <c r="B7461" i="20"/>
  <c r="A4445" i="20"/>
  <c r="A3526" i="20"/>
  <c r="B6099" i="20"/>
  <c r="A6576" i="20"/>
  <c r="B6760" i="20"/>
  <c r="B4820" i="20"/>
  <c r="A4191" i="20"/>
  <c r="B2881" i="20"/>
  <c r="A3625" i="20"/>
  <c r="B2428" i="20"/>
  <c r="A315" i="32"/>
  <c r="A5648" i="20"/>
  <c r="A6688" i="20"/>
  <c r="A4628" i="20"/>
  <c r="A3959" i="20"/>
  <c r="B2482" i="20"/>
  <c r="A3151" i="20"/>
  <c r="B2196" i="20"/>
  <c r="B5205" i="20"/>
  <c r="B8001" i="20"/>
  <c r="A1709" i="20"/>
  <c r="B2365" i="20"/>
  <c r="A450" i="20"/>
  <c r="A2050" i="20"/>
  <c r="B1447" i="16"/>
  <c r="A2194" i="20"/>
  <c r="H44" i="11"/>
  <c r="A8394" i="20"/>
  <c r="A1549" i="20"/>
  <c r="B2205" i="20"/>
  <c r="A1669" i="20"/>
  <c r="A4181" i="20"/>
  <c r="A3262" i="20"/>
  <c r="A3949" i="20"/>
  <c r="A3030" i="20"/>
  <c r="B4379" i="20"/>
  <c r="A265" i="16"/>
  <c r="A2449" i="20"/>
  <c r="A634" i="20"/>
  <c r="B3167" i="20"/>
  <c r="B1631" i="16"/>
  <c r="B3743" i="20"/>
  <c r="G130" i="11"/>
  <c r="B6361" i="20"/>
  <c r="A2728" i="20"/>
  <c r="A184" i="20"/>
  <c r="B1369" i="20"/>
  <c r="A1041" i="20"/>
  <c r="A4786" i="20"/>
  <c r="B2520" i="20"/>
  <c r="A227" i="20"/>
  <c r="A67" i="45"/>
  <c r="A6790" i="20"/>
  <c r="A3993" i="20"/>
  <c r="B6929" i="20"/>
  <c r="A6816" i="20"/>
  <c r="A4119" i="20"/>
  <c r="B4382" i="20"/>
  <c r="B4531" i="20"/>
  <c r="A5792" i="20"/>
  <c r="A6176" i="20"/>
  <c r="B2398" i="20"/>
  <c r="A610" i="20"/>
  <c r="A3736" i="20"/>
  <c r="B128" i="13"/>
  <c r="B1049" i="20"/>
  <c r="A1271" i="16"/>
  <c r="A7189" i="20"/>
  <c r="A3978" i="20"/>
  <c r="B8437" i="20"/>
  <c r="A83" i="32"/>
  <c r="B8112" i="20"/>
  <c r="B5980" i="20"/>
  <c r="A3280" i="20"/>
  <c r="A5618" i="20"/>
  <c r="A6601" i="20"/>
  <c r="B5013" i="20"/>
  <c r="B5029" i="20"/>
  <c r="A2691" i="20"/>
  <c r="B4279" i="20"/>
  <c r="B4394" i="20"/>
  <c r="B4123" i="20"/>
  <c r="A6653" i="20"/>
  <c r="A6369" i="20"/>
  <c r="A6117" i="20"/>
  <c r="A6133" i="20"/>
  <c r="B4448" i="20"/>
  <c r="A3257" i="20"/>
  <c r="B4162" i="20"/>
  <c r="A2097" i="20"/>
  <c r="B4740" i="20"/>
  <c r="A5256" i="20"/>
  <c r="A3498" i="20"/>
  <c r="B163" i="19"/>
  <c r="B719" i="20"/>
  <c r="A1721" i="20"/>
  <c r="G53" i="13"/>
  <c r="B835" i="20"/>
  <c r="A1111" i="16"/>
  <c r="B6575" i="20"/>
  <c r="A1296" i="20"/>
  <c r="B5446" i="20"/>
  <c r="A4174" i="20"/>
  <c r="A3" i="14"/>
  <c r="A219" i="20"/>
  <c r="B67" i="12"/>
  <c r="A1630" i="20"/>
  <c r="A1329" i="16"/>
  <c r="A592" i="20"/>
  <c r="A6720" i="20"/>
  <c r="A5239" i="20"/>
  <c r="B4072" i="20"/>
  <c r="A2881" i="20"/>
  <c r="B3786" i="20"/>
  <c r="B4497" i="20"/>
  <c r="A6789" i="20"/>
  <c r="A5761" i="20"/>
  <c r="A4767" i="20"/>
  <c r="A4775" i="20"/>
  <c r="B3840" i="20"/>
  <c r="A4646" i="20"/>
  <c r="B3554" i="20"/>
  <c r="B108" i="49"/>
  <c r="A4759" i="20"/>
  <c r="B8116" i="20"/>
  <c r="A1611" i="20"/>
  <c r="B4436" i="20"/>
  <c r="B4396" i="20"/>
  <c r="B4990" i="20"/>
  <c r="B257" i="19"/>
  <c r="A150" i="19"/>
  <c r="A6776" i="20"/>
  <c r="A6783" i="20"/>
  <c r="A2979" i="20"/>
  <c r="A5842" i="20"/>
  <c r="B6508" i="20"/>
  <c r="A2747" i="20"/>
  <c r="B2846" i="20"/>
  <c r="A1591" i="20"/>
  <c r="B5908" i="20"/>
  <c r="B6036" i="20"/>
  <c r="A2392" i="20"/>
  <c r="B1007" i="20"/>
  <c r="B1613" i="20"/>
  <c r="B478" i="20"/>
  <c r="A69" i="19"/>
  <c r="A119" i="16"/>
  <c r="B5475" i="20"/>
  <c r="B4506" i="20"/>
  <c r="B7134" i="20"/>
  <c r="B8134" i="20"/>
  <c r="A6604" i="20"/>
  <c r="B4768" i="20"/>
  <c r="A14" i="32"/>
  <c r="A5304" i="20"/>
  <c r="A5449" i="20"/>
  <c r="B6178" i="20"/>
  <c r="B6182" i="20"/>
  <c r="B3528" i="20"/>
  <c r="B4326" i="20"/>
  <c r="B3242" i="20"/>
  <c r="A7723" i="20"/>
  <c r="B6335" i="20"/>
  <c r="A5217" i="20"/>
  <c r="B5868" i="20"/>
  <c r="B5874" i="20"/>
  <c r="B3296" i="20"/>
  <c r="B4094" i="20"/>
  <c r="B3010" i="20"/>
  <c r="A7842" i="20"/>
  <c r="A4265" i="20"/>
  <c r="A5711" i="20"/>
  <c r="B4026" i="20"/>
  <c r="A4232" i="20"/>
  <c r="A4192" i="20"/>
  <c r="A936" i="20"/>
  <c r="A222" i="19"/>
  <c r="B3517" i="20"/>
  <c r="B137" i="13"/>
  <c r="A5391" i="20"/>
  <c r="B3866" i="20"/>
  <c r="B154" i="45"/>
  <c r="A5548" i="20"/>
  <c r="A4949" i="20"/>
  <c r="A7139" i="20"/>
  <c r="B300" i="45"/>
  <c r="A74" i="32"/>
  <c r="A6987" i="20"/>
  <c r="A6979" i="20"/>
  <c r="A8405" i="20"/>
  <c r="A7099" i="20"/>
  <c r="A4819" i="20"/>
  <c r="B3691" i="20"/>
  <c r="A8077" i="20"/>
  <c r="A7067" i="20"/>
  <c r="A4787" i="20"/>
  <c r="B3563" i="20"/>
  <c r="B33" i="21"/>
  <c r="A7163" i="20"/>
  <c r="A7570" i="20"/>
  <c r="A7111" i="20"/>
  <c r="A6589" i="20"/>
  <c r="B2803" i="20"/>
  <c r="A4354" i="20"/>
  <c r="A5565" i="20"/>
  <c r="A2367" i="20"/>
  <c r="A5101" i="20"/>
  <c r="A4230" i="20"/>
  <c r="B8275" i="20"/>
  <c r="B7011" i="20"/>
  <c r="B3920" i="20"/>
  <c r="B8646" i="20"/>
  <c r="A5560" i="20"/>
  <c r="B3592" i="20"/>
  <c r="A7269" i="20"/>
  <c r="A5281" i="20"/>
  <c r="B5954" i="20"/>
  <c r="B5958" i="20"/>
  <c r="B3360" i="20"/>
  <c r="B4158" i="20"/>
  <c r="B3074" i="20"/>
  <c r="B9003" i="20"/>
  <c r="A4521" i="20"/>
  <c r="A6597" i="20"/>
  <c r="B4282" i="20"/>
  <c r="A4488" i="20"/>
  <c r="A4448" i="20"/>
  <c r="A1064" i="20"/>
  <c r="B94" i="20"/>
  <c r="B4541" i="20"/>
  <c r="A23" i="16"/>
  <c r="A5957" i="20"/>
  <c r="B4122" i="20"/>
  <c r="A7" i="21"/>
  <c r="B7865" i="20"/>
  <c r="A7480" i="20"/>
  <c r="B4016" i="20"/>
  <c r="B7883" i="20"/>
  <c r="B5179" i="20"/>
  <c r="A4713" i="20"/>
  <c r="B5358" i="20"/>
  <c r="B5362" i="20"/>
  <c r="B2792" i="20"/>
  <c r="B3590" i="20"/>
  <c r="A4478" i="20"/>
  <c r="B7998" i="20"/>
  <c r="A2889" i="20"/>
  <c r="A330" i="49"/>
  <c r="B7971" i="20"/>
  <c r="A278" i="32"/>
  <c r="B7459" i="20"/>
  <c r="B7417" i="20"/>
  <c r="A5876" i="20"/>
  <c r="A5818" i="20"/>
  <c r="B7255" i="20"/>
  <c r="B7873" i="20"/>
  <c r="A6391" i="20"/>
  <c r="B5854" i="20"/>
  <c r="B5184" i="20"/>
  <c r="A1701" i="20"/>
  <c r="A2499" i="20"/>
  <c r="A1415" i="20"/>
  <c r="B7933" i="20"/>
  <c r="A53" i="21"/>
  <c r="B4917" i="20"/>
  <c r="B4370" i="20"/>
  <c r="A6969" i="20"/>
  <c r="A7312" i="20"/>
  <c r="A6063" i="20"/>
  <c r="B5524" i="20"/>
  <c r="B4856" i="20"/>
  <c r="A1373" i="20"/>
  <c r="A2171" i="20"/>
  <c r="B4553" i="20"/>
  <c r="A6028" i="20"/>
  <c r="B7451" i="20"/>
  <c r="A91" i="45"/>
  <c r="B5292" i="20"/>
  <c r="B4624" i="20"/>
  <c r="A1141" i="20"/>
  <c r="A1939" i="20"/>
  <c r="B3625" i="20"/>
  <c r="A6559" i="20"/>
  <c r="A6427" i="20"/>
  <c r="A3980" i="20"/>
  <c r="A1656" i="20"/>
  <c r="B1205" i="20"/>
  <c r="B3643" i="20"/>
  <c r="B36" i="19"/>
  <c r="A2936" i="20"/>
  <c r="B105" i="13"/>
  <c r="A6267" i="20"/>
  <c r="A3820" i="20"/>
  <c r="A1616" i="20"/>
  <c r="B6333" i="20"/>
  <c r="B7077" i="20"/>
  <c r="A4061" i="20"/>
  <c r="A3142" i="20"/>
  <c r="B5715" i="20"/>
  <c r="A6192" i="20"/>
  <c r="A7232" i="20"/>
  <c r="B4724" i="20"/>
  <c r="A4095" i="20"/>
  <c r="B2619" i="20"/>
  <c r="A3287" i="20"/>
  <c r="B2332" i="20"/>
  <c r="B8923" i="20"/>
  <c r="A5264" i="20"/>
  <c r="B7371" i="20"/>
  <c r="A4531" i="20"/>
  <c r="A4290" i="20"/>
  <c r="A7816" i="20"/>
  <c r="B1078" i="45"/>
  <c r="A7543" i="20"/>
  <c r="A38" i="45"/>
  <c r="A7547" i="20"/>
  <c r="A5236" i="20"/>
  <c r="A5178" i="20"/>
  <c r="A5708" i="20"/>
  <c r="B7131" i="20"/>
  <c r="A9110" i="20"/>
  <c r="B5212" i="20"/>
  <c r="A4583" i="20"/>
  <c r="B4449" i="20"/>
  <c r="A1859" i="20"/>
  <c r="B3305" i="20"/>
  <c r="A6947" i="20"/>
  <c r="A6650" i="20"/>
  <c r="B4662" i="20"/>
  <c r="A3782" i="20"/>
  <c r="B6355" i="20"/>
  <c r="A6845" i="20"/>
  <c r="A7818" i="20"/>
  <c r="B4884" i="20"/>
  <c r="A4255" i="20"/>
  <c r="B3137" i="20"/>
  <c r="A3881" i="20"/>
  <c r="B2492" i="20"/>
  <c r="A379" i="45"/>
  <c r="A5904" i="20"/>
  <c r="A6944" i="20"/>
  <c r="B4652" i="20"/>
  <c r="A4023" i="20"/>
  <c r="B2546" i="20"/>
  <c r="A3215" i="20"/>
  <c r="B2260" i="20"/>
  <c r="B6215" i="20"/>
  <c r="B5864" i="20"/>
  <c r="A1965" i="20"/>
  <c r="B2623" i="20"/>
  <c r="A514" i="20"/>
  <c r="A2306" i="20"/>
  <c r="B1511" i="16"/>
  <c r="A2450" i="20"/>
  <c r="B74" i="11"/>
  <c r="A326" i="32"/>
  <c r="A1805" i="20"/>
  <c r="B2461" i="20"/>
  <c r="A7943" i="20"/>
  <c r="A5530" i="20"/>
  <c r="B5564" i="20"/>
  <c r="A1127" i="20"/>
  <c r="A7250" i="20"/>
  <c r="B5591" i="20"/>
  <c r="A6765" i="20"/>
  <c r="A4123" i="20"/>
  <c r="A3455" i="20"/>
  <c r="B1978" i="20"/>
  <c r="A3425" i="20"/>
  <c r="B4220" i="20"/>
  <c r="B7389" i="20"/>
  <c r="B5265" i="20"/>
  <c r="A5824" i="20"/>
  <c r="A3891" i="20"/>
  <c r="A3641" i="20"/>
  <c r="B1746" i="20"/>
  <c r="A3101" i="20"/>
  <c r="B3292" i="20"/>
  <c r="A4389" i="20"/>
  <c r="A6361" i="20"/>
  <c r="A3249" i="20"/>
  <c r="A708" i="20"/>
  <c r="B97" i="19"/>
  <c r="A7972" i="20"/>
  <c r="B3028" i="20"/>
  <c r="A101" i="19"/>
  <c r="B8450" i="20"/>
  <c r="B8925" i="20"/>
  <c r="B5490" i="20"/>
  <c r="A8073" i="20"/>
  <c r="A14" i="37"/>
  <c r="B4633" i="20"/>
  <c r="A2905" i="20"/>
  <c r="A3094" i="20"/>
  <c r="A6431" i="20"/>
  <c r="A6527" i="20"/>
  <c r="A3568" i="20"/>
  <c r="B1124" i="20"/>
  <c r="B125" i="19"/>
  <c r="B327" i="16"/>
  <c r="B197" i="19"/>
  <c r="A1655" i="16"/>
  <c r="B6670" i="20"/>
  <c r="B3542" i="20"/>
  <c r="A264" i="45"/>
  <c r="B8596" i="20"/>
  <c r="E1" i="33"/>
  <c r="A3427" i="20"/>
  <c r="B2844" i="20"/>
  <c r="A7167" i="20"/>
  <c r="B4953" i="20"/>
  <c r="B6535" i="20"/>
  <c r="A3579" i="20"/>
  <c r="A3075" i="20"/>
  <c r="B1434" i="20"/>
  <c r="A2789" i="20"/>
  <c r="A4016" i="20"/>
  <c r="A6226" i="20"/>
  <c r="B4721" i="20"/>
  <c r="B5607" i="20"/>
  <c r="A3347" i="20"/>
  <c r="A2843" i="20"/>
  <c r="B1202" i="20"/>
  <c r="B4546" i="20"/>
  <c r="A3088" i="20"/>
  <c r="B6506" i="20"/>
  <c r="B8960" i="20"/>
  <c r="B3062" i="20"/>
  <c r="A164" i="20"/>
  <c r="B1103" i="20"/>
  <c r="B2011" i="20"/>
  <c r="B167" i="16"/>
  <c r="B2299" i="20"/>
  <c r="A1495" i="16"/>
  <c r="B8097" i="20"/>
  <c r="B2902" i="20"/>
  <c r="B8360" i="20"/>
  <c r="A3152" i="20"/>
  <c r="B8619" i="20"/>
  <c r="A8062" i="20"/>
  <c r="A5084" i="20"/>
  <c r="B101" i="45"/>
  <c r="B8581" i="20"/>
  <c r="A4932" i="20"/>
  <c r="A4924" i="20"/>
  <c r="B7285" i="20"/>
  <c r="A5044" i="20"/>
  <c r="A8063" i="20"/>
  <c r="A1667" i="20"/>
  <c r="B7157" i="20"/>
  <c r="A5012" i="20"/>
  <c r="B8500" i="20"/>
  <c r="A1635" i="20"/>
  <c r="B7541" i="20"/>
  <c r="A3778" i="20"/>
  <c r="A147" i="45"/>
  <c r="A5196" i="20"/>
  <c r="A4455" i="20"/>
  <c r="A4886" i="20"/>
  <c r="B5843" i="20"/>
  <c r="A4127" i="20"/>
  <c r="A86" i="32"/>
  <c r="A3895" i="20"/>
  <c r="B787" i="45"/>
  <c r="A7252" i="20"/>
  <c r="B7304" i="20"/>
  <c r="A4653" i="20"/>
  <c r="A8266" i="20"/>
  <c r="B7507" i="20"/>
  <c r="A4314" i="20"/>
  <c r="A5219" i="20"/>
  <c r="A5544" i="20"/>
  <c r="A3405" i="20"/>
  <c r="A5557" i="20"/>
  <c r="A2772" i="20"/>
  <c r="A3570" i="20"/>
  <c r="B4147" i="20"/>
  <c r="B6280" i="20"/>
  <c r="A8660" i="20"/>
  <c r="B5090" i="20"/>
  <c r="B2206" i="20"/>
  <c r="B3375" i="20"/>
  <c r="B3335" i="20"/>
  <c r="B1921" i="20"/>
  <c r="H22" i="13"/>
  <c r="A114" i="18"/>
  <c r="B7602" i="20"/>
  <c r="B4930" i="20"/>
  <c r="B2126" i="20"/>
  <c r="A6430" i="20"/>
  <c r="B7647" i="20"/>
  <c r="B7892" i="20"/>
  <c r="B2766" i="20"/>
  <c r="B6221" i="20"/>
  <c r="B6651" i="20"/>
  <c r="B5407" i="20"/>
  <c r="A5757" i="20"/>
  <c r="B6418" i="20"/>
  <c r="B3019" i="20"/>
  <c r="A3002" i="20"/>
  <c r="A2463" i="20"/>
  <c r="D18" i="43"/>
  <c r="B3410" i="20"/>
  <c r="B931" i="45"/>
  <c r="A9127" i="20"/>
  <c r="B8286" i="20"/>
  <c r="A168" i="32"/>
  <c r="A4974" i="20"/>
  <c r="A344" i="32"/>
  <c r="B8033" i="20"/>
  <c r="A6162" i="20"/>
  <c r="B4705" i="20"/>
  <c r="B5543" i="20"/>
  <c r="A3331" i="20"/>
  <c r="A2827" i="20"/>
  <c r="B1186" i="20"/>
  <c r="B4530" i="20"/>
  <c r="A1255" i="49"/>
  <c r="M7" i="33"/>
  <c r="B8382" i="20"/>
  <c r="B5178" i="20"/>
  <c r="B4251" i="20"/>
  <c r="A4850" i="20"/>
  <c r="A6409" i="20"/>
  <c r="A6277" i="20"/>
  <c r="A6293" i="20"/>
  <c r="B4488" i="20"/>
  <c r="A3297" i="20"/>
  <c r="B4202" i="20"/>
  <c r="A2257" i="20"/>
  <c r="B5881" i="20"/>
  <c r="A6177" i="20"/>
  <c r="A5599" i="20"/>
  <c r="A5607" i="20"/>
  <c r="B4256" i="20"/>
  <c r="A3065" i="20"/>
  <c r="B3970" i="20"/>
  <c r="A1441" i="20"/>
  <c r="A4011" i="20"/>
  <c r="B5135" i="20"/>
  <c r="A2730" i="20"/>
  <c r="B2725" i="20"/>
  <c r="B527" i="20"/>
  <c r="B2144" i="20"/>
  <c r="G98" i="12"/>
  <c r="B579" i="20"/>
  <c r="A919" i="16"/>
  <c r="B4975" i="20"/>
  <c r="B4483" i="20"/>
  <c r="A41" i="31"/>
  <c r="A8465" i="20"/>
  <c r="A7084" i="20"/>
  <c r="B5408" i="20"/>
  <c r="B8650" i="20"/>
  <c r="A5944" i="20"/>
  <c r="A5609" i="20"/>
  <c r="B6460" i="20"/>
  <c r="B6468" i="20"/>
  <c r="B3688" i="20"/>
  <c r="B4486" i="20"/>
  <c r="B3402" i="20"/>
  <c r="B7845" i="20"/>
  <c r="A5016" i="20"/>
  <c r="A5377" i="20"/>
  <c r="B6082" i="20"/>
  <c r="B6086" i="20"/>
  <c r="A4486" i="20"/>
  <c r="B8894" i="20"/>
  <c r="B7931" i="20"/>
  <c r="A8546" i="20"/>
  <c r="B9061" i="20"/>
  <c r="B6165" i="20"/>
  <c r="B8297" i="20"/>
  <c r="B7171" i="20"/>
  <c r="B5561" i="20"/>
  <c r="A6097" i="20"/>
  <c r="A5439" i="20"/>
  <c r="A5447" i="20"/>
  <c r="B4176" i="20"/>
  <c r="A2985" i="20"/>
  <c r="B3890" i="20"/>
  <c r="A205" i="32"/>
  <c r="B8741" i="20"/>
  <c r="B5485" i="20"/>
  <c r="B6116" i="20"/>
  <c r="B4305" i="20"/>
  <c r="A6885" i="20"/>
  <c r="A5769" i="20"/>
  <c r="A4783" i="20"/>
  <c r="A4791" i="20"/>
  <c r="B3848" i="20"/>
  <c r="A4662" i="20"/>
  <c r="B3562" i="20"/>
  <c r="B6838" i="20"/>
  <c r="A5656" i="20"/>
  <c r="A5537" i="20"/>
  <c r="B6316" i="20"/>
  <c r="B6324" i="20"/>
  <c r="B3616" i="20"/>
  <c r="B4414" i="20"/>
  <c r="B3330" i="20"/>
  <c r="B9053" i="20"/>
  <c r="B5506" i="20"/>
  <c r="A6701" i="20"/>
  <c r="A3361" i="20"/>
  <c r="B3540" i="20"/>
  <c r="B3500" i="20"/>
  <c r="A1242" i="20"/>
  <c r="A1120" i="20"/>
  <c r="A229" i="19"/>
  <c r="A279" i="16"/>
  <c r="A6048" i="20"/>
  <c r="A3157" i="20"/>
  <c r="A224" i="45"/>
  <c r="A7584" i="20"/>
  <c r="A7071" i="20"/>
  <c r="A3051" i="20"/>
  <c r="A8928" i="20"/>
  <c r="B5435" i="20"/>
  <c r="A4969" i="20"/>
  <c r="B5614" i="20"/>
  <c r="B5618" i="20"/>
  <c r="B3048" i="20"/>
  <c r="B3846" i="20"/>
  <c r="B2762" i="20"/>
  <c r="B8075" i="20"/>
  <c r="B5203" i="20"/>
  <c r="A4737" i="20"/>
  <c r="B5382" i="20"/>
  <c r="B5386" i="20"/>
  <c r="B2816" i="20"/>
  <c r="B3614" i="20"/>
  <c r="A4502" i="20"/>
  <c r="A7983" i="20"/>
  <c r="B5736" i="20"/>
  <c r="B4958" i="20"/>
  <c r="A4078" i="20"/>
  <c r="B3451" i="20"/>
  <c r="B3291" i="20"/>
  <c r="A4396" i="20"/>
  <c r="B1596" i="20"/>
  <c r="B1704" i="16"/>
  <c r="A8934" i="20"/>
  <c r="A5291" i="20"/>
  <c r="A2844" i="20"/>
  <c r="A6083" i="20"/>
  <c r="A4269" i="20"/>
  <c r="B3456" i="20"/>
  <c r="A3410" i="20"/>
  <c r="B2228" i="20"/>
  <c r="B4866" i="20"/>
  <c r="A4489" i="20"/>
  <c r="B2493" i="20"/>
  <c r="B2860" i="20"/>
  <c r="B1219" i="20"/>
  <c r="A1353" i="16"/>
  <c r="A707" i="20"/>
  <c r="A2" i="11"/>
  <c r="A3301" i="20"/>
  <c r="B3731" i="20"/>
  <c r="B7236" i="20"/>
  <c r="A7470" i="20"/>
  <c r="B5251" i="20"/>
  <c r="A4875" i="20"/>
  <c r="B3915" i="20"/>
  <c r="A6641" i="20"/>
  <c r="B2987" i="20"/>
  <c r="B6157" i="20"/>
  <c r="A2252" i="20"/>
  <c r="B5517" i="20"/>
  <c r="B6971" i="20"/>
  <c r="A3322" i="20"/>
  <c r="B5583" i="20"/>
  <c r="A3090" i="20"/>
  <c r="A5157" i="20"/>
  <c r="A853" i="20"/>
  <c r="A4837" i="20"/>
  <c r="A1934" i="20"/>
  <c r="A1924" i="20"/>
  <c r="A429" i="20"/>
  <c r="B3830" i="20"/>
  <c r="B359" i="16"/>
  <c r="B3670" i="20"/>
  <c r="B5050" i="20"/>
  <c r="A6149" i="20"/>
  <c r="B4170" i="20"/>
  <c r="A5505" i="20"/>
  <c r="B6260" i="20"/>
  <c r="A1621" i="20"/>
  <c r="B4322" i="20"/>
  <c r="B6233" i="20"/>
  <c r="B7139" i="20"/>
  <c r="A4138" i="20"/>
  <c r="B2456" i="20"/>
  <c r="A1260" i="20"/>
  <c r="B148" i="19"/>
  <c r="B1754" i="16"/>
  <c r="B501" i="16"/>
  <c r="B5977" i="20"/>
  <c r="B4280" i="20"/>
  <c r="A2224" i="20"/>
  <c r="B6901" i="20"/>
  <c r="A4948" i="20"/>
  <c r="A8458" i="20"/>
  <c r="A1571" i="20"/>
  <c r="A6668" i="20"/>
  <c r="A8790" i="20"/>
  <c r="A6511" i="20"/>
  <c r="B6014" i="20"/>
  <c r="B5304" i="20"/>
  <c r="A1821" i="20"/>
  <c r="B2620" i="20"/>
  <c r="A1535" i="20"/>
  <c r="B6807" i="20"/>
  <c r="B8052" i="20"/>
  <c r="A6279" i="20"/>
  <c r="B5740" i="20"/>
  <c r="B5072" i="20"/>
  <c r="A1589" i="20"/>
  <c r="A2387" i="20"/>
  <c r="A1303" i="20"/>
  <c r="A6933" i="20"/>
  <c r="A6520" i="20"/>
  <c r="B3800" i="20"/>
  <c r="A2104" i="20"/>
  <c r="B4013" i="20"/>
  <c r="B3853" i="20"/>
  <c r="B2063" i="20"/>
  <c r="B1594" i="16"/>
  <c r="B341" i="16"/>
  <c r="A5752" i="20"/>
  <c r="B3640" i="20"/>
  <c r="A2064" i="20"/>
  <c r="A3805" i="20"/>
  <c r="A6976" i="20"/>
  <c r="A3223" i="20"/>
  <c r="B7115" i="20"/>
  <c r="A2991" i="20"/>
  <c r="B4481" i="20"/>
  <c r="B1287" i="16"/>
  <c r="B3841" i="20"/>
  <c r="A1294" i="20"/>
  <c r="A1284" i="20"/>
  <c r="A4150" i="20"/>
  <c r="A2670" i="20"/>
  <c r="A1385" i="16"/>
  <c r="B4243" i="20"/>
  <c r="B3819" i="20"/>
  <c r="A4501" i="20"/>
  <c r="A3582" i="20"/>
  <c r="A2" i="26"/>
  <c r="B4746" i="20"/>
  <c r="B3617" i="20"/>
  <c r="B3426" i="20"/>
  <c r="A5179" i="20"/>
  <c r="A5275" i="20"/>
  <c r="A3015" i="20"/>
  <c r="B4295" i="20"/>
  <c r="A2393" i="20"/>
  <c r="C149" i="18"/>
  <c r="B3899" i="20"/>
  <c r="H90" i="13"/>
  <c r="A6139" i="20"/>
  <c r="A3692" i="20"/>
  <c r="A1584" i="20"/>
  <c r="A8105" i="20"/>
  <c r="A8167" i="20"/>
  <c r="A4863" i="20"/>
  <c r="B3602" i="20"/>
  <c r="A6188" i="20"/>
  <c r="B7611" i="20"/>
  <c r="A5871" i="20"/>
  <c r="B5332" i="20"/>
  <c r="B4664" i="20"/>
  <c r="A1181" i="20"/>
  <c r="A1979" i="20"/>
  <c r="B3785" i="20"/>
  <c r="A5260" i="20"/>
  <c r="B6683" i="20"/>
  <c r="B8321" i="20"/>
  <c r="B5100" i="20"/>
  <c r="A4471" i="20"/>
  <c r="B4001" i="20"/>
  <c r="A1747" i="20"/>
  <c r="B2857" i="20"/>
  <c r="B11" i="21"/>
  <c r="A5659" i="20"/>
  <c r="A3212" i="20"/>
  <c r="A1464" i="20"/>
  <c r="A962" i="20"/>
  <c r="B2969" i="20"/>
  <c r="C39" i="18"/>
  <c r="B4121" i="20"/>
  <c r="A14" i="13"/>
  <c r="A5499" i="20"/>
  <c r="A3052" i="20"/>
  <c r="A1424" i="20"/>
  <c r="B5152" i="20"/>
  <c r="B6332" i="20"/>
  <c r="B3338" i="20"/>
  <c r="B5996" i="20"/>
  <c r="B3106" i="20"/>
  <c r="B4410" i="20"/>
  <c r="B222" i="20"/>
  <c r="B4250" i="20"/>
  <c r="B1173" i="20"/>
  <c r="B3131" i="20"/>
  <c r="A26" i="19"/>
  <c r="A2808" i="20"/>
  <c r="H101" i="13"/>
  <c r="A1962" i="20"/>
  <c r="B1427" i="20"/>
  <c r="A2554" i="20"/>
  <c r="B173" i="20"/>
  <c r="B19" i="20"/>
  <c r="B3921" i="20"/>
  <c r="B1651" i="20"/>
  <c r="B237" i="20"/>
  <c r="A78" i="32"/>
  <c r="A8355" i="20"/>
  <c r="B6054" i="20"/>
  <c r="A772" i="45"/>
  <c r="A6183" i="20"/>
  <c r="B4976" i="20"/>
  <c r="A3033" i="20"/>
  <c r="A3222" i="20"/>
  <c r="B5423" i="20"/>
  <c r="B5007" i="20"/>
  <c r="B3644" i="20"/>
  <c r="B2101" i="20"/>
  <c r="B381" i="19"/>
  <c r="B455" i="16"/>
  <c r="A70" i="20"/>
  <c r="A1783" i="16"/>
  <c r="A5177" i="20"/>
  <c r="B4054" i="20"/>
  <c r="A412" i="20"/>
  <c r="B5769" i="20"/>
  <c r="B5825" i="20"/>
  <c r="A3939" i="20"/>
  <c r="B3612" i="20"/>
  <c r="A7686" i="20"/>
  <c r="B5081" i="20"/>
  <c r="A5088" i="20"/>
  <c r="A3707" i="20"/>
  <c r="A3203" i="20"/>
  <c r="B1562" i="20"/>
  <c r="A2917" i="20"/>
  <c r="A4528" i="20"/>
  <c r="A6751" i="20"/>
  <c r="B4849" i="20"/>
  <c r="B6119" i="20"/>
  <c r="A3475" i="20"/>
  <c r="A2971" i="20"/>
  <c r="B1330" i="20"/>
  <c r="A2685" i="20"/>
  <c r="A3600" i="20"/>
  <c r="A5533" i="20"/>
  <c r="A4697" i="20"/>
  <c r="B3574" i="20"/>
  <c r="A292" i="20"/>
  <c r="B1515" i="20"/>
  <c r="B4165" i="20"/>
  <c r="B295" i="16"/>
  <c r="B133" i="19"/>
  <c r="A1623" i="16"/>
  <c r="B6534" i="20"/>
  <c r="B1430" i="20"/>
  <c r="A4801" i="20"/>
  <c r="B5054" i="20"/>
  <c r="B735" i="16"/>
  <c r="A859" i="20"/>
  <c r="B160" i="16"/>
  <c r="B1192" i="20"/>
  <c r="B2215" i="20"/>
  <c r="B71" i="12"/>
  <c r="G103" i="8"/>
  <c r="A1827" i="16"/>
  <c r="H72" i="7"/>
  <c r="A6619" i="20"/>
  <c r="A2153" i="20"/>
  <c r="B3301" i="20"/>
  <c r="A915" i="20"/>
  <c r="A769" i="20"/>
  <c r="H99" i="8"/>
  <c r="A1811" i="16"/>
  <c r="H68" i="7"/>
  <c r="B6440" i="20"/>
  <c r="A1323" i="20"/>
  <c r="B1083" i="20"/>
  <c r="B3534" i="20"/>
  <c r="A6429" i="20"/>
  <c r="B2668" i="20"/>
  <c r="A5677" i="20"/>
  <c r="A2423" i="20"/>
  <c r="B1270" i="20"/>
  <c r="A9" i="11"/>
  <c r="B1216" i="20"/>
  <c r="A346" i="20"/>
  <c r="A1634" i="20"/>
  <c r="B1343" i="16"/>
  <c r="A1778" i="20"/>
  <c r="H142" i="10"/>
  <c r="B6184" i="20"/>
  <c r="A1259" i="20"/>
  <c r="B1041" i="20"/>
  <c r="A619" i="20"/>
  <c r="A465" i="20"/>
  <c r="B27" i="8"/>
  <c r="A1507" i="16"/>
  <c r="G130" i="6"/>
  <c r="B6056" i="20"/>
  <c r="A1211" i="20"/>
  <c r="B1009" i="20"/>
  <c r="A595" i="20"/>
  <c r="A449" i="20"/>
  <c r="B23" i="8"/>
  <c r="A1491" i="16"/>
  <c r="B5430" i="20"/>
  <c r="B7937" i="20"/>
  <c r="A1723" i="20"/>
  <c r="B7144" i="20"/>
  <c r="A3721" i="20"/>
  <c r="B2955" i="20"/>
  <c r="B1703" i="16"/>
  <c r="A2573" i="20"/>
  <c r="B5172" i="20"/>
  <c r="B3145" i="20"/>
  <c r="B4940" i="20"/>
  <c r="B2548" i="20"/>
  <c r="A1304" i="20"/>
  <c r="B1774" i="20"/>
  <c r="A1264" i="20"/>
  <c r="B249" i="19"/>
  <c r="A814" i="20"/>
  <c r="A4838" i="20"/>
  <c r="A2952" i="20"/>
  <c r="B1593" i="20"/>
  <c r="A8775" i="20"/>
  <c r="A7892" i="20"/>
  <c r="B4978" i="20"/>
  <c r="B6866" i="20"/>
  <c r="B8851" i="20"/>
  <c r="A4503" i="20"/>
  <c r="A2777" i="20"/>
  <c r="A2838" i="20"/>
  <c r="A5919" i="20"/>
  <c r="A6015" i="20"/>
  <c r="B3985" i="20"/>
  <c r="A994" i="20"/>
  <c r="B2267" i="20"/>
  <c r="B199" i="16"/>
  <c r="B2555" i="20"/>
  <c r="A1527" i="16"/>
  <c r="B4" i="21"/>
  <c r="B3030" i="20"/>
  <c r="A576" i="45"/>
  <c r="B7331" i="20"/>
  <c r="A7000" i="20"/>
  <c r="A5941" i="20"/>
  <c r="A4304" i="20"/>
  <c r="A6643" i="20"/>
  <c r="B4825" i="20"/>
  <c r="B6023" i="20"/>
  <c r="A3451" i="20"/>
  <c r="A2947" i="20"/>
  <c r="B1306" i="20"/>
  <c r="A4670" i="20"/>
  <c r="A3504" i="20"/>
  <c r="A5714" i="20"/>
  <c r="A6625" i="20"/>
  <c r="B5109" i="20"/>
  <c r="B5125" i="20"/>
  <c r="A2715" i="20"/>
  <c r="B4375" i="20"/>
  <c r="B4418" i="20"/>
  <c r="B4507" i="20"/>
  <c r="B5764" i="20"/>
  <c r="A7272" i="20"/>
  <c r="A4522" i="20"/>
  <c r="A36" i="20"/>
  <c r="B975" i="20"/>
  <c r="B3300" i="20"/>
  <c r="B39" i="16"/>
  <c r="B1299" i="20"/>
  <c r="A1367" i="16"/>
  <c r="A7721" i="20"/>
  <c r="A4362" i="20"/>
  <c r="B792" i="45"/>
  <c r="A1649" i="20"/>
  <c r="A5367" i="20"/>
  <c r="A1201" i="20"/>
  <c r="A4903" i="20"/>
  <c r="B3153" i="20"/>
  <c r="A2703" i="20"/>
  <c r="B133" i="20"/>
  <c r="A220" i="20"/>
  <c r="B1227" i="20"/>
  <c r="B2459" i="20"/>
  <c r="A7293" i="20"/>
  <c r="A2454" i="20"/>
  <c r="B1685" i="16"/>
  <c r="B7471" i="20"/>
  <c r="B8771" i="20"/>
  <c r="B5850" i="20"/>
  <c r="A7994" i="20"/>
  <c r="A5312" i="20"/>
  <c r="A3607" i="20"/>
  <c r="B3870" i="20"/>
  <c r="A2615" i="20"/>
  <c r="B5900" i="20"/>
  <c r="B6028" i="20"/>
  <c r="B1526" i="20"/>
  <c r="A98" i="20"/>
  <c r="B1888" i="20"/>
  <c r="A83" i="12"/>
  <c r="B537" i="20"/>
  <c r="A887" i="16"/>
  <c r="B4847" i="20"/>
  <c r="B3971" i="20"/>
  <c r="B7914" i="20"/>
  <c r="A8534" i="20"/>
  <c r="B7833" i="20"/>
  <c r="A4449" i="20"/>
  <c r="A2289" i="20"/>
  <c r="B6041" i="20"/>
  <c r="A6217" i="20"/>
  <c r="A5679" i="20"/>
  <c r="A5687" i="20"/>
  <c r="B4296" i="20"/>
  <c r="A3105" i="20"/>
  <c r="B4010" i="20"/>
  <c r="A1521" i="20"/>
  <c r="B8340" i="20"/>
  <c r="A5985" i="20"/>
  <c r="A5215" i="20"/>
  <c r="A5223" i="20"/>
  <c r="B4064" i="20"/>
  <c r="A2873" i="20"/>
  <c r="B3778" i="20"/>
  <c r="B4433" i="20"/>
  <c r="B5221" i="20"/>
  <c r="A6399" i="20"/>
  <c r="A2507" i="20"/>
  <c r="B1907" i="20"/>
  <c r="B335" i="20"/>
  <c r="B4159" i="20"/>
  <c r="A9" i="12"/>
  <c r="B323" i="20"/>
  <c r="A727" i="16"/>
  <c r="A6239" i="20"/>
  <c r="A2347" i="20"/>
  <c r="B8464" i="20"/>
  <c r="A7574" i="20"/>
  <c r="A4185" i="20"/>
  <c r="A7717" i="20"/>
  <c r="B5405" i="20"/>
  <c r="A6459" i="20"/>
  <c r="B1480" i="20"/>
  <c r="B2287" i="20"/>
  <c r="A2653" i="20"/>
  <c r="B519" i="20"/>
  <c r="B2080" i="20"/>
  <c r="H95" i="12"/>
  <c r="B569" i="20"/>
  <c r="A911" i="16"/>
  <c r="B4376" i="20"/>
  <c r="B2005" i="20"/>
  <c r="B376" i="20"/>
  <c r="B93" i="16"/>
  <c r="B126" i="13"/>
  <c r="B4472" i="20"/>
  <c r="B2502" i="20"/>
  <c r="A220" i="19"/>
  <c r="A5070" i="20"/>
  <c r="A5803" i="20"/>
  <c r="A3356" i="20"/>
  <c r="A6467" i="20"/>
  <c r="A4678" i="20"/>
  <c r="B3584" i="20"/>
  <c r="A3666" i="20"/>
  <c r="B2356" i="20"/>
  <c r="B5378" i="20"/>
  <c r="B5474" i="20"/>
  <c r="B4045" i="20"/>
  <c r="B3372" i="20"/>
  <c r="B2179" i="20"/>
  <c r="A1481" i="16"/>
  <c r="A835" i="20"/>
  <c r="A60" i="11"/>
  <c r="A3813" i="20"/>
  <c r="A2894" i="20"/>
  <c r="B8512" i="20"/>
  <c r="A8258" i="20"/>
  <c r="A6661" i="20"/>
  <c r="B3376" i="20"/>
  <c r="B8574" i="20"/>
  <c r="B5019" i="20"/>
  <c r="B6550" i="20"/>
  <c r="B5198" i="20"/>
  <c r="B5202" i="20"/>
  <c r="A4604" i="20"/>
  <c r="B3430" i="20"/>
  <c r="A4318" i="20"/>
  <c r="A7844" i="20"/>
  <c r="B4787" i="20"/>
  <c r="B6318" i="20"/>
  <c r="B4966" i="20"/>
  <c r="B4970" i="20"/>
  <c r="A4372" i="20"/>
  <c r="B3198" i="20"/>
  <c r="A4086" i="20"/>
  <c r="B5779" i="20"/>
  <c r="A4111" i="20"/>
  <c r="A3333" i="20"/>
  <c r="B3859" i="20"/>
  <c r="A1371" i="20"/>
  <c r="A1353" i="20"/>
  <c r="A1116" i="20"/>
  <c r="A1321" i="16"/>
  <c r="A675" i="20"/>
  <c r="B4437" i="20"/>
  <c r="B4973" i="20"/>
  <c r="A3321" i="20"/>
  <c r="A4566" i="20"/>
  <c r="A1018" i="20"/>
  <c r="A865" i="16"/>
  <c r="B525" i="16"/>
  <c r="B4898" i="20"/>
  <c r="A1369" i="20"/>
  <c r="A278" i="20"/>
  <c r="B707" i="16"/>
  <c r="A4631" i="20"/>
  <c r="A4636" i="20"/>
  <c r="A3996" i="20"/>
  <c r="B2822" i="20"/>
  <c r="A3710" i="20"/>
  <c r="A8087" i="20"/>
  <c r="A6211" i="20"/>
  <c r="A7432" i="20"/>
  <c r="A4397" i="20"/>
  <c r="A4401" i="20"/>
  <c r="A3764" i="20"/>
  <c r="A4562" i="20"/>
  <c r="A3478" i="20"/>
  <c r="A6757" i="20"/>
  <c r="B3832" i="20"/>
  <c r="B4964" i="20"/>
  <c r="B2572" i="20"/>
  <c r="B2200" i="20"/>
  <c r="B2182" i="20"/>
  <c r="B4969" i="20"/>
  <c r="A830" i="20"/>
  <c r="B4809" i="20"/>
  <c r="A7512" i="20"/>
  <c r="B4857" i="20"/>
  <c r="B1338" i="20"/>
  <c r="B6032" i="20"/>
  <c r="B6522" i="20"/>
  <c r="A4020" i="20"/>
  <c r="B2723" i="20"/>
  <c r="A2704" i="20"/>
  <c r="A2867" i="20"/>
  <c r="A2963" i="20"/>
  <c r="A68" i="20"/>
  <c r="B2801" i="20"/>
  <c r="A279" i="19"/>
  <c r="A329" i="16"/>
  <c r="B66" i="19"/>
  <c r="B1672" i="16"/>
  <c r="A3307" i="20"/>
  <c r="A2928" i="20"/>
  <c r="A7742" i="20"/>
  <c r="A5454" i="20"/>
  <c r="A6960" i="20"/>
  <c r="A1285" i="20"/>
  <c r="A7174" i="20"/>
  <c r="A5899" i="20"/>
  <c r="B7251" i="20"/>
  <c r="A4085" i="20"/>
  <c r="A4089" i="20"/>
  <c r="A3452" i="20"/>
  <c r="A4250" i="20"/>
  <c r="A3166" i="20"/>
  <c r="B7313" i="20"/>
  <c r="A5667" i="20"/>
  <c r="A7349" i="20"/>
  <c r="A3853" i="20"/>
  <c r="B5021" i="20"/>
  <c r="A3220" i="20"/>
  <c r="A4018" i="20"/>
  <c r="A2934" i="20"/>
  <c r="A6075" i="20"/>
  <c r="A3628" i="20"/>
  <c r="A5719" i="20"/>
  <c r="A1553" i="20"/>
  <c r="B1352" i="20"/>
  <c r="B1340" i="20"/>
  <c r="A119" i="19"/>
  <c r="A169" i="16"/>
  <c r="B1040" i="20"/>
  <c r="B1512" i="16"/>
  <c r="A5399" i="20"/>
  <c r="A1233" i="20"/>
  <c r="B7504" i="20"/>
  <c r="B8968" i="20"/>
  <c r="A1025" i="45"/>
  <c r="A7145" i="20"/>
  <c r="N77" i="33"/>
  <c r="B6910" i="20"/>
  <c r="A6993" i="20"/>
  <c r="A6985" i="20"/>
  <c r="B7343" i="20"/>
  <c r="A7105" i="20"/>
  <c r="B5903" i="20"/>
  <c r="A3170" i="20"/>
  <c r="B7215" i="20"/>
  <c r="A7073" i="20"/>
  <c r="B5775" i="20"/>
  <c r="A3138" i="20"/>
  <c r="B7599" i="20"/>
  <c r="A7169" i="20"/>
  <c r="A7023" i="20"/>
  <c r="A5190" i="20"/>
  <c r="A4885" i="20"/>
  <c r="A4894" i="20"/>
  <c r="B5837" i="20"/>
  <c r="B6234" i="20"/>
  <c r="B4" i="40"/>
  <c r="B5924" i="20"/>
  <c r="E8" i="29"/>
  <c r="B5781" i="20"/>
  <c r="A5841" i="20"/>
  <c r="A2729" i="20"/>
  <c r="A7641" i="20"/>
  <c r="A5513" i="20"/>
  <c r="B4390" i="20"/>
  <c r="A5731" i="20"/>
  <c r="A7605" i="20"/>
  <c r="A3917" i="20"/>
  <c r="B5277" i="20"/>
  <c r="A3284" i="20"/>
  <c r="A4082" i="20"/>
  <c r="A2998" i="20"/>
  <c r="A6331" i="20"/>
  <c r="A3884" i="20"/>
  <c r="A6613" i="20"/>
  <c r="A2577" i="20"/>
  <c r="B1438" i="20"/>
  <c r="B1424" i="20"/>
  <c r="A183" i="19"/>
  <c r="A233" i="16"/>
  <c r="B1775" i="20"/>
  <c r="B1576" i="16"/>
  <c r="A5973" i="20"/>
  <c r="A1937" i="20"/>
  <c r="B8115" i="20"/>
  <c r="B7889" i="20"/>
  <c r="A5937" i="20"/>
  <c r="A2825" i="20"/>
  <c r="A6310" i="20"/>
  <c r="A5163" i="20"/>
  <c r="A5320" i="20"/>
  <c r="A3349" i="20"/>
  <c r="A5445" i="20"/>
  <c r="A2716" i="20"/>
  <c r="A3514" i="20"/>
  <c r="B3923" i="20"/>
  <c r="A5382" i="20"/>
  <c r="B4050" i="20"/>
  <c r="M77" i="33"/>
  <c r="B7952" i="20"/>
  <c r="B6740" i="20"/>
  <c r="A8150" i="20"/>
  <c r="A5742" i="20"/>
  <c r="B5787" i="20"/>
  <c r="B5729" i="20"/>
  <c r="B7197" i="20"/>
  <c r="B5217" i="20"/>
  <c r="A5632" i="20"/>
  <c r="A3843" i="20"/>
  <c r="A3449" i="20"/>
  <c r="B1698" i="20"/>
  <c r="A3053" i="20"/>
  <c r="B7310" i="20"/>
  <c r="A7288" i="20"/>
  <c r="A8426" i="20"/>
  <c r="B4933" i="20"/>
  <c r="A4560" i="20"/>
  <c r="A6911" i="20"/>
  <c r="B4889" i="20"/>
  <c r="B6279" i="20"/>
  <c r="A3515" i="20"/>
  <c r="A3011" i="20"/>
  <c r="B1370" i="20"/>
  <c r="A2725" i="20"/>
  <c r="A3760" i="20"/>
  <c r="A5970" i="20"/>
  <c r="B4657" i="20"/>
  <c r="B5365" i="20"/>
  <c r="B5381" i="20"/>
  <c r="A2779" i="20"/>
  <c r="A4634" i="20"/>
  <c r="B4482" i="20"/>
  <c r="A2832" i="20"/>
  <c r="B6078" i="20"/>
  <c r="B8532" i="20"/>
  <c r="B2806" i="20"/>
  <c r="A100" i="20"/>
  <c r="B1039" i="20"/>
  <c r="B4324" i="20"/>
  <c r="B103" i="16"/>
  <c r="B1787" i="20"/>
  <c r="A1431" i="16"/>
  <c r="B6920" i="20"/>
  <c r="A4618" i="20"/>
  <c r="A1" i="25"/>
  <c r="B6964" i="20"/>
  <c r="A7078" i="20"/>
  <c r="A4065" i="20"/>
  <c r="A1905" i="20"/>
  <c r="B5657" i="20"/>
  <c r="A6121" i="20"/>
  <c r="A5487" i="20"/>
  <c r="A5495" i="20"/>
  <c r="B4200" i="20"/>
  <c r="A3009" i="20"/>
  <c r="B3914" i="20"/>
  <c r="A1329" i="20"/>
  <c r="A6712" i="20"/>
  <c r="A5889" i="20"/>
  <c r="A5023" i="20"/>
  <c r="A5031" i="20"/>
  <c r="B3282" i="20"/>
  <c r="A9013" i="20"/>
  <c r="M68" i="33"/>
  <c r="A8244" i="20"/>
  <c r="F7" i="29"/>
  <c r="A4846" i="20"/>
  <c r="N39" i="29"/>
  <c r="B7956" i="20"/>
  <c r="A5650" i="20"/>
  <c r="A6609" i="20"/>
  <c r="B5045" i="20"/>
  <c r="B5061" i="20"/>
  <c r="A2699" i="20"/>
  <c r="B4311" i="20"/>
  <c r="B4402" i="20"/>
  <c r="N43" i="33"/>
  <c r="A7883" i="20"/>
  <c r="A7576" i="20"/>
  <c r="B4666" i="20"/>
  <c r="A2545" i="20"/>
  <c r="B6297" i="20"/>
  <c r="A6281" i="20"/>
  <c r="A5807" i="20"/>
  <c r="A5815" i="20"/>
  <c r="B4360" i="20"/>
  <c r="A3169" i="20"/>
  <c r="B4074" i="20"/>
  <c r="A1745" i="20"/>
  <c r="Q2" i="33"/>
  <c r="A6049" i="20"/>
  <c r="A5343" i="20"/>
  <c r="A5351" i="20"/>
  <c r="B4128" i="20"/>
  <c r="A2937" i="20"/>
  <c r="B3842" i="20"/>
  <c r="A1185" i="20"/>
  <c r="A3499" i="20"/>
  <c r="B6660" i="20"/>
  <c r="B3075" i="20"/>
  <c r="B2163" i="20"/>
  <c r="B399" i="20"/>
  <c r="B1358" i="20"/>
  <c r="B38" i="12"/>
  <c r="B409" i="20"/>
  <c r="A791" i="16"/>
  <c r="A6495" i="20"/>
  <c r="A2603" i="20"/>
  <c r="A8344" i="20"/>
  <c r="B8390" i="20"/>
  <c r="A7129" i="20"/>
  <c r="B4896" i="20"/>
  <c r="Z2" i="29"/>
  <c r="A5432" i="20"/>
  <c r="A5481" i="20"/>
  <c r="B6220" i="20"/>
  <c r="B6226" i="20"/>
  <c r="B3560" i="20"/>
  <c r="B4358" i="20"/>
  <c r="B3274" i="20"/>
  <c r="A8246" i="20"/>
  <c r="B6463" i="20"/>
  <c r="A5249" i="20"/>
  <c r="B5910" i="20"/>
  <c r="B5916" i="20"/>
  <c r="B3328" i="20"/>
  <c r="B4126" i="20"/>
  <c r="B3042" i="20"/>
  <c r="A7959" i="20"/>
  <c r="A4393" i="20"/>
  <c r="A6085" i="20"/>
  <c r="B4154" i="20"/>
  <c r="A4360" i="20"/>
  <c r="A4320" i="20"/>
  <c r="B4994" i="20"/>
  <c r="B2988" i="20"/>
  <c r="A151" i="16"/>
  <c r="A8910" i="20"/>
  <c r="B5307" i="20"/>
  <c r="B2920" i="20"/>
  <c r="B5075" i="20"/>
  <c r="B5254" i="20"/>
  <c r="B4096" i="20"/>
  <c r="A4178" i="20"/>
  <c r="B3497" i="20"/>
  <c r="A3371" i="20"/>
  <c r="A3467" i="20"/>
  <c r="A1624" i="20"/>
  <c r="B367" i="20"/>
  <c r="A232" i="20"/>
  <c r="B12" i="17"/>
  <c r="B1465" i="20"/>
  <c r="A107" i="12"/>
  <c r="B5310" i="20"/>
  <c r="A4430" i="20"/>
  <c r="B750" i="45"/>
  <c r="A315" i="45"/>
  <c r="A6546" i="20"/>
  <c r="A2923" i="20"/>
  <c r="A51" i="45"/>
  <c r="B5403" i="20"/>
  <c r="A4937" i="20"/>
  <c r="B5582" i="20"/>
  <c r="B5586" i="20"/>
  <c r="B3016" i="20"/>
  <c r="B3814" i="20"/>
  <c r="B2730" i="20"/>
  <c r="B7819" i="20"/>
  <c r="B5171" i="20"/>
  <c r="A4705" i="20"/>
  <c r="B5350" i="20"/>
  <c r="B5354" i="20"/>
  <c r="B2784" i="20"/>
  <c r="B3582" i="20"/>
  <c r="A4470" i="20"/>
  <c r="A7866" i="20"/>
  <c r="B5608" i="20"/>
  <c r="B4830" i="20"/>
  <c r="A3950" i="20"/>
  <c r="B2939" i="20"/>
  <c r="B2779" i="20"/>
  <c r="B295" i="19"/>
  <c r="A1705" i="16"/>
  <c r="A1059" i="20"/>
  <c r="A32" i="12"/>
  <c r="B4670" i="20"/>
  <c r="A3790" i="20"/>
  <c r="A8141" i="20"/>
  <c r="A5490" i="20"/>
  <c r="B6529" i="20"/>
  <c r="B7279" i="20"/>
  <c r="A5026" i="20"/>
  <c r="A7918" i="20"/>
  <c r="B7835" i="20"/>
  <c r="A4874" i="20"/>
  <c r="A4866" i="20"/>
  <c r="B7277" i="20"/>
  <c r="A4986" i="20"/>
  <c r="B5020" i="20"/>
  <c r="A2633" i="20"/>
  <c r="B7149" i="20"/>
  <c r="A4954" i="20"/>
  <c r="B4988" i="20"/>
  <c r="B2596" i="20"/>
  <c r="B7533" i="20"/>
  <c r="B8967" i="20"/>
  <c r="A7419" i="20"/>
  <c r="A7645" i="20"/>
  <c r="B3937" i="20"/>
  <c r="B7205" i="20"/>
  <c r="A6320" i="20"/>
  <c r="B2662" i="20"/>
  <c r="A5392" i="20"/>
  <c r="B2418" i="20"/>
  <c r="A7038" i="20"/>
  <c r="B7493" i="20"/>
  <c r="A4477" i="20"/>
  <c r="A3558" i="20"/>
  <c r="A1541" i="20"/>
  <c r="A4149" i="20"/>
  <c r="A3230" i="20"/>
  <c r="A6896" i="20"/>
  <c r="A5959" i="20"/>
  <c r="B5420" i="20"/>
  <c r="B4752" i="20"/>
  <c r="A1269" i="20"/>
  <c r="A2067" i="20"/>
  <c r="B4137" i="20"/>
  <c r="B5039" i="20"/>
  <c r="B4907" i="20"/>
  <c r="A4492" i="20"/>
  <c r="A1784" i="20"/>
  <c r="B1717" i="20"/>
  <c r="A4408" i="20"/>
  <c r="B88" i="20"/>
  <c r="B3012" i="20"/>
  <c r="B21" i="16"/>
  <c r="B4747" i="20"/>
  <c r="A4332" i="20"/>
  <c r="A1744" i="20"/>
  <c r="A6422" i="20"/>
  <c r="B7589" i="20"/>
  <c r="A4573" i="20"/>
  <c r="A3654" i="20"/>
  <c r="B6227" i="20"/>
  <c r="A6717" i="20"/>
  <c r="B7272" i="20"/>
  <c r="B4852" i="20"/>
  <c r="A4223" i="20"/>
  <c r="B3009" i="20"/>
  <c r="A3753" i="20"/>
  <c r="B2460" i="20"/>
  <c r="A8927" i="20"/>
  <c r="A2694" i="20"/>
  <c r="B8919" i="20"/>
  <c r="B8294" i="20"/>
  <c r="A8710" i="20"/>
  <c r="A8156" i="20"/>
  <c r="A8015" i="20"/>
  <c r="A7322" i="20"/>
  <c r="B7691" i="20"/>
  <c r="B5155" i="20"/>
  <c r="A4689" i="20"/>
  <c r="B5334" i="20"/>
  <c r="B5338" i="20"/>
  <c r="B2768" i="20"/>
  <c r="B3566" i="20"/>
  <c r="A4454" i="20"/>
  <c r="A227" i="45"/>
  <c r="A7214" i="20"/>
  <c r="B4995" i="20"/>
  <c r="A4580" i="20"/>
  <c r="A8060" i="20"/>
  <c r="B4827" i="20"/>
  <c r="B6358" i="20"/>
  <c r="B5006" i="20"/>
  <c r="B5010" i="20"/>
  <c r="A4412" i="20"/>
  <c r="B3238" i="20"/>
  <c r="A4126" i="20"/>
  <c r="B6994" i="20"/>
  <c r="A6627" i="20"/>
  <c r="A8758" i="20"/>
  <c r="B4774" i="20"/>
  <c r="B4778" i="20"/>
  <c r="A4180" i="20"/>
  <c r="B3006" i="20"/>
  <c r="A3894" i="20"/>
  <c r="A6802" i="20"/>
  <c r="A3343" i="20"/>
  <c r="A5213" i="20"/>
  <c r="A2191" i="20"/>
  <c r="B4153" i="20"/>
  <c r="B4081" i="20"/>
  <c r="B859" i="20"/>
  <c r="A1129" i="16"/>
  <c r="A483" i="20"/>
  <c r="B860" i="20"/>
  <c r="A4893" i="20"/>
  <c r="A2031" i="20"/>
  <c r="B7853" i="20"/>
  <c r="A6094" i="20"/>
  <c r="A347" i="45"/>
  <c r="A1925" i="20"/>
  <c r="B7552" i="20"/>
  <c r="A6059" i="20"/>
  <c r="A6824" i="20"/>
  <c r="A4245" i="20"/>
  <c r="A4249" i="20"/>
  <c r="A3612" i="20"/>
  <c r="A4410" i="20"/>
  <c r="A3326" i="20"/>
  <c r="A6886" i="20"/>
  <c r="A5827" i="20"/>
  <c r="B6963" i="20"/>
  <c r="A4013" i="20"/>
  <c r="A4017" i="20"/>
  <c r="A2343" i="20"/>
  <c r="A8014" i="20"/>
  <c r="A8578" i="20"/>
  <c r="A7593" i="20"/>
  <c r="B7226" i="20"/>
  <c r="A7508" i="20"/>
  <c r="A6682" i="20"/>
  <c r="A7730" i="20"/>
  <c r="A6547" i="20"/>
  <c r="B8481" i="20"/>
  <c r="B4694" i="20"/>
  <c r="B4698" i="20"/>
  <c r="A4100" i="20"/>
  <c r="B2926" i="20"/>
  <c r="A3814" i="20"/>
  <c r="B6846" i="20"/>
  <c r="A6747" i="20"/>
  <c r="B6464" i="20"/>
  <c r="A2565" i="20"/>
  <c r="A8215" i="20"/>
  <c r="A6219" i="20"/>
  <c r="A7464" i="20"/>
  <c r="A4405" i="20"/>
  <c r="A4409" i="20"/>
  <c r="A3772" i="20"/>
  <c r="A4570" i="20"/>
  <c r="A3486" i="20"/>
  <c r="A7526" i="20"/>
  <c r="A5987" i="20"/>
  <c r="B7603" i="20"/>
  <c r="A4173" i="20"/>
  <c r="A4177" i="20"/>
  <c r="A3540" i="20"/>
  <c r="A4338" i="20"/>
  <c r="A3254" i="20"/>
  <c r="B5323" i="20"/>
  <c r="B2936" i="20"/>
  <c r="A4107" i="20"/>
  <c r="B4156" i="20"/>
  <c r="B1780" i="20"/>
  <c r="B1766" i="20"/>
  <c r="B55" i="20"/>
  <c r="A489" i="16"/>
  <c r="B226" i="19"/>
  <c r="B1832" i="16"/>
  <c r="A3947" i="20"/>
  <c r="B3516" i="20"/>
  <c r="A8196" i="20"/>
  <c r="B5493" i="20"/>
  <c r="B4929" i="20"/>
  <c r="B1410" i="20"/>
  <c r="A7347" i="20"/>
  <c r="A5419" i="20"/>
  <c r="A6344" i="20"/>
  <c r="A3605" i="20"/>
  <c r="A6061" i="20"/>
  <c r="A2972" i="20"/>
  <c r="A3770" i="20"/>
  <c r="A2686" i="20"/>
  <c r="A6406" i="20"/>
  <c r="A5187" i="20"/>
  <c r="A5416" i="20"/>
  <c r="A3373" i="20"/>
  <c r="A5493" i="20"/>
  <c r="A2740" i="20"/>
  <c r="A3538" i="20"/>
  <c r="B4019" i="20"/>
  <c r="B6152" i="20"/>
  <c r="A7804" i="20"/>
  <c r="B4962" i="20"/>
  <c r="B2142" i="20"/>
  <c r="B3247" i="20"/>
  <c r="B3207" i="20"/>
  <c r="A3595" i="20"/>
  <c r="A311" i="19"/>
  <c r="A3435" i="20"/>
  <c r="A6449" i="20"/>
  <c r="A5832" i="20"/>
  <c r="A3642" i="20"/>
  <c r="B6199" i="20"/>
  <c r="A4275" i="20"/>
  <c r="A4672" i="20"/>
  <c r="A3183" i="20"/>
  <c r="B7346" i="20"/>
  <c r="B8473" i="20"/>
  <c r="A1837" i="20"/>
  <c r="B2900" i="20"/>
  <c r="B2695" i="20"/>
  <c r="A917" i="20"/>
  <c r="G97" i="11"/>
  <c r="B1653" i="16"/>
  <c r="A6118" i="20"/>
  <c r="A5349" i="20"/>
  <c r="B1472" i="20"/>
  <c r="A8066" i="20"/>
  <c r="A7476" i="20"/>
  <c r="A4785" i="20"/>
  <c r="B6127" i="20"/>
  <c r="A3226" i="20"/>
  <c r="B5399" i="20"/>
  <c r="A2994" i="20"/>
  <c r="B6386" i="20"/>
  <c r="A757" i="20"/>
  <c r="B6126" i="20"/>
  <c r="B4909" i="20"/>
  <c r="B3155" i="20"/>
  <c r="A6013" i="20"/>
  <c r="A2551" i="20"/>
  <c r="B1440" i="20"/>
  <c r="E68" i="11"/>
  <c r="B1388" i="20"/>
  <c r="A378" i="20"/>
  <c r="A1762" i="20"/>
  <c r="A3856" i="20"/>
  <c r="A356" i="20"/>
  <c r="B261" i="19"/>
  <c r="A140" i="45"/>
  <c r="B3739" i="20"/>
  <c r="A6165" i="20"/>
  <c r="A2129" i="20"/>
  <c r="B4663" i="20"/>
  <c r="B5488" i="20"/>
  <c r="A3761" i="20"/>
  <c r="A3606" i="20"/>
  <c r="A7445" i="20"/>
  <c r="B6803" i="20"/>
  <c r="B4361" i="20"/>
  <c r="B4525" i="20"/>
  <c r="A510" i="20"/>
  <c r="B711" i="16"/>
  <c r="A582" i="20"/>
  <c r="C92" i="18"/>
  <c r="A6201" i="20"/>
  <c r="A3089" i="20"/>
  <c r="A668" i="20"/>
  <c r="B6893" i="20"/>
  <c r="A4890" i="20"/>
  <c r="B4924" i="20"/>
  <c r="B2532" i="20"/>
  <c r="A7684" i="20"/>
  <c r="B5337" i="20"/>
  <c r="A6112" i="20"/>
  <c r="A3963" i="20"/>
  <c r="A3929" i="20"/>
  <c r="B1818" i="20"/>
  <c r="A3173" i="20"/>
  <c r="B3580" i="20"/>
  <c r="B6749" i="20"/>
  <c r="B5105" i="20"/>
  <c r="A5184" i="20"/>
  <c r="A3731" i="20"/>
  <c r="A3227" i="20"/>
  <c r="B1586" i="20"/>
  <c r="A2941" i="20"/>
  <c r="A4624" i="20"/>
  <c r="A3749" i="20"/>
  <c r="A5721" i="20"/>
  <c r="B4598" i="20"/>
  <c r="A548" i="20"/>
  <c r="B2539" i="20"/>
  <c r="A190" i="20"/>
  <c r="B551" i="16"/>
  <c r="A262" i="20"/>
  <c r="B26" i="17"/>
  <c r="A5561" i="20"/>
  <c r="B4438" i="20"/>
  <c r="A508" i="20"/>
  <c r="A2886" i="20"/>
  <c r="B4660" i="20"/>
  <c r="B2268" i="20"/>
  <c r="A4467" i="20"/>
  <c r="B2036" i="20"/>
  <c r="B1725" i="20"/>
  <c r="A1554" i="20"/>
  <c r="B1565" i="20"/>
  <c r="B121" i="19"/>
  <c r="A558" i="20"/>
  <c r="A4844" i="20"/>
  <c r="A1499" i="20"/>
  <c r="A739" i="20"/>
  <c r="B8143" i="20"/>
  <c r="B8747" i="20"/>
  <c r="A4505" i="20"/>
  <c r="A7970" i="20"/>
  <c r="A7328" i="20"/>
  <c r="A4375" i="20"/>
  <c r="B4510" i="20"/>
  <c r="A2710" i="20"/>
  <c r="B7528" i="20"/>
  <c r="B7211" i="20"/>
  <c r="B2667" i="20"/>
  <c r="A866" i="20"/>
  <c r="B3812" i="20"/>
  <c r="B71" i="16"/>
  <c r="B1531" i="20"/>
  <c r="A1399" i="16"/>
  <c r="A7144" i="20"/>
  <c r="A4490" i="20"/>
  <c r="B8447" i="20"/>
  <c r="A6296" i="20"/>
  <c r="A7045" i="20"/>
  <c r="A4871" i="20"/>
  <c r="A3792" i="20"/>
  <c r="A6130" i="20"/>
  <c r="B4697" i="20"/>
  <c r="B5511" i="20"/>
  <c r="A3323" i="20"/>
  <c r="A2819" i="20"/>
  <c r="B1178" i="20"/>
  <c r="B4522" i="20"/>
  <c r="A2992" i="20"/>
  <c r="A5202" i="20"/>
  <c r="A6497" i="20"/>
  <c r="A6629" i="20"/>
  <c r="A6647" i="20"/>
  <c r="B4576" i="20"/>
  <c r="A3633" i="20"/>
  <c r="B4290" i="20"/>
  <c r="A2609" i="20"/>
  <c r="B5252" i="20"/>
  <c r="A7317" i="20"/>
  <c r="A4010" i="20"/>
  <c r="B291" i="19"/>
  <c r="B847" i="20"/>
  <c r="A3224" i="20"/>
  <c r="H113" i="13"/>
  <c r="B1005" i="20"/>
  <c r="A1239" i="16"/>
  <c r="B6672" i="20"/>
  <c r="A3850" i="20"/>
  <c r="E4" i="29"/>
  <c r="B7094" i="20"/>
  <c r="B6340" i="20"/>
  <c r="B8448" i="20"/>
  <c r="B6002" i="20"/>
  <c r="A18" i="25"/>
  <c r="A4616" i="20"/>
  <c r="A5" i="19"/>
  <c r="A92" i="20"/>
  <c r="B1031" i="20"/>
  <c r="B4196" i="20"/>
  <c r="B95" i="16"/>
  <c r="B1723" i="20"/>
  <c r="A1423" i="16"/>
  <c r="A5847" i="20"/>
  <c r="A1886" i="20"/>
  <c r="A381" i="20"/>
  <c r="B1117" i="16"/>
  <c r="B963" i="16"/>
  <c r="A6229" i="20"/>
  <c r="B271" i="20"/>
  <c r="A663" i="16"/>
  <c r="A8348" i="20"/>
  <c r="A4920" i="20"/>
  <c r="B3432" i="20"/>
  <c r="B5951" i="20"/>
  <c r="B5638" i="20"/>
  <c r="B4224" i="20"/>
  <c r="A4306" i="20"/>
  <c r="B4521" i="20"/>
  <c r="A3883" i="20"/>
  <c r="A3979" i="20"/>
  <c r="A1880" i="20"/>
  <c r="B495" i="20"/>
  <c r="A488" i="20"/>
  <c r="A62" i="18"/>
  <c r="B1977" i="20"/>
  <c r="B29" i="13"/>
  <c r="B5822" i="20"/>
  <c r="B2970" i="20"/>
  <c r="B6828" i="20"/>
  <c r="B6938" i="20"/>
  <c r="B7581" i="20"/>
  <c r="A3833" i="20"/>
  <c r="B9044" i="20"/>
  <c r="B5727" i="20"/>
  <c r="A5065" i="20"/>
  <c r="B5710" i="20"/>
  <c r="B5714" i="20"/>
  <c r="B3144" i="20"/>
  <c r="B3942" i="20"/>
  <c r="B2858" i="20"/>
  <c r="B8861" i="20"/>
  <c r="B5299" i="20"/>
  <c r="A4833" i="20"/>
  <c r="B5478" i="20"/>
  <c r="B5482" i="20"/>
  <c r="B2912" i="20"/>
  <c r="B3710" i="20"/>
  <c r="A4598" i="20"/>
  <c r="B5773" i="20"/>
  <c r="B6212" i="20"/>
  <c r="B5342" i="20"/>
  <c r="A4462" i="20"/>
  <c r="A2696" i="20"/>
  <c r="A2656" i="20"/>
  <c r="A168" i="20"/>
  <c r="A1833" i="16"/>
  <c r="B1337" i="20"/>
  <c r="A92" i="12"/>
  <c r="B5182" i="20"/>
  <c r="B7069" i="20"/>
  <c r="B3678" i="20"/>
  <c r="A2574" i="20"/>
  <c r="A1505" i="16"/>
  <c r="B1165" i="16"/>
  <c r="A8074" i="20"/>
  <c r="B3788" i="20"/>
  <c r="B2064" i="20"/>
  <c r="A328" i="19"/>
  <c r="H112" i="9"/>
  <c r="B1348" i="16"/>
  <c r="H98" i="6"/>
  <c r="A4172" i="20"/>
  <c r="A1074" i="20"/>
  <c r="B115" i="18"/>
  <c r="C67" i="13"/>
  <c r="D1" i="13"/>
  <c r="A109" i="9"/>
  <c r="B1338" i="16"/>
  <c r="B88" i="6"/>
  <c r="B4619" i="20"/>
  <c r="A810" i="20"/>
  <c r="A7422" i="20"/>
  <c r="A5030" i="20"/>
  <c r="A4805" i="20"/>
  <c r="B6061" i="20"/>
  <c r="B6338" i="20"/>
  <c r="B5655" i="20"/>
  <c r="A2230" i="20"/>
  <c r="B1461" i="16"/>
  <c r="B1491" i="20"/>
  <c r="B231" i="20"/>
  <c r="A2619" i="20"/>
  <c r="H94" i="11"/>
  <c r="B189" i="20"/>
  <c r="A623" i="16"/>
  <c r="B4107" i="20"/>
  <c r="A778" i="20"/>
  <c r="B1775" i="16"/>
  <c r="H63" i="12"/>
  <c r="B125" i="11"/>
  <c r="G38" i="9"/>
  <c r="B1134" i="16"/>
  <c r="G99" i="5"/>
  <c r="B3723" i="20"/>
  <c r="A754" i="20"/>
  <c r="B1751" i="16"/>
  <c r="H52" i="12"/>
  <c r="H117" i="11"/>
  <c r="F35" i="9"/>
  <c r="B1124" i="16"/>
  <c r="A4550" i="20"/>
  <c r="B5076" i="20"/>
  <c r="B2761" i="20"/>
  <c r="B4844" i="20"/>
  <c r="B2452" i="20"/>
  <c r="A1208" i="20"/>
  <c r="B1262" i="20"/>
  <c r="A1168" i="20"/>
  <c r="A4543" i="20"/>
  <c r="B6579" i="20"/>
  <c r="A4311" i="20"/>
  <c r="A6784" i="20"/>
  <c r="A802" i="20"/>
  <c r="H74" i="12"/>
  <c r="B2996" i="20"/>
  <c r="B2956" i="20"/>
  <c r="B1805" i="20"/>
  <c r="A4709" i="20"/>
  <c r="A2912" i="20"/>
  <c r="A123" i="12"/>
  <c r="A7086" i="20"/>
  <c r="B4795" i="20"/>
  <c r="A4380" i="20"/>
  <c r="B4947" i="20"/>
  <c r="B5126" i="20"/>
  <c r="B3968" i="20"/>
  <c r="A3922" i="20"/>
  <c r="B2985" i="20"/>
  <c r="A5783" i="20"/>
  <c r="A4951" i="20"/>
  <c r="A1496" i="20"/>
  <c r="B239" i="20"/>
  <c r="B359" i="19"/>
  <c r="A1737" i="16"/>
  <c r="A1091" i="20"/>
  <c r="A47" i="12"/>
  <c r="B4798" i="20"/>
  <c r="A3918" i="20"/>
  <c r="A8056" i="20"/>
  <c r="A54" i="32"/>
  <c r="B6457" i="20"/>
  <c r="B4400" i="20"/>
  <c r="B8651" i="20"/>
  <c r="B5275" i="20"/>
  <c r="A4809" i="20"/>
  <c r="B5454" i="20"/>
  <c r="B5458" i="20"/>
  <c r="B2888" i="20"/>
  <c r="B3686" i="20"/>
  <c r="A4574" i="20"/>
  <c r="A7817" i="20"/>
  <c r="B5043" i="20"/>
  <c r="B6574" i="20"/>
  <c r="B5222" i="20"/>
  <c r="B5226" i="20"/>
  <c r="B4629" i="20"/>
  <c r="B3454" i="20"/>
  <c r="A4342" i="20"/>
  <c r="B6903" i="20"/>
  <c r="B5096" i="20"/>
  <c r="A4357" i="20"/>
  <c r="A3438" i="20"/>
  <c r="A2217" i="20"/>
  <c r="A2177" i="20"/>
  <c r="B3813" i="20"/>
  <c r="A1577" i="16"/>
  <c r="A931" i="20"/>
  <c r="B104" i="11"/>
  <c r="A4197" i="20"/>
  <c r="A3278" i="20"/>
  <c r="N65" i="33"/>
  <c r="A9023" i="20"/>
  <c r="B4136" i="20"/>
  <c r="B6755" i="20"/>
  <c r="B3904" i="20"/>
  <c r="A5271" i="20"/>
  <c r="A4676" i="20"/>
  <c r="A567" i="16"/>
  <c r="B3835" i="20"/>
  <c r="B3675" i="20"/>
  <c r="A24" i="20"/>
  <c r="A7283" i="20"/>
  <c r="A2444" i="20"/>
  <c r="A6630" i="20"/>
  <c r="A7137" i="20"/>
  <c r="B6264" i="20"/>
  <c r="A2365" i="20"/>
  <c r="A5571" i="20"/>
  <c r="A3757" i="20"/>
  <c r="B3072" i="20"/>
  <c r="A3154" i="20"/>
  <c r="B1844" i="20"/>
  <c r="A5477" i="20"/>
  <c r="A5669" i="20"/>
  <c r="A1092" i="20"/>
  <c r="A3296" i="20"/>
  <c r="B817" i="20"/>
  <c r="A1097" i="16"/>
  <c r="A451" i="20"/>
  <c r="B732" i="20"/>
  <c r="B6634" i="20"/>
  <c r="A1903" i="20"/>
  <c r="B8355" i="20"/>
  <c r="B7513" i="20"/>
  <c r="A6259" i="20"/>
  <c r="A3812" i="20"/>
  <c r="B7154" i="20"/>
  <c r="B6676" i="20"/>
  <c r="A155" i="32"/>
  <c r="B4814" i="20"/>
  <c r="B4818" i="20"/>
  <c r="A4220" i="20"/>
  <c r="B3046" i="20"/>
  <c r="A3934" i="20"/>
  <c r="B8944" i="20"/>
  <c r="A6435" i="20"/>
  <c r="B8660" i="20"/>
  <c r="A4621" i="20"/>
  <c r="B4625" i="20"/>
  <c r="A3988" i="20"/>
  <c r="B2814" i="20"/>
  <c r="A3702" i="20"/>
  <c r="A5810" i="20"/>
  <c r="A2739" i="20"/>
  <c r="B5866" i="20"/>
  <c r="A1423" i="20"/>
  <c r="B2659" i="20"/>
  <c r="B2635" i="20"/>
  <c r="B603" i="20"/>
  <c r="A937" i="16"/>
  <c r="A291" i="20"/>
  <c r="B92" i="20"/>
  <c r="B5700" i="20"/>
  <c r="A1263" i="20"/>
  <c r="A5838" i="20"/>
  <c r="A5995" i="20"/>
  <c r="A3548" i="20"/>
  <c r="A5763" i="20"/>
  <c r="A3316" i="20"/>
  <c r="A4012" i="20"/>
  <c r="B1468" i="20"/>
  <c r="B1608" i="16"/>
  <c r="B4089" i="20"/>
  <c r="B4017" i="20"/>
  <c r="B849" i="20"/>
  <c r="A1121" i="16"/>
  <c r="A475" i="20"/>
  <c r="B828" i="20"/>
  <c r="A4494" i="20"/>
  <c r="A2688" i="20"/>
  <c r="A1841" i="16"/>
  <c r="F96" i="12"/>
  <c r="G23" i="12"/>
  <c r="B5604" i="20"/>
  <c r="B517" i="20"/>
  <c r="B5444" i="20"/>
  <c r="A7517" i="20"/>
  <c r="B6867" i="20"/>
  <c r="A4154" i="20"/>
  <c r="A5776" i="20"/>
  <c r="A4702" i="20"/>
  <c r="A2868" i="20"/>
  <c r="A3337" i="20"/>
  <c r="B8011" i="20"/>
  <c r="B8797" i="20"/>
  <c r="A2349" i="20"/>
  <c r="B3412" i="20"/>
  <c r="B3719" i="20"/>
  <c r="A1045" i="20"/>
  <c r="E25" i="12"/>
  <c r="B1781" i="16"/>
  <c r="B7153" i="20"/>
  <c r="B4861" i="20"/>
  <c r="B1644" i="20"/>
  <c r="B6890" i="20"/>
  <c r="A8282" i="20"/>
  <c r="A5297" i="20"/>
  <c r="B4174" i="20"/>
  <c r="A5670" i="20"/>
  <c r="A5003" i="20"/>
  <c r="B6639" i="20"/>
  <c r="B5037" i="20"/>
  <c r="A5125" i="20"/>
  <c r="B4427" i="20"/>
  <c r="A3354" i="20"/>
  <c r="B3283" i="20"/>
  <c r="A4742" i="20"/>
  <c r="A4771" i="20"/>
  <c r="B5711" i="20"/>
  <c r="A6141" i="20"/>
  <c r="A6665" i="20"/>
  <c r="B3499" i="20"/>
  <c r="A3122" i="20"/>
  <c r="A2583" i="20"/>
  <c r="A6256" i="20"/>
  <c r="A6246" i="20"/>
  <c r="A5413" i="20"/>
  <c r="B1484" i="20"/>
  <c r="A2390" i="20"/>
  <c r="A2380" i="20"/>
  <c r="A885" i="20"/>
  <c r="A83" i="11"/>
  <c r="B1621" i="16"/>
  <c r="A5606" i="20"/>
  <c r="A5093" i="20"/>
  <c r="B5678" i="20"/>
  <c r="A4334" i="20"/>
  <c r="A1139" i="20"/>
  <c r="B1778" i="16"/>
  <c r="A1295" i="16"/>
  <c r="B3987" i="20"/>
  <c r="A206" i="20"/>
  <c r="B861" i="16"/>
  <c r="B1044" i="20"/>
  <c r="A290" i="19"/>
  <c r="B1313" i="16"/>
  <c r="A880" i="16"/>
  <c r="B1291" i="16"/>
  <c r="A1044" i="20"/>
  <c r="B1317" i="20"/>
  <c r="B1605" i="20"/>
  <c r="B2304" i="20"/>
  <c r="A162" i="19"/>
  <c r="B1297" i="16"/>
  <c r="A848" i="16"/>
  <c r="B1275" i="16"/>
  <c r="A780" i="20"/>
  <c r="A654" i="20"/>
  <c r="B5302" i="20"/>
  <c r="A8447" i="20"/>
  <c r="A1691" i="20"/>
  <c r="A7663" i="20"/>
  <c r="A3593" i="20"/>
  <c r="A2605" i="20"/>
  <c r="B1671" i="16"/>
  <c r="A2445" i="20"/>
  <c r="A1390" i="20"/>
  <c r="A1380" i="20"/>
  <c r="B268" i="19"/>
  <c r="A22" i="17"/>
  <c r="B621" i="16"/>
  <c r="H111" i="12"/>
  <c r="A748" i="20"/>
  <c r="A590" i="20"/>
  <c r="A662" i="20"/>
  <c r="B2029" i="20"/>
  <c r="A1594" i="16"/>
  <c r="B993" i="16"/>
  <c r="A240" i="16"/>
  <c r="B971" i="16"/>
  <c r="A724" i="20"/>
  <c r="A542" i="20"/>
  <c r="A614" i="20"/>
  <c r="B1773" i="20"/>
  <c r="A1562" i="16"/>
  <c r="B977" i="16"/>
  <c r="A208" i="16"/>
  <c r="A6473" i="20"/>
  <c r="A3537" i="20"/>
  <c r="A6241" i="20"/>
  <c r="A3129" i="20"/>
  <c r="B5391" i="20"/>
  <c r="B2670" i="20"/>
  <c r="B5231" i="20"/>
  <c r="A198" i="32"/>
  <c r="B4362" i="20"/>
  <c r="A5989" i="20"/>
  <c r="B4130" i="20"/>
  <c r="A3370" i="20"/>
  <c r="H38" i="13"/>
  <c r="A3210" i="20"/>
  <c r="B2197" i="20"/>
  <c r="B4356" i="20"/>
  <c r="A4704" i="20"/>
  <c r="B2462" i="20"/>
  <c r="B83" i="13"/>
  <c r="B2382" i="20"/>
  <c r="B3278" i="20"/>
  <c r="A6173" i="20"/>
  <c r="A2591" i="20"/>
  <c r="B7475" i="20"/>
  <c r="A4145" i="20"/>
  <c r="B2386" i="20"/>
  <c r="B2914" i="20"/>
  <c r="A6736" i="20"/>
  <c r="A7120" i="20"/>
  <c r="B3642" i="20"/>
  <c r="A2550" i="20"/>
  <c r="B1240" i="20"/>
  <c r="B1735" i="16"/>
  <c r="B1432" i="20"/>
  <c r="B45" i="12"/>
  <c r="B6600" i="20"/>
  <c r="B2827" i="20"/>
  <c r="A1200" i="20"/>
  <c r="B6945" i="20"/>
  <c r="A6906" i="20"/>
  <c r="B4918" i="20"/>
  <c r="A4038" i="20"/>
  <c r="B6611" i="20"/>
  <c r="A7101" i="20"/>
  <c r="B7860" i="20"/>
  <c r="B4948" i="20"/>
  <c r="A4319" i="20"/>
  <c r="B3393" i="20"/>
  <c r="A1595" i="20"/>
  <c r="B2556" i="20"/>
  <c r="B5683" i="20"/>
  <c r="A6160" i="20"/>
  <c r="A7200" i="20"/>
  <c r="B4716" i="20"/>
  <c r="A4087" i="20"/>
  <c r="B2610" i="20"/>
  <c r="A3279" i="20"/>
  <c r="B2324" i="20"/>
  <c r="A5280" i="20"/>
  <c r="B6120" i="20"/>
  <c r="A2221" i="20"/>
  <c r="B3533" i="20"/>
  <c r="A578" i="20"/>
  <c r="A2562" i="20"/>
  <c r="B1575" i="16"/>
  <c r="B2847" i="20"/>
  <c r="G103" i="11"/>
  <c r="B5960" i="20"/>
  <c r="A2061" i="20"/>
  <c r="B2893" i="20"/>
  <c r="A3172" i="20"/>
  <c r="B4654" i="20"/>
  <c r="A3774" i="20"/>
  <c r="A4461" i="20"/>
  <c r="A3542" i="20"/>
  <c r="B3337" i="20"/>
  <c r="A777" i="16"/>
  <c r="B2697" i="20"/>
  <c r="A762" i="20"/>
  <c r="B1368" i="20"/>
  <c r="B2654" i="20"/>
  <c r="A1400" i="20"/>
  <c r="B2512" i="20"/>
  <c r="A1360" i="20"/>
  <c r="B2682" i="20"/>
  <c r="A4507" i="20"/>
  <c r="B2076" i="20"/>
  <c r="B5303" i="20"/>
  <c r="B6222" i="20"/>
  <c r="B1490" i="20"/>
  <c r="A4118" i="20"/>
  <c r="A5241" i="20"/>
  <c r="A5337" i="20"/>
  <c r="B4371" i="20"/>
  <c r="A1654" i="20"/>
  <c r="B1701" i="20"/>
  <c r="B1095" i="16"/>
  <c r="B1989" i="20"/>
  <c r="B662" i="20"/>
  <c r="B6423" i="20"/>
  <c r="B2186" i="20"/>
  <c r="A1052" i="20"/>
  <c r="A5916" i="20"/>
  <c r="A6426" i="20"/>
  <c r="A4877" i="20"/>
  <c r="A2023" i="20"/>
  <c r="B7932" i="20"/>
  <c r="B6487" i="20"/>
  <c r="A7662" i="20"/>
  <c r="A4347" i="20"/>
  <c r="A3679" i="20"/>
  <c r="B2202" i="20"/>
  <c r="A2871" i="20"/>
  <c r="B1916" i="20"/>
  <c r="A7218" i="20"/>
  <c r="B5559" i="20"/>
  <c r="A6733" i="20"/>
  <c r="A4115" i="20"/>
  <c r="A3447" i="20"/>
  <c r="B1970" i="20"/>
  <c r="A3393" i="20"/>
  <c r="B4188" i="20"/>
  <c r="B5246" i="20"/>
  <c r="B5225" i="20"/>
  <c r="B1706" i="20"/>
  <c r="A932" i="20"/>
  <c r="B321" i="19"/>
  <c r="A958" i="20"/>
  <c r="B935" i="16"/>
  <c r="A1030" i="20"/>
  <c r="B22" i="20"/>
  <c r="B5065" i="20"/>
  <c r="B1546" i="20"/>
  <c r="A892" i="20"/>
  <c r="A2467" i="20"/>
  <c r="B6346" i="20"/>
  <c r="A1759" i="20"/>
  <c r="B6004" i="20"/>
  <c r="A1527" i="20"/>
  <c r="A2328" i="20"/>
  <c r="B1818" i="16"/>
  <c r="A2288" i="20"/>
  <c r="A122" i="20"/>
  <c r="B1893" i="20"/>
  <c r="B1119" i="16"/>
  <c r="B2181" i="20"/>
  <c r="B758" i="20"/>
  <c r="A6297" i="20"/>
  <c r="B2408" i="20"/>
  <c r="B443" i="20"/>
  <c r="A171" i="20"/>
  <c r="A17" i="20"/>
  <c r="A6393" i="20"/>
  <c r="A1942" i="20"/>
  <c r="B1173" i="16"/>
  <c r="B7413" i="20"/>
  <c r="A6796" i="20"/>
  <c r="B5336" i="20"/>
  <c r="B6935" i="20"/>
  <c r="A4800" i="20"/>
  <c r="A3479" i="20"/>
  <c r="B3742" i="20"/>
  <c r="A2359" i="20"/>
  <c r="B5374" i="20"/>
  <c r="B5470" i="20"/>
  <c r="B1184" i="20"/>
  <c r="B353" i="19"/>
  <c r="B1188" i="20"/>
  <c r="H23" i="12"/>
  <c r="B365" i="20"/>
  <c r="A759" i="16"/>
  <c r="A6367" i="20"/>
  <c r="A2475" i="20"/>
  <c r="B8623" i="20"/>
  <c r="B913" i="45"/>
  <c r="B7633" i="20"/>
  <c r="B5341" i="20"/>
  <c r="A1777" i="20"/>
  <c r="B5529" i="20"/>
  <c r="A6089" i="20"/>
  <c r="A5423" i="20"/>
  <c r="A5431" i="20"/>
  <c r="B4168" i="20"/>
  <c r="A2977" i="20"/>
  <c r="B3882" i="20"/>
  <c r="A1265" i="20"/>
  <c r="B7267" i="20"/>
  <c r="A5857" i="20"/>
  <c r="A4959" i="20"/>
  <c r="A4967" i="20"/>
  <c r="B3936" i="20"/>
  <c r="A2745" i="20"/>
  <c r="B3650" i="20"/>
  <c r="B3409" i="20"/>
  <c r="A5527" i="20"/>
  <c r="A5887" i="20"/>
  <c r="A1995" i="20"/>
  <c r="B1395" i="20"/>
  <c r="B207" i="20"/>
  <c r="A2522" i="20"/>
  <c r="B83" i="11"/>
  <c r="B165" i="20"/>
  <c r="A599" i="16"/>
  <c r="A8726" i="20"/>
  <c r="A735" i="45"/>
  <c r="B5450" i="20"/>
  <c r="B347" i="19"/>
  <c r="B108" i="11"/>
  <c r="B1647" i="20"/>
  <c r="B7474" i="20"/>
  <c r="A842" i="20"/>
  <c r="A49" i="16"/>
  <c r="A147" i="19"/>
  <c r="A1720" i="16"/>
  <c r="F50" i="13"/>
  <c r="C70" i="18"/>
  <c r="B4766" i="20"/>
  <c r="A2635" i="20"/>
  <c r="B1128" i="20"/>
  <c r="A9" i="17"/>
  <c r="B1715" i="16"/>
  <c r="A1688" i="16"/>
  <c r="H42" i="13"/>
  <c r="A28" i="18"/>
  <c r="A5341" i="20"/>
  <c r="A2366" i="20"/>
  <c r="A870" i="45"/>
  <c r="A2640" i="20"/>
  <c r="A6421" i="20"/>
  <c r="A2385" i="20"/>
  <c r="A5671" i="20"/>
  <c r="A1505" i="20"/>
  <c r="B3237" i="20"/>
  <c r="B621" i="20"/>
  <c r="A316" i="20"/>
  <c r="B1611" i="20"/>
  <c r="B109" i="19"/>
  <c r="B319" i="16"/>
  <c r="B181" i="19"/>
  <c r="A1647" i="16"/>
  <c r="A4829" i="20"/>
  <c r="A2334" i="20"/>
  <c r="A829" i="20"/>
  <c r="B1565" i="16"/>
  <c r="B1411" i="16"/>
  <c r="A1080" i="16"/>
  <c r="A37" i="12"/>
  <c r="A726" i="16"/>
  <c r="B6570" i="20"/>
  <c r="A2310" i="20"/>
  <c r="A805" i="20"/>
  <c r="B1541" i="16"/>
  <c r="B1395" i="16"/>
  <c r="A1048" i="16"/>
  <c r="A30" i="12"/>
  <c r="B2864" i="20"/>
  <c r="B5070" i="20"/>
  <c r="A4190" i="20"/>
  <c r="B4838" i="20"/>
  <c r="A3958" i="20"/>
  <c r="A2447" i="20"/>
  <c r="A1193" i="16"/>
  <c r="A2287" i="20"/>
  <c r="B5170" i="20"/>
  <c r="B7642" i="20"/>
  <c r="B4938" i="20"/>
  <c r="A88" i="32"/>
  <c r="A1307" i="20"/>
  <c r="A643" i="20"/>
  <c r="B219" i="19"/>
  <c r="B775" i="20"/>
  <c r="B2617" i="20"/>
  <c r="B5807" i="20"/>
  <c r="B2229" i="20"/>
  <c r="B149" i="16"/>
  <c r="B7457" i="20"/>
  <c r="A4780" i="20"/>
  <c r="A4351" i="20"/>
  <c r="B5811" i="20"/>
  <c r="B4725" i="20"/>
  <c r="A3259" i="20"/>
  <c r="B3358" i="20"/>
  <c r="A2103" i="20"/>
  <c r="A3877" i="20"/>
  <c r="A3973" i="20"/>
  <c r="B3639" i="20"/>
  <c r="B2693" i="20"/>
  <c r="A2138" i="20"/>
  <c r="B38" i="11"/>
  <c r="B69" i="20"/>
  <c r="A503" i="16"/>
  <c r="A7562" i="20"/>
  <c r="A3561" i="20"/>
  <c r="A22" i="37"/>
  <c r="A31" i="25"/>
  <c r="B6509" i="20"/>
  <c r="B6562" i="20"/>
  <c r="A1153" i="20"/>
  <c r="B6883" i="20"/>
  <c r="A5833" i="20"/>
  <c r="A4911" i="20"/>
  <c r="A4919" i="20"/>
  <c r="B3912" i="20"/>
  <c r="A2721" i="20"/>
  <c r="B3626" i="20"/>
  <c r="B8322" i="20"/>
  <c r="A5912" i="20"/>
  <c r="A5601" i="20"/>
  <c r="B6444" i="20"/>
  <c r="B6452" i="20"/>
  <c r="B3680" i="20"/>
  <c r="B4478" i="20"/>
  <c r="B3394" i="20"/>
  <c r="B258" i="45"/>
  <c r="B5762" i="20"/>
  <c r="B6699" i="20"/>
  <c r="A2887" i="20"/>
  <c r="B3796" i="20"/>
  <c r="B3756" i="20"/>
  <c r="A1498" i="20"/>
  <c r="B2087" i="20"/>
  <c r="A293" i="19"/>
  <c r="A343" i="16"/>
  <c r="A7085" i="20"/>
  <c r="A3745" i="20"/>
  <c r="B378" i="45"/>
  <c r="B5453" i="20"/>
  <c r="B6106" i="20"/>
  <c r="B8113" i="20"/>
  <c r="B5808" i="20"/>
  <c r="A6009" i="20"/>
  <c r="A1846" i="20"/>
  <c r="B1077" i="16"/>
  <c r="B4532" i="20"/>
  <c r="B4492" i="20"/>
  <c r="A2234" i="20"/>
  <c r="B4996" i="20"/>
  <c r="B783" i="20"/>
  <c r="A1175" i="16"/>
  <c r="A234" i="32"/>
  <c r="B7395" i="20"/>
  <c r="B3944" i="20"/>
  <c r="A6072" i="20"/>
  <c r="B5766" i="20"/>
  <c r="B4480" i="20"/>
  <c r="A4434" i="20"/>
  <c r="A1207" i="20"/>
  <c r="B4868" i="20"/>
  <c r="A4491" i="20"/>
  <c r="A2008" i="20"/>
  <c r="B751" i="20"/>
  <c r="A744" i="20"/>
  <c r="A151" i="18"/>
  <c r="B2489" i="20"/>
  <c r="G89" i="13"/>
  <c r="B6620" i="20"/>
  <c r="B3482" i="20"/>
  <c r="B7968" i="20"/>
  <c r="B7450" i="20"/>
  <c r="A8647" i="20"/>
  <c r="A3783" i="20"/>
  <c r="B7316" i="20"/>
  <c r="B6239" i="20"/>
  <c r="A5193" i="20"/>
  <c r="B5838" i="20"/>
  <c r="B5842" i="20"/>
  <c r="B3272" i="20"/>
  <c r="B4070" i="20"/>
  <c r="B2986" i="20"/>
  <c r="A8864" i="20"/>
  <c r="B5427" i="20"/>
  <c r="A4961" i="20"/>
  <c r="B5606" i="20"/>
  <c r="B5610" i="20"/>
  <c r="B3040" i="20"/>
  <c r="B3838" i="20"/>
  <c r="B2754" i="20"/>
  <c r="A5862" i="20"/>
  <c r="A5221" i="20"/>
  <c r="B5858" i="20"/>
  <c r="B3002" i="20"/>
  <c r="A3208" i="20"/>
  <c r="A3168" i="20"/>
  <c r="A424" i="20"/>
  <c r="C40" i="18"/>
  <c r="B1849" i="20"/>
  <c r="H13" i="13"/>
  <c r="B5694" i="20"/>
  <c r="B2842" i="20"/>
  <c r="C31" i="21"/>
  <c r="A7506" i="20"/>
  <c r="A3519" i="20"/>
  <c r="B7645" i="20"/>
  <c r="A3897" i="20"/>
  <c r="A4659" i="20"/>
  <c r="B161" i="19"/>
  <c r="B136" i="18"/>
  <c r="A3944" i="20"/>
  <c r="A3904" i="20"/>
  <c r="A792" i="20"/>
  <c r="A28" i="19"/>
  <c r="B2585" i="20"/>
  <c r="G100" i="13"/>
  <c r="B3606" i="20"/>
  <c r="B1547" i="20"/>
  <c r="B303" i="16"/>
  <c r="A1631" i="16"/>
  <c r="A1477" i="16"/>
  <c r="B6824" i="20"/>
  <c r="A1794" i="20"/>
  <c r="A6992" i="20"/>
  <c r="A5018" i="20"/>
  <c r="B5369" i="20"/>
  <c r="B1850" i="20"/>
  <c r="B6416" i="20"/>
  <c r="A5293" i="20"/>
  <c r="A4148" i="20"/>
  <c r="B3235" i="20"/>
  <c r="A3728" i="20"/>
  <c r="A3609" i="20"/>
  <c r="A3311" i="20"/>
  <c r="A324" i="20"/>
  <c r="B3825" i="20"/>
  <c r="B23" i="20"/>
  <c r="A457" i="16"/>
  <c r="B194" i="19"/>
  <c r="B1800" i="16"/>
  <c r="A3819" i="20"/>
  <c r="B3004" i="20"/>
  <c r="A8195" i="20"/>
  <c r="A5966" i="20"/>
  <c r="A70" i="32"/>
  <c r="A1797" i="20"/>
  <c r="B7040" i="20"/>
  <c r="A6027" i="20"/>
  <c r="A6696" i="20"/>
  <c r="A4213" i="20"/>
  <c r="A4217" i="20"/>
  <c r="A3580" i="20"/>
  <c r="A4378" i="20"/>
  <c r="A3294" i="20"/>
  <c r="A6758" i="20"/>
  <c r="A5795" i="20"/>
  <c r="B6835" i="20"/>
  <c r="A3981" i="20"/>
  <c r="A3985" i="20"/>
  <c r="A3348" i="20"/>
  <c r="A4146" i="20"/>
  <c r="A3062" i="20"/>
  <c r="A6587" i="20"/>
  <c r="A4140" i="20"/>
  <c r="B1510" i="20"/>
  <c r="B1640" i="16"/>
  <c r="A1889" i="20"/>
  <c r="A1620" i="20"/>
  <c r="B94" i="11"/>
  <c r="B1831" i="20"/>
  <c r="A89" i="11"/>
  <c r="A7342" i="20"/>
  <c r="A4212" i="20"/>
  <c r="A1419" i="20"/>
  <c r="A699" i="20"/>
  <c r="B126" i="20"/>
  <c r="B1" i="11"/>
  <c r="B30" i="20"/>
  <c r="G141" i="10"/>
  <c r="B955" i="16"/>
  <c r="A460" i="20"/>
  <c r="A14" i="20"/>
  <c r="B4790" i="20"/>
  <c r="A8330" i="20"/>
  <c r="A1563" i="20"/>
  <c r="A7072" i="20"/>
  <c r="A3247" i="20"/>
  <c r="A2093" i="20"/>
  <c r="B1543" i="16"/>
  <c r="A1933" i="20"/>
  <c r="B3209" i="20"/>
  <c r="A5251" i="20"/>
  <c r="A8404" i="20"/>
  <c r="B1247" i="16"/>
  <c r="B2073" i="20"/>
  <c r="B672" i="16"/>
  <c r="B3705" i="20"/>
  <c r="B47" i="16"/>
  <c r="B208" i="16"/>
  <c r="H125" i="9"/>
  <c r="B1991" i="20"/>
  <c r="A113" i="8"/>
  <c r="B5901" i="20"/>
  <c r="B2708" i="20"/>
  <c r="B1229" i="20"/>
  <c r="A21" i="19"/>
  <c r="B2973" i="20"/>
  <c r="B122" i="9"/>
  <c r="B1735" i="20"/>
  <c r="B109" i="8"/>
  <c r="B602" i="45"/>
  <c r="A3624" i="20"/>
  <c r="A632" i="20"/>
  <c r="A2660" i="20"/>
  <c r="A4565" i="20"/>
  <c r="A3646" i="20"/>
  <c r="A4333" i="20"/>
  <c r="A3414" i="20"/>
  <c r="B2316" i="20"/>
  <c r="A649" i="16"/>
  <c r="B2156" i="20"/>
  <c r="A730" i="20"/>
  <c r="B1198" i="20"/>
  <c r="B1727" i="16"/>
  <c r="B1390" i="20"/>
  <c r="B41" i="12"/>
  <c r="A8263" i="20"/>
  <c r="A3496" i="20"/>
  <c r="A568" i="20"/>
  <c r="B2137" i="20"/>
  <c r="B1521" i="20"/>
  <c r="H51" i="9"/>
  <c r="B70" i="20"/>
  <c r="H38" i="8"/>
  <c r="A8146" i="20"/>
  <c r="A3400" i="20"/>
  <c r="A520" i="20"/>
  <c r="B2041" i="20"/>
  <c r="B1457" i="20"/>
  <c r="H47" i="9"/>
  <c r="B6" i="20"/>
  <c r="A35" i="8"/>
  <c r="A5624" i="20"/>
  <c r="B3579" i="20"/>
  <c r="B375" i="19"/>
  <c r="B2795" i="20"/>
  <c r="A4437" i="20"/>
  <c r="A3518" i="20"/>
  <c r="A4205" i="20"/>
  <c r="A3286" i="20"/>
  <c r="A2679" i="20"/>
  <c r="A521" i="16"/>
  <c r="B4028" i="20"/>
  <c r="A698" i="20"/>
  <c r="A2320" i="20"/>
  <c r="A5991" i="20"/>
  <c r="A4460" i="20"/>
  <c r="B351" i="16"/>
  <c r="A603" i="20"/>
  <c r="G49" i="13"/>
  <c r="A2398" i="20"/>
  <c r="B132" i="18"/>
  <c r="B3289" i="20"/>
  <c r="B120" i="7"/>
  <c r="A1315" i="16"/>
  <c r="A83" i="6"/>
  <c r="A6384" i="20"/>
  <c r="B3513" i="20"/>
  <c r="B753" i="20"/>
  <c r="A403" i="20"/>
  <c r="A257" i="20"/>
  <c r="A115" i="7"/>
  <c r="A1299" i="16"/>
  <c r="B80" i="6"/>
  <c r="A6041" i="20"/>
  <c r="B2344" i="20"/>
  <c r="B401" i="20"/>
  <c r="A1955" i="20"/>
  <c r="B6142" i="20"/>
  <c r="A1631" i="20"/>
  <c r="B5836" i="20"/>
  <c r="A1399" i="20"/>
  <c r="A2200" i="20"/>
  <c r="B1690" i="16"/>
  <c r="A2160" i="20"/>
  <c r="A90" i="20"/>
  <c r="B1637" i="20"/>
  <c r="B1087" i="16"/>
  <c r="B1925" i="20"/>
  <c r="B630" i="20"/>
  <c r="A5785" i="20"/>
  <c r="B2280" i="20"/>
  <c r="B357" i="20"/>
  <c r="A107" i="20"/>
  <c r="B336" i="19"/>
  <c r="G44" i="7"/>
  <c r="A995" i="16"/>
  <c r="A9" i="6"/>
  <c r="A5657" i="20"/>
  <c r="B2232" i="20"/>
  <c r="B325" i="20"/>
  <c r="A83" i="20"/>
  <c r="B320" i="19"/>
  <c r="G40" i="7"/>
  <c r="A979" i="16"/>
  <c r="A6" i="6"/>
  <c r="B7571" i="20"/>
  <c r="B1748" i="20"/>
  <c r="B31" i="20"/>
  <c r="A3529" i="20"/>
  <c r="B5972" i="20"/>
  <c r="A1503" i="20"/>
  <c r="B5708" i="20"/>
  <c r="A1271" i="20"/>
  <c r="A2072" i="20"/>
  <c r="B1562" i="16"/>
  <c r="A2032" i="20"/>
  <c r="A58" i="20"/>
  <c r="B1381" i="20"/>
  <c r="B3414" i="20"/>
  <c r="A4400" i="20"/>
  <c r="B4293" i="20"/>
  <c r="B56" i="20"/>
  <c r="B397" i="20"/>
  <c r="B1696" i="16"/>
  <c r="B2451" i="20"/>
  <c r="B131" i="18"/>
  <c r="B1648" i="16"/>
  <c r="A698" i="16"/>
  <c r="B545" i="16"/>
  <c r="G109" i="11"/>
  <c r="B523" i="16"/>
  <c r="A276" i="20"/>
  <c r="B3653" i="20"/>
  <c r="B101" i="19"/>
  <c r="B2339" i="20"/>
  <c r="A666" i="16"/>
  <c r="B529" i="16"/>
  <c r="H100" i="11"/>
  <c r="B507" i="16"/>
  <c r="A12" i="20"/>
  <c r="B2916" i="20"/>
  <c r="B5447" i="20"/>
  <c r="B6407" i="20"/>
  <c r="A2757" i="20"/>
  <c r="B5491" i="20"/>
  <c r="B4514" i="20"/>
  <c r="B2934" i="20"/>
  <c r="B135" i="16"/>
  <c r="B2774" i="20"/>
  <c r="B2581" i="20"/>
  <c r="B2541" i="20"/>
  <c r="B952" i="20"/>
  <c r="B1490" i="16"/>
  <c r="B237" i="16"/>
  <c r="H62" i="11"/>
  <c r="B363" i="19"/>
  <c r="A4376" i="20"/>
  <c r="B1101" i="20"/>
  <c r="B897" i="20"/>
  <c r="A58" i="16"/>
  <c r="B225" i="16"/>
  <c r="H84" i="10"/>
  <c r="B203" i="16"/>
  <c r="B339" i="19"/>
  <c r="A3992" i="20"/>
  <c r="B1069" i="20"/>
  <c r="B875" i="20"/>
  <c r="A26" i="16"/>
  <c r="B209" i="16"/>
  <c r="H80" i="10"/>
  <c r="B187" i="16"/>
  <c r="B4389" i="20"/>
  <c r="B3929" i="20"/>
  <c r="A5639" i="20"/>
  <c r="B5895" i="20"/>
  <c r="B4618" i="20"/>
  <c r="B4981" i="20"/>
  <c r="B4386" i="20"/>
  <c r="A4394" i="20"/>
  <c r="B7" i="16"/>
  <c r="A4234" i="20"/>
  <c r="B2453" i="20"/>
  <c r="B2413" i="20"/>
  <c r="B824" i="20"/>
  <c r="B1458" i="16"/>
  <c r="B205" i="16"/>
  <c r="B47" i="11"/>
  <c r="B2592" i="20"/>
  <c r="B1842" i="16"/>
  <c r="A1487" i="16"/>
  <c r="B4058" i="20"/>
  <c r="A4224" i="20"/>
  <c r="A254" i="19"/>
  <c r="C2" i="14"/>
  <c r="B66" i="13"/>
  <c r="A3416" i="20"/>
  <c r="B128" i="10"/>
  <c r="A2776" i="20"/>
  <c r="B3962" i="20"/>
  <c r="A4128" i="20"/>
  <c r="A158" i="19"/>
  <c r="B129" i="13"/>
  <c r="B59" i="13"/>
  <c r="A2904" i="20"/>
  <c r="B2997" i="20"/>
  <c r="B3259" i="20"/>
  <c r="B2906" i="20"/>
  <c r="A3072" i="20"/>
  <c r="A5161" i="20"/>
  <c r="B3014" i="20"/>
  <c r="B5664" i="20"/>
  <c r="B3234" i="20"/>
  <c r="A7187" i="20"/>
  <c r="B2379" i="20"/>
  <c r="B3647" i="20"/>
  <c r="B2954" i="20"/>
  <c r="A794" i="20"/>
  <c r="H70" i="12"/>
  <c r="A5317" i="20"/>
  <c r="B2959" i="20"/>
  <c r="C43" i="18"/>
  <c r="B708" i="20"/>
  <c r="B383" i="16"/>
  <c r="B206" i="20"/>
  <c r="B2045" i="20"/>
  <c r="B5" i="11"/>
  <c r="A1100" i="20"/>
  <c r="A2098" i="20"/>
  <c r="H69" i="11"/>
  <c r="A625" i="16"/>
  <c r="B1143" i="20"/>
  <c r="A127" i="11"/>
  <c r="A1072" i="20"/>
  <c r="B6" i="19"/>
  <c r="B93" i="13"/>
  <c r="H20" i="13"/>
  <c r="B879" i="16"/>
  <c r="H52" i="10"/>
  <c r="A1159" i="16"/>
  <c r="B45" i="10"/>
  <c r="B1703" i="20"/>
  <c r="A319" i="16"/>
  <c r="A165" i="16"/>
  <c r="B1966" i="20"/>
  <c r="A498" i="16"/>
  <c r="A1113" i="16"/>
  <c r="A466" i="16"/>
  <c r="B1016" i="20"/>
  <c r="B253" i="16"/>
  <c r="B99" i="16"/>
  <c r="B56" i="10"/>
  <c r="E61" i="9"/>
  <c r="B46" i="16"/>
  <c r="A78" i="12"/>
  <c r="B1840" i="20"/>
  <c r="C132" i="18"/>
  <c r="E133" i="13"/>
  <c r="C116" i="10"/>
  <c r="B67" i="2"/>
  <c r="B39" i="11"/>
  <c r="B1753" i="16"/>
  <c r="A102" i="1"/>
  <c r="A120" i="10"/>
  <c r="B194" i="20"/>
  <c r="F4" i="5"/>
  <c r="B25" i="20"/>
  <c r="A146" i="1"/>
  <c r="A118" i="4"/>
  <c r="A1458" i="16"/>
  <c r="A1008" i="20"/>
  <c r="B1591" i="16"/>
  <c r="B1018" i="16"/>
  <c r="A1162" i="16"/>
  <c r="A455" i="20"/>
  <c r="G44" i="2"/>
  <c r="A375" i="20"/>
  <c r="B788" i="16"/>
  <c r="A17" i="10"/>
  <c r="B29" i="10"/>
  <c r="H121" i="7"/>
  <c r="A228" i="16"/>
  <c r="E96" i="12"/>
  <c r="F1" i="11"/>
  <c r="A1027" i="16"/>
  <c r="H15" i="6"/>
  <c r="A4526" i="20"/>
  <c r="A31" i="12"/>
  <c r="A877" i="16"/>
  <c r="H115" i="5"/>
  <c r="G88" i="5"/>
  <c r="G124" i="1"/>
  <c r="H82" i="5"/>
  <c r="A72" i="8"/>
  <c r="B25" i="2"/>
  <c r="C152" i="18"/>
  <c r="B1433" i="16"/>
  <c r="A83" i="1"/>
  <c r="E142" i="8"/>
  <c r="A2360" i="20"/>
  <c r="B1850" i="16"/>
  <c r="B3112" i="20"/>
  <c r="A15" i="16"/>
  <c r="B262" i="16"/>
  <c r="A2600" i="20"/>
  <c r="B252" i="16"/>
  <c r="A2336" i="20"/>
  <c r="B3270" i="20"/>
  <c r="B901" i="20"/>
  <c r="A909" i="20"/>
  <c r="A2304" i="20"/>
  <c r="B50" i="16"/>
  <c r="A2280" i="20"/>
  <c r="B38" i="16"/>
  <c r="H142" i="9"/>
  <c r="B2691" i="20"/>
  <c r="B375" i="20"/>
  <c r="A8571" i="20"/>
  <c r="B6425" i="20"/>
  <c r="B4392" i="20"/>
  <c r="B5497" i="20"/>
  <c r="B4160" i="20"/>
  <c r="A3627" i="20"/>
  <c r="B431" i="20"/>
  <c r="A823" i="16"/>
  <c r="A2664" i="20"/>
  <c r="A6600" i="20"/>
  <c r="B5218" i="20"/>
  <c r="A2052" i="20"/>
  <c r="B132" i="20"/>
  <c r="A1807" i="16"/>
  <c r="B4570" i="20"/>
  <c r="A2594" i="20"/>
  <c r="A33" i="17"/>
  <c r="A128" i="13"/>
  <c r="B319" i="19"/>
  <c r="A882" i="16"/>
  <c r="B239" i="19"/>
  <c r="B3603" i="20"/>
  <c r="A1321" i="20"/>
  <c r="A1305" i="16"/>
  <c r="B3413" i="20"/>
  <c r="B980" i="20"/>
  <c r="B255" i="19"/>
  <c r="A850" i="16"/>
  <c r="B175" i="19"/>
  <c r="A1839" i="20"/>
  <c r="B3377" i="20"/>
  <c r="A7393" i="20"/>
  <c r="B6328" i="20"/>
  <c r="A2429" i="20"/>
  <c r="B6096" i="20"/>
  <c r="A2197" i="20"/>
  <c r="B5651" i="20"/>
  <c r="A1708" i="20"/>
  <c r="A8798" i="20"/>
  <c r="B2184" i="20"/>
  <c r="B2166" i="20"/>
  <c r="B293" i="20"/>
  <c r="A705" i="16"/>
  <c r="A59" i="20"/>
  <c r="A99" i="18"/>
  <c r="A1711" i="20"/>
  <c r="B3121" i="20"/>
  <c r="A1009" i="16"/>
  <c r="B380" i="20"/>
  <c r="A148" i="19"/>
  <c r="B1021" i="20"/>
  <c r="A242" i="16"/>
  <c r="B993" i="20"/>
  <c r="A1615" i="20"/>
  <c r="B2929" i="20"/>
  <c r="A985" i="16"/>
  <c r="B284" i="20"/>
  <c r="A88" i="19"/>
  <c r="B1001" i="20"/>
  <c r="A210" i="16"/>
  <c r="B971" i="20"/>
  <c r="B2604" i="20"/>
  <c r="B2198" i="20"/>
  <c r="A6881" i="20"/>
  <c r="B6200" i="20"/>
  <c r="A2301" i="20"/>
  <c r="B5968" i="20"/>
  <c r="A2069" i="20"/>
  <c r="B7088" i="20"/>
  <c r="A1580" i="20"/>
  <c r="A7058" i="20"/>
  <c r="B2120" i="20"/>
  <c r="B2102" i="20"/>
  <c r="B5684" i="20"/>
  <c r="A1816" i="20"/>
  <c r="A1070" i="20"/>
  <c r="B1394" i="16"/>
  <c r="A1039" i="16"/>
  <c r="B1964" i="20"/>
  <c r="A1849" i="20"/>
  <c r="B349" i="16"/>
  <c r="B1750" i="16"/>
  <c r="A241" i="19"/>
  <c r="G49" i="10"/>
  <c r="A219" i="19"/>
  <c r="B3473" i="20"/>
  <c r="B1148" i="20"/>
  <c r="A25" i="16"/>
  <c r="B1392" i="16"/>
  <c r="B1276" i="16"/>
  <c r="A225" i="19"/>
  <c r="A46" i="10"/>
  <c r="A203" i="19"/>
  <c r="B2286" i="20"/>
  <c r="B3495" i="20"/>
  <c r="A5274" i="20"/>
  <c r="B5433" i="20"/>
  <c r="B1914" i="20"/>
  <c r="B5201" i="20"/>
  <c r="B1682" i="20"/>
  <c r="A6105" i="20"/>
  <c r="A382" i="20"/>
  <c r="A5945" i="20"/>
  <c r="B1214" i="20"/>
  <c r="B1200" i="20"/>
  <c r="A15" i="19"/>
  <c r="A65" i="16"/>
  <c r="B624" i="20"/>
  <c r="B1408" i="16"/>
  <c r="B2222" i="20"/>
  <c r="B3367" i="20"/>
  <c r="F26" i="13"/>
  <c r="B1192" i="16"/>
  <c r="B1074" i="16"/>
  <c r="B3709" i="20"/>
  <c r="A133" i="9"/>
  <c r="B3357" i="20"/>
  <c r="B2174" i="20"/>
  <c r="B3271" i="20"/>
  <c r="H14" i="13"/>
  <c r="B1176" i="16"/>
  <c r="B1062" i="16"/>
  <c r="B3453" i="20"/>
  <c r="H128" i="9"/>
  <c r="B3101" i="20"/>
  <c r="B1708" i="20"/>
  <c r="A2548" i="20"/>
  <c r="A4762" i="20"/>
  <c r="B5305" i="20"/>
  <c r="B1786" i="20"/>
  <c r="B5073" i="20"/>
  <c r="B1554" i="20"/>
  <c r="A5593" i="20"/>
  <c r="A126" i="20"/>
  <c r="A5433" i="20"/>
  <c r="B1172" i="20"/>
  <c r="B1158" i="20"/>
  <c r="B142" i="18"/>
  <c r="A7551" i="20"/>
  <c r="A5277" i="20"/>
  <c r="A3392" i="20"/>
  <c r="H18" i="13"/>
  <c r="F70" i="11"/>
  <c r="B1226" i="20"/>
  <c r="A2132" i="20"/>
  <c r="A939" i="20"/>
  <c r="B59" i="18"/>
  <c r="B14" i="5"/>
  <c r="H44" i="12"/>
  <c r="A97" i="8"/>
  <c r="A1931" i="20"/>
  <c r="A2727" i="20"/>
  <c r="B75" i="11"/>
  <c r="A583" i="16"/>
  <c r="A437" i="16"/>
  <c r="A10" i="5"/>
  <c r="H39" i="12"/>
  <c r="H88" i="8"/>
  <c r="A2791" i="20"/>
  <c r="B3660" i="20"/>
  <c r="A8863" i="20"/>
  <c r="B5371" i="20"/>
  <c r="B2984" i="20"/>
  <c r="B5139" i="20"/>
  <c r="B2752" i="20"/>
  <c r="B5480" i="20"/>
  <c r="A2561" i="20"/>
  <c r="G16" i="12"/>
  <c r="A1801" i="20"/>
  <c r="A1761" i="20"/>
  <c r="B2115" i="20"/>
  <c r="A1473" i="16"/>
  <c r="A827" i="20"/>
  <c r="A56" i="11"/>
  <c r="A3489" i="20"/>
  <c r="B3532" i="20"/>
  <c r="B1191" i="20"/>
  <c r="A287" i="16"/>
  <c r="A1" i="7"/>
  <c r="A803" i="16"/>
  <c r="B96" i="5"/>
  <c r="M72" i="33"/>
  <c r="B1848" i="20"/>
  <c r="B103" i="20"/>
  <c r="B274" i="19"/>
  <c r="B128" i="19"/>
  <c r="B128" i="6"/>
  <c r="A787" i="16"/>
  <c r="B93" i="5"/>
  <c r="B5199" i="20"/>
  <c r="B1492" i="20"/>
  <c r="A223" i="19"/>
  <c r="A4422" i="20"/>
  <c r="B5044" i="20"/>
  <c r="A2665" i="20"/>
  <c r="B4812" i="20"/>
  <c r="B2420" i="20"/>
  <c r="A1176" i="20"/>
  <c r="B4447" i="20"/>
  <c r="B4429" i="20"/>
  <c r="B217" i="19"/>
  <c r="A750" i="20"/>
  <c r="B831" i="16"/>
  <c r="A822" i="20"/>
  <c r="B46" i="19"/>
  <c r="B4943" i="20"/>
  <c r="B1448" i="20"/>
  <c r="A191" i="19"/>
  <c r="B1903" i="20"/>
  <c r="B712" i="20"/>
  <c r="G53" i="6"/>
  <c r="A483" i="16"/>
  <c r="B21" i="5"/>
  <c r="B4815" i="20"/>
  <c r="B1416" i="20"/>
  <c r="A167" i="19"/>
  <c r="B1519" i="20"/>
  <c r="B648" i="20"/>
  <c r="G49" i="6"/>
  <c r="A467" i="16"/>
  <c r="B5434" i="20"/>
  <c r="A6533" i="20"/>
  <c r="B4266" i="20"/>
  <c r="A5727" i="20"/>
  <c r="B4034" i="20"/>
  <c r="A2986" i="20"/>
  <c r="A132" i="12"/>
  <c r="A2826" i="20"/>
  <c r="B4901" i="20"/>
  <c r="B3611" i="20"/>
  <c r="A6005" i="20"/>
  <c r="A1969" i="20"/>
  <c r="B131" i="19"/>
  <c r="B793" i="20"/>
  <c r="A348" i="20"/>
  <c r="B1739" i="20"/>
  <c r="B173" i="19"/>
  <c r="A4795" i="20"/>
  <c r="B3887" i="20"/>
  <c r="A144" i="19"/>
  <c r="B7465" i="20"/>
  <c r="A4774" i="20"/>
  <c r="A4677" i="20"/>
  <c r="B5805" i="20"/>
  <c r="A6861" i="20"/>
  <c r="A3863" i="20"/>
  <c r="B3998" i="20"/>
  <c r="B2995" i="20"/>
  <c r="A5775" i="20"/>
  <c r="A4943" i="20"/>
  <c r="B1696" i="20"/>
  <c r="A354" i="20"/>
  <c r="B3673" i="20"/>
  <c r="B8" i="13"/>
  <c r="B707" i="20"/>
  <c r="A1015" i="16"/>
  <c r="B5359" i="20"/>
  <c r="A2954" i="20"/>
  <c r="B39" i="45"/>
  <c r="B8229" i="20"/>
  <c r="B7570" i="20"/>
  <c r="B4922" i="20"/>
  <c r="B3227" i="20"/>
  <c r="B6553" i="20"/>
  <c r="A6345" i="20"/>
  <c r="A6021" i="20"/>
  <c r="A6037" i="20"/>
  <c r="B4424" i="20"/>
  <c r="A3233" i="20"/>
  <c r="B4138" i="20"/>
  <c r="A2001" i="20"/>
  <c r="B5625" i="20"/>
  <c r="A6113" i="20"/>
  <c r="A5471" i="20"/>
  <c r="A5479" i="20"/>
  <c r="B4192" i="20"/>
  <c r="A3001" i="20"/>
  <c r="B3906" i="20"/>
  <c r="A1313" i="20"/>
  <c r="A3755" i="20"/>
  <c r="B4879" i="20"/>
  <c r="B4099" i="20"/>
  <c r="B2419" i="20"/>
  <c r="B463" i="20"/>
  <c r="B1700" i="20"/>
  <c r="H67" i="12"/>
  <c r="B493" i="20"/>
  <c r="A855" i="16"/>
  <c r="B4719" i="20"/>
  <c r="B3459" i="20"/>
  <c r="B7766" i="20"/>
  <c r="A7544" i="20"/>
  <c r="B4658" i="20"/>
  <c r="B8089" i="20"/>
  <c r="A4465" i="20"/>
  <c r="B7905" i="20"/>
  <c r="B2328" i="20"/>
  <c r="A131" i="20"/>
  <c r="A4660" i="20"/>
  <c r="B647" i="20"/>
  <c r="B4441" i="20"/>
  <c r="B8628" i="20"/>
  <c r="A898" i="20"/>
  <c r="H121" i="12"/>
  <c r="B7463" i="20"/>
  <c r="B8521" i="20"/>
  <c r="A3839" i="20"/>
  <c r="A7762" i="20"/>
  <c r="A5535" i="20"/>
  <c r="A3131" i="20"/>
  <c r="B3230" i="20"/>
  <c r="A1847" i="20"/>
  <c r="A3365" i="20"/>
  <c r="A3461" i="20"/>
  <c r="A2659" i="20"/>
  <c r="B2155" i="20"/>
  <c r="A1626" i="20"/>
  <c r="B2599" i="20"/>
  <c r="A325" i="19"/>
  <c r="A375" i="16"/>
  <c r="A7597" i="20"/>
  <c r="A2855" i="20"/>
  <c r="B9065" i="20"/>
  <c r="B8211" i="20"/>
  <c r="B7857" i="20"/>
  <c r="B5792" i="20"/>
  <c r="A850" i="45"/>
  <c r="A6456" i="20"/>
  <c r="A5705" i="20"/>
  <c r="A6657" i="20"/>
  <c r="B6667" i="20"/>
  <c r="B3784" i="20"/>
  <c r="B4582" i="20"/>
  <c r="B3498" i="20"/>
  <c r="A9050" i="20"/>
  <c r="A5400" i="20"/>
  <c r="A5473" i="20"/>
  <c r="B6210" i="20"/>
  <c r="B6214" i="20"/>
  <c r="B3552" i="20"/>
  <c r="B4350" i="20"/>
  <c r="B3266" i="20"/>
  <c r="A8009" i="20"/>
  <c r="B5250" i="20"/>
  <c r="A5664" i="20"/>
  <c r="A3061" i="20"/>
  <c r="B3284" i="20"/>
  <c r="B3244" i="20"/>
  <c r="B2501" i="20"/>
  <c r="B862" i="20"/>
  <c r="A165" i="19"/>
  <c r="A215" i="16"/>
  <c r="A5024" i="20"/>
  <c r="A2901" i="20"/>
  <c r="AM2" i="29"/>
  <c r="A7586" i="20"/>
  <c r="B5528" i="20"/>
  <c r="A7729" i="20"/>
  <c r="B5296" i="20"/>
  <c r="A8095" i="20"/>
  <c r="A1334" i="20"/>
  <c r="B565" i="16"/>
  <c r="B4020" i="20"/>
  <c r="B3980" i="20"/>
  <c r="A1722" i="20"/>
  <c r="B3957" i="20"/>
  <c r="A349" i="19"/>
  <c r="A399" i="16"/>
  <c r="A1229" i="20"/>
  <c r="A330" i="20"/>
  <c r="B1327" i="16"/>
  <c r="B3829" i="20"/>
  <c r="B974" i="20"/>
  <c r="A7289" i="20"/>
  <c r="A1932" i="20"/>
  <c r="A6636" i="20"/>
  <c r="A5076" i="20"/>
  <c r="O2" i="29"/>
  <c r="A1853" i="20"/>
  <c r="A5443" i="20"/>
  <c r="A3629" i="20"/>
  <c r="B2944" i="20"/>
  <c r="A2898" i="20"/>
  <c r="B4316" i="20"/>
  <c r="B6450" i="20"/>
  <c r="B5832" i="20"/>
  <c r="A964" i="20"/>
  <c r="A2784" i="20"/>
  <c r="B645" i="20"/>
  <c r="A969" i="16"/>
  <c r="A323" i="20"/>
  <c r="B220" i="20"/>
  <c r="B5828" i="20"/>
  <c r="A1391" i="20"/>
  <c r="B8278" i="20"/>
  <c r="B7001" i="20"/>
  <c r="A5747" i="20"/>
  <c r="A3300" i="20"/>
  <c r="B7676" i="20"/>
  <c r="A6539" i="20"/>
  <c r="B8353" i="20"/>
  <c r="B4686" i="20"/>
  <c r="B4690" i="20"/>
  <c r="A4092" i="20"/>
  <c r="B2918" i="20"/>
  <c r="A3806" i="20"/>
  <c r="B8601" i="20"/>
  <c r="A6307" i="20"/>
  <c r="B7560" i="20"/>
  <c r="A4493" i="20"/>
  <c r="A4497" i="20"/>
  <c r="A3860" i="20"/>
  <c r="A4698" i="20"/>
  <c r="A3574" i="20"/>
  <c r="B5721" i="20"/>
  <c r="B4216" i="20"/>
  <c r="B5348" i="20"/>
  <c r="B3849" i="20"/>
  <c r="B2392" i="20"/>
  <c r="B2374" i="20"/>
  <c r="B433" i="20"/>
  <c r="A809" i="16"/>
  <c r="A163" i="20"/>
  <c r="A38" i="19"/>
  <c r="B5188" i="20"/>
  <c r="A323" i="32"/>
  <c r="N24" i="29"/>
  <c r="B903" i="20"/>
  <c r="A225" i="16"/>
  <c r="A41" i="13"/>
  <c r="A2732" i="20"/>
  <c r="B1180" i="20"/>
  <c r="A301" i="19"/>
  <c r="H21" i="12"/>
  <c r="H62" i="6"/>
  <c r="C13" i="14"/>
  <c r="B24" i="11"/>
  <c r="A4458" i="20"/>
  <c r="B959" i="20"/>
  <c r="B23" i="16"/>
  <c r="A1351" i="16"/>
  <c r="A1205" i="16"/>
  <c r="B59" i="6"/>
  <c r="B6" i="14"/>
  <c r="E136" i="10"/>
  <c r="A3402" i="20"/>
  <c r="B695" i="20"/>
  <c r="B8904" i="20"/>
  <c r="A4978" i="20"/>
  <c r="B4520" i="20"/>
  <c r="B6009" i="20"/>
  <c r="B4288" i="20"/>
  <c r="A4139" i="20"/>
  <c r="B559" i="20"/>
  <c r="A951" i="16"/>
  <c r="A2792" i="20"/>
  <c r="A2752" i="20"/>
  <c r="A216" i="20"/>
  <c r="B4" i="17"/>
  <c r="B1433" i="20"/>
  <c r="A103" i="12"/>
  <c r="A3274" i="20"/>
  <c r="B663" i="20"/>
  <c r="A27" i="13"/>
  <c r="A1055" i="16"/>
  <c r="A901" i="16"/>
  <c r="B121" i="5"/>
  <c r="G46" i="13"/>
  <c r="B150" i="9"/>
  <c r="A3178" i="20"/>
  <c r="B639" i="20"/>
  <c r="A15" i="13"/>
  <c r="A1031" i="16"/>
  <c r="A885" i="16"/>
  <c r="B117" i="5"/>
  <c r="G40" i="13"/>
  <c r="A8532" i="20"/>
  <c r="B5074" i="20"/>
  <c r="B7250" i="20"/>
  <c r="B4842" i="20"/>
  <c r="B7600" i="20"/>
  <c r="A1115" i="20"/>
  <c r="A547" i="20"/>
  <c r="A7746" i="20"/>
  <c r="A4572" i="20"/>
  <c r="B4755" i="20"/>
  <c r="A4340" i="20"/>
  <c r="A3983" i="20"/>
  <c r="A1289" i="20"/>
  <c r="B2591" i="20"/>
  <c r="A1483" i="20"/>
  <c r="A1465" i="20"/>
  <c r="B1347" i="20"/>
  <c r="B5419" i="20"/>
  <c r="B4484" i="20"/>
  <c r="B5259" i="20"/>
  <c r="A7034" i="20"/>
  <c r="A7229" i="20"/>
  <c r="B3521" i="20"/>
  <c r="A4931" i="20"/>
  <c r="B4749" i="20"/>
  <c r="A4532" i="20"/>
  <c r="A2642" i="20"/>
  <c r="B2780" i="20"/>
  <c r="B4712" i="20"/>
  <c r="B4808" i="20"/>
  <c r="A580" i="20"/>
  <c r="A1793" i="20"/>
  <c r="B305" i="20"/>
  <c r="A713" i="16"/>
  <c r="A67" i="20"/>
  <c r="B104" i="18"/>
  <c r="B4804" i="20"/>
  <c r="B2412" i="20"/>
  <c r="B8330" i="20"/>
  <c r="A7003" i="20"/>
  <c r="A4723" i="20"/>
  <c r="B3307" i="20"/>
  <c r="B8217" i="20"/>
  <c r="A6283" i="20"/>
  <c r="B7176" i="20"/>
  <c r="A4469" i="20"/>
  <c r="A4473" i="20"/>
  <c r="A3836" i="20"/>
  <c r="B4637" i="20"/>
  <c r="A3550" i="20"/>
  <c r="B7424" i="20"/>
  <c r="A6051" i="20"/>
  <c r="A6792" i="20"/>
  <c r="A4237" i="20"/>
  <c r="A4241" i="20"/>
  <c r="A3604" i="20"/>
  <c r="A4402" i="20"/>
  <c r="A3318" i="20"/>
  <c r="B5919" i="20"/>
  <c r="B3192" i="20"/>
  <c r="A4363" i="20"/>
  <c r="B1932" i="20"/>
  <c r="B1880" i="20"/>
  <c r="B1862" i="20"/>
  <c r="B119" i="20"/>
  <c r="A553" i="16"/>
  <c r="B290" i="19"/>
  <c r="A44" i="17"/>
  <c r="A4203" i="20"/>
  <c r="B4540" i="20"/>
  <c r="B6879" i="20"/>
  <c r="B6456" i="20"/>
  <c r="A2557" i="20"/>
  <c r="B6224" i="20"/>
  <c r="A2325" i="20"/>
  <c r="A5740" i="20"/>
  <c r="A1836" i="20"/>
  <c r="A5100" i="20"/>
  <c r="B2248" i="20"/>
  <c r="B2230" i="20"/>
  <c r="B337" i="20"/>
  <c r="A6280" i="20"/>
  <c r="B3003" i="20"/>
  <c r="A5640" i="20"/>
  <c r="A5062" i="20"/>
  <c r="A5865" i="20"/>
  <c r="A2753" i="20"/>
  <c r="B8564" i="20"/>
  <c r="B5772" i="20"/>
  <c r="A3636" i="20"/>
  <c r="A2291" i="20"/>
  <c r="A2225" i="20"/>
  <c r="B3320" i="20"/>
  <c r="B3416" i="20"/>
  <c r="B195" i="19"/>
  <c r="B1926" i="20"/>
  <c r="A23" i="19"/>
  <c r="A73" i="16"/>
  <c r="B656" i="20"/>
  <c r="B1" i="46"/>
  <c r="B6628" i="20"/>
  <c r="B3537" i="20"/>
  <c r="B8845" i="20"/>
  <c r="B6389" i="20"/>
  <c r="A4944" i="20"/>
  <c r="B2306" i="20"/>
  <c r="B7217" i="20"/>
  <c r="A5643" i="20"/>
  <c r="A7253" i="20"/>
  <c r="A3829" i="20"/>
  <c r="B4925" i="20"/>
  <c r="A3196" i="20"/>
  <c r="A3994" i="20"/>
  <c r="A2910" i="20"/>
  <c r="A7315" i="20"/>
  <c r="A5411" i="20"/>
  <c r="A6312" i="20"/>
  <c r="A3597" i="20"/>
  <c r="A6029" i="20"/>
  <c r="A2964" i="20"/>
  <c r="A3762" i="20"/>
  <c r="A2678" i="20"/>
  <c r="A5051" i="20"/>
  <c r="B7572" i="20"/>
  <c r="B5862" i="20"/>
  <c r="B2590" i="20"/>
  <c r="B4143" i="20"/>
  <c r="B4103" i="20"/>
  <c r="B2781" i="20"/>
  <c r="G112" i="13"/>
  <c r="B16" i="20"/>
  <c r="B8788" i="20"/>
  <c r="B5698" i="20"/>
  <c r="B2510" i="20"/>
  <c r="A5786" i="20"/>
  <c r="B5847" i="20"/>
  <c r="B2042" i="20"/>
  <c r="B5329" i="20"/>
  <c r="B1810" i="20"/>
  <c r="A6617" i="20"/>
  <c r="A638" i="20"/>
  <c r="A6457" i="20"/>
  <c r="B1256" i="20"/>
  <c r="B1244" i="20"/>
  <c r="A47" i="19"/>
  <c r="A97" i="16"/>
  <c r="B752" i="20"/>
  <c r="B1440" i="16"/>
  <c r="B2350" i="20"/>
  <c r="B3623" i="20"/>
  <c r="B57" i="13"/>
  <c r="B1232" i="16"/>
  <c r="B1116" i="16"/>
  <c r="A1453" i="20"/>
  <c r="B1383" i="16"/>
  <c r="A1293" i="20"/>
  <c r="B5052" i="20"/>
  <c r="A6240" i="20"/>
  <c r="A3205" i="20"/>
  <c r="A6017" i="20"/>
  <c r="A5287" i="20"/>
  <c r="A2005" i="20"/>
  <c r="A2717" i="20"/>
  <c r="B7357" i="20"/>
  <c r="A6674" i="20"/>
  <c r="B3702" i="20"/>
  <c r="B3897" i="20"/>
  <c r="A1516" i="20"/>
  <c r="A21" i="20"/>
  <c r="C73" i="18"/>
  <c r="B757" i="16"/>
  <c r="B7101" i="20"/>
  <c r="A3353" i="20"/>
  <c r="A2480" i="20"/>
  <c r="B5835" i="20"/>
  <c r="A5972" i="20"/>
  <c r="A6487" i="20"/>
  <c r="A2595" i="20"/>
  <c r="B7064" i="20"/>
  <c r="B5976" i="20"/>
  <c r="B4735" i="20"/>
  <c r="B6410" i="20"/>
  <c r="B5560" i="20"/>
  <c r="A2077" i="20"/>
  <c r="B3523" i="20"/>
  <c r="A1791" i="20"/>
  <c r="A6764" i="20"/>
  <c r="C25" i="21"/>
  <c r="A6535" i="20"/>
  <c r="B6046" i="20"/>
  <c r="B5328" i="20"/>
  <c r="A1845" i="20"/>
  <c r="B2652" i="20"/>
  <c r="A1559" i="20"/>
  <c r="C2" i="21"/>
  <c r="A3339" i="20"/>
  <c r="A247" i="19"/>
  <c r="B4965" i="20"/>
  <c r="G36" i="12"/>
  <c r="A683" i="20"/>
  <c r="G108" i="7"/>
  <c r="A327" i="16"/>
  <c r="G101" i="7"/>
  <c r="B4859" i="20"/>
  <c r="A3471" i="20"/>
  <c r="A1401" i="20"/>
  <c r="B143" i="10"/>
  <c r="A31" i="16"/>
  <c r="B2852" i="20"/>
  <c r="A7" i="16"/>
  <c r="B17" i="5"/>
  <c r="A6957" i="20"/>
  <c r="B4335" i="20"/>
  <c r="B3421" i="20"/>
  <c r="A3910" i="20"/>
  <c r="B4916" i="20"/>
  <c r="B2524" i="20"/>
  <c r="B4684" i="20"/>
  <c r="B2292" i="20"/>
  <c r="B3021" i="20"/>
  <c r="A2578" i="20"/>
  <c r="B2589" i="20"/>
  <c r="B5749" i="20"/>
  <c r="A2804" i="20"/>
  <c r="B3065" i="20"/>
  <c r="A78" i="18"/>
  <c r="B1677" i="16"/>
  <c r="A6909" i="20"/>
  <c r="B983" i="20"/>
  <c r="A6" i="17"/>
  <c r="A273" i="20"/>
  <c r="B22" i="11"/>
  <c r="C134" i="18"/>
  <c r="E25" i="9"/>
  <c r="B6258" i="20"/>
  <c r="A1350" i="20"/>
  <c r="B228" i="19"/>
  <c r="B581" i="16"/>
  <c r="B435" i="16"/>
  <c r="A3" i="11"/>
  <c r="A124" i="18"/>
  <c r="G17" i="9"/>
  <c r="A4015" i="20"/>
  <c r="B3629" i="20"/>
  <c r="B110" i="45"/>
  <c r="A8750" i="20"/>
  <c r="A4569" i="20"/>
  <c r="B8012" i="20"/>
  <c r="A4337" i="20"/>
  <c r="A5496" i="20"/>
  <c r="B2072" i="20"/>
  <c r="A3" i="20"/>
  <c r="B4133" i="20"/>
  <c r="B615" i="20"/>
  <c r="B3417" i="20"/>
  <c r="F5" i="13"/>
  <c r="B697" i="20"/>
  <c r="A1007" i="16"/>
  <c r="A3759" i="20"/>
  <c r="B3117" i="20"/>
  <c r="B1167" i="20"/>
  <c r="B285" i="16"/>
  <c r="B131" i="16"/>
  <c r="H63" i="10"/>
  <c r="B1780" i="16"/>
  <c r="B30" i="8"/>
  <c r="A3631" i="20"/>
  <c r="B2733" i="20"/>
  <c r="B1048" i="20"/>
  <c r="B261" i="16"/>
  <c r="B115" i="16"/>
  <c r="B60" i="10"/>
  <c r="B1764" i="16"/>
  <c r="H22" i="8"/>
  <c r="B3608" i="20"/>
  <c r="B1621" i="20"/>
  <c r="A7960" i="20"/>
  <c r="B7705" i="20"/>
  <c r="A4441" i="20"/>
  <c r="B6912" i="20"/>
  <c r="A4209" i="20"/>
  <c r="B5455" i="20"/>
  <c r="B1822" i="20"/>
  <c r="B258" i="19"/>
  <c r="B3621" i="20"/>
  <c r="B583" i="20"/>
  <c r="A5504" i="20"/>
  <c r="A2099" i="20"/>
  <c r="A1550" i="20"/>
  <c r="A1249" i="16"/>
  <c r="B781" i="16"/>
  <c r="A5853" i="20"/>
  <c r="A3712" i="20"/>
  <c r="B1797" i="20"/>
  <c r="B1475" i="16"/>
  <c r="A152" i="8"/>
  <c r="B1006" i="16"/>
  <c r="G37" i="5"/>
  <c r="A2157" i="20"/>
  <c r="A562" i="20"/>
  <c r="B1559" i="16"/>
  <c r="H96" i="11"/>
  <c r="E28" i="11"/>
  <c r="G148" i="8"/>
  <c r="B996" i="16"/>
  <c r="F33" i="5"/>
  <c r="B4609" i="20"/>
  <c r="A298" i="20"/>
  <c r="A7370" i="20"/>
  <c r="A7052" i="20"/>
  <c r="B5400" i="20"/>
  <c r="B7191" i="20"/>
  <c r="B5168" i="20"/>
  <c r="B7443" i="20"/>
  <c r="A1206" i="20"/>
  <c r="B437" i="16"/>
  <c r="B3892" i="20"/>
  <c r="B3852" i="20"/>
  <c r="A1594" i="20"/>
  <c r="B2471" i="20"/>
  <c r="A317" i="19"/>
  <c r="A367" i="16"/>
  <c r="B4097" i="20"/>
  <c r="A266" i="20"/>
  <c r="B1263" i="16"/>
  <c r="B1927" i="20"/>
  <c r="B718" i="20"/>
  <c r="B77" i="8"/>
  <c r="B794" i="16"/>
  <c r="H89" i="4"/>
  <c r="B3713" i="20"/>
  <c r="A242" i="20"/>
  <c r="B1239" i="16"/>
  <c r="B1543" i="20"/>
  <c r="B654" i="20"/>
  <c r="B74" i="8"/>
  <c r="B782" i="16"/>
  <c r="B84" i="4"/>
  <c r="B1866" i="20"/>
  <c r="B361" i="19"/>
  <c r="A7415" i="20"/>
  <c r="B7607" i="20"/>
  <c r="B5272" i="20"/>
  <c r="A7734" i="20"/>
  <c r="B5040" i="20"/>
  <c r="A6408" i="20"/>
  <c r="B3501" i="20"/>
  <c r="B309" i="16"/>
  <c r="B3764" i="20"/>
  <c r="B3724" i="20"/>
  <c r="A1466" i="20"/>
  <c r="A8" i="39"/>
  <c r="A3443" i="20"/>
  <c r="A604" i="20"/>
  <c r="F35" i="12"/>
  <c r="B90" i="19"/>
  <c r="B2560" i="20"/>
  <c r="A1098" i="20"/>
  <c r="A305" i="16"/>
  <c r="B299" i="20"/>
  <c r="A282" i="19"/>
  <c r="A35" i="16"/>
  <c r="G72" i="4"/>
  <c r="A5583" i="20"/>
  <c r="B3567" i="20"/>
  <c r="B2113" i="20"/>
  <c r="A148" i="18"/>
  <c r="C47" i="18"/>
  <c r="A154" i="19"/>
  <c r="A19" i="16"/>
  <c r="G68" i="4"/>
  <c r="B4638" i="20"/>
  <c r="B2624" i="20"/>
  <c r="B9102" i="20"/>
  <c r="B2716" i="20"/>
  <c r="A3547" i="20"/>
  <c r="A3888" i="20"/>
  <c r="A3315" i="20"/>
  <c r="A2960" i="20"/>
  <c r="A132" i="20"/>
  <c r="B2043" i="20"/>
  <c r="A572" i="20"/>
  <c r="B2123" i="20"/>
  <c r="B365" i="19"/>
  <c r="B447" i="16"/>
  <c r="A54" i="20"/>
  <c r="A1775" i="16"/>
  <c r="A4421" i="20"/>
  <c r="A2590" i="20"/>
  <c r="A1085" i="20"/>
  <c r="B1821" i="16"/>
  <c r="B1667" i="16"/>
  <c r="A1592" i="16"/>
  <c r="H19" i="13"/>
  <c r="A1750" i="16"/>
  <c r="A4293" i="20"/>
  <c r="A2566" i="20"/>
  <c r="A1061" i="20"/>
  <c r="B1797" i="16"/>
  <c r="B1651" i="16"/>
  <c r="A1560" i="16"/>
  <c r="E12" i="13"/>
  <c r="A1686" i="16"/>
  <c r="B6314" i="20"/>
  <c r="A2302" i="20"/>
  <c r="A367" i="45"/>
  <c r="A4176" i="20"/>
  <c r="A3419" i="20"/>
  <c r="A3376" i="20"/>
  <c r="B4997" i="20"/>
  <c r="B3995" i="20"/>
  <c r="A4" i="20"/>
  <c r="A1140" i="20"/>
  <c r="A476" i="20"/>
  <c r="B1995" i="20"/>
  <c r="B301" i="19"/>
  <c r="B415" i="16"/>
  <c r="B373" i="19"/>
  <c r="A1743" i="16"/>
  <c r="A3909" i="20"/>
  <c r="A749" i="20"/>
  <c r="B2235" i="20"/>
  <c r="B572" i="20"/>
  <c r="A2240" i="20"/>
  <c r="A1236" i="20"/>
  <c r="B1730" i="16"/>
  <c r="B120" i="16"/>
  <c r="B6" i="16"/>
  <c r="B366" i="19"/>
  <c r="A51" i="7"/>
  <c r="B344" i="19"/>
  <c r="A2216" i="20"/>
  <c r="A1212" i="20"/>
  <c r="B1706" i="16"/>
  <c r="B112" i="16"/>
  <c r="A11" i="15"/>
  <c r="B350" i="19"/>
  <c r="G47" i="7"/>
  <c r="B328" i="19"/>
  <c r="A1952" i="20"/>
  <c r="B2349" i="20"/>
  <c r="B1265" i="45"/>
  <c r="B8148" i="20"/>
  <c r="B6588" i="20"/>
  <c r="A2933" i="20"/>
  <c r="A4923" i="20"/>
  <c r="A110" i="20"/>
  <c r="B2446" i="20"/>
  <c r="B2722" i="20"/>
  <c r="B1540" i="20"/>
  <c r="A6508" i="20"/>
  <c r="A4439" i="20"/>
  <c r="B2919" i="20"/>
  <c r="B960" i="16"/>
  <c r="B592" i="16"/>
  <c r="A1711" i="16"/>
  <c r="B1385" i="20"/>
  <c r="A1730" i="20"/>
  <c r="B1617" i="16"/>
  <c r="B1765" i="20"/>
  <c r="A267" i="20"/>
  <c r="B79" i="20"/>
  <c r="B385" i="20"/>
  <c r="A3630" i="20"/>
  <c r="A59" i="11"/>
  <c r="B4499" i="20"/>
  <c r="B1634" i="16"/>
  <c r="B56" i="16"/>
  <c r="B130" i="13"/>
  <c r="B90" i="12"/>
  <c r="A3690" i="20"/>
  <c r="A1013" i="16"/>
  <c r="A2634" i="20"/>
  <c r="C122" i="18"/>
  <c r="B360" i="16"/>
  <c r="B242" i="16"/>
  <c r="A104" i="12"/>
  <c r="B1243" i="20"/>
  <c r="B796" i="20"/>
  <c r="B1155" i="20"/>
  <c r="B67" i="18"/>
  <c r="F33" i="13"/>
  <c r="B99" i="12"/>
  <c r="B1422" i="20"/>
  <c r="A209" i="19"/>
  <c r="E110" i="9"/>
  <c r="B2449" i="20"/>
  <c r="B2128" i="20"/>
  <c r="B762" i="20"/>
  <c r="F76" i="9"/>
  <c r="E3" i="11"/>
  <c r="G118" i="2"/>
  <c r="B2399" i="20"/>
  <c r="A1760" i="16"/>
  <c r="F26" i="2"/>
  <c r="E12" i="8"/>
  <c r="G121" i="4"/>
  <c r="G6" i="4"/>
  <c r="A94" i="16"/>
  <c r="G101" i="2"/>
  <c r="B448" i="20"/>
  <c r="G37" i="6"/>
  <c r="B360" i="20"/>
  <c r="B111" i="11"/>
  <c r="G42" i="5"/>
  <c r="F3" i="6"/>
  <c r="B24" i="8"/>
  <c r="A55" i="1"/>
  <c r="G5" i="8"/>
  <c r="A141" i="8"/>
  <c r="B1481" i="16"/>
  <c r="G139" i="1"/>
  <c r="G118" i="4"/>
  <c r="A20" i="7"/>
  <c r="A76" i="9"/>
  <c r="A248" i="16"/>
  <c r="B814" i="16"/>
  <c r="A100" i="4"/>
  <c r="A2720" i="20"/>
  <c r="A2186" i="20"/>
  <c r="B716" i="16"/>
  <c r="G53" i="4"/>
  <c r="G36" i="4"/>
  <c r="C105" i="2"/>
  <c r="A672" i="20"/>
  <c r="H36" i="7"/>
  <c r="A962" i="16"/>
  <c r="B172" i="20"/>
  <c r="A1120" i="16"/>
  <c r="F151" i="1"/>
  <c r="B126" i="6"/>
  <c r="A1366" i="20"/>
  <c r="B597" i="16"/>
  <c r="B4315" i="20"/>
  <c r="A2627" i="20"/>
  <c r="A367" i="20"/>
  <c r="A1596" i="20"/>
  <c r="A351" i="20"/>
  <c r="A1332" i="20"/>
  <c r="A7" i="26"/>
  <c r="A5149" i="20"/>
  <c r="G94" i="11"/>
  <c r="A1300" i="20"/>
  <c r="A47" i="20"/>
  <c r="A1276" i="20"/>
  <c r="A31" i="20"/>
  <c r="A1033" i="20"/>
  <c r="B4183" i="20"/>
  <c r="A2036" i="20"/>
  <c r="B7058" i="20"/>
  <c r="A6313" i="20"/>
  <c r="A3201" i="20"/>
  <c r="A6081" i="20"/>
  <c r="A2969" i="20"/>
  <c r="B4751" i="20"/>
  <c r="B1528" i="20"/>
  <c r="A6623" i="20"/>
  <c r="B3599" i="20"/>
  <c r="A3834" i="20"/>
  <c r="B2049" i="20"/>
  <c r="A557" i="20"/>
  <c r="A118" i="20"/>
  <c r="E11" i="11"/>
  <c r="B3661" i="20"/>
  <c r="B1185" i="20"/>
  <c r="A95" i="16"/>
  <c r="B15" i="12"/>
  <c r="A122" i="18"/>
  <c r="B634" i="20"/>
  <c r="B107" i="18"/>
  <c r="A1320" i="20"/>
  <c r="B1668" i="20"/>
  <c r="B1872" i="20"/>
  <c r="B64" i="12"/>
  <c r="E9" i="12"/>
  <c r="B111" i="18"/>
  <c r="B506" i="20"/>
  <c r="C95" i="18"/>
  <c r="B3149" i="20"/>
  <c r="A2466" i="20"/>
  <c r="A5096" i="20"/>
  <c r="B5087" i="20"/>
  <c r="A2682" i="20"/>
  <c r="B4855" i="20"/>
  <c r="B4003" i="20"/>
  <c r="A4079" i="20"/>
  <c r="A213" i="20"/>
  <c r="A3919" i="20"/>
  <c r="A1774" i="20"/>
  <c r="A1764" i="20"/>
  <c r="A269" i="20"/>
  <c r="B4" i="20"/>
  <c r="B1005" i="16"/>
  <c r="A1" i="16"/>
  <c r="B2666" i="20"/>
  <c r="A2338" i="20"/>
  <c r="A2482" i="20"/>
  <c r="A100" i="11"/>
  <c r="B45" i="11"/>
  <c r="B1761" i="16"/>
  <c r="A1776" i="16"/>
  <c r="B1739" i="16"/>
  <c r="B2557" i="20"/>
  <c r="A2242" i="20"/>
  <c r="A2386" i="20"/>
  <c r="F96" i="11"/>
  <c r="B40" i="11"/>
  <c r="B1745" i="16"/>
  <c r="A1744" i="16"/>
  <c r="B1723" i="16"/>
  <c r="B1501" i="20"/>
  <c r="A1186" i="20"/>
  <c r="B5351" i="20"/>
  <c r="B4959" i="20"/>
  <c r="B4419" i="20"/>
  <c r="B4727" i="20"/>
  <c r="B3491" i="20"/>
  <c r="A3567" i="20"/>
  <c r="A85" i="20"/>
  <c r="A3407" i="20"/>
  <c r="A1742" i="20"/>
  <c r="B4215" i="20"/>
  <c r="A1247" i="20"/>
  <c r="B3524" i="20"/>
  <c r="B568" i="20"/>
  <c r="B739" i="20"/>
  <c r="B1824" i="16"/>
  <c r="B171" i="19"/>
  <c r="B2191" i="20"/>
  <c r="A3" i="18"/>
  <c r="A1210" i="16"/>
  <c r="B801" i="16"/>
  <c r="A87" i="13"/>
  <c r="B779" i="16"/>
  <c r="A532" i="20"/>
  <c r="A158" i="20"/>
  <c r="A230" i="20"/>
  <c r="A528" i="20"/>
  <c r="A1178" i="16"/>
  <c r="B785" i="16"/>
  <c r="H76" i="13"/>
  <c r="B763" i="16"/>
  <c r="A268" i="20"/>
  <c r="B3397" i="20"/>
  <c r="B5308" i="20"/>
  <c r="A6496" i="20"/>
  <c r="A3269" i="20"/>
  <c r="A5568" i="20"/>
  <c r="A3037" i="20"/>
  <c r="A2993" i="20"/>
  <c r="B647" i="16"/>
  <c r="A2833" i="20"/>
  <c r="B4397" i="20"/>
  <c r="B4237" i="20"/>
  <c r="B2447" i="20"/>
  <c r="B1618" i="16"/>
  <c r="B365" i="16"/>
  <c r="A122" i="11"/>
  <c r="A236" i="20"/>
  <c r="B2587" i="20"/>
  <c r="B3525" i="20"/>
  <c r="B1635" i="20"/>
  <c r="A570" i="16"/>
  <c r="B481" i="16"/>
  <c r="A53" i="11"/>
  <c r="B459" i="16"/>
  <c r="A212" i="20"/>
  <c r="B2395" i="20"/>
  <c r="B2757" i="20"/>
  <c r="B1507" i="20"/>
  <c r="A538" i="16"/>
  <c r="B465" i="16"/>
  <c r="G37" i="11"/>
  <c r="B443" i="16"/>
  <c r="B331" i="19"/>
  <c r="A3864" i="20"/>
  <c r="B4796" i="20"/>
  <c r="A5984" i="20"/>
  <c r="A3141" i="20"/>
  <c r="A5056" i="20"/>
  <c r="A2909" i="20"/>
  <c r="B4470" i="20"/>
  <c r="B519" i="16"/>
  <c r="B4310" i="20"/>
  <c r="B3885" i="20"/>
  <c r="B3725" i="20"/>
  <c r="B1935" i="20"/>
  <c r="A3171" i="20"/>
  <c r="B1387" i="20"/>
  <c r="A536" i="20"/>
  <c r="A2418" i="20"/>
  <c r="A143" i="16"/>
  <c r="B1152" i="20"/>
  <c r="B4069" i="20"/>
  <c r="B25" i="19"/>
  <c r="B604" i="16"/>
  <c r="A623" i="20"/>
  <c r="G64" i="8"/>
  <c r="A601" i="20"/>
  <c r="B3447" i="20"/>
  <c r="A1852" i="20"/>
  <c r="B356" i="20"/>
  <c r="B536" i="16"/>
  <c r="B422" i="16"/>
  <c r="A607" i="20"/>
  <c r="A61" i="8"/>
  <c r="A585" i="20"/>
  <c r="A2592" i="20"/>
  <c r="A1588" i="20"/>
  <c r="A6034" i="20"/>
  <c r="A4905" i="20"/>
  <c r="B3782" i="20"/>
  <c r="A4673" i="20"/>
  <c r="B3550" i="20"/>
  <c r="B4702" i="20"/>
  <c r="B231" i="19"/>
  <c r="A4581" i="20"/>
  <c r="A2542" i="20"/>
  <c r="A2532" i="20"/>
  <c r="A1037" i="20"/>
  <c r="G21" i="12"/>
  <c r="B1773" i="16"/>
  <c r="B768" i="16"/>
  <c r="A2560" i="20"/>
  <c r="A1556" i="20"/>
  <c r="B100" i="18"/>
  <c r="G31" i="8"/>
  <c r="B666" i="16"/>
  <c r="A35" i="4"/>
  <c r="B2154" i="20"/>
  <c r="A50" i="20"/>
  <c r="B1047" i="16"/>
  <c r="B470" i="20"/>
  <c r="A270" i="19"/>
  <c r="A28" i="8"/>
  <c r="B654" i="16"/>
  <c r="G30" i="4"/>
  <c r="B4471" i="20"/>
  <c r="B169" i="19"/>
  <c r="A7414" i="20"/>
  <c r="A5036" i="20"/>
  <c r="A4415" i="20"/>
  <c r="B6067" i="20"/>
  <c r="A4183" i="20"/>
  <c r="A6829" i="20"/>
  <c r="A674" i="20"/>
  <c r="H14" i="12"/>
  <c r="B2868" i="20"/>
  <c r="B2828" i="20"/>
  <c r="B1549" i="20"/>
  <c r="B446" i="20"/>
  <c r="A61" i="19"/>
  <c r="A111" i="16"/>
  <c r="A3729" i="20"/>
  <c r="B137" i="19"/>
  <c r="B751" i="16"/>
  <c r="B120" i="18"/>
  <c r="C16" i="18"/>
  <c r="H96" i="7"/>
  <c r="B452" i="16"/>
  <c r="B69" i="18"/>
  <c r="A3345" i="20"/>
  <c r="B113" i="19"/>
  <c r="B727" i="16"/>
  <c r="B103" i="18"/>
  <c r="A6" i="18"/>
  <c r="F93" i="7"/>
  <c r="B442" i="16"/>
  <c r="A2768" i="20"/>
  <c r="A6549" i="20"/>
  <c r="A2513" i="20"/>
  <c r="A5735" i="20"/>
  <c r="A1585" i="20"/>
  <c r="B3749" i="20"/>
  <c r="B665" i="20"/>
  <c r="B7832" i="20"/>
  <c r="A4666" i="20"/>
  <c r="B6521" i="20"/>
  <c r="B4416" i="20"/>
  <c r="A4671" i="20"/>
  <c r="B687" i="20"/>
  <c r="A1079" i="16"/>
  <c r="A2920" i="20"/>
  <c r="A2880" i="20"/>
  <c r="A280" i="20"/>
  <c r="A8800" i="20"/>
  <c r="B3847" i="20"/>
  <c r="B8523" i="20"/>
  <c r="A7092" i="20"/>
  <c r="A4779" i="20"/>
  <c r="B3531" i="20"/>
  <c r="A5955" i="20"/>
  <c r="A4141" i="20"/>
  <c r="B3200" i="20"/>
  <c r="A3282" i="20"/>
  <c r="B2100" i="20"/>
  <c r="B5117" i="20"/>
  <c r="A3977" i="20"/>
  <c r="B1981" i="20"/>
  <c r="A3808" i="20"/>
  <c r="B987" i="20"/>
  <c r="A1225" i="16"/>
  <c r="A579" i="20"/>
  <c r="B1567" i="20"/>
  <c r="A5661" i="20"/>
  <c r="A2415" i="20"/>
  <c r="A163" i="32"/>
  <c r="A6958" i="20"/>
  <c r="B4739" i="20"/>
  <c r="A4324" i="20"/>
  <c r="B7690" i="20"/>
  <c r="B4763" i="20"/>
  <c r="B6294" i="20"/>
  <c r="B4942" i="20"/>
  <c r="B4946" i="20"/>
  <c r="A4348" i="20"/>
  <c r="B3174" i="20"/>
  <c r="A4062" i="20"/>
  <c r="B6738" i="20"/>
  <c r="A6563" i="20"/>
  <c r="B8755" i="20"/>
  <c r="B4710" i="20"/>
  <c r="B4714" i="20"/>
  <c r="A4116" i="20"/>
  <c r="B2942" i="20"/>
  <c r="A3830" i="20"/>
  <c r="B6845" i="20"/>
  <c r="A3251" i="20"/>
  <c r="A4701" i="20"/>
  <c r="A1935" i="20"/>
  <c r="B3641" i="20"/>
  <c r="B3569" i="20"/>
  <c r="B773" i="20"/>
  <c r="A1065" i="16"/>
  <c r="A419" i="20"/>
  <c r="B604" i="20"/>
  <c r="B6378" i="20"/>
  <c r="A1775" i="20"/>
  <c r="B6873" i="20"/>
  <c r="A6507" i="20"/>
  <c r="A4060" i="20"/>
  <c r="A6275" i="20"/>
  <c r="A3828" i="20"/>
  <c r="B4088" i="20"/>
  <c r="B2310" i="20"/>
  <c r="C150" i="18"/>
  <c r="A1227" i="20"/>
  <c r="A1209" i="20"/>
  <c r="B1019" i="20"/>
  <c r="A5403" i="20"/>
  <c r="B2224" i="20"/>
  <c r="A5243" i="20"/>
  <c r="A7079" i="20"/>
  <c r="A5168" i="20"/>
  <c r="B2362" i="20"/>
  <c r="B6544" i="20"/>
  <c r="A5549" i="20"/>
  <c r="A4404" i="20"/>
  <c r="B3747" i="20"/>
  <c r="A4240" i="20"/>
  <c r="A4239" i="20"/>
  <c r="A3823" i="20"/>
  <c r="A452" i="20"/>
  <c r="A1417" i="20"/>
  <c r="B151" i="20"/>
  <c r="A585" i="16"/>
  <c r="B322" i="19"/>
  <c r="A19" i="18"/>
  <c r="A4331" i="20"/>
  <c r="B1900" i="20"/>
  <c r="A9058" i="20"/>
  <c r="A6478" i="20"/>
  <c r="B6208" i="20"/>
  <c r="A2309" i="20"/>
  <c r="B8140" i="20"/>
  <c r="A6155" i="20"/>
  <c r="A7208" i="20"/>
  <c r="A4341" i="20"/>
  <c r="A4345" i="20"/>
  <c r="A3708" i="20"/>
  <c r="A4506" i="20"/>
  <c r="A3422" i="20"/>
  <c r="A7270" i="20"/>
  <c r="A5923" i="20"/>
  <c r="B7347" i="20"/>
  <c r="A4109" i="20"/>
  <c r="A4113" i="20"/>
  <c r="A3476" i="20"/>
  <c r="A4274" i="20"/>
  <c r="A3190" i="20"/>
  <c r="B5067" i="20"/>
  <c r="A4674" i="20"/>
  <c r="A3851" i="20"/>
  <c r="B3132" i="20"/>
  <c r="B1694" i="20"/>
  <c r="B1680" i="20"/>
  <c r="A375" i="19"/>
  <c r="A425" i="16"/>
  <c r="B162" i="19"/>
  <c r="B1768" i="16"/>
  <c r="A3691" i="20"/>
  <c r="A4464" i="20"/>
  <c r="A5844" i="20"/>
  <c r="B5944" i="20"/>
  <c r="A2045" i="20"/>
  <c r="A11" i="45"/>
  <c r="A1813" i="20"/>
  <c r="A5682" i="20"/>
  <c r="A1324" i="20"/>
  <c r="A5042" i="20"/>
  <c r="B1992" i="20"/>
  <c r="B1974" i="20"/>
  <c r="B175" i="20"/>
  <c r="A609" i="16"/>
  <c r="B346" i="19"/>
  <c r="A35" i="18"/>
  <c r="B3977" i="20"/>
  <c r="B2390" i="20"/>
  <c r="A817" i="16"/>
  <c r="B48" i="19"/>
  <c r="A71" i="18"/>
  <c r="B4936" i="20"/>
  <c r="A437" i="20"/>
  <c r="B4776" i="20"/>
  <c r="A8575" i="20"/>
  <c r="A6543" i="20"/>
  <c r="A2663" i="20"/>
  <c r="B5009" i="20"/>
  <c r="A3635" i="20"/>
  <c r="A2655" i="20"/>
  <c r="A3521" i="20"/>
  <c r="B6285" i="20"/>
  <c r="B8497" i="20"/>
  <c r="B1834" i="20"/>
  <c r="A2824" i="20"/>
  <c r="A2156" i="20"/>
  <c r="A533" i="20"/>
  <c r="B1060" i="20"/>
  <c r="B1269" i="16"/>
  <c r="B7159" i="20"/>
  <c r="B5160" i="20"/>
  <c r="B3991" i="20"/>
  <c r="B5829" i="20"/>
  <c r="B7007" i="20"/>
  <c r="B7672" i="20"/>
  <c r="A4098" i="20"/>
  <c r="B5581" i="20"/>
  <c r="B6488" i="20"/>
  <c r="B5247" i="20"/>
  <c r="A5437" i="20"/>
  <c r="B6148" i="20"/>
  <c r="A2589" i="20"/>
  <c r="A2842" i="20"/>
  <c r="A2303" i="20"/>
  <c r="B8625" i="20"/>
  <c r="B6256" i="20"/>
  <c r="B5015" i="20"/>
  <c r="A4973" i="20"/>
  <c r="B5840" i="20"/>
  <c r="A2357" i="20"/>
  <c r="A4656" i="20"/>
  <c r="A2071" i="20"/>
  <c r="A6137" i="20"/>
  <c r="A6252" i="20"/>
  <c r="B4680" i="20"/>
  <c r="B3511" i="20"/>
  <c r="A1878" i="20"/>
  <c r="A1868" i="20"/>
  <c r="A373" i="20"/>
  <c r="B420" i="20"/>
  <c r="B1109" i="16"/>
  <c r="A5612" i="20"/>
  <c r="A4559" i="20"/>
  <c r="B5682" i="20"/>
  <c r="B4475" i="20"/>
  <c r="A4120" i="20"/>
  <c r="A1427" i="20"/>
  <c r="A655" i="16"/>
  <c r="B3729" i="20"/>
  <c r="A1530" i="20"/>
  <c r="H94" i="12"/>
  <c r="B1286" i="16"/>
  <c r="B2153" i="20"/>
  <c r="B88" i="9"/>
  <c r="B2065" i="20"/>
  <c r="B1804" i="20"/>
  <c r="B2621" i="20"/>
  <c r="G62" i="12"/>
  <c r="B1048" i="16"/>
  <c r="B934" i="16"/>
  <c r="B2089" i="20"/>
  <c r="B84" i="9"/>
  <c r="B2001" i="20"/>
  <c r="B1452" i="20"/>
  <c r="A2356" i="20"/>
  <c r="A8457" i="20"/>
  <c r="A6441" i="20"/>
  <c r="A3409" i="20"/>
  <c r="A6209" i="20"/>
  <c r="A3097" i="20"/>
  <c r="B5263" i="20"/>
  <c r="B2400" i="20"/>
  <c r="B5103" i="20"/>
  <c r="B3727" i="20"/>
  <c r="B3687" i="20"/>
  <c r="B2273" i="20"/>
  <c r="H64" i="13"/>
  <c r="B44" i="19"/>
  <c r="B1152" i="16"/>
  <c r="B1408" i="20"/>
  <c r="A2324" i="20"/>
  <c r="A57" i="11"/>
  <c r="B848" i="16"/>
  <c r="B732" i="16"/>
  <c r="A1071" i="20"/>
  <c r="F12" i="9"/>
  <c r="A1049" i="20"/>
  <c r="B1376" i="20"/>
  <c r="A2300" i="20"/>
  <c r="G45" i="11"/>
  <c r="B840" i="16"/>
  <c r="B722" i="16"/>
  <c r="A1055" i="20"/>
  <c r="B9" i="9"/>
  <c r="B4891" i="20"/>
  <c r="A4476" i="20"/>
  <c r="B4659" i="20"/>
  <c r="A4244" i="20"/>
  <c r="A3599" i="20"/>
  <c r="B4593" i="20"/>
  <c r="B1117" i="20"/>
  <c r="B4987" i="20"/>
  <c r="B3398" i="20"/>
  <c r="B6286" i="20"/>
  <c r="B3166" i="20"/>
  <c r="B5101" i="20"/>
  <c r="B1073" i="20"/>
  <c r="A6493" i="20"/>
  <c r="A2446" i="20"/>
  <c r="A2436" i="20"/>
  <c r="A941" i="20"/>
  <c r="B3032" i="20"/>
  <c r="B600" i="20"/>
  <c r="B2872" i="20"/>
  <c r="B5046" i="20"/>
  <c r="B8372" i="20"/>
  <c r="A1627" i="20"/>
  <c r="A6529" i="20"/>
  <c r="B4741" i="20"/>
  <c r="A2389" i="20"/>
  <c r="A2973" i="20"/>
  <c r="A6380" i="20"/>
  <c r="A6777" i="20"/>
  <c r="A2737" i="20"/>
  <c r="A1833" i="20"/>
  <c r="A1900" i="20"/>
  <c r="A277" i="20"/>
  <c r="B36" i="20"/>
  <c r="B1013" i="16"/>
  <c r="B6035" i="20"/>
  <c r="A4175" i="20"/>
  <c r="B2967" i="20"/>
  <c r="B6959" i="20"/>
  <c r="A7009" i="20"/>
  <c r="B5519" i="20"/>
  <c r="A3074" i="20"/>
  <c r="B8241" i="20"/>
  <c r="B6232" i="20"/>
  <c r="B4991" i="20"/>
  <c r="A4925" i="20"/>
  <c r="B5816" i="20"/>
  <c r="A2333" i="20"/>
  <c r="B4547" i="20"/>
  <c r="A2047" i="20"/>
  <c r="B7448" i="20"/>
  <c r="B6000" i="20"/>
  <c r="B4759" i="20"/>
  <c r="B6458" i="20"/>
  <c r="B5584" i="20"/>
  <c r="A2101" i="20"/>
  <c r="B3619" i="20"/>
  <c r="A1815" i="20"/>
  <c r="A5113" i="20"/>
  <c r="B8188" i="20"/>
  <c r="A3695" i="20"/>
  <c r="B2616" i="20"/>
  <c r="A1622" i="20"/>
  <c r="A1612" i="20"/>
  <c r="A117" i="20"/>
  <c r="C138" i="18"/>
  <c r="B853" i="16"/>
  <c r="A7606" i="20"/>
  <c r="A3535" i="20"/>
  <c r="A2576" i="20"/>
  <c r="A7157" i="20"/>
  <c r="B5215" i="20"/>
  <c r="A2810" i="20"/>
  <c r="B4983" i="20"/>
  <c r="B4515" i="20"/>
  <c r="A4591" i="20"/>
  <c r="A341" i="20"/>
  <c r="A4431" i="20"/>
  <c r="A1806" i="20"/>
  <c r="A1796" i="20"/>
  <c r="A301" i="20"/>
  <c r="A3754" i="20"/>
  <c r="E83" i="13"/>
  <c r="A3594" i="20"/>
  <c r="A4821" i="20"/>
  <c r="A4975" i="20"/>
  <c r="B3658" i="20"/>
  <c r="A5121" i="20"/>
  <c r="B5770" i="20"/>
  <c r="A1493" i="20"/>
  <c r="B4194" i="20"/>
  <c r="B6431" i="20"/>
  <c r="A4856" i="20"/>
  <c r="A3626" i="20"/>
  <c r="B1944" i="20"/>
  <c r="B4365" i="20"/>
  <c r="B2575" i="20"/>
  <c r="B1626" i="16"/>
  <c r="B373" i="16"/>
  <c r="A6360" i="20"/>
  <c r="B3768" i="20"/>
  <c r="A2096" i="20"/>
  <c r="A5866" i="20"/>
  <c r="B6395" i="20"/>
  <c r="B7051" i="20"/>
  <c r="A2975" i="20"/>
  <c r="B7223" i="20"/>
  <c r="B7745" i="20"/>
  <c r="A6383" i="20"/>
  <c r="B5844" i="20"/>
  <c r="B5176" i="20"/>
  <c r="A1693" i="20"/>
  <c r="A2491" i="20"/>
  <c r="A1407" i="20"/>
  <c r="A7321" i="20"/>
  <c r="B6952" i="20"/>
  <c r="A6151" i="20"/>
  <c r="B5612" i="20"/>
  <c r="B4944" i="20"/>
  <c r="A1461" i="20"/>
  <c r="A2259" i="20"/>
  <c r="A1175" i="20"/>
  <c r="A4872" i="20"/>
  <c r="B6303" i="20"/>
  <c r="B3288" i="20"/>
  <c r="A1976" i="20"/>
  <c r="B2485" i="20"/>
  <c r="B2445" i="20"/>
  <c r="B856" i="20"/>
  <c r="B1466" i="16"/>
  <c r="B213" i="16"/>
  <c r="B5663" i="20"/>
  <c r="B3128" i="20"/>
  <c r="A1936" i="20"/>
  <c r="B5820" i="20"/>
  <c r="A7021" i="20"/>
  <c r="A3681" i="20"/>
  <c r="A6080" i="20"/>
  <c r="A3165" i="20"/>
  <c r="B4343" i="20"/>
  <c r="B775" i="16"/>
  <c r="A3473" i="20"/>
  <c r="A1166" i="20"/>
  <c r="A1156" i="20"/>
  <c r="B3861" i="20"/>
  <c r="B1650" i="16"/>
  <c r="B397" i="16"/>
  <c r="A7" i="12"/>
  <c r="A300" i="20"/>
  <c r="B4421" i="20"/>
  <c r="B149" i="19"/>
  <c r="B2595" i="20"/>
  <c r="B2132" i="20"/>
  <c r="B2109" i="20"/>
  <c r="A1938" i="20"/>
  <c r="B1949" i="20"/>
  <c r="B2677" i="20"/>
  <c r="A3995" i="20"/>
  <c r="B3708" i="20"/>
  <c r="B5175" i="20"/>
  <c r="B6052" i="20"/>
  <c r="B1362" i="20"/>
  <c r="A3862" i="20"/>
  <c r="A4729" i="20"/>
  <c r="A4825" i="20"/>
  <c r="A2063" i="20"/>
  <c r="A1526" i="20"/>
  <c r="A1022" i="20"/>
  <c r="B967" i="16"/>
  <c r="A1094" i="20"/>
  <c r="B150" i="20"/>
  <c r="B5193" i="20"/>
  <c r="B1674" i="20"/>
  <c r="A924" i="20"/>
  <c r="B5827" i="20"/>
  <c r="A5914" i="20"/>
  <c r="B5982" i="20"/>
  <c r="A1511" i="20"/>
  <c r="B6832" i="20"/>
  <c r="B5975" i="20"/>
  <c r="A7149" i="20"/>
  <c r="A4219" i="20"/>
  <c r="A3551" i="20"/>
  <c r="B2074" i="20"/>
  <c r="A3809" i="20"/>
  <c r="B4604" i="20"/>
  <c r="A6706" i="20"/>
  <c r="B5361" i="20"/>
  <c r="A6208" i="20"/>
  <c r="A3987" i="20"/>
  <c r="A3319" i="20"/>
  <c r="B1842" i="20"/>
  <c r="A3197" i="20"/>
  <c r="B3676" i="20"/>
  <c r="B4734" i="20"/>
  <c r="A3056" i="20"/>
  <c r="A297" i="16"/>
  <c r="B5599" i="20"/>
  <c r="F10" i="11"/>
  <c r="A1733" i="16"/>
  <c r="A2823" i="20"/>
  <c r="A181" i="16"/>
  <c r="B4442" i="20"/>
  <c r="A4444" i="20"/>
  <c r="B4337" i="20"/>
  <c r="B1179" i="20"/>
  <c r="B4314" i="20"/>
  <c r="H95" i="13"/>
  <c r="B4218" i="20"/>
  <c r="G88" i="13"/>
  <c r="C26" i="18"/>
  <c r="B4246" i="20"/>
  <c r="B2187" i="20"/>
  <c r="A7459" i="20"/>
  <c r="B6483" i="20"/>
  <c r="A4287" i="20"/>
  <c r="B5555" i="20"/>
  <c r="A4055" i="20"/>
  <c r="A4768" i="20"/>
  <c r="A546" i="20"/>
  <c r="G89" i="11"/>
  <c r="B2740" i="20"/>
  <c r="A5483" i="20"/>
  <c r="A7753" i="20"/>
  <c r="B2993" i="20"/>
  <c r="A108" i="11"/>
  <c r="B1671" i="20"/>
  <c r="A4554" i="20"/>
  <c r="A1364" i="20"/>
  <c r="A427" i="20"/>
  <c r="A1221" i="16"/>
  <c r="B4277" i="20"/>
  <c r="G13" i="11"/>
  <c r="H117" i="6"/>
  <c r="B4474" i="20"/>
  <c r="A4649" i="20"/>
  <c r="B286" i="20"/>
  <c r="A71" i="16"/>
  <c r="H119" i="13"/>
  <c r="B2039" i="20"/>
  <c r="B10" i="11"/>
  <c r="B4388" i="20"/>
  <c r="B3418" i="20"/>
  <c r="A3584" i="20"/>
  <c r="A7387" i="20"/>
  <c r="A6379" i="20"/>
  <c r="A3932" i="20"/>
  <c r="A6147" i="20"/>
  <c r="A3700" i="20"/>
  <c r="B3576" i="20"/>
  <c r="B2054" i="20"/>
  <c r="C61" i="18"/>
  <c r="A1163" i="20"/>
  <c r="A1145" i="20"/>
  <c r="B977" i="20"/>
  <c r="A1217" i="16"/>
  <c r="A571" i="20"/>
  <c r="B1439" i="20"/>
  <c r="B3290" i="20"/>
  <c r="A3456" i="20"/>
  <c r="C88" i="18"/>
  <c r="H48" i="13"/>
  <c r="A113" i="12"/>
  <c r="B1764" i="20"/>
  <c r="B130" i="20"/>
  <c r="B1550" i="20"/>
  <c r="B3194" i="20"/>
  <c r="A3360" i="20"/>
  <c r="C72" i="18"/>
  <c r="H36" i="13"/>
  <c r="A106" i="12"/>
  <c r="B1592" i="20"/>
  <c r="B2" i="20"/>
  <c r="B1380" i="20"/>
  <c r="A4110" i="20"/>
  <c r="B3419" i="20"/>
  <c r="A6875" i="20"/>
  <c r="A6251" i="20"/>
  <c r="A3804" i="20"/>
  <c r="A6019" i="20"/>
  <c r="A3572" i="20"/>
  <c r="B3064" i="20"/>
  <c r="B1808" i="20"/>
  <c r="A12" i="17"/>
  <c r="B4601" i="20"/>
  <c r="B4529" i="20"/>
  <c r="A6223" i="20"/>
  <c r="A4620" i="20"/>
  <c r="A1540" i="20"/>
  <c r="C89" i="18"/>
  <c r="A1679" i="16"/>
  <c r="B3546" i="20"/>
  <c r="B1509" i="20"/>
  <c r="B1629" i="16"/>
  <c r="G6" i="13"/>
  <c r="B1107" i="20"/>
  <c r="A370" i="16"/>
  <c r="B1077" i="20"/>
  <c r="A1871" i="20"/>
  <c r="B3441" i="20"/>
  <c r="A1049" i="16"/>
  <c r="B540" i="20"/>
  <c r="A340" i="19"/>
  <c r="B1085" i="20"/>
  <c r="A338" i="16"/>
  <c r="B1057" i="20"/>
  <c r="B3465" i="20"/>
  <c r="B2326" i="20"/>
  <c r="A5332" i="20"/>
  <c r="B570" i="45"/>
  <c r="A1917" i="20"/>
  <c r="A8639" i="20"/>
  <c r="A1685" i="20"/>
  <c r="B5593" i="20"/>
  <c r="A1196" i="20"/>
  <c r="B6728" i="20"/>
  <c r="B1928" i="20"/>
  <c r="B1910" i="20"/>
  <c r="B143" i="20"/>
  <c r="A577" i="16"/>
  <c r="B314" i="19"/>
  <c r="C13" i="18"/>
  <c r="B2953" i="20"/>
  <c r="B2262" i="20"/>
  <c r="A753" i="16"/>
  <c r="A132" i="18"/>
  <c r="B28" i="18"/>
  <c r="B681" i="20"/>
  <c r="H30" i="13"/>
  <c r="B651" i="20"/>
  <c r="B2643" i="20"/>
  <c r="B2214" i="20"/>
  <c r="A729" i="16"/>
  <c r="A116" i="18"/>
  <c r="C17" i="18"/>
  <c r="B659" i="20"/>
  <c r="B15" i="13"/>
  <c r="B629" i="20"/>
  <c r="B3772" i="20"/>
  <c r="B1734" i="20"/>
  <c r="A4820" i="20"/>
  <c r="I2" i="29"/>
  <c r="A1789" i="20"/>
  <c r="A8522" i="20"/>
  <c r="A1557" i="20"/>
  <c r="A5880" i="20"/>
  <c r="B3341" i="20"/>
  <c r="A5240" i="20"/>
  <c r="B1864" i="20"/>
  <c r="B1846" i="20"/>
  <c r="B111" i="20"/>
  <c r="B3484" i="20"/>
  <c r="A3472" i="20"/>
  <c r="B2251" i="20"/>
  <c r="A353" i="16"/>
  <c r="B13" i="16"/>
  <c r="A4300" i="20"/>
  <c r="B1520" i="20"/>
  <c r="B505" i="20"/>
  <c r="H6" i="13"/>
  <c r="G122" i="6"/>
  <c r="B154" i="16"/>
  <c r="A212" i="16"/>
  <c r="B3510" i="20"/>
  <c r="B1451" i="20"/>
  <c r="B279" i="16"/>
  <c r="A1607" i="16"/>
  <c r="A1461" i="16"/>
  <c r="H119" i="6"/>
  <c r="B142" i="16"/>
  <c r="A148" i="16"/>
  <c r="A4426" i="20"/>
  <c r="B951" i="20"/>
  <c r="B7496" i="20"/>
  <c r="A7039" i="20"/>
  <c r="A3043" i="20"/>
  <c r="A6098" i="20"/>
  <c r="A2811" i="20"/>
  <c r="B6250" i="20"/>
  <c r="B1071" i="20"/>
  <c r="A1463" i="16"/>
  <c r="A3304" i="20"/>
  <c r="A3264" i="20"/>
  <c r="A472" i="20"/>
  <c r="C56" i="18"/>
  <c r="B1945" i="20"/>
  <c r="F25" i="13"/>
  <c r="A4298" i="20"/>
  <c r="B919" i="20"/>
  <c r="B14" i="14"/>
  <c r="A1311" i="16"/>
  <c r="A1157" i="16"/>
  <c r="F47" i="6"/>
  <c r="A129" i="13"/>
  <c r="A111" i="10"/>
  <c r="A4202" i="20"/>
  <c r="B895" i="20"/>
  <c r="G137" i="13"/>
  <c r="A1287" i="16"/>
  <c r="A1141" i="16"/>
  <c r="H43" i="6"/>
  <c r="H122" i="13"/>
  <c r="F104" i="10"/>
  <c r="A3146" i="20"/>
  <c r="B631" i="20"/>
  <c r="B6819" i="20"/>
  <c r="A6514" i="20"/>
  <c r="A2915" i="20"/>
  <c r="A5586" i="20"/>
  <c r="A2683" i="20"/>
  <c r="B5636" i="20"/>
  <c r="B943" i="20"/>
  <c r="A1335" i="16"/>
  <c r="A3176" i="20"/>
  <c r="A3136" i="20"/>
  <c r="A408" i="20"/>
  <c r="B35" i="18"/>
  <c r="B1817" i="20"/>
  <c r="E10" i="13"/>
  <c r="A2382" i="20"/>
  <c r="B159" i="16"/>
  <c r="A411" i="20"/>
  <c r="A97" i="12"/>
  <c r="A4264" i="20"/>
  <c r="A952" i="20"/>
  <c r="B3645" i="20"/>
  <c r="B2289" i="20"/>
  <c r="A96" i="9"/>
  <c r="B838" i="20"/>
  <c r="B83" i="8"/>
  <c r="B7031" i="20"/>
  <c r="A4168" i="20"/>
  <c r="A904" i="20"/>
  <c r="B3261" i="20"/>
  <c r="B2225" i="20"/>
  <c r="B93" i="9"/>
  <c r="B774" i="20"/>
  <c r="B79" i="8"/>
  <c r="A7487" i="20"/>
  <c r="A3112" i="20"/>
  <c r="A376" i="20"/>
  <c r="A6131" i="20"/>
  <c r="B2782" i="20"/>
  <c r="B3466" i="20"/>
  <c r="B734" i="20"/>
  <c r="B728" i="20"/>
  <c r="B3667" i="20"/>
  <c r="A410" i="20"/>
  <c r="A1922" i="20"/>
  <c r="B1791" i="16"/>
  <c r="A4008" i="20"/>
  <c r="A1577" i="20"/>
  <c r="B1505" i="20"/>
  <c r="B3799" i="20"/>
  <c r="B476" i="16"/>
  <c r="A2462" i="20"/>
  <c r="A1520" i="16"/>
  <c r="A1874" i="20"/>
  <c r="A1488" i="16"/>
  <c r="B1423" i="16"/>
  <c r="B33" i="11"/>
  <c r="B250" i="19"/>
  <c r="G127" i="9"/>
  <c r="A2369" i="20"/>
  <c r="B1197" i="20"/>
  <c r="A1433" i="20"/>
  <c r="B2521" i="20"/>
  <c r="B1905" i="20"/>
  <c r="A125" i="19"/>
  <c r="A23" i="6"/>
  <c r="B767" i="20"/>
  <c r="B13" i="6"/>
  <c r="B503" i="20"/>
  <c r="A269" i="19"/>
  <c r="A115" i="19"/>
  <c r="B4189" i="20"/>
  <c r="B4253" i="20"/>
  <c r="A2127" i="20"/>
  <c r="B212" i="20"/>
  <c r="B4489" i="20"/>
  <c r="B1506" i="16"/>
  <c r="A9" i="14"/>
  <c r="B87" i="13"/>
  <c r="B1315" i="16"/>
  <c r="B385" i="16"/>
  <c r="G122" i="10"/>
  <c r="B363" i="16"/>
  <c r="B75" i="12"/>
  <c r="A118" i="18"/>
  <c r="H87" i="10"/>
  <c r="A934" i="16"/>
  <c r="H93" i="7"/>
  <c r="A758" i="16"/>
  <c r="A8" i="7"/>
  <c r="H17" i="6"/>
  <c r="A57" i="6"/>
  <c r="G129" i="8"/>
  <c r="B76" i="5"/>
  <c r="E5" i="2"/>
  <c r="B498" i="16"/>
  <c r="B6" i="17"/>
  <c r="H80" i="7"/>
  <c r="A2285" i="20"/>
  <c r="H43" i="11"/>
  <c r="A1709" i="16"/>
  <c r="B46" i="7"/>
  <c r="G114" i="9"/>
  <c r="B114" i="4"/>
  <c r="G91" i="9"/>
  <c r="G63" i="11"/>
  <c r="H103" i="4"/>
  <c r="H49" i="1"/>
  <c r="A105" i="19"/>
  <c r="H122" i="2"/>
  <c r="B146" i="9"/>
  <c r="A832" i="20"/>
  <c r="H59" i="13"/>
  <c r="B693" i="20"/>
  <c r="A1849" i="16"/>
  <c r="B25" i="18"/>
  <c r="A65" i="12"/>
  <c r="B121" i="16"/>
  <c r="D7" i="1"/>
  <c r="B41" i="16"/>
  <c r="A1250" i="16"/>
  <c r="G73" i="2"/>
  <c r="A124" i="5"/>
  <c r="A118" i="16"/>
  <c r="H93" i="6"/>
  <c r="A274" i="19"/>
  <c r="A6194" i="20"/>
  <c r="A1356" i="20"/>
  <c r="A5554" i="20"/>
  <c r="B2371" i="20"/>
  <c r="B1129" i="20"/>
  <c r="A4" i="8"/>
  <c r="A128" i="18"/>
  <c r="A1" i="8"/>
  <c r="B5123" i="20"/>
  <c r="B3038" i="20"/>
  <c r="A2414" i="20"/>
  <c r="B1645" i="16"/>
  <c r="B1794" i="16"/>
  <c r="A66" i="7"/>
  <c r="B1770" i="16"/>
  <c r="A63" i="7"/>
  <c r="G123" i="13"/>
  <c r="B2067" i="20"/>
  <c r="B1230" i="20"/>
  <c r="B4794" i="20"/>
  <c r="A5893" i="20"/>
  <c r="B4106" i="20"/>
  <c r="A5407" i="20"/>
  <c r="B3874" i="20"/>
  <c r="B3587" i="20"/>
  <c r="H53" i="12"/>
  <c r="B2947" i="20"/>
  <c r="B3351" i="20"/>
  <c r="A5672" i="20"/>
  <c r="B5058" i="20"/>
  <c r="B479" i="16"/>
  <c r="A731" i="20"/>
  <c r="B32" i="16"/>
  <c r="A2667" i="20"/>
  <c r="B382" i="20"/>
  <c r="A118" i="11"/>
  <c r="G42" i="8"/>
  <c r="A1571" i="16"/>
  <c r="A12" i="7"/>
  <c r="B6568" i="20"/>
  <c r="A1339" i="20"/>
  <c r="B1093" i="20"/>
  <c r="A659" i="20"/>
  <c r="A513" i="20"/>
  <c r="A38" i="8"/>
  <c r="A1555" i="16"/>
  <c r="G8" i="7"/>
  <c r="A5872" i="20"/>
  <c r="B3449" i="20"/>
  <c r="B741" i="20"/>
  <c r="A3458" i="20"/>
  <c r="A5117" i="20"/>
  <c r="A2143" i="20"/>
  <c r="B6654" i="20"/>
  <c r="A1911" i="20"/>
  <c r="B2871" i="20"/>
  <c r="A164" i="19"/>
  <c r="B2711" i="20"/>
  <c r="A218" i="20"/>
  <c r="B4205" i="20"/>
  <c r="B1215" i="16"/>
  <c r="A1266" i="20"/>
  <c r="B1159" i="20"/>
  <c r="A4848" i="20"/>
  <c r="B3193" i="20"/>
  <c r="B699" i="20"/>
  <c r="A363" i="20"/>
  <c r="A209" i="20"/>
  <c r="B104" i="7"/>
  <c r="A1251" i="16"/>
  <c r="B68" i="6"/>
  <c r="B6295" i="20"/>
  <c r="B3001" i="20"/>
  <c r="B667" i="20"/>
  <c r="A339" i="20"/>
  <c r="A193" i="20"/>
  <c r="B100" i="7"/>
  <c r="A1235" i="16"/>
  <c r="B65" i="6"/>
  <c r="A5529" i="20"/>
  <c r="B2216" i="20"/>
  <c r="B315" i="20"/>
  <c r="A2946" i="20"/>
  <c r="A4861" i="20"/>
  <c r="A2015" i="20"/>
  <c r="B6394" i="20"/>
  <c r="A1783" i="20"/>
  <c r="A2584" i="20"/>
  <c r="B117" i="18"/>
  <c r="A2544" i="20"/>
  <c r="A186" i="20"/>
  <c r="A764" i="20"/>
  <c r="B5452" i="20"/>
  <c r="A1776" i="20"/>
  <c r="A19" i="13"/>
  <c r="B218" i="19"/>
  <c r="G16" i="11"/>
  <c r="B4141" i="20"/>
  <c r="A561" i="16"/>
  <c r="B641" i="20"/>
  <c r="B8" i="6"/>
  <c r="A291" i="16"/>
  <c r="B133" i="4"/>
  <c r="A7424" i="20"/>
  <c r="B1160" i="20"/>
  <c r="B4573" i="20"/>
  <c r="B464" i="20"/>
  <c r="A264" i="19"/>
  <c r="F5" i="6"/>
  <c r="A275" i="16"/>
  <c r="A128" i="4"/>
  <c r="A5327" i="20"/>
  <c r="B3535" i="20"/>
  <c r="B2081" i="20"/>
  <c r="B3689" i="20"/>
  <c r="A4059" i="20"/>
  <c r="B3964" i="20"/>
  <c r="A3827" i="20"/>
  <c r="B3036" i="20"/>
  <c r="A644" i="20"/>
  <c r="A454" i="20"/>
  <c r="A828" i="20"/>
  <c r="B2642" i="20"/>
  <c r="A238" i="20"/>
  <c r="B575" i="16"/>
  <c r="A310" i="20"/>
  <c r="A2" i="18"/>
  <c r="A4815" i="20"/>
  <c r="B3407" i="20"/>
  <c r="B1953" i="20"/>
  <c r="B119" i="18"/>
  <c r="C15" i="18"/>
  <c r="A137" i="18"/>
  <c r="B5" i="14"/>
  <c r="A57" i="4"/>
  <c r="B6556" i="20"/>
  <c r="B3311" i="20"/>
  <c r="B1857" i="20"/>
  <c r="B102" i="18"/>
  <c r="A5" i="18"/>
  <c r="C115" i="18"/>
  <c r="H135" i="13"/>
  <c r="A53" i="4"/>
  <c r="A4165" i="20"/>
  <c r="A2558" i="20"/>
  <c r="A1053" i="20"/>
  <c r="B2404" i="20"/>
  <c r="A3931" i="20"/>
  <c r="B3452" i="20"/>
  <c r="A3699" i="20"/>
  <c r="A4496" i="20"/>
  <c r="A516" i="20"/>
  <c r="A198" i="20"/>
  <c r="A732" i="20"/>
  <c r="B2507" i="20"/>
  <c r="A174" i="20"/>
  <c r="A4302" i="20"/>
  <c r="A6610" i="20"/>
  <c r="A1591" i="16"/>
  <c r="B1503" i="16"/>
  <c r="A93" i="19"/>
  <c r="B1056" i="16"/>
  <c r="A2249" i="20"/>
  <c r="B815" i="16"/>
  <c r="B720" i="16"/>
  <c r="A88" i="10"/>
  <c r="H64" i="12"/>
  <c r="G75" i="9"/>
  <c r="H55" i="12"/>
  <c r="A2767" i="20"/>
  <c r="A2458" i="20"/>
  <c r="B149" i="20"/>
  <c r="B3" i="20"/>
  <c r="A84" i="10"/>
  <c r="H58" i="12"/>
  <c r="A72" i="9"/>
  <c r="B5" i="39"/>
  <c r="B3700" i="20"/>
  <c r="A1402" i="20"/>
  <c r="A2795" i="20"/>
  <c r="B5550" i="20"/>
  <c r="B2698" i="20"/>
  <c r="B5318" i="20"/>
  <c r="A4438" i="20"/>
  <c r="A3822" i="20"/>
  <c r="A1673" i="16"/>
  <c r="A3662" i="20"/>
  <c r="A986" i="20"/>
  <c r="B3737" i="20"/>
  <c r="C55" i="18"/>
  <c r="A1171" i="20"/>
  <c r="A26" i="13"/>
  <c r="A8471" i="20"/>
  <c r="B3572" i="20"/>
  <c r="A1274" i="20"/>
  <c r="B425" i="20"/>
  <c r="G127" i="11"/>
  <c r="B395" i="20"/>
  <c r="B1868" i="20"/>
  <c r="B1830" i="20"/>
  <c r="A537" i="16"/>
  <c r="A28" i="17"/>
  <c r="B1734" i="16"/>
  <c r="B403" i="20"/>
  <c r="B114" i="11"/>
  <c r="B373" i="20"/>
  <c r="A2672" i="20"/>
  <c r="B1478" i="20"/>
  <c r="A7290" i="20"/>
  <c r="A7485" i="20"/>
  <c r="B3777" i="20"/>
  <c r="A6544" i="20"/>
  <c r="B2849" i="20"/>
  <c r="B6504" i="20"/>
  <c r="B3807" i="20"/>
  <c r="B6344" i="20"/>
  <c r="B1556" i="20"/>
  <c r="B1542" i="20"/>
  <c r="A271" i="19"/>
  <c r="A321" i="16"/>
  <c r="B58" i="19"/>
  <c r="B1664" i="16"/>
  <c r="B2843" i="20"/>
  <c r="B1436" i="20"/>
  <c r="A241" i="16"/>
  <c r="B1584" i="16"/>
  <c r="B1430" i="16"/>
  <c r="B49" i="20"/>
  <c r="G94" i="10"/>
  <c r="B27" i="20"/>
  <c r="A2321" i="20"/>
  <c r="B1404" i="20"/>
  <c r="A217" i="16"/>
  <c r="B1560" i="16"/>
  <c r="B1414" i="16"/>
  <c r="B33" i="20"/>
  <c r="A91" i="10"/>
  <c r="A5106" i="20"/>
  <c r="B4552" i="20"/>
  <c r="B6137" i="20"/>
  <c r="B4320" i="20"/>
  <c r="A4267" i="20"/>
  <c r="B591" i="20"/>
  <c r="A983" i="16"/>
  <c r="B8318" i="20"/>
  <c r="A3921" i="20"/>
  <c r="A6337" i="20"/>
  <c r="A3225" i="20"/>
  <c r="A4744" i="20"/>
  <c r="A1379" i="20"/>
  <c r="B6063" i="20"/>
  <c r="B3855" i="20"/>
  <c r="B3815" i="20"/>
  <c r="B2401" i="20"/>
  <c r="B5602" i="20"/>
  <c r="B2433" i="20"/>
  <c r="B5442" i="20"/>
  <c r="B6398" i="20"/>
  <c r="B5743" i="20"/>
  <c r="A3130" i="20"/>
  <c r="B5687" i="20"/>
  <c r="A4147" i="20"/>
  <c r="B4139" i="20"/>
  <c r="A3055" i="20"/>
  <c r="B7409" i="20"/>
  <c r="A6726" i="20"/>
  <c r="A1325" i="20"/>
  <c r="A3848" i="20"/>
  <c r="A2540" i="20"/>
  <c r="A789" i="20"/>
  <c r="A38" i="11"/>
  <c r="B1525" i="16"/>
  <c r="B6029" i="20"/>
  <c r="B6322" i="20"/>
  <c r="B1302" i="20"/>
  <c r="B6953" i="20"/>
  <c r="A6964" i="20"/>
  <c r="B6270" i="20"/>
  <c r="B3150" i="20"/>
  <c r="B6605" i="20"/>
  <c r="A4747" i="20"/>
  <c r="B5615" i="20"/>
  <c r="A6045" i="20"/>
  <c r="B6610" i="20"/>
  <c r="B3403" i="20"/>
  <c r="A3098" i="20"/>
  <c r="A2559" i="20"/>
  <c r="B5677" i="20"/>
  <c r="B6512" i="20"/>
  <c r="B5271" i="20"/>
  <c r="A5485" i="20"/>
  <c r="B6180" i="20"/>
  <c r="A2613" i="20"/>
  <c r="A2866" i="20"/>
  <c r="A2327" i="20"/>
  <c r="B5129" i="20"/>
  <c r="B8420" i="20"/>
  <c r="B5704" i="20"/>
  <c r="A4664" i="20"/>
  <c r="A2134" i="20"/>
  <c r="A2124" i="20"/>
  <c r="A629" i="20"/>
  <c r="B2367" i="20"/>
  <c r="B1365" i="16"/>
  <c r="B6808" i="20"/>
  <c r="B5544" i="20"/>
  <c r="B4431" i="20"/>
  <c r="A5619" i="20"/>
  <c r="B7841" i="20"/>
  <c r="B2886" i="20"/>
  <c r="B7048" i="20"/>
  <c r="A4627" i="20"/>
  <c r="B5220" i="20"/>
  <c r="B389" i="20"/>
  <c r="B5060" i="20"/>
  <c r="A2318" i="20"/>
  <c r="A2308" i="20"/>
  <c r="A813" i="20"/>
  <c r="A2956" i="20"/>
  <c r="A43" i="17"/>
  <c r="A2796" i="20"/>
  <c r="A6461" i="20"/>
  <c r="B7275" i="20"/>
  <c r="A3031" i="20"/>
  <c r="A6145" i="20"/>
  <c r="A5543" i="20"/>
  <c r="A2133" i="20"/>
  <c r="A2845" i="20"/>
  <c r="B6291" i="20"/>
  <c r="B8265" i="20"/>
  <c r="B4214" i="20"/>
  <c r="A1435" i="20"/>
  <c r="A1644" i="20"/>
  <c r="A149" i="20"/>
  <c r="B19" i="19"/>
  <c r="B885" i="16"/>
  <c r="A8658" i="20"/>
  <c r="A3663" i="20"/>
  <c r="A2608" i="20"/>
  <c r="A5924" i="20"/>
  <c r="A6484" i="20"/>
  <c r="B4967" i="20"/>
  <c r="B4451" i="20"/>
  <c r="B8164" i="20"/>
  <c r="B6104" i="20"/>
  <c r="B4863" i="20"/>
  <c r="B6675" i="20"/>
  <c r="B5688" i="20"/>
  <c r="A2205" i="20"/>
  <c r="B4035" i="20"/>
  <c r="A1919" i="20"/>
  <c r="A7276" i="20"/>
  <c r="B5872" i="20"/>
  <c r="A6671" i="20"/>
  <c r="B6218" i="20"/>
  <c r="B5456" i="20"/>
  <c r="A1973" i="20"/>
  <c r="B3107" i="20"/>
  <c r="A1687" i="20"/>
  <c r="B6598" i="20"/>
  <c r="B7229" i="20"/>
  <c r="A3481" i="20"/>
  <c r="A2488" i="20"/>
  <c r="A1494" i="20"/>
  <c r="A1484" i="20"/>
  <c r="B372" i="19"/>
  <c r="B52" i="18"/>
  <c r="B725" i="16"/>
  <c r="A7615" i="20"/>
  <c r="A3187" i="20"/>
  <c r="A2448" i="20"/>
  <c r="A6359" i="20"/>
  <c r="B4703" i="20"/>
  <c r="B3395" i="20"/>
  <c r="A6503" i="20"/>
  <c r="A2611" i="20"/>
  <c r="A2707" i="20"/>
  <c r="B212" i="19"/>
  <c r="B4536" i="20"/>
  <c r="A1678" i="20"/>
  <c r="A1668" i="20"/>
  <c r="A173" i="20"/>
  <c r="B51" i="19"/>
  <c r="B909" i="16"/>
  <c r="B108" i="13"/>
  <c r="B1885" i="20"/>
  <c r="A1570" i="20"/>
  <c r="A1714" i="20"/>
  <c r="F39" i="11"/>
  <c r="A2135" i="20"/>
  <c r="B3767" i="20"/>
  <c r="B676" i="20"/>
  <c r="B3607" i="20"/>
  <c r="A1699" i="20"/>
  <c r="B6058" i="20"/>
  <c r="A1567" i="20"/>
  <c r="A6440" i="20"/>
  <c r="A6157" i="20"/>
  <c r="B2002" i="20"/>
  <c r="A4632" i="20"/>
  <c r="B5257" i="20"/>
  <c r="B5353" i="20"/>
  <c r="A4590" i="20"/>
  <c r="A2166" i="20"/>
  <c r="A2178" i="20"/>
  <c r="B1479" i="16"/>
  <c r="A2322" i="20"/>
  <c r="B60" i="11"/>
  <c r="A8511" i="20"/>
  <c r="A1677" i="20"/>
  <c r="B2333" i="20"/>
  <c r="B5821" i="20"/>
  <c r="B6949" i="20"/>
  <c r="A3933" i="20"/>
  <c r="A3014" i="20"/>
  <c r="B5587" i="20"/>
  <c r="A6064" i="20"/>
  <c r="A7104" i="20"/>
  <c r="B4692" i="20"/>
  <c r="A4063" i="20"/>
  <c r="B2586" i="20"/>
  <c r="A3255" i="20"/>
  <c r="B2300" i="20"/>
  <c r="B8393" i="20"/>
  <c r="A5136" i="20"/>
  <c r="B7243" i="20"/>
  <c r="A4499" i="20"/>
  <c r="A3831" i="20"/>
  <c r="B2354" i="20"/>
  <c r="A3023" i="20"/>
  <c r="B2068" i="20"/>
  <c r="A5519" i="20"/>
  <c r="A7681" i="20"/>
  <c r="A1197" i="20"/>
  <c r="B1853" i="20"/>
  <c r="A322" i="20"/>
  <c r="A1538" i="20"/>
  <c r="B1319" i="16"/>
  <c r="A1682" i="20"/>
  <c r="B3317" i="20"/>
  <c r="B7035" i="20"/>
  <c r="A3338" i="20"/>
  <c r="B8587" i="20"/>
  <c r="B1209" i="20"/>
  <c r="A77" i="18"/>
  <c r="B227" i="20"/>
  <c r="B1568" i="16"/>
  <c r="B3828" i="20"/>
  <c r="B1839" i="16"/>
  <c r="B1400" i="16"/>
  <c r="A186" i="16"/>
  <c r="B289" i="16"/>
  <c r="A100" i="10"/>
  <c r="B267" i="16"/>
  <c r="A20" i="20"/>
  <c r="B3044" i="20"/>
  <c r="B1211" i="20"/>
  <c r="B961" i="20"/>
  <c r="A154" i="16"/>
  <c r="B273" i="16"/>
  <c r="G96" i="10"/>
  <c r="B251" i="16"/>
  <c r="B139" i="19"/>
  <c r="A1443" i="20"/>
  <c r="B5306" i="20"/>
  <c r="A6405" i="20"/>
  <c r="B4234" i="20"/>
  <c r="A5663" i="20"/>
  <c r="B4002" i="20"/>
  <c r="A2858" i="20"/>
  <c r="B113" i="12"/>
  <c r="A2698" i="20"/>
  <c r="B2069" i="20"/>
  <c r="B3844" i="20"/>
  <c r="B440" i="20"/>
  <c r="B4420" i="20"/>
  <c r="B109" i="16"/>
  <c r="B3108" i="20"/>
  <c r="B107" i="19"/>
  <c r="A1187" i="20"/>
  <c r="B761" i="20"/>
  <c r="B555" i="20"/>
  <c r="A87" i="12"/>
  <c r="B4" i="14"/>
  <c r="G24" i="10"/>
  <c r="G131" i="13"/>
  <c r="B4517" i="20"/>
  <c r="B4185" i="20"/>
  <c r="B729" i="20"/>
  <c r="B533" i="20"/>
  <c r="A73" i="12"/>
  <c r="F134" i="13"/>
  <c r="G20" i="10"/>
  <c r="B6422" i="20"/>
  <c r="B3302" i="20"/>
  <c r="A10" i="27"/>
  <c r="B3070" i="20"/>
  <c r="A5725" i="20"/>
  <c r="B945" i="20"/>
  <c r="A5405" i="20"/>
  <c r="B5166" i="20"/>
  <c r="A4286" i="20"/>
  <c r="B4934" i="20"/>
  <c r="A4054" i="20"/>
  <c r="B3347" i="20"/>
  <c r="A1289" i="16"/>
  <c r="B2707" i="20"/>
  <c r="A890" i="20"/>
  <c r="B2160" i="20"/>
  <c r="A4668" i="20"/>
  <c r="A1912" i="20"/>
  <c r="B1402" i="16"/>
  <c r="A1872" i="20"/>
  <c r="A4166" i="20"/>
  <c r="B4980" i="20"/>
  <c r="B2588" i="20"/>
  <c r="B6351" i="20"/>
  <c r="A4981" i="20"/>
  <c r="B1618" i="20"/>
  <c r="A4246" i="20"/>
  <c r="A6265" i="20"/>
  <c r="A5849" i="20"/>
  <c r="A3054" i="20"/>
  <c r="A1910" i="20"/>
  <c r="A1154" i="20"/>
  <c r="B1223" i="16"/>
  <c r="A1298" i="20"/>
  <c r="B1287" i="20"/>
  <c r="A6512" i="20"/>
  <c r="B2817" i="20"/>
  <c r="B1309" i="20"/>
  <c r="B6951" i="20"/>
  <c r="A6951" i="20"/>
  <c r="A5949" i="20"/>
  <c r="A2535" i="20"/>
  <c r="B8009" i="20"/>
  <c r="A5040" i="20"/>
  <c r="B7147" i="20"/>
  <c r="A4475" i="20"/>
  <c r="A3807" i="20"/>
  <c r="B2330" i="20"/>
  <c r="A2999" i="20"/>
  <c r="B2044" i="20"/>
  <c r="B7216" i="20"/>
  <c r="B6071" i="20"/>
  <c r="A7245" i="20"/>
  <c r="A4243" i="20"/>
  <c r="A3575" i="20"/>
  <c r="B2098" i="20"/>
  <c r="A3905" i="20"/>
  <c r="A2711" i="20"/>
  <c r="B5758" i="20"/>
  <c r="B6551" i="20"/>
  <c r="B2218" i="20"/>
  <c r="A1060" i="20"/>
  <c r="A66" i="20"/>
  <c r="B1445" i="20"/>
  <c r="B1063" i="16"/>
  <c r="B1733" i="20"/>
  <c r="B534" i="20"/>
  <c r="B5911" i="20"/>
  <c r="B2058" i="20"/>
  <c r="A1020" i="20"/>
  <c r="A3970" i="20"/>
  <c r="A5373" i="20"/>
  <c r="A2271" i="20"/>
  <c r="A4909" i="20"/>
  <c r="A2039" i="20"/>
  <c r="B3383" i="20"/>
  <c r="B292" i="20"/>
  <c r="B3223" i="20"/>
  <c r="A250" i="20"/>
  <c r="A1250" i="20"/>
  <c r="A2353" i="20"/>
  <c r="B227" i="19"/>
  <c r="B921" i="20"/>
  <c r="O78" i="33"/>
  <c r="A1217" i="20"/>
  <c r="A4983" i="20"/>
  <c r="B8079" i="20"/>
  <c r="A6311" i="20"/>
  <c r="B5104" i="20"/>
  <c r="A3289" i="20"/>
  <c r="A3350" i="20"/>
  <c r="A5384" i="20"/>
  <c r="A5768" i="20"/>
  <c r="B2060" i="20"/>
  <c r="B2613" i="20"/>
  <c r="A254" i="20"/>
  <c r="B583" i="16"/>
  <c r="A326" i="20"/>
  <c r="B7" i="18"/>
  <c r="A5689" i="20"/>
  <c r="B4566" i="20"/>
  <c r="A540" i="20"/>
  <c r="A5858" i="20"/>
  <c r="B6337" i="20"/>
  <c r="A4451" i="20"/>
  <c r="B2020" i="20"/>
  <c r="B7165" i="20"/>
  <c r="B5209" i="20"/>
  <c r="A5600" i="20"/>
  <c r="A3835" i="20"/>
  <c r="A3417" i="20"/>
  <c r="B1690" i="20"/>
  <c r="A3045" i="20"/>
  <c r="B3068" i="20"/>
  <c r="A7263" i="20"/>
  <c r="B4977" i="20"/>
  <c r="B6631" i="20"/>
  <c r="A3603" i="20"/>
  <c r="A3099" i="20"/>
  <c r="B1458" i="20"/>
  <c r="A2813" i="20"/>
  <c r="A4112" i="20"/>
  <c r="B5229" i="20"/>
  <c r="A5209" i="20"/>
  <c r="B4086" i="20"/>
  <c r="A420" i="20"/>
  <c r="B2027" i="20"/>
  <c r="B317" i="19"/>
  <c r="B423" i="16"/>
  <c r="A6" i="20"/>
  <c r="A1751" i="16"/>
  <c r="A5049" i="20"/>
  <c r="B3926" i="20"/>
  <c r="A380" i="20"/>
  <c r="A1383" i="20"/>
  <c r="A4187" i="20"/>
  <c r="B4476" i="20"/>
  <c r="A3955" i="20"/>
  <c r="B3548" i="20"/>
  <c r="A772" i="20"/>
  <c r="A710" i="20"/>
  <c r="A860" i="20"/>
  <c r="B3077" i="20"/>
  <c r="A302" i="20"/>
  <c r="B607" i="16"/>
  <c r="A374" i="20"/>
  <c r="B23" i="18"/>
  <c r="A5839" i="20"/>
  <c r="B3663" i="20"/>
  <c r="B2209" i="20"/>
  <c r="B23" i="19"/>
  <c r="B58" i="18"/>
  <c r="A6213" i="20"/>
  <c r="A386" i="20"/>
  <c r="A14" i="11"/>
  <c r="B7405" i="20"/>
  <c r="A6738" i="20"/>
  <c r="A3327" i="20"/>
  <c r="B6877" i="20"/>
  <c r="A5279" i="20"/>
  <c r="A3003" i="20"/>
  <c r="B2974" i="20"/>
  <c r="A1719" i="20"/>
  <c r="A5789" i="20"/>
  <c r="A4957" i="20"/>
  <c r="A2520" i="20"/>
  <c r="B1643" i="20"/>
  <c r="B4077" i="20"/>
  <c r="B990" i="20"/>
  <c r="A197" i="19"/>
  <c r="A247" i="16"/>
  <c r="A5536" i="20"/>
  <c r="A3029" i="20"/>
  <c r="A8889" i="20"/>
  <c r="A8209" i="20"/>
  <c r="B7639" i="20"/>
  <c r="B5280" i="20"/>
  <c r="A8280" i="20"/>
  <c r="A5816" i="20"/>
  <c r="A5577" i="20"/>
  <c r="B6396" i="20"/>
  <c r="B6404" i="20"/>
  <c r="B3656" i="20"/>
  <c r="B4454" i="20"/>
  <c r="B3370" i="20"/>
  <c r="A8187" i="20"/>
  <c r="A4888" i="20"/>
  <c r="A5345" i="20"/>
  <c r="B6038" i="20"/>
  <c r="B6044" i="20"/>
  <c r="B3424" i="20"/>
  <c r="B4222" i="20"/>
  <c r="B3138" i="20"/>
  <c r="B6834" i="20"/>
  <c r="B4738" i="20"/>
  <c r="B1524" i="20"/>
  <c r="B3221" i="20"/>
  <c r="B6042" i="20"/>
  <c r="A4633" i="20"/>
  <c r="B111" i="4"/>
  <c r="B3692" i="20"/>
  <c r="A107" i="4"/>
  <c r="A4608" i="20"/>
  <c r="B6665" i="20"/>
  <c r="B988" i="20"/>
  <c r="A1345" i="16"/>
  <c r="A4480" i="20"/>
  <c r="B3492" i="20"/>
  <c r="A4384" i="20"/>
  <c r="B2980" i="20"/>
  <c r="B11" i="20"/>
  <c r="B2705" i="20"/>
  <c r="B4287" i="20"/>
  <c r="A6778" i="20"/>
  <c r="A6973" i="20"/>
  <c r="B3265" i="20"/>
  <c r="A6032" i="20"/>
  <c r="B2578" i="20"/>
  <c r="B5992" i="20"/>
  <c r="A2434" i="20"/>
  <c r="B577" i="45"/>
  <c r="B1512" i="20"/>
  <c r="A3036" i="20"/>
  <c r="B3463" i="20"/>
  <c r="B677" i="20"/>
  <c r="A1394" i="20"/>
  <c r="H40" i="13"/>
  <c r="A2368" i="20"/>
  <c r="B785" i="20"/>
  <c r="A1375" i="16"/>
  <c r="B92" i="16"/>
  <c r="A111" i="20"/>
  <c r="A81" i="7"/>
  <c r="A89" i="20"/>
  <c r="A2344" i="20"/>
  <c r="A1340" i="20"/>
  <c r="B1834" i="16"/>
  <c r="B200" i="16"/>
  <c r="B82" i="16"/>
  <c r="A95" i="20"/>
  <c r="A77" i="7"/>
  <c r="A73" i="20"/>
  <c r="A2080" i="20"/>
  <c r="B3469" i="20"/>
  <c r="A5107" i="20"/>
  <c r="B7764" i="20"/>
  <c r="B2758" i="20"/>
  <c r="A7176" i="20"/>
  <c r="A4498" i="20"/>
  <c r="B4708" i="20"/>
  <c r="B219" i="20"/>
  <c r="A4587" i="20"/>
  <c r="A2286" i="20"/>
  <c r="A2276" i="20"/>
  <c r="A781" i="20"/>
  <c r="A34" i="11"/>
  <c r="B1517" i="16"/>
  <c r="B512" i="16"/>
  <c r="A2048" i="20"/>
  <c r="B2957" i="20"/>
  <c r="B1538" i="16"/>
  <c r="A7" i="15"/>
  <c r="E96" i="13"/>
  <c r="B174" i="19"/>
  <c r="E6" i="7"/>
  <c r="B152" i="19"/>
  <c r="A2024" i="20"/>
  <c r="A2645" i="20"/>
  <c r="B1514" i="16"/>
  <c r="A15" i="14"/>
  <c r="H92" i="13"/>
  <c r="B158" i="19"/>
  <c r="A3" i="7"/>
  <c r="B136" i="19"/>
  <c r="A1760" i="20"/>
  <c r="A4024" i="20"/>
  <c r="B6592" i="20"/>
  <c r="A7710" i="20"/>
  <c r="A4602" i="20"/>
  <c r="A6664" i="20"/>
  <c r="A4370" i="20"/>
  <c r="A4235" i="20"/>
  <c r="B87" i="20"/>
  <c r="A4075" i="20"/>
  <c r="A2254" i="20"/>
  <c r="A2244" i="20"/>
  <c r="A2331" i="20"/>
  <c r="B216" i="20"/>
  <c r="A45" i="20"/>
  <c r="B245" i="19"/>
  <c r="B1951" i="20"/>
  <c r="A1068" i="20"/>
  <c r="A893" i="20"/>
  <c r="B78" i="13"/>
  <c r="H65" i="11"/>
  <c r="B1825" i="16"/>
  <c r="C2" i="18"/>
  <c r="B1803" i="16"/>
  <c r="B3277" i="20"/>
  <c r="A2498" i="20"/>
  <c r="A2651" i="20"/>
  <c r="G114" i="11"/>
  <c r="H60" i="11"/>
  <c r="B1809" i="16"/>
  <c r="B19" i="17"/>
  <c r="B1787" i="16"/>
  <c r="B1757" i="20"/>
  <c r="A1442" i="20"/>
  <c r="A622" i="45"/>
  <c r="A6607" i="20"/>
  <c r="B2883" i="20"/>
  <c r="A6375" i="20"/>
  <c r="A2483" i="20"/>
  <c r="B4184" i="20"/>
  <c r="B84" i="19"/>
  <c r="B4024" i="20"/>
  <c r="A1646" i="20"/>
  <c r="A1636" i="20"/>
  <c r="A141" i="20"/>
  <c r="B8" i="19"/>
  <c r="B877" i="16"/>
  <c r="G93" i="13"/>
  <c r="B1629" i="20"/>
  <c r="A1314" i="20"/>
  <c r="A1458" i="20"/>
  <c r="G20" i="11"/>
  <c r="B2359" i="20"/>
  <c r="B1505" i="16"/>
  <c r="A1264" i="16"/>
  <c r="B1483" i="16"/>
  <c r="B1533" i="20"/>
  <c r="A1218" i="20"/>
  <c r="A1362" i="20"/>
  <c r="A4658" i="20"/>
  <c r="B1847" i="20"/>
  <c r="B1489" i="16"/>
  <c r="A1232" i="16"/>
  <c r="B1467" i="16"/>
  <c r="A972" i="20"/>
  <c r="A1038" i="20"/>
  <c r="A7520" i="20"/>
  <c r="A6479" i="20"/>
  <c r="A2587" i="20"/>
  <c r="A6247" i="20"/>
  <c r="A2355" i="20"/>
  <c r="B3672" i="20"/>
  <c r="B1551" i="20"/>
  <c r="B3512" i="20"/>
  <c r="A1614" i="20"/>
  <c r="A1604" i="20"/>
  <c r="A109" i="20"/>
  <c r="A3675" i="20"/>
  <c r="A260" i="20"/>
  <c r="A46" i="20"/>
  <c r="B2884" i="20"/>
  <c r="A783" i="16"/>
  <c r="A3184" i="20"/>
  <c r="B1742" i="20"/>
  <c r="G78" i="13"/>
  <c r="B1494" i="16"/>
  <c r="C143" i="18"/>
  <c r="G148" i="9"/>
  <c r="B4381" i="20"/>
  <c r="B2302" i="20"/>
  <c r="B3527" i="20"/>
  <c r="H45" i="13"/>
  <c r="B1224" i="16"/>
  <c r="B1106" i="16"/>
  <c r="B4477" i="20"/>
  <c r="B143" i="9"/>
  <c r="B4125" i="20"/>
  <c r="B1792" i="20"/>
  <c r="A2612" i="20"/>
  <c r="A8543" i="20"/>
  <c r="B4921" i="20"/>
  <c r="B1402" i="20"/>
  <c r="B4689" i="20"/>
  <c r="B1170" i="20"/>
  <c r="B8609" i="20"/>
  <c r="B1755" i="20"/>
  <c r="B8020" i="20"/>
  <c r="B4255" i="20"/>
  <c r="B4199" i="20"/>
  <c r="B3165" i="20"/>
  <c r="F125" i="13"/>
  <c r="B112" i="20"/>
  <c r="B1280" i="16"/>
  <c r="B1750" i="20"/>
  <c r="A2580" i="20"/>
  <c r="A44" i="12"/>
  <c r="B1016" i="16"/>
  <c r="B902" i="16"/>
  <c r="B1897" i="20"/>
  <c r="B74" i="9"/>
  <c r="B1809" i="20"/>
  <c r="B1718" i="20"/>
  <c r="A2556" i="20"/>
  <c r="E33" i="12"/>
  <c r="B1008" i="16"/>
  <c r="B892" i="16"/>
  <c r="B1833" i="20"/>
  <c r="B70" i="9"/>
  <c r="B1745" i="20"/>
  <c r="B1366" i="20"/>
  <c r="A2292" i="20"/>
  <c r="B7555" i="20"/>
  <c r="B4793" i="20"/>
  <c r="B1274" i="20"/>
  <c r="A6593" i="20"/>
  <c r="B4247" i="20"/>
  <c r="A6760" i="20"/>
  <c r="B2788" i="20"/>
  <c r="B7187" i="20"/>
  <c r="B4111" i="20"/>
  <c r="B4071" i="20"/>
  <c r="B2671" i="20"/>
  <c r="G108" i="13"/>
  <c r="A368" i="19"/>
  <c r="B1248" i="16"/>
  <c r="A2372" i="20"/>
  <c r="A1057" i="16"/>
  <c r="B589" i="16"/>
  <c r="A3915" i="20"/>
  <c r="A1246" i="20"/>
  <c r="B124" i="19"/>
  <c r="B477" i="16"/>
  <c r="B323" i="16"/>
  <c r="A108" i="10"/>
  <c r="B48" i="18"/>
  <c r="E122" i="8"/>
  <c r="B5128" i="20"/>
  <c r="A1222" i="20"/>
  <c r="B100" i="19"/>
  <c r="B453" i="16"/>
  <c r="B307" i="16"/>
  <c r="H104" i="10"/>
  <c r="C37" i="18"/>
  <c r="H115" i="8"/>
  <c r="A3155" i="20"/>
  <c r="B2389" i="20"/>
  <c r="A8530" i="20"/>
  <c r="A8886" i="20"/>
  <c r="B5732" i="20"/>
  <c r="B6166" i="20"/>
  <c r="A2773" i="20"/>
  <c r="A700" i="20"/>
  <c r="B2739" i="20"/>
  <c r="A1890" i="20"/>
  <c r="B2714" i="20"/>
  <c r="B1732" i="20"/>
  <c r="A824" i="20"/>
  <c r="A7161" i="20"/>
  <c r="A111" i="12"/>
  <c r="A1940" i="20"/>
  <c r="A687" i="20"/>
  <c r="A2661" i="20"/>
  <c r="B1611" i="16"/>
  <c r="H54" i="11"/>
  <c r="B1595" i="16"/>
  <c r="A913" i="16"/>
  <c r="A380" i="19"/>
  <c r="B2220" i="20"/>
  <c r="A1522" i="16"/>
  <c r="A1625" i="16"/>
  <c r="A1490" i="16"/>
  <c r="B2837" i="20"/>
  <c r="B381" i="16"/>
  <c r="B227" i="16"/>
  <c r="B1482" i="20"/>
  <c r="H85" i="13"/>
  <c r="G75" i="13"/>
  <c r="A81" i="13"/>
  <c r="A93" i="20"/>
  <c r="B829" i="16"/>
  <c r="B675" i="16"/>
  <c r="B368" i="20"/>
  <c r="A9" i="9"/>
  <c r="B3953" i="20"/>
  <c r="B1275" i="20"/>
  <c r="B2454" i="20"/>
  <c r="B2009" i="20"/>
  <c r="B1393" i="20"/>
  <c r="B44" i="9"/>
  <c r="G50" i="10"/>
  <c r="H94" i="13"/>
  <c r="B530" i="20"/>
  <c r="A1352" i="20"/>
  <c r="B20" i="12"/>
  <c r="H24" i="13"/>
  <c r="A1798" i="16"/>
  <c r="A1486" i="16"/>
  <c r="A55" i="9"/>
  <c r="A1406" i="16"/>
  <c r="F1" i="5"/>
  <c r="F70" i="1"/>
  <c r="B1856" i="20"/>
  <c r="A411" i="16"/>
  <c r="E10" i="7"/>
  <c r="H121" i="4"/>
  <c r="B666" i="20"/>
  <c r="B1370" i="16"/>
  <c r="A114" i="6"/>
  <c r="A594" i="20"/>
  <c r="E156" i="8"/>
  <c r="B1270" i="16"/>
  <c r="G40" i="6"/>
  <c r="B4" i="6"/>
  <c r="A22" i="2"/>
  <c r="A131" i="5"/>
  <c r="A111" i="2"/>
  <c r="G122" i="2"/>
  <c r="C84" i="18"/>
  <c r="H17" i="10"/>
  <c r="A134" i="1"/>
  <c r="G98" i="6"/>
  <c r="B1537" i="16"/>
  <c r="A1328" i="16"/>
  <c r="B1515" i="16"/>
  <c r="H99" i="12"/>
  <c r="A2026" i="20"/>
  <c r="A1032" i="16"/>
  <c r="B61" i="10"/>
  <c r="A134" i="2"/>
  <c r="H41" i="10"/>
  <c r="B43" i="4"/>
  <c r="B32" i="18"/>
  <c r="G21" i="9"/>
  <c r="A1086" i="16"/>
  <c r="A134" i="4"/>
  <c r="F18" i="1"/>
  <c r="A2835" i="20"/>
  <c r="B244" i="19"/>
  <c r="A2675" i="20"/>
  <c r="A1906" i="20"/>
  <c r="B34" i="17"/>
  <c r="A345" i="20"/>
  <c r="B368" i="16"/>
  <c r="A329" i="20"/>
  <c r="B6390" i="20"/>
  <c r="A5469" i="20"/>
  <c r="A2404" i="20"/>
  <c r="B640" i="16"/>
  <c r="B168" i="16"/>
  <c r="A25" i="20"/>
  <c r="B152" i="16"/>
  <c r="A662" i="16"/>
  <c r="A4171" i="20"/>
  <c r="A2046" i="20"/>
  <c r="A8821" i="20"/>
  <c r="B2715" i="20"/>
  <c r="A5909" i="20"/>
  <c r="A1873" i="20"/>
  <c r="A5415" i="20"/>
  <c r="A1249" i="20"/>
  <c r="B2291" i="20"/>
  <c r="B451" i="20"/>
  <c r="A284" i="20"/>
  <c r="B5185" i="20"/>
  <c r="A3602" i="20"/>
  <c r="A2062" i="20"/>
  <c r="A1377" i="16"/>
  <c r="B1037" i="16"/>
  <c r="B4894" i="20"/>
  <c r="B2764" i="20"/>
  <c r="B2975" i="20"/>
  <c r="B1731" i="16"/>
  <c r="G53" i="9"/>
  <c r="B1178" i="16"/>
  <c r="G118" i="5"/>
  <c r="A2636" i="20"/>
  <c r="A818" i="20"/>
  <c r="B1815" i="16"/>
  <c r="G82" i="12"/>
  <c r="H13" i="12"/>
  <c r="G49" i="9"/>
  <c r="B1166" i="16"/>
  <c r="A113" i="5"/>
  <c r="A2125" i="20"/>
  <c r="A554" i="20"/>
  <c r="A7428" i="20"/>
  <c r="A8774" i="20"/>
  <c r="B5934" i="20"/>
  <c r="B8036" i="20"/>
  <c r="B5680" i="20"/>
  <c r="A5497" i="20"/>
  <c r="A1718" i="20"/>
  <c r="B949" i="16"/>
  <c r="B4404" i="20"/>
  <c r="B4364" i="20"/>
  <c r="A2106" i="20"/>
  <c r="B34" i="11"/>
  <c r="B61" i="20"/>
  <c r="A495" i="16"/>
  <c r="A1997" i="20"/>
  <c r="A522" i="20"/>
  <c r="B1519" i="16"/>
  <c r="B78" i="11"/>
  <c r="H6" i="11"/>
  <c r="H137" i="8"/>
  <c r="B964" i="16"/>
  <c r="H17" i="5"/>
  <c r="A1901" i="20"/>
  <c r="A498" i="20"/>
  <c r="B1495" i="16"/>
  <c r="H67" i="11"/>
  <c r="D1" i="11"/>
  <c r="A133" i="8"/>
  <c r="B954" i="16"/>
  <c r="E13" i="5"/>
  <c r="B3585" i="20"/>
  <c r="A234" i="20"/>
  <c r="A7473" i="20"/>
  <c r="B7729" i="20"/>
  <c r="B5784" i="20"/>
  <c r="B6936" i="20"/>
  <c r="B5552" i="20"/>
  <c r="A4985" i="20"/>
  <c r="A1590" i="20"/>
  <c r="B821" i="16"/>
  <c r="B4276" i="20"/>
  <c r="B4236" i="20"/>
  <c r="A3021" i="20"/>
  <c r="B4265" i="20"/>
  <c r="B377" i="19"/>
  <c r="A481" i="16"/>
  <c r="B141" i="16"/>
  <c r="A4271" i="20"/>
  <c r="B1878" i="20"/>
  <c r="B845" i="20"/>
  <c r="B195" i="16"/>
  <c r="H51" i="7"/>
  <c r="B324" i="16"/>
  <c r="A1236" i="16"/>
  <c r="B4534" i="20"/>
  <c r="B2475" i="20"/>
  <c r="B535" i="16"/>
  <c r="B10" i="17"/>
  <c r="A1717" i="16"/>
  <c r="B48" i="7"/>
  <c r="B314" i="16"/>
  <c r="A1172" i="16"/>
  <c r="B3478" i="20"/>
  <c r="B1419" i="20"/>
  <c r="A7362" i="20"/>
  <c r="A6994" i="20"/>
  <c r="A3391" i="20"/>
  <c r="B7133" i="20"/>
  <c r="A3385" i="20"/>
  <c r="A4133" i="20"/>
  <c r="B3717" i="20"/>
  <c r="A50" i="18"/>
  <c r="A3816" i="20"/>
  <c r="A3776" i="20"/>
  <c r="A728" i="20"/>
  <c r="A144" i="18"/>
  <c r="B2457" i="20"/>
  <c r="A85" i="13"/>
  <c r="B3350" i="20"/>
  <c r="B1291" i="20"/>
  <c r="B239" i="16"/>
  <c r="A1567" i="16"/>
  <c r="A1413" i="16"/>
  <c r="A106" i="6"/>
  <c r="B110" i="16"/>
  <c r="A136" i="13"/>
  <c r="B3254" i="20"/>
  <c r="B1195" i="20"/>
  <c r="B215" i="16"/>
  <c r="A1543" i="16"/>
  <c r="A1397" i="16"/>
  <c r="C103" i="6"/>
  <c r="B100" i="16"/>
  <c r="B94" i="13"/>
  <c r="A4170" i="20"/>
  <c r="B887" i="20"/>
  <c r="A7407" i="20"/>
  <c r="B7549" i="20"/>
  <c r="A3801" i="20"/>
  <c r="B2411" i="20"/>
  <c r="A664" i="20"/>
  <c r="B574" i="20"/>
  <c r="B2495" i="20"/>
  <c r="D116" i="10"/>
  <c r="B1093" i="16"/>
  <c r="G109" i="10"/>
  <c r="A90" i="32"/>
  <c r="A7372" i="20"/>
  <c r="B871" i="20"/>
  <c r="A1263" i="16"/>
  <c r="A237" i="19"/>
  <c r="B643" i="16"/>
  <c r="A76" i="12"/>
  <c r="B140" i="20"/>
  <c r="E113" i="9"/>
  <c r="A4297" i="20"/>
  <c r="A1542" i="20"/>
  <c r="A37" i="20"/>
  <c r="B773" i="16"/>
  <c r="B627" i="16"/>
  <c r="G61" i="12"/>
  <c r="B76" i="20"/>
  <c r="F104" i="9"/>
  <c r="B5512" i="20"/>
  <c r="A1278" i="20"/>
  <c r="B6934" i="20"/>
  <c r="B8395" i="20"/>
  <c r="B5426" i="20"/>
  <c r="B8510" i="20"/>
  <c r="B5194" i="20"/>
  <c r="A7417" i="20"/>
  <c r="A2089" i="20"/>
  <c r="A899" i="20"/>
  <c r="B283" i="19"/>
  <c r="B839" i="20"/>
  <c r="A3096" i="20"/>
  <c r="H109" i="13"/>
  <c r="B995" i="20"/>
  <c r="A1231" i="16"/>
  <c r="B5245" i="20"/>
  <c r="B108" i="19"/>
  <c r="B483" i="20"/>
  <c r="B1632" i="16"/>
  <c r="A1216" i="20"/>
  <c r="B4527" i="20"/>
  <c r="B1304" i="20"/>
  <c r="H29" i="12"/>
  <c r="G105" i="11"/>
  <c r="C35" i="18"/>
  <c r="A48" i="19"/>
  <c r="A21" i="18"/>
  <c r="A1192" i="20"/>
  <c r="B4063" i="20"/>
  <c r="B1176" i="20"/>
  <c r="B26" i="12"/>
  <c r="B101" i="11"/>
  <c r="A25" i="18"/>
  <c r="B5" i="19"/>
  <c r="B10" i="18"/>
  <c r="B2269" i="20"/>
  <c r="A1954" i="20"/>
  <c r="D7" i="43"/>
  <c r="A4589" i="20"/>
  <c r="B6596" i="20"/>
  <c r="B3156" i="20"/>
  <c r="B5730" i="20"/>
  <c r="A600" i="20"/>
  <c r="B1747" i="20"/>
  <c r="A4965" i="20"/>
  <c r="A1315" i="20"/>
  <c r="B4744" i="20"/>
  <c r="A1715" i="20"/>
  <c r="A2744" i="20"/>
  <c r="A2474" i="20"/>
  <c r="B83" i="20"/>
  <c r="B1216" i="16"/>
  <c r="B582" i="20"/>
  <c r="B497" i="20"/>
  <c r="A1107" i="16"/>
  <c r="B159" i="20"/>
  <c r="A304" i="19"/>
  <c r="B1023" i="16"/>
  <c r="E36" i="13"/>
  <c r="A1640" i="20"/>
  <c r="G109" i="12"/>
  <c r="A1376" i="20"/>
  <c r="B3487" i="20"/>
  <c r="A1" i="12"/>
  <c r="B332" i="19"/>
  <c r="B200" i="20"/>
  <c r="B1548" i="20"/>
  <c r="B806" i="16"/>
  <c r="B1196" i="20"/>
  <c r="A2073" i="20"/>
  <c r="F1" i="13"/>
  <c r="G85" i="12"/>
  <c r="A109" i="19"/>
  <c r="A15" i="17"/>
  <c r="A4" i="12"/>
  <c r="B1851" i="16"/>
  <c r="A977" i="16"/>
  <c r="B252" i="20"/>
  <c r="B56" i="19"/>
  <c r="B979" i="20"/>
  <c r="A463" i="20"/>
  <c r="B26" i="8"/>
  <c r="A441" i="20"/>
  <c r="A691" i="20"/>
  <c r="B16" i="7"/>
  <c r="H132" i="7"/>
  <c r="B72" i="12"/>
  <c r="B87" i="4"/>
  <c r="F47" i="12"/>
  <c r="B66" i="6"/>
  <c r="B1075" i="20"/>
  <c r="B65" i="5"/>
  <c r="B117" i="8"/>
  <c r="G81" i="10"/>
  <c r="F79" i="1"/>
  <c r="B242" i="20"/>
  <c r="B1345" i="16"/>
  <c r="A944" i="16"/>
  <c r="B1323" i="16"/>
  <c r="B668" i="20"/>
  <c r="B1099" i="20"/>
  <c r="A648" i="16"/>
  <c r="D36" i="9"/>
  <c r="H109" i="1"/>
  <c r="H16" i="9"/>
  <c r="B39" i="17"/>
  <c r="B692" i="16"/>
  <c r="A18" i="10"/>
  <c r="A318" i="16"/>
  <c r="H75" i="4"/>
  <c r="G119" i="8"/>
  <c r="G105" i="9"/>
  <c r="B132" i="16"/>
  <c r="A84" i="16"/>
  <c r="B3716" i="20"/>
  <c r="B2223" i="20"/>
  <c r="B34" i="16"/>
  <c r="G40" i="12"/>
  <c r="B129" i="2"/>
  <c r="B73" i="16"/>
  <c r="B32" i="20"/>
  <c r="F131" i="1"/>
  <c r="A25" i="4"/>
  <c r="H75" i="11"/>
  <c r="G124" i="5"/>
  <c r="B649" i="20"/>
  <c r="B108" i="2"/>
  <c r="A804" i="20"/>
  <c r="A774" i="20"/>
  <c r="B5267" i="20"/>
  <c r="B800" i="16"/>
  <c r="F28" i="10"/>
  <c r="B3732" i="20"/>
  <c r="H24" i="10"/>
  <c r="A4665" i="20"/>
  <c r="A4158" i="20"/>
  <c r="A1161" i="16"/>
  <c r="A3" i="17"/>
  <c r="A4520" i="20"/>
  <c r="A111" i="9"/>
  <c r="A4424" i="20"/>
  <c r="H107" i="9"/>
  <c r="A4312" i="20"/>
  <c r="B3162" i="20"/>
  <c r="A3328" i="20"/>
  <c r="A6830" i="20"/>
  <c r="B4731" i="20"/>
  <c r="A4316" i="20"/>
  <c r="A6531" i="20"/>
  <c r="A4084" i="20"/>
  <c r="A3123" i="20"/>
  <c r="B3313" i="20"/>
  <c r="B476" i="20"/>
  <c r="A1355" i="20"/>
  <c r="A3669" i="20"/>
  <c r="B2270" i="20"/>
  <c r="A2274" i="20"/>
  <c r="B1522" i="16"/>
  <c r="A1167" i="16"/>
  <c r="A1967" i="20"/>
  <c r="B3428" i="20"/>
  <c r="B605" i="16"/>
  <c r="B20" i="20"/>
  <c r="B113" i="20"/>
  <c r="A109" i="10"/>
  <c r="B91" i="20"/>
  <c r="A2800" i="20"/>
  <c r="B1488" i="20"/>
  <c r="A281" i="16"/>
  <c r="B1624" i="16"/>
  <c r="B1478" i="16"/>
  <c r="B97" i="20"/>
  <c r="A106" i="10"/>
  <c r="B75" i="20"/>
  <c r="B3345" i="20"/>
  <c r="B4623" i="20"/>
  <c r="A7335" i="20"/>
  <c r="A5424" i="20"/>
  <c r="B2426" i="20"/>
  <c r="B6455" i="20"/>
  <c r="B2194" i="20"/>
  <c r="A6128" i="20"/>
  <c r="B2213" i="20"/>
  <c r="A5488" i="20"/>
  <c r="B1384" i="20"/>
  <c r="B1372" i="20"/>
  <c r="A143" i="19"/>
  <c r="A193" i="16"/>
  <c r="A1144" i="20"/>
  <c r="B1536" i="16"/>
  <c r="B3025" i="20"/>
  <c r="B4455" i="20"/>
  <c r="B15" i="14"/>
  <c r="B1360" i="16"/>
  <c r="B1244" i="16"/>
  <c r="A177" i="19"/>
  <c r="F35" i="10"/>
  <c r="A155" i="19"/>
  <c r="B2769" i="20"/>
  <c r="B4327" i="20"/>
  <c r="B138" i="13"/>
  <c r="B1352" i="16"/>
  <c r="B1234" i="16"/>
  <c r="A161" i="19"/>
  <c r="B31" i="10"/>
  <c r="A139" i="19"/>
  <c r="B2158" i="20"/>
  <c r="B3239" i="20"/>
  <c r="A6823" i="20"/>
  <c r="A4912" i="20"/>
  <c r="B2298" i="20"/>
  <c r="B5943" i="20"/>
  <c r="B2066" i="20"/>
  <c r="B6039" i="20"/>
  <c r="B1189" i="20"/>
  <c r="B5451" i="20"/>
  <c r="B1342" i="20"/>
  <c r="B1328" i="20"/>
  <c r="B5016" i="20"/>
  <c r="B1845" i="20"/>
  <c r="A1210" i="20"/>
  <c r="B1560" i="20"/>
  <c r="A271" i="16"/>
  <c r="B1494" i="20"/>
  <c r="A696" i="20"/>
  <c r="B566" i="20"/>
  <c r="B774" i="16"/>
  <c r="A879" i="20"/>
  <c r="A124" i="8"/>
  <c r="A857" i="20"/>
  <c r="B4559" i="20"/>
  <c r="A2108" i="20"/>
  <c r="B2111" i="20"/>
  <c r="B712" i="16"/>
  <c r="B594" i="16"/>
  <c r="A863" i="20"/>
  <c r="A121" i="8"/>
  <c r="A841" i="20"/>
  <c r="B3415" i="20"/>
  <c r="A1844" i="20"/>
  <c r="A6092" i="20"/>
  <c r="A5417" i="20"/>
  <c r="B4294" i="20"/>
  <c r="A5185" i="20"/>
  <c r="B4062" i="20"/>
  <c r="A5455" i="20"/>
  <c r="A872" i="20"/>
  <c r="A5135" i="20"/>
  <c r="B2703" i="20"/>
  <c r="B2676" i="20"/>
  <c r="B1249" i="20"/>
  <c r="H81" i="12"/>
  <c r="A1" i="18"/>
  <c r="B896" i="16"/>
  <c r="B3287" i="20"/>
  <c r="A1812" i="20"/>
  <c r="B196" i="20"/>
  <c r="B504" i="16"/>
  <c r="B390" i="16"/>
  <c r="A559" i="20"/>
  <c r="A49" i="8"/>
  <c r="A537" i="20"/>
  <c r="B3191" i="20"/>
  <c r="A1788" i="20"/>
  <c r="B100" i="20"/>
  <c r="B496" i="16"/>
  <c r="B380" i="16"/>
  <c r="A543" i="20"/>
  <c r="G45" i="8"/>
  <c r="A521" i="20"/>
  <c r="A2528" i="20"/>
  <c r="A1524" i="20"/>
  <c r="B6003" i="20"/>
  <c r="A5289" i="20"/>
  <c r="B4166" i="20"/>
  <c r="A5057" i="20"/>
  <c r="B3934" i="20"/>
  <c r="B6428" i="20"/>
  <c r="A616" i="20"/>
  <c r="B6156" i="20"/>
  <c r="B2645" i="20"/>
  <c r="B2632" i="20"/>
  <c r="B1139" i="20"/>
  <c r="B5049" i="20"/>
  <c r="B6566" i="20"/>
  <c r="B4367" i="20"/>
  <c r="B1215" i="20"/>
  <c r="A118" i="19"/>
  <c r="B4227" i="20"/>
  <c r="A2009" i="20"/>
  <c r="B3733" i="20"/>
  <c r="A709" i="16"/>
  <c r="A2058" i="20"/>
  <c r="A4" i="18"/>
  <c r="A1898" i="20"/>
  <c r="A4398" i="20"/>
  <c r="B4571" i="20"/>
  <c r="A1817" i="16"/>
  <c r="H84" i="12"/>
  <c r="G15" i="12"/>
  <c r="A1930" i="20"/>
  <c r="B21" i="17"/>
  <c r="A1770" i="20"/>
  <c r="A3342" i="20"/>
  <c r="A2081" i="20"/>
  <c r="A8959" i="20"/>
  <c r="A5355" i="20"/>
  <c r="A2908" i="20"/>
  <c r="A5123" i="20"/>
  <c r="A2676" i="20"/>
  <c r="B6706" i="20"/>
  <c r="B2951" i="20"/>
  <c r="A9006" i="20"/>
  <c r="B2809" i="20"/>
  <c r="B2737" i="20"/>
  <c r="B635" i="20"/>
  <c r="A961" i="16"/>
  <c r="A315" i="20"/>
  <c r="B188" i="20"/>
  <c r="A3214" i="20"/>
  <c r="A1953" i="20"/>
  <c r="A1521" i="16"/>
  <c r="A78" i="11"/>
  <c r="E7" i="11"/>
  <c r="A704" i="20"/>
  <c r="A1266" i="16"/>
  <c r="A624" i="20"/>
  <c r="A3118" i="20"/>
  <c r="A1857" i="20"/>
  <c r="A1497" i="16"/>
  <c r="G67" i="11"/>
  <c r="G1" i="11"/>
  <c r="A640" i="20"/>
  <c r="A1234" i="16"/>
  <c r="A560" i="20"/>
  <c r="A2607" i="20"/>
  <c r="A1177" i="20"/>
  <c r="B8931" i="20"/>
  <c r="A5227" i="20"/>
  <c r="A2780" i="20"/>
  <c r="A4995" i="20"/>
  <c r="B4395" i="20"/>
  <c r="B7296" i="20"/>
  <c r="A2604" i="20"/>
  <c r="A7110" i="20"/>
  <c r="B2638" i="20"/>
  <c r="B2614" i="20"/>
  <c r="B593" i="20"/>
  <c r="A929" i="16"/>
  <c r="A283" i="20"/>
  <c r="B60" i="20"/>
  <c r="B711" i="20"/>
  <c r="B318" i="20"/>
  <c r="A65" i="18"/>
  <c r="B6559" i="20"/>
  <c r="B1364" i="20"/>
  <c r="A127" i="19"/>
  <c r="B1072" i="20"/>
  <c r="B456" i="20"/>
  <c r="B38" i="6"/>
  <c r="A419" i="16"/>
  <c r="B6" i="5"/>
  <c r="A6335" i="20"/>
  <c r="B1332" i="20"/>
  <c r="A103" i="19"/>
  <c r="B976" i="20"/>
  <c r="B392" i="20"/>
  <c r="A35" i="6"/>
  <c r="A403" i="16"/>
  <c r="F2" i="5"/>
  <c r="A4896" i="20"/>
  <c r="B4047" i="20"/>
  <c r="A8398" i="20"/>
  <c r="B7026" i="20"/>
  <c r="A5298" i="20"/>
  <c r="A5272" i="20"/>
  <c r="A183" i="16"/>
  <c r="A348" i="19"/>
  <c r="A6525" i="20"/>
  <c r="B2550" i="20"/>
  <c r="B1717" i="16"/>
  <c r="A1281" i="16"/>
  <c r="A3968" i="20"/>
  <c r="B391" i="16"/>
  <c r="B127" i="16"/>
  <c r="A1950" i="20"/>
  <c r="A312" i="16"/>
  <c r="A957" i="20"/>
  <c r="B131" i="4"/>
  <c r="F7" i="11"/>
  <c r="H125" i="4"/>
  <c r="G131" i="11"/>
  <c r="A703" i="16"/>
  <c r="A4" i="17"/>
  <c r="G80" i="13"/>
  <c r="B135" i="19"/>
  <c r="B22" i="17"/>
  <c r="B1267" i="20"/>
  <c r="B688" i="20"/>
  <c r="B72" i="20"/>
  <c r="A175" i="16"/>
  <c r="B28" i="19"/>
  <c r="A2489" i="20"/>
  <c r="B81" i="16"/>
  <c r="B1952" i="20"/>
  <c r="B266" i="19"/>
  <c r="B112" i="19"/>
  <c r="B1" i="16"/>
  <c r="B988" i="16"/>
  <c r="B4025" i="20"/>
  <c r="B134" i="7"/>
  <c r="B2472" i="20"/>
  <c r="A86" i="20"/>
  <c r="A208" i="20"/>
  <c r="A1018" i="16"/>
  <c r="B668" i="16"/>
  <c r="B15" i="18"/>
  <c r="B96" i="7"/>
  <c r="A2764" i="20"/>
  <c r="B29" i="12"/>
  <c r="A1773" i="16"/>
  <c r="H61" i="7"/>
  <c r="A16" i="10"/>
  <c r="B32" i="5"/>
  <c r="A153" i="9"/>
  <c r="A61" i="12"/>
  <c r="H48" i="7"/>
  <c r="F80" i="1"/>
  <c r="A361" i="19"/>
  <c r="A139" i="2"/>
  <c r="B127" i="13"/>
  <c r="D36" i="10"/>
  <c r="F65" i="13"/>
  <c r="B13" i="19"/>
  <c r="B3789" i="20"/>
  <c r="D70" i="11"/>
  <c r="H134" i="12"/>
  <c r="A1542" i="16"/>
  <c r="A1230" i="16"/>
  <c r="H93" i="8"/>
  <c r="A1150" i="16"/>
  <c r="B138" i="4"/>
  <c r="F124" i="1"/>
  <c r="A1610" i="20"/>
  <c r="A155" i="16"/>
  <c r="B15" i="6"/>
  <c r="E156" i="1"/>
  <c r="A655" i="20"/>
  <c r="A57" i="8"/>
  <c r="A569" i="20"/>
  <c r="B1401" i="20"/>
  <c r="H138" i="7"/>
  <c r="B21" i="8"/>
  <c r="A93" i="13"/>
  <c r="B112" i="5"/>
  <c r="A68" i="13"/>
  <c r="H56" i="7"/>
  <c r="A864" i="20"/>
  <c r="A460" i="16"/>
  <c r="G76" i="9"/>
  <c r="G32" i="11"/>
  <c r="B28" i="4"/>
  <c r="B5575" i="20"/>
  <c r="B1357" i="20"/>
  <c r="B4949" i="20"/>
  <c r="B62" i="20"/>
  <c r="B145" i="18"/>
  <c r="B147" i="9"/>
  <c r="B837" i="16"/>
  <c r="H135" i="9"/>
  <c r="A8276" i="20"/>
  <c r="A7314" i="20"/>
  <c r="B743" i="20"/>
  <c r="A1135" i="16"/>
  <c r="B541" i="16"/>
  <c r="B156" i="8"/>
  <c r="B517" i="16"/>
  <c r="G124" i="6"/>
  <c r="B5783" i="20"/>
  <c r="B2937" i="20"/>
  <c r="B657" i="20"/>
  <c r="B3022" i="20"/>
  <c r="A5917" i="20"/>
  <c r="A2527" i="20"/>
  <c r="A5421" i="20"/>
  <c r="A2295" i="20"/>
  <c r="B4479" i="20"/>
  <c r="B1855" i="20"/>
  <c r="B4263" i="20"/>
  <c r="B8238" i="20"/>
  <c r="A5621" i="20"/>
  <c r="B2131" i="20"/>
  <c r="H49" i="11"/>
  <c r="B240" i="20"/>
  <c r="B6413" i="20"/>
  <c r="A586" i="20"/>
  <c r="G73" i="12"/>
  <c r="B3229" i="20"/>
  <c r="A1208" i="16"/>
  <c r="G66" i="12"/>
  <c r="A982" i="16"/>
  <c r="A5597" i="20"/>
  <c r="A2374" i="20"/>
  <c r="A869" i="20"/>
  <c r="B1605" i="16"/>
  <c r="B1459" i="16"/>
  <c r="A1176" i="16"/>
  <c r="E60" i="12"/>
  <c r="A918" i="16"/>
  <c r="B4644" i="20"/>
  <c r="A2110" i="20"/>
  <c r="B630" i="45"/>
  <c r="A1345" i="20"/>
  <c r="A5111" i="20"/>
  <c r="D12" i="43"/>
  <c r="B6646" i="20"/>
  <c r="A56" i="32"/>
  <c r="B4180" i="20"/>
  <c r="B5" i="20"/>
  <c r="A188" i="20"/>
  <c r="A1132" i="20"/>
  <c r="B2203" i="20"/>
  <c r="B191" i="16"/>
  <c r="B2491" i="20"/>
  <c r="A1519" i="16"/>
  <c r="A4427" i="20"/>
  <c r="A2078" i="20"/>
  <c r="A573" i="20"/>
  <c r="B1309" i="16"/>
  <c r="B1155" i="16"/>
  <c r="A568" i="16"/>
  <c r="G50" i="11"/>
  <c r="C2" i="13"/>
  <c r="A4299" i="20"/>
  <c r="A2054" i="20"/>
  <c r="A549" i="20"/>
  <c r="B1285" i="16"/>
  <c r="B1139" i="16"/>
  <c r="A536" i="16"/>
  <c r="G42" i="11"/>
  <c r="G112" i="12"/>
  <c r="B6308" i="20"/>
  <c r="A1790" i="20"/>
  <c r="A12" i="37"/>
  <c r="B4561" i="20"/>
  <c r="A4855" i="20"/>
  <c r="A7928" i="20"/>
  <c r="B6388" i="20"/>
  <c r="A9056" i="20"/>
  <c r="B3668" i="20"/>
  <c r="A261" i="19"/>
  <c r="A156" i="20"/>
  <c r="B1095" i="20"/>
  <c r="B5755" i="20"/>
  <c r="A1301" i="20"/>
  <c r="B1768" i="20"/>
  <c r="B36" i="17"/>
  <c r="B1549" i="16"/>
  <c r="B1137" i="45"/>
  <c r="B727" i="20"/>
  <c r="B1602" i="16"/>
  <c r="B144" i="19"/>
  <c r="D78" i="10"/>
  <c r="B1844" i="16"/>
  <c r="E61" i="8"/>
  <c r="A4143" i="20"/>
  <c r="B3757" i="20"/>
  <c r="B1807" i="20"/>
  <c r="B325" i="16"/>
  <c r="B179" i="16"/>
  <c r="F75" i="10"/>
  <c r="B1828" i="16"/>
  <c r="G53" i="8"/>
  <c r="B4120" i="20"/>
  <c r="B1877" i="20"/>
  <c r="B7196" i="20"/>
  <c r="A7046" i="20"/>
  <c r="A4057" i="20"/>
  <c r="B7185" i="20"/>
  <c r="B4893" i="20"/>
  <c r="A5947" i="20"/>
  <c r="B1310" i="20"/>
  <c r="B912" i="20"/>
  <c r="B2515" i="20"/>
  <c r="B487" i="20"/>
  <c r="B1828" i="20"/>
  <c r="H79" i="12"/>
  <c r="B525" i="20"/>
  <c r="A879" i="16"/>
  <c r="B3864" i="20"/>
  <c r="B1749" i="20"/>
  <c r="B120" i="20"/>
  <c r="B29" i="16"/>
  <c r="G96" i="13"/>
  <c r="B4" i="10"/>
  <c r="B1524" i="16"/>
  <c r="G53" i="7"/>
  <c r="B3736" i="20"/>
  <c r="B1653" i="20"/>
  <c r="B24" i="20"/>
  <c r="B5" i="16"/>
  <c r="H89" i="13"/>
  <c r="B1" i="10"/>
  <c r="B1508" i="16"/>
  <c r="A46" i="7"/>
  <c r="A3532" i="20"/>
  <c r="A1002" i="20"/>
  <c r="A3" i="32"/>
  <c r="B7601" i="20"/>
  <c r="B5309" i="20"/>
  <c r="A7720" i="20"/>
  <c r="A6413" i="20"/>
  <c r="A5435" i="20"/>
  <c r="A4648" i="20"/>
  <c r="B400" i="20"/>
  <c r="B2387" i="20"/>
  <c r="B455" i="20"/>
  <c r="B1656" i="20"/>
  <c r="A1808" i="20"/>
  <c r="B5991" i="20"/>
  <c r="B3286" i="20"/>
  <c r="B223" i="16"/>
  <c r="A347" i="20"/>
  <c r="B127" i="12"/>
  <c r="A2142" i="20"/>
  <c r="A1585" i="16"/>
  <c r="A1322" i="20"/>
  <c r="A60" i="7"/>
  <c r="A1059" i="16"/>
  <c r="H23" i="6"/>
  <c r="A6169" i="20"/>
  <c r="B2360" i="20"/>
  <c r="B411" i="20"/>
  <c r="A147" i="20"/>
  <c r="B1" i="20"/>
  <c r="A56" i="7"/>
  <c r="A1043" i="16"/>
  <c r="H19" i="6"/>
  <c r="A8607" i="20"/>
  <c r="B1832" i="20"/>
  <c r="B95" i="20"/>
  <c r="B4498" i="20"/>
  <c r="B5556" i="20"/>
  <c r="A1119" i="20"/>
  <c r="B5324" i="20"/>
  <c r="B3753" i="20"/>
  <c r="A1688" i="20"/>
  <c r="A3448" i="20"/>
  <c r="A1648" i="20"/>
  <c r="B345" i="19"/>
  <c r="A1006" i="20"/>
  <c r="B959" i="16"/>
  <c r="A1078" i="20"/>
  <c r="B118" i="20"/>
  <c r="A7528" i="20"/>
  <c r="B1790" i="20"/>
  <c r="B63" i="20"/>
  <c r="B234" i="19"/>
  <c r="B80" i="19"/>
  <c r="A113" i="6"/>
  <c r="A739" i="16"/>
  <c r="F81" i="5"/>
  <c r="A7016" i="20"/>
  <c r="B1758" i="20"/>
  <c r="B39" i="20"/>
  <c r="B210" i="19"/>
  <c r="B64" i="19"/>
  <c r="B109" i="6"/>
  <c r="A723" i="16"/>
  <c r="H77" i="5"/>
  <c r="B4687" i="20"/>
  <c r="B1406" i="20"/>
  <c r="A159" i="19"/>
  <c r="B3986" i="20"/>
  <c r="B5428" i="20"/>
  <c r="B4169" i="20"/>
  <c r="B5196" i="20"/>
  <c r="B3241" i="20"/>
  <c r="A1560" i="20"/>
  <c r="A1945" i="20"/>
  <c r="A1520" i="20"/>
  <c r="B313" i="19"/>
  <c r="A942" i="20"/>
  <c r="B927" i="16"/>
  <c r="A1014" i="20"/>
  <c r="A374" i="19"/>
  <c r="A7573" i="20"/>
  <c r="A111" i="19"/>
  <c r="A758" i="20"/>
  <c r="E28" i="12"/>
  <c r="B1324" i="20"/>
  <c r="A2260" i="20"/>
  <c r="F27" i="11"/>
  <c r="B808" i="16"/>
  <c r="B690" i="16"/>
  <c r="A1007" i="20"/>
  <c r="F156" i="8"/>
  <c r="A985" i="20"/>
  <c r="B1292" i="20"/>
  <c r="A2236" i="20"/>
  <c r="H15" i="11"/>
  <c r="B792" i="16"/>
  <c r="B678" i="16"/>
  <c r="A991" i="20"/>
  <c r="B152" i="8"/>
  <c r="A969" i="20"/>
  <c r="B3927" i="20"/>
  <c r="A1972" i="20"/>
  <c r="B8370" i="20"/>
  <c r="A6403" i="20"/>
  <c r="A5673" i="20"/>
  <c r="A5152" i="20"/>
  <c r="A3730" i="20"/>
  <c r="B3213" i="20"/>
  <c r="A6111" i="20"/>
  <c r="B3008" i="20"/>
  <c r="A2340" i="20"/>
  <c r="B576" i="16"/>
  <c r="A2569" i="20"/>
  <c r="B2033" i="20"/>
  <c r="B1442" i="16"/>
  <c r="B97" i="13"/>
  <c r="A741" i="16"/>
  <c r="A1174" i="16"/>
  <c r="B5406" i="20"/>
  <c r="A541" i="20"/>
  <c r="B96" i="13"/>
  <c r="B383" i="19"/>
  <c r="H14" i="2"/>
  <c r="B1788" i="16"/>
  <c r="F13" i="7"/>
  <c r="A1331" i="16"/>
  <c r="B962" i="20"/>
  <c r="G76" i="6"/>
  <c r="C100" i="18"/>
  <c r="B48" i="17"/>
  <c r="A115" i="10"/>
  <c r="B585" i="20"/>
  <c r="B547" i="16"/>
  <c r="B193" i="16"/>
  <c r="H77" i="10"/>
  <c r="B171" i="16"/>
  <c r="B4313" i="20"/>
  <c r="B1307" i="16"/>
  <c r="H42" i="10"/>
  <c r="H6" i="12"/>
  <c r="B62" i="5"/>
  <c r="G59" i="11"/>
  <c r="B40" i="6"/>
  <c r="G82" i="10"/>
  <c r="B91" i="6"/>
  <c r="A43" i="8"/>
  <c r="B137" i="2"/>
  <c r="E134" i="7"/>
  <c r="A1204" i="16"/>
  <c r="B3909" i="20"/>
  <c r="B388" i="20"/>
  <c r="A66" i="18"/>
  <c r="A2539" i="20"/>
  <c r="B343" i="20"/>
  <c r="E12" i="12"/>
  <c r="A735" i="16"/>
  <c r="A581" i="16"/>
  <c r="B45" i="5"/>
  <c r="G84" i="12"/>
  <c r="C2" i="9"/>
  <c r="A2443" i="20"/>
  <c r="B319" i="20"/>
  <c r="E2" i="12"/>
  <c r="A711" i="16"/>
  <c r="A565" i="16"/>
  <c r="B41" i="5"/>
  <c r="B80" i="12"/>
  <c r="G152" i="8"/>
  <c r="A3305" i="20"/>
  <c r="B4172" i="20"/>
  <c r="A5611" i="20"/>
  <c r="B2763" i="20"/>
  <c r="B6080" i="20"/>
  <c r="A4242" i="20"/>
  <c r="A3013" i="20"/>
  <c r="A1050" i="20"/>
  <c r="B303" i="20"/>
  <c r="A1661" i="20"/>
  <c r="A1838" i="20"/>
  <c r="B1069" i="16"/>
  <c r="A5099" i="20"/>
  <c r="B4345" i="20"/>
  <c r="A507" i="20"/>
  <c r="B3" i="18"/>
  <c r="A461" i="20"/>
  <c r="B208" i="19"/>
  <c r="B2430" i="20"/>
  <c r="B1148" i="16"/>
  <c r="B1902" i="20"/>
  <c r="A3576" i="20"/>
  <c r="G41" i="13"/>
  <c r="A189" i="20"/>
  <c r="H49" i="4"/>
  <c r="B726" i="20"/>
  <c r="B46" i="4"/>
  <c r="H101" i="11"/>
  <c r="A639" i="16"/>
  <c r="A485" i="16"/>
  <c r="B1933" i="20"/>
  <c r="B54" i="9"/>
  <c r="B645" i="16"/>
  <c r="H46" i="9"/>
  <c r="A42" i="13"/>
  <c r="A1087" i="16"/>
  <c r="A933" i="16"/>
  <c r="B2840" i="20"/>
  <c r="B366" i="16"/>
  <c r="B599" i="16"/>
  <c r="B356" i="16"/>
  <c r="A285" i="20"/>
  <c r="B1021" i="16"/>
  <c r="B867" i="16"/>
  <c r="B6" i="15"/>
  <c r="G56" i="11"/>
  <c r="B558" i="16"/>
  <c r="B3125" i="20"/>
  <c r="B1532" i="20"/>
  <c r="B129" i="20"/>
  <c r="B460" i="16"/>
  <c r="B101" i="18"/>
  <c r="A47" i="11"/>
  <c r="H57" i="1"/>
  <c r="A169" i="19"/>
  <c r="H126" i="2"/>
  <c r="B49" i="10"/>
  <c r="B970" i="16"/>
  <c r="H7" i="10"/>
  <c r="G85" i="2"/>
  <c r="H49" i="10"/>
  <c r="B69" i="6"/>
  <c r="G23" i="11"/>
  <c r="B5" i="7"/>
  <c r="A7" i="19"/>
  <c r="A307" i="16"/>
  <c r="G131" i="10"/>
  <c r="B1837" i="20"/>
  <c r="B121" i="7"/>
  <c r="A992" i="20"/>
  <c r="B139" i="13"/>
  <c r="A79" i="5"/>
  <c r="A84" i="2"/>
  <c r="A1280" i="16"/>
  <c r="G119" i="5"/>
  <c r="A1419" i="16"/>
  <c r="B326" i="16"/>
  <c r="A1795" i="16"/>
  <c r="H65" i="7"/>
  <c r="A1261" i="20"/>
  <c r="B1038" i="20"/>
  <c r="A1645" i="16"/>
  <c r="H30" i="7"/>
  <c r="A52" i="9"/>
  <c r="G37" i="4"/>
  <c r="B33" i="9"/>
  <c r="B119" i="10"/>
  <c r="B61" i="2"/>
  <c r="H20" i="1"/>
  <c r="B2639" i="20"/>
  <c r="F105" i="2"/>
  <c r="B63" i="8"/>
  <c r="B2303" i="20"/>
  <c r="B966" i="20"/>
  <c r="B91" i="8"/>
  <c r="B5022" i="20"/>
  <c r="B1747" i="16"/>
  <c r="B366" i="20"/>
  <c r="H56" i="8"/>
  <c r="F2" i="4"/>
  <c r="A1100" i="16"/>
  <c r="B1239" i="20"/>
  <c r="A1838" i="16"/>
  <c r="G104" i="8"/>
  <c r="A1732" i="20"/>
  <c r="A673" i="16"/>
  <c r="B333" i="16"/>
  <c r="B5256" i="20"/>
  <c r="B1493" i="20"/>
  <c r="A248" i="19"/>
  <c r="C1" i="14"/>
  <c r="G66" i="13"/>
  <c r="A145" i="9"/>
  <c r="B1460" i="16"/>
  <c r="A25" i="7"/>
  <c r="B3224" i="20"/>
  <c r="B1397" i="20"/>
  <c r="A152" i="19"/>
  <c r="A127" i="13"/>
  <c r="G59" i="13"/>
  <c r="F140" i="9"/>
  <c r="B1444" i="16"/>
  <c r="A17" i="7"/>
  <c r="A3116" i="20"/>
  <c r="A938" i="20"/>
  <c r="A7565" i="20"/>
  <c r="A7488" i="20"/>
  <c r="A1581" i="20"/>
  <c r="B6174" i="20"/>
  <c r="A2416" i="20"/>
  <c r="B2259" i="20"/>
  <c r="B6779" i="20"/>
  <c r="B237" i="19"/>
  <c r="B2077" i="20"/>
  <c r="A694" i="20"/>
  <c r="A63" i="19"/>
  <c r="A3557" i="20"/>
  <c r="A132" i="19"/>
  <c r="A1826" i="20"/>
  <c r="B1633" i="16"/>
  <c r="B1693" i="16"/>
  <c r="A85" i="12"/>
  <c r="B67" i="20"/>
  <c r="B8190" i="20"/>
  <c r="A401" i="16"/>
  <c r="B1744" i="16"/>
  <c r="A1138" i="20"/>
  <c r="B103" i="9"/>
  <c r="A93" i="12"/>
  <c r="G99" i="9"/>
  <c r="B4" i="19"/>
  <c r="A94" i="13"/>
  <c r="A21" i="13"/>
  <c r="A4208" i="20"/>
  <c r="A1010" i="16"/>
  <c r="A1369" i="16"/>
  <c r="A978" i="16"/>
  <c r="B1679" i="20"/>
  <c r="B317" i="16"/>
  <c r="B163" i="16"/>
  <c r="B301" i="16"/>
  <c r="G65" i="4"/>
  <c r="A2172" i="20"/>
  <c r="A927" i="20"/>
  <c r="A1908" i="20"/>
  <c r="A843" i="20"/>
  <c r="A689" i="20"/>
  <c r="G79" i="8"/>
  <c r="H59" i="9"/>
  <c r="A125" i="11"/>
  <c r="A342" i="16"/>
  <c r="B179" i="19"/>
  <c r="B19" i="13"/>
  <c r="A55" i="11"/>
  <c r="B25" i="13"/>
  <c r="A14" i="12"/>
  <c r="A114" i="2"/>
  <c r="F105" i="11"/>
  <c r="B12" i="4"/>
  <c r="F123" i="6"/>
  <c r="A185" i="19"/>
  <c r="A43" i="18"/>
  <c r="H88" i="1"/>
  <c r="G125" i="2"/>
  <c r="A1144" i="16"/>
  <c r="B1028" i="16"/>
  <c r="F47" i="5"/>
  <c r="B479" i="20"/>
  <c r="H78" i="5"/>
  <c r="B930" i="16"/>
  <c r="E3" i="5"/>
  <c r="G130" i="4"/>
  <c r="A54" i="1"/>
  <c r="B124" i="4"/>
  <c r="A74" i="12"/>
  <c r="G71" i="1"/>
  <c r="A11" i="14"/>
  <c r="A119" i="6"/>
  <c r="H10" i="1"/>
  <c r="G55" i="11"/>
  <c r="B1025" i="16"/>
  <c r="A304" i="16"/>
  <c r="B1003" i="16"/>
  <c r="B1240" i="16"/>
  <c r="A4644" i="20"/>
  <c r="A8" i="16"/>
  <c r="B34" i="7"/>
  <c r="C36" i="4"/>
  <c r="B14" i="7"/>
  <c r="H90" i="11"/>
  <c r="B2487" i="20"/>
  <c r="A19" i="12"/>
  <c r="B121" i="10"/>
  <c r="B298" i="20"/>
  <c r="H8" i="5"/>
  <c r="B70" i="2"/>
  <c r="B1729" i="16"/>
  <c r="A1712" i="16"/>
  <c r="B1707" i="16"/>
  <c r="A359" i="16"/>
  <c r="B117" i="7"/>
  <c r="A1416" i="16"/>
  <c r="A32" i="16"/>
  <c r="F90" i="1"/>
  <c r="A99" i="13"/>
  <c r="H9" i="5"/>
  <c r="A11" i="16"/>
  <c r="B78" i="8"/>
  <c r="C1" i="17"/>
  <c r="E34" i="5"/>
  <c r="B1055" i="16"/>
  <c r="B1305" i="20"/>
  <c r="B480" i="16"/>
  <c r="B299" i="19"/>
  <c r="A3352" i="20"/>
  <c r="B1017" i="20"/>
  <c r="B811" i="20"/>
  <c r="G122" i="13"/>
  <c r="B161" i="16"/>
  <c r="H70" i="10"/>
  <c r="B139" i="16"/>
  <c r="B275" i="19"/>
  <c r="A2968" i="20"/>
  <c r="B985" i="20"/>
  <c r="B789" i="20"/>
  <c r="A104" i="13"/>
  <c r="B145" i="16"/>
  <c r="H66" i="10"/>
  <c r="B123" i="16"/>
  <c r="B3365" i="20"/>
  <c r="B2464" i="20"/>
  <c r="A8022" i="20"/>
  <c r="B4032" i="20"/>
  <c r="B2170" i="20"/>
  <c r="A894" i="20"/>
  <c r="B815" i="20"/>
  <c r="A2787" i="20"/>
  <c r="A2478" i="20"/>
  <c r="A3080" i="20"/>
  <c r="B2017" i="20"/>
  <c r="B1238" i="20"/>
  <c r="A3717" i="20"/>
  <c r="A856" i="20"/>
  <c r="B3862" i="20"/>
  <c r="A1541" i="16"/>
  <c r="A2702" i="20"/>
  <c r="B89" i="18"/>
  <c r="B28" i="17"/>
  <c r="A68" i="18"/>
  <c r="B92" i="19"/>
  <c r="B445" i="16"/>
  <c r="A1817" i="20"/>
  <c r="A1850" i="16"/>
  <c r="A1670" i="20"/>
  <c r="H50" i="13"/>
  <c r="A1406" i="20"/>
  <c r="B889" i="20"/>
  <c r="B683" i="20"/>
  <c r="A123" i="11"/>
  <c r="B306" i="16"/>
  <c r="B1588" i="20"/>
  <c r="G79" i="6"/>
  <c r="B1236" i="20"/>
  <c r="B4549" i="20"/>
  <c r="B2083" i="20"/>
  <c r="A634" i="16"/>
  <c r="B892" i="20"/>
  <c r="A4686" i="20"/>
  <c r="B243" i="16"/>
  <c r="B4635" i="20"/>
  <c r="G41" i="11"/>
  <c r="B824" i="16"/>
  <c r="B710" i="16"/>
  <c r="A1039" i="20"/>
  <c r="B1665" i="16"/>
  <c r="A1584" i="16"/>
  <c r="B1643" i="16"/>
  <c r="A103" i="16"/>
  <c r="B127" i="6"/>
  <c r="A1288" i="16"/>
  <c r="E64" i="12"/>
  <c r="H59" i="1"/>
  <c r="B116" i="11"/>
  <c r="B120" i="4"/>
  <c r="G129" i="11"/>
  <c r="H121" i="5"/>
  <c r="A1598" i="16"/>
  <c r="H13" i="5"/>
  <c r="G88" i="2"/>
  <c r="A1573" i="16"/>
  <c r="F80" i="12"/>
  <c r="A82" i="9"/>
  <c r="A4972" i="20"/>
  <c r="B1841" i="20"/>
  <c r="E10" i="12"/>
  <c r="G47" i="9"/>
  <c r="A19" i="7"/>
  <c r="F91" i="1"/>
  <c r="A2" i="7"/>
  <c r="B117" i="4"/>
  <c r="B120" i="5"/>
  <c r="H116" i="5"/>
  <c r="G14" i="6"/>
  <c r="G6" i="1"/>
  <c r="B54" i="5"/>
  <c r="A97" i="5"/>
  <c r="B386" i="20"/>
  <c r="B1920" i="20"/>
  <c r="A389" i="20"/>
  <c r="B2527" i="20"/>
  <c r="B106" i="18"/>
  <c r="B201" i="20"/>
  <c r="G42" i="4"/>
  <c r="B121" i="20"/>
  <c r="B108" i="20"/>
  <c r="A155" i="1"/>
  <c r="A620" i="16"/>
  <c r="H86" i="10"/>
  <c r="H71" i="4"/>
  <c r="B300" i="20"/>
  <c r="A109" i="13"/>
  <c r="H59" i="7"/>
  <c r="F13" i="12"/>
  <c r="B51" i="8"/>
  <c r="B4325" i="20"/>
  <c r="A1843" i="16"/>
  <c r="B98" i="11"/>
  <c r="G114" i="7"/>
  <c r="A1164" i="16"/>
  <c r="G17" i="13"/>
  <c r="A1499" i="16"/>
  <c r="B83" i="10"/>
  <c r="H112" i="6"/>
  <c r="E67" i="7"/>
  <c r="A63" i="8"/>
  <c r="B1033" i="16"/>
  <c r="A940" i="16"/>
  <c r="A8" i="4"/>
  <c r="G151" i="9"/>
  <c r="E140" i="8"/>
  <c r="B917" i="20"/>
  <c r="B219" i="16"/>
  <c r="B134" i="9"/>
  <c r="H63" i="9"/>
  <c r="B81" i="2"/>
  <c r="H15" i="12"/>
  <c r="B89" i="12"/>
  <c r="A74" i="16"/>
  <c r="B1273" i="16"/>
  <c r="A75" i="1"/>
  <c r="B1193" i="16"/>
  <c r="H112" i="11"/>
  <c r="A12" i="4"/>
  <c r="C135" i="18"/>
  <c r="A58" i="19"/>
  <c r="B1412" i="16"/>
  <c r="A1322" i="16"/>
  <c r="A775" i="20"/>
  <c r="H92" i="2"/>
  <c r="B906" i="20"/>
  <c r="H56" i="4"/>
  <c r="H57" i="2"/>
  <c r="B671" i="20"/>
  <c r="H123" i="5"/>
  <c r="B962" i="16"/>
  <c r="G16" i="5"/>
  <c r="B147" i="4"/>
  <c r="B8357" i="20"/>
  <c r="A291" i="19"/>
  <c r="H100" i="12"/>
  <c r="A85" i="9"/>
  <c r="H24" i="8"/>
  <c r="H16" i="2"/>
  <c r="E3" i="8"/>
  <c r="G5" i="5"/>
  <c r="B25" i="9"/>
  <c r="H37" i="1"/>
  <c r="H93" i="12"/>
  <c r="B20" i="19"/>
  <c r="H76" i="10"/>
  <c r="A38" i="16"/>
  <c r="E26" i="12"/>
  <c r="G84" i="2"/>
  <c r="G88" i="10"/>
  <c r="A2" i="14"/>
  <c r="B688" i="16"/>
  <c r="A809" i="20"/>
  <c r="B96" i="12"/>
  <c r="A102" i="5"/>
  <c r="B31" i="17"/>
  <c r="A5" i="20"/>
  <c r="A332" i="19"/>
  <c r="B13" i="17"/>
  <c r="A201" i="19"/>
  <c r="B130" i="2"/>
  <c r="A121" i="19"/>
  <c r="A48" i="17"/>
  <c r="H73" i="1"/>
  <c r="H110" i="2"/>
  <c r="B881" i="20"/>
  <c r="A1395" i="16"/>
  <c r="H63" i="11"/>
  <c r="F34" i="7"/>
  <c r="A332" i="16"/>
  <c r="A88" i="8"/>
  <c r="G79" i="7"/>
  <c r="G88" i="1"/>
  <c r="G107" i="2"/>
  <c r="A1830" i="20"/>
  <c r="A88" i="16"/>
  <c r="B1646" i="16"/>
  <c r="H108" i="7"/>
  <c r="G70" i="7"/>
  <c r="B124" i="2"/>
  <c r="B2353" i="20"/>
  <c r="F25" i="12"/>
  <c r="G55" i="9"/>
  <c r="B119" i="5"/>
  <c r="G125" i="4"/>
  <c r="A284" i="19"/>
  <c r="G120" i="7"/>
  <c r="B66" i="12"/>
  <c r="B140" i="4"/>
  <c r="H149" i="8"/>
  <c r="D34" i="1"/>
  <c r="B3765" i="20"/>
  <c r="A37" i="2"/>
  <c r="A123" i="8"/>
  <c r="A101" i="1"/>
  <c r="B3604" i="20"/>
  <c r="H16" i="10"/>
  <c r="A13" i="12"/>
  <c r="B2470" i="20"/>
  <c r="B1144" i="20"/>
  <c r="A2860" i="20"/>
  <c r="A415" i="16"/>
  <c r="G59" i="12"/>
  <c r="A58" i="5"/>
  <c r="A767" i="16"/>
  <c r="B83" i="12"/>
  <c r="G79" i="11"/>
  <c r="A226" i="16"/>
  <c r="H31" i="6"/>
  <c r="A10" i="8"/>
  <c r="B113" i="7"/>
  <c r="E7" i="6"/>
  <c r="A52" i="10"/>
  <c r="G67" i="7"/>
  <c r="E3" i="7"/>
  <c r="D75" i="1"/>
  <c r="A25" i="2"/>
  <c r="B130" i="7"/>
  <c r="B12" i="20"/>
  <c r="A98" i="9"/>
  <c r="B1912" i="20"/>
  <c r="A4" i="7"/>
  <c r="C141" i="18"/>
  <c r="A31" i="9"/>
  <c r="A149" i="8"/>
  <c r="E35" i="8"/>
  <c r="A139" i="8"/>
  <c r="B90" i="5"/>
  <c r="F67" i="2"/>
  <c r="C83" i="18"/>
  <c r="B103" i="13"/>
  <c r="F123" i="5"/>
  <c r="G54" i="9"/>
  <c r="E74" i="1"/>
  <c r="A365" i="20"/>
  <c r="B1251" i="20"/>
  <c r="B27" i="19"/>
  <c r="A1984" i="20"/>
  <c r="B2477" i="20"/>
  <c r="B1474" i="16"/>
  <c r="H134" i="13"/>
  <c r="A77" i="13"/>
  <c r="B110" i="19"/>
  <c r="E121" i="6"/>
  <c r="B88" i="19"/>
  <c r="A1960" i="20"/>
  <c r="B2381" i="20"/>
  <c r="B1450" i="16"/>
  <c r="A131" i="13"/>
  <c r="A72" i="13"/>
  <c r="B94" i="19"/>
  <c r="G117" i="6"/>
  <c r="B72" i="19"/>
  <c r="A1696" i="20"/>
  <c r="A3000" i="20"/>
  <c r="A7863" i="20"/>
  <c r="B5111" i="20"/>
  <c r="A4309" i="20"/>
  <c r="A4592" i="20"/>
  <c r="B4717" i="20"/>
  <c r="A4635" i="20"/>
  <c r="A1392" i="20"/>
  <c r="A1143" i="20"/>
  <c r="A1378" i="20"/>
  <c r="A6864" i="20"/>
  <c r="A4468" i="20"/>
  <c r="A2212" i="20"/>
  <c r="B448" i="16"/>
  <c r="B112" i="13"/>
  <c r="A687" i="16"/>
  <c r="B302" i="19"/>
  <c r="B157" i="19"/>
  <c r="B593" i="16"/>
  <c r="B3940" i="20"/>
  <c r="A11" i="20"/>
  <c r="A1101" i="20"/>
  <c r="A849" i="20"/>
  <c r="B2124" i="20"/>
  <c r="B1798" i="16"/>
  <c r="A3696" i="20"/>
  <c r="A2687" i="20"/>
  <c r="B101" i="13"/>
  <c r="B1603" i="20"/>
  <c r="A848" i="20"/>
  <c r="A2741" i="20"/>
  <c r="B3" i="15"/>
  <c r="B3674" i="20"/>
  <c r="B1826" i="16"/>
  <c r="B184" i="16"/>
  <c r="B70" i="16"/>
  <c r="A15" i="18"/>
  <c r="A283" i="19"/>
  <c r="B1432" i="16"/>
  <c r="A267" i="19"/>
  <c r="A1745" i="16"/>
  <c r="G50" i="12"/>
  <c r="A110" i="11"/>
  <c r="A1290" i="20"/>
  <c r="B2537" i="20"/>
  <c r="H50" i="9"/>
  <c r="B1425" i="20"/>
  <c r="A806" i="20"/>
  <c r="A400" i="16"/>
  <c r="A15" i="9"/>
  <c r="B1676" i="16"/>
  <c r="F16" i="1"/>
  <c r="B1596" i="16"/>
  <c r="B26" i="13"/>
  <c r="F72" i="1"/>
  <c r="A1" i="5"/>
  <c r="B650" i="20"/>
  <c r="A1774" i="16"/>
  <c r="A77" i="8"/>
  <c r="H115" i="4"/>
  <c r="B144" i="18"/>
  <c r="B890" i="20"/>
  <c r="C128" i="18"/>
  <c r="B42" i="17"/>
  <c r="A1300" i="16"/>
  <c r="B91" i="19"/>
  <c r="G50" i="6"/>
  <c r="E134" i="2"/>
  <c r="G31" i="6"/>
  <c r="A40" i="7"/>
  <c r="A84" i="12"/>
  <c r="B136" i="10"/>
  <c r="A40" i="4"/>
  <c r="E35" i="6"/>
  <c r="A16" i="2"/>
  <c r="G102" i="12"/>
  <c r="B644" i="16"/>
  <c r="A27" i="4"/>
  <c r="B2406" i="20"/>
  <c r="B787" i="20"/>
  <c r="B546" i="16"/>
  <c r="B1495" i="20"/>
  <c r="A1180" i="16"/>
  <c r="G113" i="1"/>
  <c r="B329" i="20"/>
  <c r="H70" i="4"/>
  <c r="B954" i="20"/>
  <c r="B1310" i="16"/>
  <c r="A131" i="10"/>
  <c r="A33" i="1"/>
  <c r="G59" i="4"/>
  <c r="A1400" i="16"/>
  <c r="B1114" i="16"/>
  <c r="H88" i="5"/>
  <c r="B991" i="20"/>
  <c r="F65" i="6"/>
  <c r="B1014" i="16"/>
  <c r="A41" i="5"/>
  <c r="F11" i="5"/>
  <c r="G83" i="1"/>
  <c r="E6" i="5"/>
  <c r="A1548" i="16"/>
  <c r="A39" i="2"/>
  <c r="B279" i="19"/>
  <c r="B1936" i="20"/>
  <c r="A463" i="16"/>
  <c r="B2476" i="20"/>
  <c r="B2134" i="20"/>
  <c r="A689" i="16"/>
  <c r="B88" i="18"/>
  <c r="A26" i="17"/>
  <c r="B595" i="20"/>
  <c r="G110" i="12"/>
  <c r="B565" i="20"/>
  <c r="B2380" i="20"/>
  <c r="B2086" i="20"/>
  <c r="A665" i="16"/>
  <c r="B72" i="18"/>
  <c r="A10" i="17"/>
  <c r="B573" i="20"/>
  <c r="A100" i="12"/>
  <c r="B545" i="20"/>
  <c r="B2748" i="20"/>
  <c r="B1648" i="20"/>
  <c r="B5812" i="20"/>
  <c r="B2396" i="20"/>
  <c r="A8634" i="20"/>
  <c r="B6470" i="20"/>
  <c r="A3565" i="20"/>
  <c r="B3249" i="20"/>
  <c r="B281" i="20"/>
  <c r="A4929" i="20"/>
  <c r="A4544" i="20"/>
  <c r="A47" i="16"/>
  <c r="B3657" i="20"/>
  <c r="A154" i="20"/>
  <c r="B886" i="20"/>
  <c r="A235" i="20"/>
  <c r="B1426" i="16"/>
  <c r="B418" i="20"/>
  <c r="A1926" i="20"/>
  <c r="A280" i="16"/>
  <c r="A1662" i="20"/>
  <c r="B973" i="20"/>
  <c r="B769" i="20"/>
  <c r="B106" i="19"/>
  <c r="B331" i="16"/>
  <c r="B1045" i="20"/>
  <c r="B315" i="16"/>
  <c r="A593" i="16"/>
  <c r="B24" i="18"/>
  <c r="B1782" i="16"/>
  <c r="A365" i="19"/>
  <c r="B153" i="18"/>
  <c r="G86" i="12"/>
  <c r="B139" i="18"/>
  <c r="A1041" i="16"/>
  <c r="B508" i="20"/>
  <c r="A276" i="19"/>
  <c r="B1047" i="20"/>
  <c r="H152" i="9"/>
  <c r="B557" i="20"/>
  <c r="B148" i="9"/>
  <c r="B975" i="16"/>
  <c r="B182" i="20"/>
  <c r="B33" i="19"/>
  <c r="B9" i="8"/>
  <c r="G9" i="6"/>
  <c r="B2231" i="20"/>
  <c r="A2297" i="20"/>
  <c r="A901" i="20"/>
  <c r="G74" i="12"/>
  <c r="B226" i="20"/>
  <c r="B883" i="20"/>
  <c r="A40" i="5"/>
  <c r="B777" i="20"/>
  <c r="G46" i="11"/>
  <c r="A1" i="4"/>
  <c r="G41" i="2"/>
  <c r="B39" i="13"/>
  <c r="C1" i="5"/>
  <c r="B68" i="13"/>
  <c r="A17" i="8"/>
  <c r="B467" i="20"/>
  <c r="G57" i="10"/>
  <c r="A251" i="19"/>
  <c r="B2626" i="20"/>
  <c r="A128" i="8"/>
  <c r="H22" i="10"/>
  <c r="A891" i="16"/>
  <c r="B102" i="8"/>
  <c r="A811" i="16"/>
  <c r="E47" i="8"/>
  <c r="A61" i="1"/>
  <c r="B1911" i="20"/>
  <c r="A42" i="7"/>
  <c r="H130" i="4"/>
  <c r="H75" i="6"/>
  <c r="B89" i="9"/>
  <c r="G52" i="12"/>
  <c r="A854" i="16"/>
  <c r="A308" i="20"/>
  <c r="A730" i="16"/>
  <c r="D114" i="11"/>
  <c r="A262" i="16"/>
  <c r="A134" i="13"/>
  <c r="H109" i="4"/>
  <c r="G92" i="13"/>
  <c r="H42" i="4"/>
  <c r="A33" i="4"/>
  <c r="B349" i="20"/>
  <c r="B876" i="20"/>
  <c r="B50" i="2"/>
  <c r="G18" i="1"/>
  <c r="H130" i="11"/>
  <c r="A195" i="16"/>
  <c r="F110" i="4"/>
  <c r="B2637" i="20"/>
  <c r="B274" i="16"/>
  <c r="A45" i="16"/>
  <c r="E75" i="4"/>
  <c r="E5" i="4"/>
  <c r="B170" i="20"/>
  <c r="G1" i="4"/>
  <c r="G97" i="5"/>
  <c r="H3" i="1"/>
  <c r="B2" i="14"/>
  <c r="A1691" i="16"/>
  <c r="B3559" i="20"/>
  <c r="A1185" i="16"/>
  <c r="B845" i="16"/>
  <c r="B5950" i="20"/>
  <c r="A1502" i="20"/>
  <c r="B380" i="19"/>
  <c r="B733" i="16"/>
  <c r="B579" i="16"/>
  <c r="F10" i="12"/>
  <c r="A268" i="19"/>
  <c r="H83" i="9"/>
  <c r="B4733" i="20"/>
  <c r="A1478" i="20"/>
  <c r="B356" i="19"/>
  <c r="B709" i="16"/>
  <c r="B563" i="16"/>
  <c r="H126" i="11"/>
  <c r="A204" i="19"/>
  <c r="H76" i="9"/>
  <c r="B5000" i="20"/>
  <c r="A1214" i="20"/>
  <c r="B6209" i="20"/>
  <c r="A6185" i="20"/>
  <c r="A6271" i="20"/>
  <c r="A6592" i="20"/>
  <c r="B1418" i="20"/>
  <c r="A1904" i="20"/>
  <c r="B4258" i="20"/>
  <c r="B2416" i="20"/>
  <c r="A1421" i="20"/>
  <c r="B3396" i="20"/>
  <c r="B2208" i="20"/>
  <c r="A29" i="11"/>
  <c r="A129" i="16"/>
  <c r="B3879" i="20"/>
  <c r="A49" i="19"/>
  <c r="B931" i="20"/>
  <c r="B2647" i="20"/>
  <c r="D105" i="13"/>
  <c r="B2383" i="20"/>
  <c r="A1169" i="16"/>
  <c r="B1020" i="20"/>
  <c r="A3175" i="20"/>
  <c r="C114" i="11"/>
  <c r="B3445" i="20"/>
  <c r="H109" i="11"/>
  <c r="B284" i="19"/>
  <c r="B637" i="16"/>
  <c r="B483" i="16"/>
  <c r="A5541" i="20"/>
  <c r="B538" i="16"/>
  <c r="B855" i="16"/>
  <c r="B526" i="16"/>
  <c r="A349" i="20"/>
  <c r="B1085" i="16"/>
  <c r="B931" i="16"/>
  <c r="A379" i="20"/>
  <c r="E86" i="11"/>
  <c r="A3872" i="20"/>
  <c r="A1475" i="20"/>
  <c r="A2816" i="20"/>
  <c r="B4157" i="20"/>
  <c r="B2417" i="20"/>
  <c r="B104" i="9"/>
  <c r="G71" i="11"/>
  <c r="A131" i="16"/>
  <c r="E94" i="4"/>
  <c r="A2376" i="20"/>
  <c r="B102" i="16"/>
  <c r="B12" i="14"/>
  <c r="A60" i="4"/>
  <c r="B1010" i="20"/>
  <c r="A1276" i="16"/>
  <c r="B690" i="20"/>
  <c r="A78" i="5"/>
  <c r="A6" i="2"/>
  <c r="H116" i="12"/>
  <c r="A1435" i="16"/>
  <c r="H53" i="10"/>
  <c r="B85" i="6"/>
  <c r="E61" i="6"/>
  <c r="B1620" i="16"/>
  <c r="G96" i="7"/>
  <c r="B4269" i="20"/>
  <c r="H81" i="10"/>
  <c r="B1470" i="16"/>
  <c r="G30" i="7"/>
  <c r="H118" i="6"/>
  <c r="G82" i="2"/>
  <c r="H108" i="6"/>
  <c r="H104" i="1"/>
  <c r="H56" i="2"/>
  <c r="B39" i="12"/>
  <c r="A98" i="16"/>
  <c r="A40" i="2"/>
  <c r="A1844" i="16"/>
  <c r="B1793" i="16"/>
  <c r="A1840" i="16"/>
  <c r="B1771" i="16"/>
  <c r="A615" i="16"/>
  <c r="B107" i="8"/>
  <c r="A1544" i="16"/>
  <c r="A544" i="16"/>
  <c r="G115" i="1"/>
  <c r="A384" i="16"/>
  <c r="G48" i="5"/>
  <c r="A587" i="16"/>
  <c r="H64" i="10"/>
  <c r="B141" i="18"/>
  <c r="B53" i="5"/>
  <c r="H16" i="1"/>
  <c r="A98" i="4"/>
  <c r="B960" i="20"/>
  <c r="G66" i="6"/>
  <c r="B872" i="20"/>
  <c r="G82" i="13"/>
  <c r="H105" i="6"/>
  <c r="A33" i="6"/>
  <c r="A147" i="8"/>
  <c r="G84" i="1"/>
  <c r="A126" i="8"/>
  <c r="A100" i="9"/>
  <c r="A106" i="18"/>
  <c r="H103" i="2"/>
  <c r="G154" i="4"/>
  <c r="G82" i="7"/>
  <c r="A1660" i="16"/>
  <c r="A48" i="1"/>
  <c r="H131" i="2"/>
  <c r="F33" i="7"/>
  <c r="A2598" i="20"/>
  <c r="A1624" i="16"/>
  <c r="B1838" i="16"/>
  <c r="G59" i="8"/>
  <c r="H23" i="8"/>
  <c r="A6" i="5"/>
  <c r="B648" i="16"/>
  <c r="A745" i="20"/>
  <c r="B86" i="12"/>
  <c r="A87" i="5"/>
  <c r="A1628" i="16"/>
  <c r="H67" i="5"/>
  <c r="E104" i="9"/>
  <c r="A22" i="9"/>
  <c r="B71" i="5"/>
  <c r="F9" i="12"/>
  <c r="B1389" i="20"/>
  <c r="A808" i="16"/>
  <c r="G50" i="9"/>
  <c r="H64" i="1"/>
  <c r="G23" i="2"/>
  <c r="G76" i="7"/>
  <c r="F92" i="1"/>
  <c r="A61" i="11"/>
  <c r="A16" i="9"/>
  <c r="F34" i="10"/>
  <c r="A1083" i="16"/>
  <c r="B36" i="9"/>
  <c r="A1766" i="20"/>
  <c r="H137" i="13"/>
  <c r="B1630" i="16"/>
  <c r="H101" i="7"/>
  <c r="E64" i="7"/>
  <c r="G121" i="2"/>
  <c r="G54" i="7"/>
  <c r="B31" i="2"/>
  <c r="G126" i="1"/>
  <c r="A1531" i="20"/>
  <c r="G61" i="8"/>
  <c r="B244" i="20"/>
  <c r="G96" i="9"/>
  <c r="A99" i="1"/>
  <c r="A67" i="10"/>
  <c r="H19" i="7"/>
  <c r="G15" i="1"/>
  <c r="B2227" i="20"/>
  <c r="A4" i="11"/>
  <c r="H17" i="11"/>
  <c r="A15" i="12"/>
  <c r="B138" i="10"/>
  <c r="B16" i="2"/>
  <c r="A231" i="16"/>
  <c r="B57" i="7"/>
  <c r="A1352" i="16"/>
  <c r="H54" i="13"/>
  <c r="H75" i="1"/>
  <c r="G106" i="12"/>
  <c r="B143" i="4"/>
  <c r="A116" i="12"/>
  <c r="H37" i="7"/>
  <c r="A8" i="12"/>
  <c r="H62" i="5"/>
  <c r="B2071" i="20"/>
  <c r="A57" i="7"/>
  <c r="G73" i="1"/>
  <c r="A6" i="14"/>
  <c r="B69" i="4"/>
  <c r="B946" i="20"/>
  <c r="A50" i="10"/>
  <c r="B61" i="11"/>
  <c r="H28" i="12"/>
  <c r="A10" i="14"/>
  <c r="B1081" i="16"/>
  <c r="A63" i="1"/>
  <c r="A4296" i="20"/>
  <c r="G112" i="10"/>
  <c r="B1502" i="16"/>
  <c r="A44" i="7"/>
  <c r="H106" i="1"/>
  <c r="B86" i="19"/>
  <c r="B843" i="20"/>
  <c r="B185" i="20"/>
  <c r="A706" i="16"/>
  <c r="A674" i="16"/>
  <c r="H70" i="6"/>
  <c r="A110" i="8"/>
  <c r="E10" i="4"/>
  <c r="A114" i="10"/>
  <c r="A628" i="16"/>
  <c r="H134" i="9"/>
  <c r="A69" i="20"/>
  <c r="B204" i="20"/>
  <c r="B45" i="17"/>
  <c r="A265" i="19"/>
  <c r="B134" i="2"/>
  <c r="A1992" i="20"/>
  <c r="A82" i="13"/>
  <c r="A517" i="16"/>
  <c r="B135" i="13"/>
  <c r="A101" i="11"/>
  <c r="B547" i="20"/>
  <c r="A2438" i="20"/>
  <c r="B939" i="20"/>
  <c r="B59" i="11"/>
  <c r="B540" i="16"/>
  <c r="B1387" i="16"/>
  <c r="B95" i="9"/>
  <c r="B1076" i="16"/>
  <c r="A438" i="16"/>
  <c r="A7421" i="20"/>
  <c r="B73" i="5"/>
  <c r="B562" i="20"/>
  <c r="A103" i="6"/>
  <c r="B408" i="20"/>
  <c r="B89" i="2"/>
  <c r="B74" i="2"/>
  <c r="A54" i="9"/>
  <c r="G73" i="4"/>
  <c r="A1202" i="16"/>
  <c r="A496" i="20"/>
  <c r="B1079" i="16"/>
  <c r="B676" i="16"/>
  <c r="A906" i="16"/>
  <c r="B326" i="19"/>
  <c r="G13" i="2"/>
  <c r="B246" i="19"/>
  <c r="B446" i="16"/>
  <c r="H91" i="8"/>
  <c r="E1" i="7"/>
  <c r="D1" i="7"/>
  <c r="G35" i="11"/>
  <c r="B450" i="20"/>
  <c r="B110" i="10"/>
  <c r="A314" i="20"/>
  <c r="B79" i="11"/>
  <c r="B1008" i="20"/>
  <c r="A8630" i="20"/>
  <c r="B2685" i="20"/>
  <c r="B613" i="20"/>
  <c r="A299" i="20"/>
  <c r="A145" i="20"/>
  <c r="B89" i="7"/>
  <c r="A1187" i="16"/>
  <c r="B54" i="6"/>
  <c r="B5161" i="20"/>
  <c r="A2617" i="20"/>
  <c r="B581" i="20"/>
  <c r="A275" i="20"/>
  <c r="A129" i="20"/>
  <c r="H85" i="7"/>
  <c r="A1171" i="16"/>
  <c r="B50" i="6"/>
  <c r="A5017" i="20"/>
  <c r="B2088" i="20"/>
  <c r="B229" i="20"/>
  <c r="A4482" i="20"/>
  <c r="A2167" i="20"/>
  <c r="A7142" i="20"/>
  <c r="B130" i="19"/>
  <c r="A259" i="20"/>
  <c r="A6465" i="20"/>
  <c r="B3084" i="20"/>
  <c r="H128" i="11"/>
  <c r="B65" i="11"/>
  <c r="A650" i="20"/>
  <c r="B253" i="19"/>
  <c r="B1663" i="16"/>
  <c r="A2984" i="20"/>
  <c r="A21" i="9"/>
  <c r="B2288" i="20"/>
  <c r="G86" i="4"/>
  <c r="A86" i="19"/>
  <c r="G82" i="4"/>
  <c r="B143" i="16"/>
  <c r="A1471" i="16"/>
  <c r="A1327" i="16"/>
  <c r="A943" i="20"/>
  <c r="B1829" i="20"/>
  <c r="B1361" i="16"/>
  <c r="A782" i="20"/>
  <c r="A203" i="20"/>
  <c r="A49" i="20"/>
  <c r="H135" i="12"/>
  <c r="A192" i="20"/>
  <c r="A1404" i="20"/>
  <c r="A159" i="20"/>
  <c r="B4493" i="20"/>
  <c r="A651" i="20"/>
  <c r="A497" i="20"/>
  <c r="H49" i="12"/>
  <c r="A1285" i="16"/>
  <c r="A596" i="20"/>
  <c r="A1306" i="16"/>
  <c r="A332" i="20"/>
  <c r="A1330" i="20"/>
  <c r="B4132" i="20"/>
  <c r="B1335" i="20"/>
  <c r="B51" i="13"/>
  <c r="B6" i="11"/>
  <c r="A136" i="8"/>
  <c r="B5935" i="20"/>
  <c r="B1032" i="20"/>
  <c r="B1141" i="20"/>
  <c r="B101" i="8"/>
  <c r="G105" i="4"/>
  <c r="H79" i="1"/>
  <c r="B92" i="4"/>
  <c r="B2167" i="20"/>
  <c r="G85" i="11"/>
  <c r="H53" i="1"/>
  <c r="A2" i="5"/>
  <c r="A1292" i="16"/>
  <c r="A24" i="2"/>
  <c r="A890" i="16"/>
  <c r="A579" i="16"/>
  <c r="B44" i="5"/>
  <c r="B3793" i="20"/>
  <c r="B1298" i="16"/>
  <c r="A429" i="16"/>
  <c r="G8" i="5"/>
  <c r="H108" i="4"/>
  <c r="G20" i="1"/>
  <c r="A103" i="4"/>
  <c r="H128" i="6"/>
  <c r="F25" i="7"/>
  <c r="B44" i="20"/>
  <c r="B123" i="12"/>
  <c r="H60" i="2"/>
  <c r="A1438" i="16"/>
  <c r="A17" i="19"/>
  <c r="B80" i="9"/>
  <c r="B1937" i="20"/>
  <c r="A1746" i="20"/>
  <c r="A1424" i="16"/>
  <c r="B46" i="9"/>
  <c r="A108" i="19"/>
  <c r="A137" i="1"/>
  <c r="A140" i="18"/>
  <c r="A736" i="16"/>
  <c r="G123" i="1"/>
  <c r="G41" i="6"/>
  <c r="B44" i="4"/>
  <c r="B114" i="20"/>
  <c r="G8" i="10"/>
  <c r="B866" i="20"/>
  <c r="B723" i="20"/>
  <c r="A87" i="10"/>
  <c r="A379" i="19"/>
  <c r="G77" i="12"/>
  <c r="B92" i="9"/>
  <c r="G52" i="10"/>
  <c r="A1403" i="16"/>
  <c r="A35" i="10"/>
  <c r="A1323" i="16"/>
  <c r="F10" i="9"/>
  <c r="G90" i="1"/>
  <c r="B135" i="4"/>
  <c r="B1183" i="16"/>
  <c r="B2329" i="20"/>
  <c r="B608" i="16"/>
  <c r="A172" i="20"/>
  <c r="B2075" i="20"/>
  <c r="B2363" i="20"/>
  <c r="B1203" i="20"/>
  <c r="A442" i="16"/>
  <c r="B417" i="16"/>
  <c r="B133" i="10"/>
  <c r="B395" i="16"/>
  <c r="A148" i="20"/>
  <c r="B1883" i="20"/>
  <c r="B2171" i="20"/>
  <c r="B1137" i="20"/>
  <c r="A410" i="16"/>
  <c r="B401" i="16"/>
  <c r="B126" i="10"/>
  <c r="B379" i="16"/>
  <c r="B267" i="19"/>
  <c r="A2840" i="20"/>
  <c r="A5398" i="20"/>
  <c r="A3927" i="20"/>
  <c r="A2173" i="20"/>
  <c r="A1452" i="20"/>
  <c r="B2357" i="20"/>
  <c r="B5413" i="20"/>
  <c r="B3983" i="20"/>
  <c r="B2237" i="20"/>
  <c r="A207" i="19"/>
  <c r="A4626" i="20"/>
  <c r="A5531" i="20"/>
  <c r="A1850" i="20"/>
  <c r="A1485" i="20"/>
  <c r="B1511" i="20"/>
  <c r="A3786" i="20"/>
  <c r="F64" i="12"/>
  <c r="G104" i="11"/>
  <c r="B60" i="12"/>
  <c r="B348" i="19"/>
  <c r="B701" i="16"/>
  <c r="A112" i="18"/>
  <c r="H114" i="12"/>
  <c r="B2799" i="20"/>
  <c r="A1816" i="16"/>
  <c r="A2430" i="20"/>
  <c r="B1595" i="20"/>
  <c r="B1025" i="20"/>
  <c r="A385" i="16"/>
  <c r="B1330" i="16"/>
  <c r="A1467" i="20"/>
  <c r="A54" i="8"/>
  <c r="B3961" i="20"/>
  <c r="A214" i="20"/>
  <c r="A464" i="20"/>
  <c r="A1146" i="16"/>
  <c r="A159" i="16"/>
  <c r="B5284" i="20"/>
  <c r="B1267" i="16"/>
  <c r="B4837" i="20"/>
  <c r="A29" i="12"/>
  <c r="B1000" i="16"/>
  <c r="B882" i="16"/>
  <c r="B1769" i="20"/>
  <c r="B14" i="18"/>
  <c r="C131" i="18"/>
  <c r="A47" i="17"/>
  <c r="A1127" i="16"/>
  <c r="G29" i="10"/>
  <c r="A1800" i="16"/>
  <c r="A1568" i="16"/>
  <c r="H15" i="2"/>
  <c r="A1408" i="16"/>
  <c r="G128" i="5"/>
  <c r="A1547" i="16"/>
  <c r="B2455" i="20"/>
  <c r="B2423" i="20"/>
  <c r="A92" i="5"/>
  <c r="A122" i="2"/>
  <c r="B2023" i="20"/>
  <c r="G65" i="13"/>
  <c r="A143" i="9"/>
  <c r="G55" i="13"/>
  <c r="B321" i="20"/>
  <c r="A48" i="13"/>
  <c r="G107" i="9"/>
  <c r="G117" i="8"/>
  <c r="B51" i="2"/>
  <c r="G94" i="8"/>
  <c r="G36" i="5"/>
  <c r="B123" i="13"/>
  <c r="E78" i="1"/>
  <c r="B130" i="6"/>
  <c r="G131" i="1"/>
  <c r="G22" i="1"/>
  <c r="B55" i="6"/>
  <c r="B7" i="11"/>
  <c r="B3876" i="20"/>
  <c r="B2241" i="20"/>
  <c r="A51" i="16"/>
  <c r="B1591" i="20"/>
  <c r="A288" i="20"/>
  <c r="A124" i="6"/>
  <c r="B351" i="19"/>
  <c r="H15" i="13"/>
  <c r="B155" i="4"/>
  <c r="H132" i="10"/>
  <c r="A768" i="16"/>
  <c r="G78" i="5"/>
  <c r="A907" i="16"/>
  <c r="A64" i="16"/>
  <c r="B135" i="7"/>
  <c r="B94" i="12"/>
  <c r="B14" i="9"/>
  <c r="A1562" i="20"/>
  <c r="G87" i="11"/>
  <c r="B48" i="12"/>
  <c r="B105" i="8"/>
  <c r="A148" i="1"/>
  <c r="B1034" i="16"/>
  <c r="B1062" i="20"/>
  <c r="A5" i="1"/>
  <c r="G73" i="10"/>
  <c r="A14" i="9"/>
  <c r="A7647" i="20"/>
  <c r="A1847" i="16"/>
  <c r="B5513" i="20"/>
  <c r="C108" i="18"/>
  <c r="A785" i="20"/>
  <c r="A5591" i="20"/>
  <c r="B947" i="16"/>
  <c r="B4642" i="20"/>
  <c r="B5554" i="20"/>
  <c r="A2601" i="20"/>
  <c r="A3608" i="20"/>
  <c r="A4425" i="20"/>
  <c r="B797" i="16"/>
  <c r="A133" i="16"/>
  <c r="H95" i="4"/>
  <c r="H73" i="11"/>
  <c r="B79" i="7"/>
  <c r="A3253" i="20"/>
  <c r="B3436" i="20"/>
  <c r="B1054" i="20"/>
  <c r="A263" i="16"/>
  <c r="A117" i="16"/>
  <c r="G91" i="4"/>
  <c r="H68" i="11"/>
  <c r="B71" i="7"/>
  <c r="B4186" i="20"/>
  <c r="A4352" i="20"/>
  <c r="B8907" i="20"/>
  <c r="B5243" i="20"/>
  <c r="B2856" i="20"/>
  <c r="B5011" i="20"/>
  <c r="A4596" i="20"/>
  <c r="B4968" i="20"/>
  <c r="A2049" i="20"/>
  <c r="B89" i="11"/>
  <c r="A1673" i="20"/>
  <c r="A1633" i="20"/>
  <c r="B1859" i="20"/>
  <c r="A1441" i="16"/>
  <c r="A795" i="20"/>
  <c r="G40" i="11"/>
  <c r="A826" i="20"/>
  <c r="D64" i="12"/>
  <c r="B2709" i="20"/>
  <c r="B3967" i="20"/>
  <c r="A1131" i="20"/>
  <c r="B955" i="20"/>
  <c r="A555" i="20"/>
  <c r="A401" i="20"/>
  <c r="A11" i="8"/>
  <c r="A1443" i="16"/>
  <c r="B114" i="6"/>
  <c r="A7999" i="20"/>
  <c r="B4537" i="20"/>
  <c r="B923" i="20"/>
  <c r="A531" i="20"/>
  <c r="A385" i="20"/>
  <c r="G7" i="8"/>
  <c r="A1427" i="16"/>
  <c r="A109" i="6"/>
  <c r="B5033" i="20"/>
  <c r="B2600" i="20"/>
  <c r="B571" i="20"/>
  <c r="A3684" i="20"/>
  <c r="A3670" i="20"/>
  <c r="A17" i="23"/>
  <c r="A133" i="19"/>
  <c r="B963" i="20"/>
  <c r="A4867" i="20"/>
  <c r="B295" i="20"/>
  <c r="B19" i="18"/>
  <c r="A35" i="13"/>
  <c r="A1182" i="20"/>
  <c r="A1964" i="20"/>
  <c r="A74" i="19"/>
  <c r="B1683" i="20"/>
  <c r="B103" i="10"/>
  <c r="A2452" i="20"/>
  <c r="A38" i="6"/>
  <c r="A211" i="20"/>
  <c r="F35" i="6"/>
  <c r="B399" i="16"/>
  <c r="A1727" i="16"/>
  <c r="B374" i="20"/>
  <c r="B177" i="20"/>
  <c r="B2660" i="20"/>
  <c r="B512" i="20"/>
  <c r="B2032" i="20"/>
  <c r="A459" i="20"/>
  <c r="A305" i="20"/>
  <c r="B685" i="16"/>
  <c r="A125" i="4"/>
  <c r="A2428" i="20"/>
  <c r="B1321" i="20"/>
  <c r="A2164" i="20"/>
  <c r="A907" i="20"/>
  <c r="A753" i="20"/>
  <c r="B511" i="16"/>
  <c r="B67" i="11"/>
  <c r="B4301" i="20"/>
  <c r="H79" i="11"/>
  <c r="B2013" i="20"/>
  <c r="A2354" i="20"/>
  <c r="G88" i="11"/>
  <c r="H34" i="11"/>
  <c r="A805" i="16"/>
  <c r="A124" i="11"/>
  <c r="A37" i="9"/>
  <c r="A4827" i="20"/>
  <c r="A545" i="20"/>
  <c r="B55" i="11"/>
  <c r="E4" i="9"/>
  <c r="B115" i="5"/>
  <c r="E2" i="1"/>
  <c r="B102" i="5"/>
  <c r="H55" i="4"/>
  <c r="A42" i="4"/>
  <c r="G19" i="8"/>
  <c r="B79" i="5"/>
  <c r="H151" i="1"/>
  <c r="A124" i="9"/>
  <c r="B9" i="18"/>
  <c r="A835" i="16"/>
  <c r="G103" i="5"/>
  <c r="A1999" i="20"/>
  <c r="B84" i="20"/>
  <c r="A685" i="16"/>
  <c r="H68" i="5"/>
  <c r="A29" i="5"/>
  <c r="A80" i="1"/>
  <c r="H22" i="5"/>
  <c r="B124" i="7"/>
  <c r="G102" i="5"/>
  <c r="A523" i="16"/>
  <c r="B665" i="16"/>
  <c r="G38" i="1"/>
  <c r="E65" i="5"/>
  <c r="A337" i="19"/>
  <c r="G140" i="9"/>
  <c r="B3869" i="20"/>
  <c r="B4292" i="20"/>
  <c r="G93" i="6"/>
  <c r="H105" i="9"/>
  <c r="G108" i="12"/>
  <c r="F113" i="4"/>
  <c r="G70" i="12"/>
  <c r="F12" i="6"/>
  <c r="B117" i="2"/>
  <c r="A97" i="9"/>
  <c r="A50" i="5"/>
  <c r="D36" i="4"/>
  <c r="A24" i="19"/>
  <c r="G65" i="2"/>
  <c r="B193" i="19"/>
  <c r="B14" i="19"/>
  <c r="G76" i="12"/>
  <c r="A1387" i="20"/>
  <c r="B80" i="11"/>
  <c r="A1434" i="20"/>
  <c r="B72" i="11"/>
  <c r="B1165" i="20"/>
  <c r="B4806" i="20"/>
  <c r="A2159" i="20"/>
  <c r="B2192" i="20"/>
  <c r="A1080" i="20"/>
  <c r="B1094" i="20"/>
  <c r="A1032" i="20"/>
  <c r="B1030" i="20"/>
  <c r="A9" i="20"/>
  <c r="A2016" i="20"/>
  <c r="B2605" i="20"/>
  <c r="B6644" i="20"/>
  <c r="B6262" i="20"/>
  <c r="B3142" i="20"/>
  <c r="B8225" i="20"/>
  <c r="B2910" i="20"/>
  <c r="B6442" i="20"/>
  <c r="B731" i="20"/>
  <c r="B6164" i="20"/>
  <c r="B4353" i="20"/>
  <c r="A2750" i="20"/>
  <c r="B37" i="13"/>
  <c r="B1080" i="20"/>
  <c r="B909" i="20"/>
  <c r="B121" i="18"/>
  <c r="A44" i="20"/>
  <c r="B252" i="19"/>
  <c r="B636" i="20"/>
  <c r="A1722" i="16"/>
  <c r="B1057" i="16"/>
  <c r="A368" i="16"/>
  <c r="B1035" i="16"/>
  <c r="A788" i="20"/>
  <c r="A670" i="20"/>
  <c r="A742" i="20"/>
  <c r="A1194" i="20"/>
  <c r="A1690" i="16"/>
  <c r="B1041" i="16"/>
  <c r="A336" i="16"/>
  <c r="B1019" i="16"/>
  <c r="A524" i="20"/>
  <c r="A142" i="20"/>
  <c r="B5459" i="20"/>
  <c r="B7531" i="20"/>
  <c r="A3095" i="20"/>
  <c r="A7629" i="20"/>
  <c r="A2863" i="20"/>
  <c r="B2602" i="20"/>
  <c r="B1159" i="16"/>
  <c r="B2442" i="20"/>
  <c r="A1262" i="20"/>
  <c r="A1252" i="20"/>
  <c r="B140" i="19"/>
  <c r="B1746" i="16"/>
  <c r="B493" i="16"/>
  <c r="B53" i="12"/>
  <c r="A492" i="20"/>
  <c r="A78" i="20"/>
  <c r="A150" i="20"/>
  <c r="A336" i="20"/>
  <c r="A1082" i="16"/>
  <c r="B737" i="16"/>
  <c r="B34" i="13"/>
  <c r="B715" i="16"/>
  <c r="A468" i="20"/>
  <c r="A30" i="20"/>
  <c r="A102" i="20"/>
  <c r="A272" i="20"/>
  <c r="A1050" i="16"/>
  <c r="B721" i="16"/>
  <c r="B18" i="13"/>
  <c r="B699" i="16"/>
  <c r="A204" i="20"/>
  <c r="B2331" i="20"/>
  <c r="A5645" i="20"/>
  <c r="B7019" i="20"/>
  <c r="A2967" i="20"/>
  <c r="A7117" i="20"/>
  <c r="A3777" i="20"/>
  <c r="B2090" i="20"/>
  <c r="B1031" i="16"/>
  <c r="B1930" i="20"/>
  <c r="A1230" i="20"/>
  <c r="B4378" i="20"/>
  <c r="B6677" i="20"/>
  <c r="B53" i="16"/>
  <c r="B1759" i="16"/>
  <c r="A221" i="19"/>
  <c r="B1184" i="16"/>
  <c r="A3752" i="20"/>
  <c r="B1071" i="16"/>
  <c r="B888" i="16"/>
  <c r="A42" i="11"/>
  <c r="G50" i="13"/>
  <c r="A135" i="9"/>
  <c r="A40" i="13"/>
  <c r="B2355" i="20"/>
  <c r="B1614" i="20"/>
  <c r="B473" i="20"/>
  <c r="B277" i="20"/>
  <c r="B27" i="11"/>
  <c r="A43" i="13"/>
  <c r="G130" i="9"/>
  <c r="A33" i="13"/>
  <c r="A2735" i="20"/>
  <c r="A2426" i="20"/>
  <c r="B4640" i="20"/>
  <c r="B6134" i="20"/>
  <c r="B3210" i="20"/>
  <c r="B5830" i="20"/>
  <c r="B2978" i="20"/>
  <c r="B3898" i="20"/>
  <c r="A94" i="19"/>
  <c r="B3738" i="20"/>
  <c r="A1114" i="20"/>
  <c r="A2265" i="20"/>
  <c r="C142" i="18"/>
  <c r="B3387" i="20"/>
  <c r="H86" i="13"/>
  <c r="A1450" i="20"/>
  <c r="B4596" i="20"/>
  <c r="A2298" i="20"/>
  <c r="B109" i="20"/>
  <c r="A339" i="19"/>
  <c r="A74" i="10"/>
  <c r="D36" i="12"/>
  <c r="G60" i="9"/>
  <c r="N49" i="33"/>
  <c r="B4500" i="20"/>
  <c r="A2202" i="20"/>
  <c r="B85" i="20"/>
  <c r="A323" i="19"/>
  <c r="A70" i="10"/>
  <c r="F28" i="12"/>
  <c r="G56" i="9"/>
  <c r="A7494" i="20"/>
  <c r="B3444" i="20"/>
  <c r="B4589" i="20"/>
  <c r="A4167" i="20"/>
  <c r="B5964" i="20"/>
  <c r="B3082" i="20"/>
  <c r="B5702" i="20"/>
  <c r="B2850" i="20"/>
  <c r="B3386" i="20"/>
  <c r="C104" i="18"/>
  <c r="B3226" i="20"/>
  <c r="A1082" i="20"/>
  <c r="A1753" i="20"/>
  <c r="C120" i="18"/>
  <c r="B1530" i="20"/>
  <c r="B3141" i="20"/>
  <c r="B3677" i="20"/>
  <c r="A886" i="20"/>
  <c r="G58" i="12"/>
  <c r="A1600" i="20"/>
  <c r="A255" i="19"/>
  <c r="A863" i="16"/>
  <c r="G36" i="13"/>
  <c r="B1967" i="20"/>
  <c r="H90" i="6"/>
  <c r="B1615" i="20"/>
  <c r="A1832" i="20"/>
  <c r="B3204" i="20"/>
  <c r="B3780" i="20"/>
  <c r="B86" i="13"/>
  <c r="A32" i="13"/>
  <c r="B1711" i="20"/>
  <c r="H86" i="6"/>
  <c r="B1359" i="20"/>
  <c r="A1568" i="20"/>
  <c r="A1523" i="20"/>
  <c r="B4673" i="20"/>
  <c r="A6088" i="20"/>
  <c r="A3706" i="20"/>
  <c r="A5160" i="20"/>
  <c r="A3474" i="20"/>
  <c r="B4706" i="20"/>
  <c r="B1537" i="20"/>
  <c r="A4585" i="20"/>
  <c r="A2030" i="20"/>
  <c r="A2020" i="20"/>
  <c r="A525" i="20"/>
  <c r="B1028" i="20"/>
  <c r="B1261" i="16"/>
  <c r="B256" i="16"/>
  <c r="A1536" i="20"/>
  <c r="A1267" i="20"/>
  <c r="A1561" i="20"/>
  <c r="A130" i="12"/>
  <c r="B76" i="12"/>
  <c r="B64" i="20"/>
  <c r="A14" i="6"/>
  <c r="A360" i="19"/>
  <c r="A1512" i="20"/>
  <c r="B4505" i="20"/>
  <c r="A1363" i="20"/>
  <c r="G124" i="12"/>
  <c r="B70" i="12"/>
  <c r="A1" i="20"/>
  <c r="F10" i="6"/>
  <c r="A296" i="19"/>
  <c r="A1248" i="20"/>
  <c r="B1284" i="20"/>
  <c r="A6193" i="20"/>
  <c r="A5576" i="20"/>
  <c r="A3578" i="20"/>
  <c r="B6607" i="20"/>
  <c r="A3346" i="20"/>
  <c r="A4233" i="20"/>
  <c r="A1109" i="20"/>
  <c r="A4073" i="20"/>
  <c r="A1998" i="20"/>
  <c r="A1988" i="20"/>
  <c r="A493" i="20"/>
  <c r="B900" i="20"/>
  <c r="B1229" i="16"/>
  <c r="B224" i="16"/>
  <c r="B4191" i="20"/>
  <c r="G127" i="12"/>
  <c r="G100" i="11"/>
  <c r="A3153" i="20"/>
  <c r="B4357" i="20"/>
  <c r="B687" i="16"/>
  <c r="C76" i="18"/>
  <c r="B8" i="17"/>
  <c r="H81" i="7"/>
  <c r="B410" i="16"/>
  <c r="A1748" i="16"/>
  <c r="A3057" i="20"/>
  <c r="B3973" i="20"/>
  <c r="B663" i="16"/>
  <c r="C60" i="18"/>
  <c r="A1845" i="16"/>
  <c r="H77" i="7"/>
  <c r="B398" i="16"/>
  <c r="A1684" i="16"/>
  <c r="B3990" i="20"/>
  <c r="B1931" i="20"/>
  <c r="B6804" i="20"/>
  <c r="B4786" i="20"/>
  <c r="B7955" i="20"/>
  <c r="B3520" i="20"/>
  <c r="B5300" i="20"/>
  <c r="B4591" i="20"/>
  <c r="B2526" i="20"/>
  <c r="B5115" i="20"/>
  <c r="A1291" i="20"/>
  <c r="A635" i="20"/>
  <c r="B49" i="19"/>
  <c r="A124" i="20"/>
  <c r="B1979" i="20"/>
  <c r="A445" i="20"/>
  <c r="G136" i="10"/>
  <c r="B936" i="16"/>
  <c r="A1389" i="20"/>
  <c r="B1255" i="20"/>
  <c r="B2378" i="20"/>
  <c r="B836" i="20"/>
  <c r="B616" i="16"/>
  <c r="B2006" i="20"/>
  <c r="A88" i="7"/>
  <c r="A979" i="20"/>
  <c r="A84" i="7"/>
  <c r="B591" i="16"/>
  <c r="C12" i="18"/>
  <c r="A1765" i="16"/>
  <c r="B265" i="19"/>
  <c r="B55" i="10"/>
  <c r="B899" i="20"/>
  <c r="B51" i="10"/>
  <c r="B1039" i="16"/>
  <c r="B438" i="20"/>
  <c r="A206" i="19"/>
  <c r="B1344" i="16"/>
  <c r="B4085" i="20"/>
  <c r="B837" i="20"/>
  <c r="A1363" i="16"/>
  <c r="B485" i="20"/>
  <c r="B176" i="20"/>
  <c r="B31" i="19"/>
  <c r="B1303" i="20"/>
  <c r="B2" i="6"/>
  <c r="B1428" i="16"/>
  <c r="F11" i="7"/>
  <c r="A850" i="20"/>
  <c r="G57" i="9"/>
  <c r="B1314" i="16"/>
  <c r="A70" i="6"/>
  <c r="A31" i="6"/>
  <c r="G37" i="2"/>
  <c r="G21" i="6"/>
  <c r="D13" i="1"/>
  <c r="F13" i="6"/>
  <c r="B102" i="20"/>
  <c r="A78" i="10"/>
  <c r="A153" i="1"/>
  <c r="F47" i="8"/>
  <c r="A46" i="9"/>
  <c r="B4" i="16"/>
  <c r="H87" i="11"/>
  <c r="B2629" i="20"/>
  <c r="B1841" i="16"/>
  <c r="B109" i="13"/>
  <c r="B88" i="10"/>
  <c r="B52" i="2"/>
  <c r="A358" i="19"/>
  <c r="B1497" i="16"/>
  <c r="A87" i="1"/>
  <c r="A38" i="9"/>
  <c r="A1794" i="16"/>
  <c r="H100" i="4"/>
  <c r="A153" i="19"/>
  <c r="A1317" i="16"/>
  <c r="H50" i="12"/>
  <c r="A68" i="9"/>
  <c r="A4914" i="20"/>
  <c r="A1057" i="20"/>
  <c r="A114" i="11"/>
  <c r="F33" i="9"/>
  <c r="A92" i="6"/>
  <c r="F61" i="1"/>
  <c r="A68" i="6"/>
  <c r="B95" i="4"/>
  <c r="H40" i="5"/>
  <c r="B28" i="2"/>
  <c r="H124" i="5"/>
  <c r="A102" i="2"/>
  <c r="B45" i="2"/>
  <c r="B4538" i="20"/>
  <c r="B350" i="20"/>
  <c r="B6810" i="20"/>
  <c r="B1805" i="16"/>
  <c r="A529" i="20"/>
  <c r="B4770" i="20"/>
  <c r="B691" i="16"/>
  <c r="B6084" i="20"/>
  <c r="B5042" i="20"/>
  <c r="B4409" i="20"/>
  <c r="A2105" i="20"/>
  <c r="B5768" i="20"/>
  <c r="B387" i="16"/>
  <c r="B5640" i="20"/>
  <c r="B371" i="16"/>
  <c r="H92" i="5"/>
  <c r="A1869" i="20"/>
  <c r="A490" i="20"/>
  <c r="A7467" i="20"/>
  <c r="B6477" i="20"/>
  <c r="B6546" i="20"/>
  <c r="B5549" i="20"/>
  <c r="B6138" i="20"/>
  <c r="B5001" i="20"/>
  <c r="A2102" i="20"/>
  <c r="B1333" i="16"/>
  <c r="B1363" i="20"/>
  <c r="A7603" i="20"/>
  <c r="B6408" i="20"/>
  <c r="B391" i="20"/>
  <c r="A4" i="14"/>
  <c r="B116" i="12"/>
  <c r="A2253" i="20"/>
  <c r="B2653" i="20"/>
  <c r="A45" i="19"/>
  <c r="B36" i="11"/>
  <c r="E3" i="6"/>
  <c r="A66" i="13"/>
  <c r="A22" i="10"/>
  <c r="A3434" i="20"/>
  <c r="B703" i="20"/>
  <c r="A46" i="13"/>
  <c r="A1095" i="16"/>
  <c r="A949" i="16"/>
  <c r="C1" i="6"/>
  <c r="A62" i="13"/>
  <c r="F12" i="10"/>
  <c r="B3715" i="20"/>
  <c r="B439" i="20"/>
  <c r="A9000" i="20"/>
  <c r="A7352" i="20"/>
  <c r="B4008" i="20"/>
  <c r="A6392" i="20"/>
  <c r="B3776" i="20"/>
  <c r="B6246" i="20"/>
  <c r="B4140" i="20"/>
  <c r="A439" i="16"/>
  <c r="B3323" i="20"/>
  <c r="B3163" i="20"/>
  <c r="B343" i="19"/>
  <c r="A1729" i="16"/>
  <c r="A1083" i="20"/>
  <c r="A43" i="12"/>
  <c r="B3203" i="20"/>
  <c r="B407" i="20"/>
  <c r="B42" i="12"/>
  <c r="A799" i="16"/>
  <c r="A645" i="16"/>
  <c r="H60" i="5"/>
  <c r="H103" i="12"/>
  <c r="H28" i="9"/>
  <c r="B2819" i="20"/>
  <c r="B383" i="20"/>
  <c r="B31" i="12"/>
  <c r="A775" i="16"/>
  <c r="A629" i="16"/>
  <c r="H56" i="5"/>
  <c r="A99" i="12"/>
  <c r="B21" i="9"/>
  <c r="A1643" i="20"/>
  <c r="B4428" i="20"/>
  <c r="B8997" i="20"/>
  <c r="A7397" i="20"/>
  <c r="B3880" i="20"/>
  <c r="A5784" i="20"/>
  <c r="B3648" i="20"/>
  <c r="B5634" i="20"/>
  <c r="B3628" i="20"/>
  <c r="A311" i="16"/>
  <c r="B2811" i="20"/>
  <c r="A2671" i="20"/>
  <c r="A8138" i="20"/>
  <c r="B5035" i="20"/>
  <c r="B1756" i="20"/>
  <c r="G49" i="11"/>
  <c r="B246" i="20"/>
  <c r="A3530" i="20"/>
  <c r="B3981" i="20"/>
  <c r="B298" i="19"/>
  <c r="A965" i="16"/>
  <c r="B3033" i="20"/>
  <c r="B642" i="20"/>
  <c r="B2432" i="20"/>
  <c r="B3450" i="20"/>
  <c r="A3616" i="20"/>
  <c r="B116" i="18"/>
  <c r="B67" i="13"/>
  <c r="C1" i="13"/>
  <c r="B2496" i="20"/>
  <c r="B514" i="20"/>
  <c r="B2176" i="20"/>
  <c r="A4366" i="20"/>
  <c r="B4443" i="20"/>
  <c r="A5326" i="20"/>
  <c r="A5867" i="20"/>
  <c r="A3420" i="20"/>
  <c r="A5635" i="20"/>
  <c r="A3188" i="20"/>
  <c r="A3500" i="20"/>
  <c r="B1296" i="20"/>
  <c r="B1480" i="16"/>
  <c r="B3833" i="20"/>
  <c r="B3761" i="20"/>
  <c r="B805" i="20"/>
  <c r="A1089" i="16"/>
  <c r="A443" i="20"/>
  <c r="B700" i="20"/>
  <c r="A4238" i="20"/>
  <c r="B3931" i="20"/>
  <c r="A1777" i="16"/>
  <c r="G64" i="12"/>
  <c r="B126" i="11"/>
  <c r="A1546" i="20"/>
  <c r="A1778" i="16"/>
  <c r="A1386" i="20"/>
  <c r="A4142" i="20"/>
  <c r="B3547" i="20"/>
  <c r="A1753" i="16"/>
  <c r="G54" i="12"/>
  <c r="G117" i="11"/>
  <c r="A1418" i="20"/>
  <c r="A1746" i="16"/>
  <c r="A1258" i="20"/>
  <c r="A3086" i="20"/>
  <c r="A1825" i="20"/>
  <c r="A4814" i="20"/>
  <c r="A5739" i="20"/>
  <c r="A3292" i="20"/>
  <c r="A5507" i="20"/>
  <c r="A3060" i="20"/>
  <c r="B7970" i="20"/>
  <c r="B4583" i="20"/>
  <c r="B9055" i="20"/>
  <c r="B3577" i="20"/>
  <c r="B3505" i="20"/>
  <c r="B763" i="20"/>
  <c r="A3811" i="20"/>
  <c r="A4654" i="20"/>
  <c r="B2861" i="20"/>
  <c r="A993" i="16"/>
  <c r="B653" i="16"/>
  <c r="B4900" i="20"/>
  <c r="A2209" i="20"/>
  <c r="A790" i="20"/>
  <c r="B1219" i="16"/>
  <c r="B92" i="8"/>
  <c r="B836" i="16"/>
  <c r="A110" i="4"/>
  <c r="A1133" i="20"/>
  <c r="A306" i="20"/>
  <c r="B1303" i="16"/>
  <c r="B2567" i="20"/>
  <c r="B910" i="20"/>
  <c r="B88" i="8"/>
  <c r="B826" i="16"/>
  <c r="F104" i="4"/>
  <c r="B2122" i="20"/>
  <c r="A42" i="20"/>
  <c r="B74" i="45"/>
  <c r="A7097" i="20"/>
  <c r="B4888" i="20"/>
  <c r="A6156" i="20"/>
  <c r="B4656" i="20"/>
  <c r="B4655" i="20"/>
  <c r="B1333" i="20"/>
  <c r="G121" i="13"/>
  <c r="B3380" i="20"/>
  <c r="B3340" i="20"/>
  <c r="B3565" i="20"/>
  <c r="B958" i="20"/>
  <c r="A189" i="19"/>
  <c r="A239" i="16"/>
  <c r="B1994" i="20"/>
  <c r="A10" i="20"/>
  <c r="B1007" i="16"/>
  <c r="B310" i="20"/>
  <c r="B85" i="19"/>
  <c r="A16" i="8"/>
  <c r="B622" i="16"/>
  <c r="A19" i="4"/>
  <c r="B1898" i="20"/>
  <c r="B369" i="19"/>
  <c r="B983" i="16"/>
  <c r="B214" i="20"/>
  <c r="B54" i="19"/>
  <c r="F12" i="8"/>
  <c r="B612" i="16"/>
  <c r="A15" i="4"/>
  <c r="A3281" i="20"/>
  <c r="B105" i="19"/>
  <c r="A11" i="21"/>
  <c r="A6572" i="20"/>
  <c r="B4760" i="20"/>
  <c r="A5644" i="20"/>
  <c r="A4567" i="20"/>
  <c r="A6175" i="20"/>
  <c r="A1058" i="20"/>
  <c r="G60" i="13"/>
  <c r="B3252" i="20"/>
  <c r="B3212" i="20"/>
  <c r="B2373" i="20"/>
  <c r="B830" i="20"/>
  <c r="A157" i="19"/>
  <c r="A207" i="16"/>
  <c r="B1738" i="20"/>
  <c r="B799" i="16"/>
  <c r="A1051" i="20"/>
  <c r="B352" i="16"/>
  <c r="B3877" i="20"/>
  <c r="B2905" i="20"/>
  <c r="B675" i="20"/>
  <c r="B469" i="20"/>
  <c r="G28" i="12"/>
  <c r="H110" i="13"/>
  <c r="F9" i="10"/>
  <c r="H100" i="13"/>
  <c r="B3493" i="20"/>
  <c r="B2528" i="20"/>
  <c r="B643" i="20"/>
  <c r="B449" i="20"/>
  <c r="F11" i="12"/>
  <c r="H103" i="13"/>
  <c r="F6" i="10"/>
  <c r="E93" i="13"/>
  <c r="B1811" i="20"/>
  <c r="B3775" i="20"/>
  <c r="B7385" i="20"/>
  <c r="A3956" i="20"/>
  <c r="B4550" i="20"/>
  <c r="B2125" i="20"/>
  <c r="B2566" i="20"/>
  <c r="A2652" i="20"/>
  <c r="A1966" i="20"/>
  <c r="A2486" i="20"/>
  <c r="A845" i="20"/>
  <c r="A2176" i="20"/>
  <c r="A1019" i="20"/>
  <c r="B4617" i="20"/>
  <c r="A121" i="13"/>
  <c r="B122" i="6"/>
  <c r="A846" i="20"/>
  <c r="B15" i="16"/>
  <c r="B1050" i="16"/>
  <c r="B1277" i="16"/>
  <c r="B730" i="16"/>
  <c r="B630" i="16"/>
  <c r="B1011" i="20"/>
  <c r="A96" i="16"/>
  <c r="A105" i="11"/>
  <c r="H57" i="11"/>
  <c r="A987" i="16"/>
  <c r="H84" i="7"/>
  <c r="H125" i="7"/>
  <c r="G91" i="7"/>
  <c r="A46" i="16"/>
  <c r="G131" i="4"/>
  <c r="B149" i="9"/>
  <c r="A6" i="13"/>
  <c r="A1622" i="16"/>
  <c r="A1076" i="20"/>
  <c r="B34" i="20"/>
  <c r="G71" i="12"/>
  <c r="A1030" i="16"/>
  <c r="A718" i="16"/>
  <c r="G108" i="6"/>
  <c r="A638" i="16"/>
  <c r="G100" i="4"/>
  <c r="B49" i="18"/>
  <c r="B95" i="19"/>
  <c r="G125" i="12"/>
  <c r="A123" i="4"/>
  <c r="A49" i="9"/>
  <c r="H137" i="2"/>
  <c r="B2145" i="20"/>
  <c r="A502" i="20"/>
  <c r="B100" i="11"/>
  <c r="B4055" i="20"/>
  <c r="A2004" i="20"/>
  <c r="B964" i="20"/>
  <c r="B632" i="16"/>
  <c r="B518" i="16"/>
  <c r="A751" i="20"/>
  <c r="E94" i="8"/>
  <c r="A729" i="20"/>
  <c r="B3959" i="20"/>
  <c r="A1980" i="20"/>
  <c r="B868" i="20"/>
  <c r="B624" i="16"/>
  <c r="B508" i="16"/>
  <c r="A735" i="20"/>
  <c r="G90" i="8"/>
  <c r="A713" i="20"/>
  <c r="B2903" i="20"/>
  <c r="A1716" i="20"/>
  <c r="B8589" i="20"/>
  <c r="B6352" i="20"/>
  <c r="A7080" i="20"/>
  <c r="A3723" i="20"/>
  <c r="A2781" i="20"/>
  <c r="A1395" i="20"/>
  <c r="B5570" i="20"/>
  <c r="A1429" i="20"/>
  <c r="A1828" i="20"/>
  <c r="B64" i="16"/>
  <c r="B5062" i="20"/>
  <c r="B4273" i="20"/>
  <c r="B956" i="20"/>
  <c r="H126" i="12"/>
  <c r="B1197" i="16"/>
  <c r="H16" i="6"/>
  <c r="B3783" i="20"/>
  <c r="A33" i="19"/>
  <c r="B2727" i="20"/>
  <c r="A1035" i="20"/>
  <c r="A881" i="20"/>
  <c r="B760" i="16"/>
  <c r="B2410" i="20"/>
  <c r="B142" i="20"/>
  <c r="B1354" i="20"/>
  <c r="B580" i="20"/>
  <c r="B568" i="16"/>
  <c r="B454" i="16"/>
  <c r="H18" i="11"/>
  <c r="A5285" i="20"/>
  <c r="B499" i="16"/>
  <c r="A4527" i="20"/>
  <c r="A71" i="11"/>
  <c r="B872" i="16"/>
  <c r="B754" i="16"/>
  <c r="B47" i="19"/>
  <c r="A1492" i="16"/>
  <c r="A18" i="18"/>
  <c r="A1428" i="16"/>
  <c r="H41" i="11"/>
  <c r="A511" i="16"/>
  <c r="A357" i="16"/>
  <c r="B150" i="4"/>
  <c r="B1065" i="20"/>
  <c r="G133" i="10"/>
  <c r="B187" i="20"/>
  <c r="A313" i="16"/>
  <c r="H113" i="10"/>
  <c r="B97" i="10"/>
  <c r="B65" i="19"/>
  <c r="A1340" i="16"/>
  <c r="B128" i="18"/>
  <c r="F33" i="10"/>
  <c r="E140" i="1"/>
  <c r="F6" i="7"/>
  <c r="H42" i="9"/>
  <c r="G71" i="5"/>
  <c r="H47" i="4"/>
  <c r="A117" i="2"/>
  <c r="A143" i="20"/>
  <c r="B88" i="7"/>
  <c r="A121" i="20"/>
  <c r="B592" i="20"/>
  <c r="A137" i="4"/>
  <c r="A54" i="7"/>
  <c r="A1570" i="16"/>
  <c r="E83" i="2"/>
  <c r="A1410" i="16"/>
  <c r="A55" i="4"/>
  <c r="B4349" i="20"/>
  <c r="A41" i="1"/>
  <c r="G102" i="6"/>
  <c r="H90" i="9"/>
  <c r="H84" i="4"/>
  <c r="B154" i="20"/>
  <c r="B1326" i="16"/>
  <c r="A80" i="6"/>
  <c r="A338" i="20"/>
  <c r="G95" i="8"/>
  <c r="B1228" i="16"/>
  <c r="F9" i="6"/>
  <c r="B111" i="5"/>
  <c r="F7" i="2"/>
  <c r="D103" i="5"/>
  <c r="H62" i="2"/>
  <c r="F19" i="1"/>
  <c r="A1771" i="16"/>
  <c r="A115" i="9"/>
  <c r="F117" i="1"/>
  <c r="A116" i="5"/>
  <c r="A52" i="7"/>
  <c r="C69" i="18"/>
  <c r="B138" i="8"/>
  <c r="B2680" i="20"/>
  <c r="A1752" i="16"/>
  <c r="A2" i="17"/>
  <c r="A67" i="8"/>
  <c r="B31" i="8"/>
  <c r="G29" i="5"/>
  <c r="H21" i="8"/>
  <c r="G104" i="2"/>
  <c r="G45" i="5"/>
  <c r="A1978" i="20"/>
  <c r="B1586" i="16"/>
  <c r="A1103" i="16"/>
  <c r="A3982" i="20"/>
  <c r="B2907" i="20"/>
  <c r="A1713" i="16"/>
  <c r="C36" i="12"/>
  <c r="A96" i="11"/>
  <c r="B2797" i="20"/>
  <c r="A1650" i="16"/>
  <c r="B2157" i="20"/>
  <c r="A3886" i="20"/>
  <c r="B2628" i="20"/>
  <c r="A1689" i="16"/>
  <c r="G24" i="12"/>
  <c r="H88" i="11"/>
  <c r="B2221" i="20"/>
  <c r="A1618" i="16"/>
  <c r="B1901" i="20"/>
  <c r="A2830" i="20"/>
  <c r="A1569" i="20"/>
  <c r="A6351" i="20"/>
  <c r="A3497" i="20"/>
  <c r="B3939" i="20"/>
  <c r="A1655" i="20"/>
  <c r="A5379" i="20"/>
  <c r="B423" i="20"/>
  <c r="B18" i="18"/>
  <c r="M10" i="33"/>
  <c r="B153" i="19"/>
  <c r="A131" i="18"/>
  <c r="A1149" i="20"/>
  <c r="A1710" i="20"/>
  <c r="B941" i="16"/>
  <c r="A1970" i="20"/>
  <c r="A14" i="18"/>
  <c r="D36" i="13"/>
  <c r="B1587" i="20"/>
  <c r="B99" i="10"/>
  <c r="B3956" i="20"/>
  <c r="A982" i="20"/>
  <c r="A2346" i="20"/>
  <c r="A3064" i="20"/>
  <c r="B2321" i="20"/>
  <c r="B1096" i="16"/>
  <c r="B2257" i="20"/>
  <c r="A1617" i="16"/>
  <c r="B122" i="11"/>
  <c r="G51" i="11"/>
  <c r="A369" i="16"/>
  <c r="A112" i="20"/>
  <c r="A8" i="11"/>
  <c r="A48" i="20"/>
  <c r="A111" i="18"/>
  <c r="B64" i="13"/>
  <c r="H128" i="12"/>
  <c r="A108" i="20"/>
  <c r="H140" i="8"/>
  <c r="B4565" i="20"/>
  <c r="A137" i="8"/>
  <c r="B66" i="18"/>
  <c r="A34" i="13"/>
  <c r="G96" i="12"/>
  <c r="A91" i="9"/>
  <c r="H54" i="8"/>
  <c r="G15" i="13"/>
  <c r="A102" i="9"/>
  <c r="A1977" i="20"/>
  <c r="B49" i="16"/>
  <c r="H107" i="12"/>
  <c r="B35" i="9"/>
  <c r="E4" i="1"/>
  <c r="B556" i="20"/>
  <c r="A16" i="13"/>
  <c r="H75" i="2"/>
  <c r="A1694" i="16"/>
  <c r="H36" i="10"/>
  <c r="G30" i="12"/>
  <c r="A23" i="20"/>
  <c r="B42" i="19"/>
  <c r="B3327" i="20"/>
  <c r="A434" i="16"/>
  <c r="A1124" i="20"/>
  <c r="H75" i="12"/>
  <c r="G128" i="12"/>
  <c r="A138" i="16"/>
  <c r="B1401" i="16"/>
  <c r="A81" i="1"/>
  <c r="B1321" i="16"/>
  <c r="B21" i="12"/>
  <c r="G40" i="4"/>
  <c r="B112" i="4"/>
  <c r="A59" i="4"/>
  <c r="A99" i="8"/>
  <c r="A832" i="16"/>
  <c r="A762" i="16"/>
  <c r="A515" i="16"/>
  <c r="H28" i="5"/>
  <c r="B2366" i="20"/>
  <c r="B1126" i="16"/>
  <c r="A365" i="16"/>
  <c r="G151" i="4"/>
  <c r="A88" i="4"/>
  <c r="F6" i="1"/>
  <c r="B81" i="4"/>
  <c r="H99" i="6"/>
  <c r="G52" i="4"/>
  <c r="B1756" i="16"/>
  <c r="E3" i="12"/>
  <c r="A156" i="1"/>
  <c r="A414" i="16"/>
  <c r="H95" i="11"/>
  <c r="A1219" i="16"/>
  <c r="B62" i="6"/>
  <c r="A2951" i="20"/>
  <c r="A213" i="16"/>
  <c r="A1069" i="16"/>
  <c r="F26" i="6"/>
  <c r="B28" i="6"/>
  <c r="A13" i="2"/>
  <c r="B18" i="6"/>
  <c r="B5" i="9"/>
  <c r="H150" i="1"/>
  <c r="H130" i="13"/>
  <c r="A160" i="19"/>
  <c r="A2624" i="20"/>
  <c r="A1825" i="16"/>
  <c r="B1485" i="16"/>
  <c r="A5273" i="20"/>
  <c r="A2526" i="20"/>
  <c r="A1021" i="20"/>
  <c r="B1757" i="16"/>
  <c r="B1603" i="16"/>
  <c r="A1464" i="16"/>
  <c r="B128" i="12"/>
  <c r="A1494" i="16"/>
  <c r="A3781" i="20"/>
  <c r="A2502" i="20"/>
  <c r="A997" i="20"/>
  <c r="B1733" i="16"/>
  <c r="B1587" i="16"/>
  <c r="A1432" i="16"/>
  <c r="G121" i="12"/>
  <c r="A1430" i="16"/>
  <c r="B5668" i="20"/>
  <c r="A2238" i="20"/>
  <c r="A5346" i="20"/>
  <c r="B5913" i="20"/>
  <c r="B4709" i="20"/>
  <c r="B5467" i="20"/>
  <c r="B4937" i="20"/>
  <c r="B5572" i="20"/>
  <c r="B4544" i="20"/>
  <c r="A2468" i="20"/>
  <c r="A7155" i="20"/>
  <c r="F34" i="13"/>
  <c r="A2196" i="20"/>
  <c r="B325" i="19"/>
  <c r="B77" i="19"/>
  <c r="B1803" i="20"/>
  <c r="B6" i="7"/>
  <c r="A1393" i="16"/>
  <c r="A2410" i="20"/>
  <c r="A114" i="12"/>
  <c r="A2282" i="20"/>
  <c r="A126" i="19"/>
  <c r="A124" i="13"/>
  <c r="B8267" i="20"/>
  <c r="A109" i="11"/>
  <c r="A165" i="20"/>
  <c r="B588" i="20"/>
  <c r="A925" i="20"/>
  <c r="B1661" i="16"/>
  <c r="B1507" i="16"/>
  <c r="B704" i="16"/>
  <c r="A1635" i="16"/>
  <c r="A295" i="19"/>
  <c r="A595" i="16"/>
  <c r="A31" i="19"/>
  <c r="C140" i="18"/>
  <c r="A37" i="18"/>
  <c r="A2546" i="20"/>
  <c r="A314" i="16"/>
  <c r="A1158" i="20"/>
  <c r="H89" i="10"/>
  <c r="B2133" i="20"/>
  <c r="B717" i="20"/>
  <c r="B513" i="20"/>
  <c r="A59" i="12"/>
  <c r="H74" i="11"/>
  <c r="A1155" i="16"/>
  <c r="H46" i="6"/>
  <c r="B4602" i="20"/>
  <c r="G136" i="13"/>
  <c r="A1005" i="16"/>
  <c r="E11" i="6"/>
  <c r="B130" i="5"/>
  <c r="D156" i="1"/>
  <c r="A122" i="5"/>
  <c r="G127" i="8"/>
  <c r="A90" i="1"/>
  <c r="H54" i="12"/>
  <c r="B30" i="18"/>
  <c r="H112" i="1"/>
  <c r="A564" i="16"/>
  <c r="B111" i="8"/>
  <c r="B3157" i="20"/>
  <c r="H136" i="10"/>
  <c r="A3784" i="20"/>
  <c r="B71" i="9"/>
  <c r="B948" i="20"/>
  <c r="G62" i="10"/>
  <c r="B19" i="10"/>
  <c r="A1772" i="16"/>
  <c r="A12" i="10"/>
  <c r="H57" i="10"/>
  <c r="G152" i="9"/>
  <c r="A567" i="20"/>
  <c r="B916" i="16"/>
  <c r="A119" i="10"/>
  <c r="F13" i="13"/>
  <c r="B206" i="19"/>
  <c r="A13" i="7"/>
  <c r="B184" i="19"/>
  <c r="B1125" i="16"/>
  <c r="B124" i="10"/>
  <c r="B107" i="6"/>
  <c r="B131" i="10"/>
  <c r="B8" i="2"/>
  <c r="H111" i="10"/>
  <c r="A102" i="16"/>
  <c r="A343" i="20"/>
  <c r="F139" i="2"/>
  <c r="A96" i="5"/>
  <c r="A94" i="8"/>
  <c r="G14" i="1"/>
  <c r="B126" i="9"/>
  <c r="A591" i="20"/>
  <c r="G41" i="8"/>
  <c r="A505" i="20"/>
  <c r="A947" i="20"/>
  <c r="H76" i="7"/>
  <c r="E6" i="8"/>
  <c r="A13" i="13"/>
  <c r="E35" i="5"/>
  <c r="G126" i="12"/>
  <c r="A128" i="6"/>
  <c r="B223" i="19"/>
  <c r="B129" i="8"/>
  <c r="B17" i="9"/>
  <c r="B112" i="10"/>
  <c r="H45" i="2"/>
  <c r="A1756" i="16"/>
  <c r="A5" i="2"/>
  <c r="G105" i="1"/>
  <c r="B371" i="19"/>
  <c r="A90" i="16"/>
  <c r="A77" i="11"/>
  <c r="H117" i="13"/>
  <c r="G116" i="12"/>
  <c r="B22" i="4"/>
  <c r="A743" i="16"/>
  <c r="G8" i="9"/>
  <c r="A1608" i="16"/>
  <c r="A800" i="16"/>
  <c r="H127" i="1"/>
  <c r="A640" i="16"/>
  <c r="A68" i="5"/>
  <c r="A779" i="16"/>
  <c r="A80" i="12"/>
  <c r="H112" i="13"/>
  <c r="E5" i="7"/>
  <c r="A21" i="6"/>
  <c r="H100" i="8"/>
  <c r="G42" i="1"/>
  <c r="A51" i="6"/>
  <c r="G47" i="4"/>
  <c r="B89" i="5"/>
  <c r="G30" i="13"/>
  <c r="A51" i="13"/>
  <c r="A234" i="16"/>
  <c r="B1593" i="16"/>
  <c r="A93" i="1"/>
  <c r="B4372" i="20"/>
  <c r="A62" i="10"/>
  <c r="B3797" i="20"/>
  <c r="G8" i="11"/>
  <c r="G93" i="10"/>
  <c r="H102" i="1"/>
  <c r="G83" i="10"/>
  <c r="A1052" i="16"/>
  <c r="H19" i="4"/>
  <c r="A1416" i="20"/>
  <c r="H40" i="12"/>
  <c r="B32" i="13"/>
  <c r="A1606" i="16"/>
  <c r="A56" i="5"/>
  <c r="B714" i="16"/>
  <c r="A78" i="2"/>
  <c r="H73" i="2"/>
  <c r="B4391" i="20"/>
  <c r="B572" i="16"/>
  <c r="A157" i="16"/>
  <c r="G101" i="4"/>
  <c r="B30" i="4"/>
  <c r="G111" i="1"/>
  <c r="B741" i="16"/>
  <c r="H91" i="9"/>
  <c r="H85" i="6"/>
  <c r="A40" i="10"/>
  <c r="E142" i="1"/>
  <c r="H21" i="10"/>
  <c r="G112" i="11"/>
  <c r="B342" i="19"/>
  <c r="A1132" i="16"/>
  <c r="A499" i="20"/>
  <c r="A102" i="6"/>
  <c r="B102" i="7"/>
  <c r="H61" i="11"/>
  <c r="G104" i="4"/>
  <c r="A130" i="4"/>
  <c r="A798" i="16"/>
  <c r="A1652" i="16"/>
  <c r="A86" i="2"/>
  <c r="A325" i="20"/>
  <c r="B1503" i="20"/>
  <c r="A84" i="18"/>
  <c r="B137" i="20"/>
  <c r="B27" i="4"/>
  <c r="A2248" i="20"/>
  <c r="G100" i="9"/>
  <c r="B1076" i="20"/>
  <c r="G77" i="10"/>
  <c r="G122" i="1"/>
  <c r="G96" i="2"/>
  <c r="A1552" i="16"/>
  <c r="A58" i="1"/>
  <c r="H139" i="4"/>
  <c r="A1467" i="16"/>
  <c r="H23" i="2"/>
  <c r="A119" i="8"/>
  <c r="B23" i="5"/>
  <c r="B2263" i="20"/>
  <c r="B32" i="9"/>
  <c r="A1630" i="16"/>
  <c r="A1306" i="20"/>
  <c r="B58" i="11"/>
  <c r="A671" i="16"/>
  <c r="B829" i="20"/>
  <c r="B1712" i="16"/>
  <c r="B4053" i="20"/>
  <c r="B5357" i="20"/>
  <c r="B1040" i="16"/>
  <c r="G126" i="11"/>
  <c r="A613" i="16"/>
  <c r="B523" i="20"/>
  <c r="B107" i="12"/>
  <c r="A44" i="2"/>
  <c r="B20" i="10"/>
  <c r="A377" i="20"/>
  <c r="B121" i="11"/>
  <c r="B733" i="20"/>
  <c r="H69" i="2"/>
  <c r="B2037" i="20"/>
  <c r="B90" i="6"/>
  <c r="A1404" i="16"/>
  <c r="B49" i="13"/>
  <c r="H115" i="6"/>
  <c r="H64" i="11"/>
  <c r="H64" i="7"/>
  <c r="B135" i="20"/>
  <c r="A819" i="16"/>
  <c r="G17" i="11"/>
  <c r="B2747" i="20"/>
  <c r="G72" i="9"/>
  <c r="B3545" i="20"/>
  <c r="A475" i="16"/>
  <c r="F35" i="7"/>
  <c r="H118" i="5"/>
  <c r="B186" i="20"/>
  <c r="H100" i="6"/>
  <c r="B742" i="20"/>
  <c r="A151" i="8"/>
  <c r="A1870" i="20"/>
  <c r="B31" i="16"/>
  <c r="A155" i="20"/>
  <c r="H37" i="12"/>
  <c r="A3240" i="20"/>
  <c r="A440" i="20"/>
  <c r="B1881" i="20"/>
  <c r="B1265" i="20"/>
  <c r="E36" i="9"/>
  <c r="A198" i="19"/>
  <c r="A23" i="8"/>
  <c r="B6973" i="20"/>
  <c r="A3144" i="20"/>
  <c r="A392" i="20"/>
  <c r="B1785" i="20"/>
  <c r="B1201" i="20"/>
  <c r="A33" i="9"/>
  <c r="A134" i="19"/>
  <c r="A19" i="8"/>
  <c r="B5535" i="20"/>
  <c r="A2639" i="20"/>
  <c r="B247" i="19"/>
  <c r="A7112" i="20"/>
  <c r="A2706" i="20"/>
  <c r="A3390" i="20"/>
  <c r="A393" i="16"/>
  <c r="A98" i="13"/>
  <c r="A2864" i="20"/>
  <c r="B281" i="19"/>
  <c r="A360" i="20"/>
  <c r="B1279" i="16"/>
  <c r="B4217" i="20"/>
  <c r="A1974" i="20"/>
  <c r="A717" i="20"/>
  <c r="A1920" i="20"/>
  <c r="A58" i="13"/>
  <c r="A906" i="20"/>
  <c r="G42" i="12"/>
  <c r="B229" i="19"/>
  <c r="A24" i="12"/>
  <c r="B1167" i="16"/>
  <c r="B950" i="20"/>
  <c r="B1837" i="16"/>
  <c r="G126" i="7"/>
  <c r="B1958" i="20"/>
  <c r="B489" i="20"/>
  <c r="B1564" i="20"/>
  <c r="B1497" i="20"/>
  <c r="A1073" i="20"/>
  <c r="A763" i="20"/>
  <c r="H65" i="13"/>
  <c r="B2924" i="20"/>
  <c r="G61" i="4"/>
  <c r="A3840" i="20"/>
  <c r="A13" i="19"/>
  <c r="B2717" i="20"/>
  <c r="A589" i="20"/>
  <c r="A337" i="20"/>
  <c r="B4113" i="20"/>
  <c r="B1318" i="16"/>
  <c r="B2414" i="20"/>
  <c r="A4600" i="20"/>
  <c r="A61" i="13"/>
  <c r="B7" i="13"/>
  <c r="B291" i="16"/>
  <c r="B129" i="16"/>
  <c r="H62" i="10"/>
  <c r="B107" i="16"/>
  <c r="A1578" i="20"/>
  <c r="B1051" i="16"/>
  <c r="E27" i="10"/>
  <c r="B111" i="10"/>
  <c r="G127" i="4"/>
  <c r="G90" i="10"/>
  <c r="E6" i="6"/>
  <c r="H152" i="8"/>
  <c r="B29" i="2"/>
  <c r="H14" i="8"/>
  <c r="H95" i="2"/>
  <c r="B126" i="4"/>
  <c r="A67" i="13"/>
  <c r="A1603" i="16"/>
  <c r="B20" i="7"/>
  <c r="A2673" i="20"/>
  <c r="A1749" i="16"/>
  <c r="A1453" i="16"/>
  <c r="B117" i="6"/>
  <c r="E28" i="8"/>
  <c r="B103" i="2"/>
  <c r="F6" i="8"/>
  <c r="H30" i="10"/>
  <c r="F60" i="1"/>
  <c r="A3" i="2"/>
  <c r="A743" i="20"/>
  <c r="A62" i="2"/>
  <c r="A1334" i="16"/>
  <c r="B1627" i="20"/>
  <c r="A98" i="11"/>
  <c r="B353" i="20"/>
  <c r="A825" i="16"/>
  <c r="A100" i="13"/>
  <c r="A128" i="10"/>
  <c r="F2" i="11"/>
  <c r="F51" i="1"/>
  <c r="B2119" i="20"/>
  <c r="G61" i="11"/>
  <c r="E13" i="2"/>
  <c r="A34" i="10"/>
  <c r="E9" i="10"/>
  <c r="G111" i="5"/>
  <c r="A125" i="6"/>
  <c r="H74" i="1"/>
  <c r="A1219" i="20"/>
  <c r="A690" i="16"/>
  <c r="B2211" i="20"/>
  <c r="B55" i="16"/>
  <c r="A9" i="15"/>
  <c r="A394" i="16"/>
  <c r="A9" i="18"/>
  <c r="G110" i="1"/>
  <c r="B1833" i="16"/>
  <c r="G43" i="13"/>
  <c r="A63" i="5"/>
  <c r="A33" i="8"/>
  <c r="A184" i="19"/>
  <c r="B29" i="20"/>
  <c r="B1376" i="16"/>
  <c r="B1373" i="20"/>
  <c r="B3181" i="20"/>
  <c r="A1202" i="20"/>
  <c r="A4568" i="20"/>
  <c r="B930" i="20"/>
  <c r="B1441" i="16"/>
  <c r="A1136" i="16"/>
  <c r="B1419" i="16"/>
  <c r="B1277" i="20"/>
  <c r="B2405" i="20"/>
  <c r="B3949" i="20"/>
  <c r="A4056" i="20"/>
  <c r="B802" i="20"/>
  <c r="B1425" i="16"/>
  <c r="A1104" i="16"/>
  <c r="B1403" i="16"/>
  <c r="A908" i="20"/>
  <c r="A910" i="20"/>
  <c r="A5681" i="20"/>
  <c r="A4595" i="20"/>
  <c r="B5656" i="20"/>
  <c r="A1462" i="20"/>
  <c r="A1295" i="20"/>
  <c r="A3664" i="20"/>
  <c r="A3048" i="20"/>
  <c r="B5726" i="20"/>
  <c r="A1112" i="20"/>
  <c r="A2897" i="20"/>
  <c r="B2729" i="20"/>
  <c r="B2149" i="20"/>
  <c r="B4777" i="20"/>
  <c r="A81" i="20"/>
  <c r="H31" i="11"/>
  <c r="B98" i="12"/>
  <c r="A421" i="20"/>
  <c r="B4181" i="20"/>
  <c r="A989" i="20"/>
  <c r="B1725" i="16"/>
  <c r="B1447" i="20"/>
  <c r="A773" i="16"/>
  <c r="A84" i="20"/>
  <c r="A282" i="16"/>
  <c r="B203" i="19"/>
  <c r="B2053" i="20"/>
  <c r="A1283" i="20"/>
  <c r="B895" i="16"/>
  <c r="H51" i="12"/>
  <c r="A1384" i="20"/>
  <c r="H30" i="12"/>
  <c r="B4173" i="20"/>
  <c r="A2610" i="20"/>
  <c r="H111" i="11"/>
  <c r="H55" i="11"/>
  <c r="A33" i="18"/>
  <c r="G69" i="13"/>
  <c r="B363" i="20"/>
  <c r="E63" i="13"/>
  <c r="A465" i="16"/>
  <c r="B1808" i="16"/>
  <c r="B1654" i="16"/>
  <c r="B297" i="20"/>
  <c r="B334" i="19"/>
  <c r="G43" i="7"/>
  <c r="B312" i="19"/>
  <c r="B1637" i="16"/>
  <c r="A1046" i="16"/>
  <c r="H8" i="7"/>
  <c r="A34" i="16"/>
  <c r="H38" i="2"/>
  <c r="H96" i="13"/>
  <c r="A1126" i="16"/>
  <c r="A855" i="20"/>
  <c r="A107" i="9"/>
  <c r="G7" i="6"/>
  <c r="G153" i="8"/>
  <c r="F135" i="1"/>
  <c r="A113" i="20"/>
  <c r="B833" i="16"/>
  <c r="H121" i="13"/>
  <c r="B811" i="16"/>
  <c r="B728" i="16"/>
  <c r="A873" i="20"/>
  <c r="G113" i="12"/>
  <c r="A118" i="5"/>
  <c r="B21" i="19"/>
  <c r="A98" i="5"/>
  <c r="H138" i="9"/>
  <c r="A142" i="9"/>
  <c r="H5" i="6"/>
  <c r="B33" i="10"/>
  <c r="A99" i="11"/>
  <c r="F28" i="11"/>
  <c r="G99" i="8"/>
  <c r="A56" i="13"/>
  <c r="B6" i="10"/>
  <c r="B93" i="19"/>
  <c r="B561" i="16"/>
  <c r="F9" i="13"/>
  <c r="G93" i="9"/>
  <c r="F63" i="1"/>
  <c r="G38" i="13"/>
  <c r="B217" i="16"/>
  <c r="D12" i="1"/>
  <c r="A84" i="4"/>
  <c r="G75" i="11"/>
  <c r="A486" i="16"/>
  <c r="A535" i="20"/>
  <c r="G73" i="5"/>
  <c r="B10" i="10"/>
  <c r="B260" i="16"/>
  <c r="A852" i="16"/>
  <c r="A1628" i="20"/>
  <c r="A383" i="20"/>
  <c r="B162" i="16"/>
  <c r="A260" i="16"/>
  <c r="G65" i="5"/>
  <c r="A1" i="1"/>
  <c r="A39" i="20"/>
  <c r="G19" i="2"/>
  <c r="A42" i="8"/>
  <c r="G48" i="13"/>
  <c r="B41" i="7"/>
  <c r="A1593" i="20"/>
  <c r="B133" i="18"/>
  <c r="A1615" i="16"/>
  <c r="A3093" i="20"/>
  <c r="B3276" i="20"/>
  <c r="B894" i="20"/>
  <c r="A223" i="16"/>
  <c r="A69" i="16"/>
  <c r="G79" i="4"/>
  <c r="H53" i="11"/>
  <c r="H49" i="7"/>
  <c r="A2997" i="20"/>
  <c r="B3180" i="20"/>
  <c r="B798" i="20"/>
  <c r="A199" i="16"/>
  <c r="A53" i="16"/>
  <c r="G76" i="4"/>
  <c r="B49" i="11"/>
  <c r="H41" i="7"/>
  <c r="B3930" i="20"/>
  <c r="A4096" i="20"/>
  <c r="B5177" i="20"/>
  <c r="A3073" i="20"/>
  <c r="B6618" i="20"/>
  <c r="A3293" i="20"/>
  <c r="B2940" i="20"/>
  <c r="A26" i="20"/>
  <c r="B2480" i="20"/>
  <c r="A2459" i="20"/>
  <c r="B1813" i="20"/>
  <c r="B45" i="16"/>
  <c r="B5421" i="20"/>
  <c r="B1300" i="20"/>
  <c r="B880" i="20"/>
  <c r="G86" i="13"/>
  <c r="B1407" i="16"/>
  <c r="B259" i="16"/>
  <c r="A1896" i="20"/>
  <c r="A52" i="13"/>
  <c r="A1632" i="20"/>
  <c r="B4615" i="20"/>
  <c r="B18" i="12"/>
  <c r="G143" i="10"/>
  <c r="B3" i="8"/>
  <c r="A391" i="16"/>
  <c r="F133" i="7"/>
  <c r="B510" i="20"/>
  <c r="A127" i="16"/>
  <c r="C6" i="14"/>
  <c r="B316" i="19"/>
  <c r="B1034" i="20"/>
  <c r="B89" i="19"/>
  <c r="B778" i="20"/>
  <c r="B71" i="11"/>
  <c r="A575" i="16"/>
  <c r="A421" i="16"/>
  <c r="A3726" i="20"/>
  <c r="B1207" i="20"/>
  <c r="B17" i="19"/>
  <c r="B1026" i="20"/>
  <c r="B156" i="19"/>
  <c r="B509" i="16"/>
  <c r="B355" i="16"/>
  <c r="A116" i="10"/>
  <c r="H136" i="9"/>
  <c r="B218" i="16"/>
  <c r="A596" i="16"/>
  <c r="A1372" i="20"/>
  <c r="A127" i="20"/>
  <c r="B118" i="16"/>
  <c r="A4" i="16"/>
  <c r="A140" i="4"/>
  <c r="B1097" i="16"/>
  <c r="B166" i="19"/>
  <c r="H5" i="2"/>
  <c r="A76" i="6"/>
  <c r="H106" i="12"/>
  <c r="A111" i="6"/>
  <c r="B2675" i="20"/>
  <c r="G15" i="8"/>
  <c r="H37" i="5"/>
  <c r="C46" i="18"/>
  <c r="A2154" i="20"/>
  <c r="B2319" i="20"/>
  <c r="A8" i="17"/>
  <c r="A1674" i="16"/>
  <c r="B2505" i="20"/>
  <c r="B104" i="2"/>
  <c r="B2185" i="20"/>
  <c r="B1516" i="16"/>
  <c r="A234" i="19"/>
  <c r="G81" i="1"/>
  <c r="A62" i="9"/>
  <c r="B74" i="20"/>
  <c r="B990" i="16"/>
  <c r="B25" i="12"/>
  <c r="A1283" i="16"/>
  <c r="B76" i="6"/>
  <c r="A2059" i="20"/>
  <c r="A469" i="16"/>
  <c r="A1133" i="16"/>
  <c r="H41" i="6"/>
  <c r="H59" i="6"/>
  <c r="E28" i="2"/>
  <c r="H49" i="6"/>
  <c r="C36" i="9"/>
  <c r="A53" i="2"/>
  <c r="B457" i="16"/>
  <c r="B800" i="20"/>
  <c r="G142" i="1"/>
  <c r="G140" i="4"/>
  <c r="B838" i="16"/>
  <c r="A58" i="18"/>
  <c r="A110" i="7"/>
  <c r="A4428" i="20"/>
  <c r="E13" i="13"/>
  <c r="A1837" i="16"/>
  <c r="H75" i="7"/>
  <c r="B77" i="10"/>
  <c r="G121" i="5"/>
  <c r="H56" i="10"/>
  <c r="H61" i="13"/>
  <c r="B79" i="10"/>
  <c r="F109" i="1"/>
  <c r="B243" i="20"/>
  <c r="A50" i="4"/>
  <c r="B42" i="6"/>
  <c r="F105" i="7"/>
  <c r="B146" i="4"/>
  <c r="B85" i="5"/>
  <c r="A1093" i="20"/>
  <c r="F27" i="13"/>
  <c r="B610" i="20"/>
  <c r="B1149" i="20"/>
  <c r="B103" i="5"/>
  <c r="B4087" i="20"/>
  <c r="B530" i="16"/>
  <c r="A141" i="16"/>
  <c r="H97" i="4"/>
  <c r="F26" i="4"/>
  <c r="H84" i="1"/>
  <c r="H21" i="4"/>
  <c r="F1" i="6"/>
  <c r="G93" i="1"/>
  <c r="A3758" i="20"/>
  <c r="A73" i="11"/>
  <c r="A829" i="16"/>
  <c r="A88" i="5"/>
  <c r="A109" i="18"/>
  <c r="B884" i="16"/>
  <c r="G7" i="11"/>
  <c r="G8" i="13"/>
  <c r="B89" i="4"/>
  <c r="B856" i="16"/>
  <c r="A1065" i="20"/>
  <c r="H29" i="13"/>
  <c r="B29" i="6"/>
  <c r="B3" i="4"/>
  <c r="A261" i="20"/>
  <c r="B972" i="20"/>
  <c r="C62" i="18"/>
  <c r="B73" i="20"/>
  <c r="B14" i="4"/>
  <c r="A377" i="19"/>
  <c r="B43" i="19"/>
  <c r="A131" i="1"/>
  <c r="B58" i="7"/>
  <c r="B1539" i="20"/>
  <c r="A1651" i="16"/>
  <c r="H82" i="11"/>
  <c r="B63" i="7"/>
  <c r="A1356" i="16"/>
  <c r="G147" i="8"/>
  <c r="H29" i="7"/>
  <c r="A11" i="6"/>
  <c r="B1444" i="20"/>
  <c r="A28" i="13"/>
  <c r="G83" i="12"/>
  <c r="E1" i="9"/>
  <c r="H80" i="2"/>
  <c r="A3125" i="20"/>
  <c r="A85" i="16"/>
  <c r="A1037" i="16"/>
  <c r="H18" i="6"/>
  <c r="E9" i="6"/>
  <c r="F6" i="2"/>
  <c r="B1" i="6"/>
  <c r="A145" i="8"/>
  <c r="G119" i="1"/>
  <c r="A2541" i="20"/>
  <c r="B73" i="11"/>
  <c r="A1725" i="16"/>
  <c r="B35" i="7"/>
  <c r="H45" i="8"/>
  <c r="B1385" i="16"/>
  <c r="B50" i="8"/>
  <c r="B105" i="4"/>
  <c r="B35" i="17"/>
  <c r="F27" i="7"/>
  <c r="A551" i="16"/>
  <c r="F74" i="8"/>
  <c r="A1512" i="16"/>
  <c r="A416" i="16"/>
  <c r="D110" i="1"/>
  <c r="A968" i="20"/>
  <c r="A59" i="18"/>
  <c r="A1738" i="16"/>
  <c r="B4093" i="20"/>
  <c r="B425" i="16"/>
  <c r="A73" i="8"/>
  <c r="B87" i="7"/>
  <c r="G107" i="10"/>
  <c r="A1405" i="16"/>
  <c r="A64" i="4"/>
  <c r="H106" i="13"/>
  <c r="H109" i="10"/>
  <c r="A114" i="5"/>
  <c r="B5" i="10"/>
  <c r="B148" i="16"/>
  <c r="A1822" i="16"/>
  <c r="B805" i="16"/>
  <c r="B120" i="9"/>
  <c r="G89" i="6"/>
  <c r="G55" i="10"/>
  <c r="H148" i="1"/>
  <c r="B2509" i="20"/>
  <c r="A3084" i="20"/>
  <c r="B1580" i="20"/>
  <c r="B760" i="20"/>
  <c r="A1146" i="20"/>
  <c r="B341" i="20"/>
  <c r="A1304" i="16"/>
  <c r="A122" i="16"/>
  <c r="A1357" i="20"/>
  <c r="A783" i="20"/>
  <c r="A138" i="10"/>
  <c r="B20" i="2"/>
  <c r="A1716" i="16"/>
  <c r="A549" i="16"/>
  <c r="A289" i="20"/>
  <c r="G92" i="2"/>
  <c r="A96" i="2"/>
  <c r="B22" i="5"/>
  <c r="B1604" i="16"/>
  <c r="B1161" i="20"/>
  <c r="E3" i="9"/>
  <c r="A1436" i="16"/>
  <c r="A320" i="19"/>
  <c r="F7" i="6"/>
  <c r="A232" i="19"/>
  <c r="B598" i="20"/>
  <c r="H38" i="4"/>
  <c r="B730" i="20"/>
  <c r="G41" i="7"/>
  <c r="A24" i="1"/>
  <c r="G22" i="7"/>
  <c r="H16" i="8"/>
  <c r="B713" i="16"/>
  <c r="D1" i="1"/>
  <c r="A77" i="4"/>
  <c r="A93" i="6"/>
  <c r="G138" i="2"/>
  <c r="A69" i="6"/>
  <c r="B3332" i="20"/>
  <c r="A161" i="16"/>
  <c r="G70" i="13"/>
  <c r="B3083" i="20"/>
  <c r="A458" i="20"/>
  <c r="B1455" i="16"/>
  <c r="H48" i="11"/>
  <c r="B2535" i="20"/>
  <c r="H121" i="8"/>
  <c r="B922" i="16"/>
  <c r="B156" i="4"/>
  <c r="A1645" i="20"/>
  <c r="A434" i="20"/>
  <c r="B1431" i="16"/>
  <c r="B37" i="11"/>
  <c r="B2279" i="20"/>
  <c r="H117" i="8"/>
  <c r="B910" i="16"/>
  <c r="H151" i="4"/>
  <c r="A2641" i="20"/>
  <c r="A170" i="20"/>
  <c r="B2178" i="20"/>
  <c r="A5629" i="20"/>
  <c r="A3" i="25"/>
  <c r="A4081" i="20"/>
  <c r="A6060" i="20"/>
  <c r="A2057" i="20"/>
  <c r="A6805" i="20"/>
  <c r="B2061" i="20"/>
  <c r="A4708" i="20"/>
  <c r="B125" i="20"/>
  <c r="B1647" i="16"/>
  <c r="A2638" i="20"/>
  <c r="B4271" i="20"/>
  <c r="A312" i="20"/>
  <c r="B30" i="19"/>
  <c r="A1183" i="16"/>
  <c r="B5333" i="20"/>
  <c r="B90" i="18"/>
  <c r="B5150" i="20"/>
  <c r="H120" i="12"/>
  <c r="B1128" i="16"/>
  <c r="A1694" i="20"/>
  <c r="A1008" i="16"/>
  <c r="B2117" i="20"/>
  <c r="A976" i="16"/>
  <c r="B1359" i="16"/>
  <c r="F4" i="11"/>
  <c r="B1102" i="20"/>
  <c r="B3060" i="20"/>
  <c r="G95" i="7"/>
  <c r="A46" i="17"/>
  <c r="H92" i="7"/>
  <c r="B1807" i="16"/>
  <c r="H78" i="12"/>
  <c r="E7" i="12"/>
  <c r="A815" i="16"/>
  <c r="A175" i="20"/>
  <c r="A286" i="20"/>
  <c r="B849" i="16"/>
  <c r="B141" i="19"/>
  <c r="A75" i="20"/>
  <c r="B304" i="19"/>
  <c r="G36" i="7"/>
  <c r="B111" i="7"/>
  <c r="A140" i="19"/>
  <c r="H69" i="9"/>
  <c r="B1544" i="20"/>
  <c r="G71" i="6"/>
  <c r="C97" i="18"/>
  <c r="B4" i="9"/>
  <c r="G116" i="8"/>
  <c r="B72" i="7"/>
  <c r="A108" i="8"/>
  <c r="G13" i="5"/>
  <c r="G98" i="2"/>
  <c r="B1769" i="16"/>
  <c r="G23" i="13"/>
  <c r="H42" i="5"/>
  <c r="A112" i="7"/>
  <c r="E134" i="10"/>
  <c r="B516" i="16"/>
  <c r="B522" i="20"/>
  <c r="B1190" i="20"/>
  <c r="A257" i="19"/>
  <c r="B418" i="16"/>
  <c r="A1796" i="16"/>
  <c r="A15" i="10"/>
  <c r="H27" i="1"/>
  <c r="B3581" i="20"/>
  <c r="B109" i="2"/>
  <c r="B122" i="8"/>
  <c r="B798" i="16"/>
  <c r="A103" i="9"/>
  <c r="B26" i="2"/>
  <c r="B803" i="16"/>
  <c r="B257" i="16"/>
  <c r="H92" i="10"/>
  <c r="B235" i="16"/>
  <c r="B43" i="11"/>
  <c r="B1563" i="16"/>
  <c r="B58" i="10"/>
  <c r="C105" i="13"/>
  <c r="B127" i="5"/>
  <c r="B17" i="13"/>
  <c r="H69" i="6"/>
  <c r="A694" i="16"/>
  <c r="C74" i="18"/>
  <c r="A74" i="8"/>
  <c r="H66" i="4"/>
  <c r="G69" i="11"/>
  <c r="G108" i="9"/>
  <c r="B961" i="16"/>
  <c r="A176" i="16"/>
  <c r="B939" i="16"/>
  <c r="B1072" i="16"/>
  <c r="B2129" i="20"/>
  <c r="A103" i="13"/>
  <c r="G103" i="6"/>
  <c r="G20" i="4"/>
  <c r="G85" i="6"/>
  <c r="G100" i="10"/>
  <c r="A1474" i="16"/>
  <c r="B2700" i="20"/>
  <c r="C121" i="18"/>
  <c r="B1613" i="16"/>
  <c r="B5289" i="20"/>
  <c r="B3151" i="20"/>
  <c r="B1697" i="20"/>
  <c r="C75" i="18"/>
  <c r="A7" i="17"/>
  <c r="C50" i="18"/>
  <c r="G109" i="13"/>
  <c r="B1042" i="20"/>
  <c r="B5790" i="20"/>
  <c r="B3055" i="20"/>
  <c r="B1601" i="20"/>
  <c r="C59" i="18"/>
  <c r="B1843" i="16"/>
  <c r="B29" i="18"/>
  <c r="G102" i="13"/>
  <c r="B786" i="20"/>
  <c r="A3653" i="20"/>
  <c r="A2494" i="20"/>
  <c r="A5354" i="20"/>
  <c r="B5971" i="20"/>
  <c r="B4693" i="20"/>
  <c r="A1154" i="45"/>
  <c r="A7103" i="20"/>
  <c r="A6152" i="20"/>
  <c r="A4853" i="20"/>
  <c r="B3943" i="20"/>
  <c r="G1" i="13"/>
  <c r="A257" i="16"/>
  <c r="B1264" i="20"/>
  <c r="B804" i="20"/>
  <c r="F5" i="11"/>
  <c r="A394" i="20"/>
  <c r="H106" i="8"/>
  <c r="H87" i="13"/>
  <c r="B128" i="8"/>
  <c r="A647" i="16"/>
  <c r="B121" i="8"/>
  <c r="B766" i="20"/>
  <c r="A191" i="16"/>
  <c r="G64" i="13"/>
  <c r="A611" i="16"/>
  <c r="B1345" i="20"/>
  <c r="B72" i="13"/>
  <c r="B1569" i="20"/>
  <c r="C11" i="18"/>
  <c r="B1763" i="16"/>
  <c r="B1728" i="16"/>
  <c r="B109" i="11"/>
  <c r="B1307" i="20"/>
  <c r="A1619" i="16"/>
  <c r="B827" i="20"/>
  <c r="B432" i="20"/>
  <c r="A200" i="19"/>
  <c r="B1554" i="16"/>
  <c r="H85" i="11"/>
  <c r="A2182" i="20"/>
  <c r="A792" i="16"/>
  <c r="A1918" i="20"/>
  <c r="B1059" i="20"/>
  <c r="B853" i="20"/>
  <c r="B8" i="15"/>
  <c r="H105" i="12"/>
  <c r="A1411" i="16"/>
  <c r="A105" i="6"/>
  <c r="A3562" i="20"/>
  <c r="A981" i="16"/>
  <c r="A1261" i="16"/>
  <c r="B71" i="6"/>
  <c r="A122" i="6"/>
  <c r="A59" i="2"/>
  <c r="G109" i="6"/>
  <c r="A99" i="9"/>
  <c r="A8" i="5"/>
  <c r="A2648" i="20"/>
  <c r="B358" i="19"/>
  <c r="G15" i="2"/>
  <c r="B122" i="7"/>
  <c r="G28" i="9"/>
  <c r="A95" i="11"/>
  <c r="A86" i="16"/>
  <c r="B2483" i="20"/>
  <c r="G57" i="11"/>
  <c r="F25" i="11"/>
  <c r="G41" i="12"/>
  <c r="B21" i="11"/>
  <c r="B36" i="2"/>
  <c r="G135" i="10"/>
  <c r="B1879" i="20"/>
  <c r="A51" i="5"/>
  <c r="B3837" i="20"/>
  <c r="B1708" i="16"/>
  <c r="F23" i="1"/>
  <c r="A20" i="2"/>
  <c r="A3195" i="20"/>
  <c r="A3688" i="20"/>
  <c r="A2939" i="20"/>
  <c r="B4715" i="20"/>
  <c r="A184" i="16"/>
  <c r="A1862" i="20"/>
  <c r="A152" i="16"/>
  <c r="A1598" i="20"/>
  <c r="A8585" i="20"/>
  <c r="A1027" i="20"/>
  <c r="A125" i="13"/>
  <c r="A1566" i="20"/>
  <c r="B336" i="16"/>
  <c r="B220" i="16"/>
  <c r="A303" i="20"/>
  <c r="A129" i="7"/>
  <c r="A281" i="20"/>
  <c r="A2536" i="20"/>
  <c r="A1532" i="20"/>
  <c r="B84" i="18"/>
  <c r="B328" i="16"/>
  <c r="B210" i="16"/>
  <c r="A287" i="20"/>
  <c r="E123" i="7"/>
  <c r="A265" i="20"/>
  <c r="A2272" i="20"/>
  <c r="A1268" i="20"/>
  <c r="B5945" i="20"/>
  <c r="A4777" i="20"/>
  <c r="B3654" i="20"/>
  <c r="B6542" i="20"/>
  <c r="B3422" i="20"/>
  <c r="A4229" i="20"/>
  <c r="B2789" i="20"/>
  <c r="A4069" i="20"/>
  <c r="A2510" i="20"/>
  <c r="A2500" i="20"/>
  <c r="A1005" i="20"/>
  <c r="B7" i="12"/>
  <c r="B1741" i="16"/>
  <c r="B736" i="16"/>
  <c r="A1220" i="20"/>
  <c r="A289" i="16"/>
  <c r="B132" i="13"/>
  <c r="B3352" i="20"/>
  <c r="A714" i="20"/>
  <c r="B1711" i="16"/>
  <c r="F34" i="12"/>
  <c r="B96" i="11"/>
  <c r="H23" i="9"/>
  <c r="B1092" i="16"/>
  <c r="B77" i="5"/>
  <c r="B2699" i="20"/>
  <c r="A690" i="20"/>
  <c r="B1687" i="16"/>
  <c r="H22" i="12"/>
  <c r="A88" i="11"/>
  <c r="H19" i="9"/>
  <c r="B1082" i="16"/>
  <c r="A72" i="5"/>
  <c r="A1613" i="20"/>
  <c r="A426" i="20"/>
  <c r="A3655" i="20"/>
  <c r="B4782" i="20"/>
  <c r="B8023" i="20"/>
  <c r="B6172" i="20"/>
  <c r="B3474" i="20"/>
  <c r="A3560" i="20"/>
  <c r="B6769" i="20"/>
  <c r="B3519" i="20"/>
  <c r="B123" i="19"/>
  <c r="B781" i="20"/>
  <c r="B60" i="19"/>
  <c r="B3798" i="20"/>
  <c r="A3320" i="20"/>
  <c r="B3263" i="20"/>
  <c r="A96" i="12"/>
  <c r="B822" i="20"/>
  <c r="B4649" i="20"/>
  <c r="A65" i="20"/>
  <c r="B6502" i="20"/>
  <c r="G101" i="13"/>
  <c r="B1296" i="16"/>
  <c r="B2024" i="20"/>
  <c r="A45" i="6"/>
  <c r="A2680" i="20"/>
  <c r="A41" i="6"/>
  <c r="B1615" i="16"/>
  <c r="G122" i="11"/>
  <c r="H51" i="11"/>
  <c r="A876" i="20"/>
  <c r="B43" i="9"/>
  <c r="B105" i="11"/>
  <c r="B39" i="9"/>
  <c r="A110" i="18"/>
  <c r="E64" i="13"/>
  <c r="E128" i="12"/>
  <c r="A1839" i="16"/>
  <c r="B2409" i="20"/>
  <c r="B3039" i="20"/>
  <c r="A21" i="17"/>
  <c r="A1698" i="20"/>
  <c r="A331" i="20"/>
  <c r="A177" i="20"/>
  <c r="E96" i="7"/>
  <c r="A50" i="8"/>
  <c r="B780" i="20"/>
  <c r="G41" i="10"/>
  <c r="A1403" i="20"/>
  <c r="G46" i="8"/>
  <c r="B180" i="20"/>
  <c r="B118" i="9"/>
  <c r="H86" i="9"/>
  <c r="B89" i="10"/>
  <c r="H77" i="9"/>
  <c r="D2" i="8"/>
  <c r="A13" i="5"/>
  <c r="B182" i="19"/>
  <c r="B404" i="16"/>
  <c r="H61" i="8"/>
  <c r="G68" i="6"/>
  <c r="A38" i="13"/>
  <c r="B686" i="16"/>
  <c r="B42" i="4"/>
  <c r="B3697" i="20"/>
  <c r="B1134" i="20"/>
  <c r="B588" i="16"/>
  <c r="F7" i="4"/>
  <c r="A170" i="19"/>
  <c r="D142" i="1"/>
  <c r="B669" i="20"/>
  <c r="A148" i="4"/>
  <c r="B90" i="7"/>
  <c r="B1532" i="16"/>
  <c r="A94" i="12"/>
  <c r="F64" i="1"/>
  <c r="B1827" i="16"/>
  <c r="B513" i="16"/>
  <c r="G82" i="11"/>
  <c r="B491" i="16"/>
  <c r="H97" i="13"/>
  <c r="B1871" i="20"/>
  <c r="B117" i="10"/>
  <c r="C38" i="18"/>
  <c r="A59" i="9"/>
  <c r="A1782" i="16"/>
  <c r="A128" i="7"/>
  <c r="A70" i="9"/>
  <c r="F65" i="1"/>
  <c r="H39" i="9"/>
  <c r="F1" i="7"/>
  <c r="A1244" i="16"/>
  <c r="B4713" i="20"/>
  <c r="A702" i="20"/>
  <c r="A6585" i="20"/>
  <c r="B1375" i="16"/>
  <c r="B559" i="16"/>
  <c r="H14" i="9"/>
  <c r="A277" i="19"/>
  <c r="E11" i="9"/>
  <c r="B2736" i="20"/>
  <c r="A3926" i="20"/>
  <c r="A858" i="20"/>
  <c r="G101" i="12"/>
  <c r="A141" i="18"/>
  <c r="G98" i="8"/>
  <c r="B4285" i="20"/>
  <c r="H94" i="8"/>
  <c r="A7442" i="20"/>
  <c r="A3368" i="20"/>
  <c r="A504" i="20"/>
  <c r="A4196" i="20"/>
  <c r="B4910" i="20"/>
  <c r="A4030" i="20"/>
  <c r="B4678" i="20"/>
  <c r="A3798" i="20"/>
  <c r="A1807" i="20"/>
  <c r="A1033" i="16"/>
  <c r="A1647" i="20"/>
  <c r="B1693" i="20"/>
  <c r="A3437" i="20"/>
  <c r="B2190" i="20"/>
  <c r="G79" i="13"/>
  <c r="A91" i="20"/>
  <c r="H76" i="11"/>
  <c r="A1374" i="20"/>
  <c r="A1073" i="16"/>
  <c r="B981" i="20"/>
  <c r="G67" i="6"/>
  <c r="A547" i="16"/>
  <c r="F36" i="5"/>
  <c r="B5327" i="20"/>
  <c r="B1502" i="20"/>
  <c r="A231" i="19"/>
  <c r="B2543" i="20"/>
  <c r="B904" i="20"/>
  <c r="G64" i="6"/>
  <c r="A531" i="16"/>
  <c r="B33" i="5"/>
  <c r="A6912" i="20"/>
  <c r="B1150" i="20"/>
  <c r="B4445" i="20"/>
  <c r="B3699" i="20"/>
  <c r="A4571" i="20"/>
  <c r="B2140" i="20"/>
  <c r="A4339" i="20"/>
  <c r="B1908" i="20"/>
  <c r="B1213" i="20"/>
  <c r="B2925" i="20"/>
  <c r="B1116" i="20"/>
  <c r="B4613" i="20"/>
  <c r="A494" i="20"/>
  <c r="B703" i="16"/>
  <c r="A566" i="20"/>
  <c r="B87" i="18"/>
  <c r="B6955" i="20"/>
  <c r="B4511" i="20"/>
  <c r="B3933" i="20"/>
  <c r="B304" i="20"/>
  <c r="A82" i="19"/>
  <c r="B2327" i="20"/>
  <c r="A227" i="16"/>
  <c r="A117" i="4"/>
  <c r="A7469" i="20"/>
  <c r="B4383" i="20"/>
  <c r="B3549" i="20"/>
  <c r="B208" i="20"/>
  <c r="B52" i="19"/>
  <c r="B1815" i="20"/>
  <c r="A211" i="16"/>
  <c r="H113" i="4"/>
  <c r="B6300" i="20"/>
  <c r="B3279" i="20"/>
  <c r="B1825" i="20"/>
  <c r="A2407" i="20"/>
  <c r="A4443" i="20"/>
  <c r="B2012" i="20"/>
  <c r="A4211" i="20"/>
  <c r="B4572" i="20"/>
  <c r="A1028" i="20"/>
  <c r="B1477" i="20"/>
  <c r="A988" i="20"/>
  <c r="B4101" i="20"/>
  <c r="B8819" i="20"/>
  <c r="B4784" i="20"/>
  <c r="B3508" i="20"/>
  <c r="B1086" i="20"/>
  <c r="A112" i="19"/>
  <c r="B6419" i="20"/>
  <c r="A74" i="20"/>
  <c r="G86" i="11"/>
  <c r="B1777" i="20"/>
  <c r="A696" i="16"/>
  <c r="A80" i="11"/>
  <c r="H123" i="13"/>
  <c r="B4772" i="20"/>
  <c r="A2118" i="20"/>
  <c r="A613" i="20"/>
  <c r="B1349" i="16"/>
  <c r="B1203" i="16"/>
  <c r="A664" i="16"/>
  <c r="A72" i="11"/>
  <c r="B95" i="13"/>
  <c r="A5335" i="20"/>
  <c r="A1854" i="20"/>
  <c r="B746" i="45"/>
  <c r="B8719" i="20"/>
  <c r="B6140" i="20"/>
  <c r="B7188" i="20"/>
  <c r="B5834" i="20"/>
  <c r="A7366" i="20"/>
  <c r="A4104" i="20"/>
  <c r="B3005" i="20"/>
  <c r="A60" i="20"/>
  <c r="B999" i="20"/>
  <c r="B3684" i="20"/>
  <c r="B63" i="16"/>
  <c r="B1467" i="20"/>
  <c r="A1391" i="16"/>
  <c r="A4823" i="20"/>
  <c r="A1822" i="20"/>
  <c r="A317" i="20"/>
  <c r="B1053" i="16"/>
  <c r="B899" i="16"/>
  <c r="A56" i="16"/>
  <c r="B1247" i="20"/>
  <c r="G86" i="10"/>
  <c r="B6564" i="20"/>
  <c r="A1798" i="20"/>
  <c r="A293" i="20"/>
  <c r="B1029" i="16"/>
  <c r="B883" i="16"/>
  <c r="A24" i="16"/>
  <c r="B1100" i="20"/>
  <c r="G78" i="10"/>
  <c r="A4169" i="20"/>
  <c r="A1534" i="20"/>
  <c r="B8045" i="20"/>
  <c r="B7936" i="20"/>
  <c r="B5970" i="20"/>
  <c r="B8916" i="20"/>
  <c r="B5706" i="20"/>
  <c r="A7411" i="20"/>
  <c r="A3592" i="20"/>
  <c r="B2233" i="20"/>
  <c r="A28" i="20"/>
  <c r="B967" i="20"/>
  <c r="B3172" i="20"/>
  <c r="B2254" i="20"/>
  <c r="B4817" i="20"/>
  <c r="B6406" i="20"/>
  <c r="B863" i="16"/>
  <c r="B1115" i="20"/>
  <c r="B288" i="16"/>
  <c r="B1534" i="20"/>
  <c r="H71" i="12"/>
  <c r="B11" i="13"/>
  <c r="H6" i="9"/>
  <c r="A123" i="18"/>
  <c r="G134" i="7"/>
  <c r="B5849" i="20"/>
  <c r="A2632" i="20"/>
  <c r="A136" i="20"/>
  <c r="B1273" i="20"/>
  <c r="A1025" i="20"/>
  <c r="F3" i="9"/>
  <c r="B112" i="18"/>
  <c r="H131" i="7"/>
  <c r="A6491" i="20"/>
  <c r="A2121" i="20"/>
  <c r="B3045" i="20"/>
  <c r="B1154" i="20"/>
  <c r="A3541" i="20"/>
  <c r="A2622" i="20"/>
  <c r="A3309" i="20"/>
  <c r="B3763" i="20"/>
  <c r="B2014" i="20"/>
  <c r="A115" i="12"/>
  <c r="B1934" i="20"/>
  <c r="A474" i="20"/>
  <c r="A2146" i="20"/>
  <c r="B1471" i="16"/>
  <c r="A2290" i="20"/>
  <c r="B56" i="11"/>
  <c r="A6235" i="20"/>
  <c r="A1993" i="20"/>
  <c r="B2499" i="20"/>
  <c r="A875" i="20"/>
  <c r="A721" i="20"/>
  <c r="G87" i="8"/>
  <c r="A1763" i="16"/>
  <c r="H58" i="7"/>
  <c r="A6107" i="20"/>
  <c r="A1897" i="20"/>
  <c r="B2307" i="20"/>
  <c r="A851" i="20"/>
  <c r="A705" i="20"/>
  <c r="G83" i="8"/>
  <c r="A1747" i="16"/>
  <c r="H54" i="7"/>
  <c r="B5928" i="20"/>
  <c r="A1195" i="20"/>
  <c r="B997" i="20"/>
  <c r="A3081" i="20"/>
  <c r="A3413" i="20"/>
  <c r="B4179" i="20"/>
  <c r="B5005" i="20"/>
  <c r="B3251" i="20"/>
  <c r="B1782" i="20"/>
  <c r="G55" i="12"/>
  <c r="B1728" i="20"/>
  <c r="A442" i="20"/>
  <c r="A2018" i="20"/>
  <c r="B1439" i="16"/>
  <c r="A2162" i="20"/>
  <c r="H40" i="11"/>
  <c r="A5723" i="20"/>
  <c r="B933" i="20"/>
  <c r="B2719" i="20"/>
  <c r="A79" i="16"/>
  <c r="A1681" i="20"/>
  <c r="B1350" i="20"/>
  <c r="A177" i="16"/>
  <c r="B1520" i="16"/>
  <c r="B1372" i="16"/>
  <c r="A369" i="19"/>
  <c r="A79" i="10"/>
  <c r="A347" i="19"/>
  <c r="A1425" i="20"/>
  <c r="B1318" i="20"/>
  <c r="A153" i="16"/>
  <c r="B1496" i="16"/>
  <c r="B1362" i="16"/>
  <c r="A353" i="19"/>
  <c r="E76" i="10"/>
  <c r="A331" i="19"/>
  <c r="B2542" i="20"/>
  <c r="B4007" i="20"/>
  <c r="B5810" i="20"/>
  <c r="A9134" i="20"/>
  <c r="A6264" i="20"/>
  <c r="B5122" i="20"/>
  <c r="A5901" i="20"/>
  <c r="B4543" i="20"/>
  <c r="H1" i="13"/>
  <c r="B5574" i="20"/>
  <c r="A1273" i="20"/>
  <c r="B2463" i="20"/>
  <c r="A5132" i="20"/>
  <c r="B1063" i="20"/>
  <c r="A1455" i="16"/>
  <c r="B1181" i="16"/>
  <c r="B309" i="19"/>
  <c r="B81" i="9"/>
  <c r="A370" i="20"/>
  <c r="B103" i="8"/>
  <c r="A106" i="20"/>
  <c r="B291" i="20"/>
  <c r="B115" i="20"/>
  <c r="H108" i="13"/>
  <c r="B5099" i="20"/>
  <c r="A833" i="20"/>
  <c r="A4955" i="20"/>
  <c r="A81" i="16"/>
  <c r="B1424" i="16"/>
  <c r="B1308" i="16"/>
  <c r="B816" i="20"/>
  <c r="B75" i="16"/>
  <c r="B705" i="20"/>
  <c r="B59" i="16"/>
  <c r="A529" i="16"/>
  <c r="A20" i="17"/>
  <c r="B1718" i="16"/>
  <c r="B2855" i="20"/>
  <c r="A98" i="6"/>
  <c r="A467" i="20"/>
  <c r="H94" i="6"/>
  <c r="B463" i="16"/>
  <c r="A1791" i="16"/>
  <c r="A1637" i="16"/>
  <c r="H28" i="7"/>
  <c r="H134" i="4"/>
  <c r="A1586" i="16"/>
  <c r="B1645" i="20"/>
  <c r="B1847" i="16"/>
  <c r="B1188" i="16"/>
  <c r="A1290" i="16"/>
  <c r="A711" i="20"/>
  <c r="A60" i="2"/>
  <c r="A631" i="20"/>
  <c r="B958" i="16"/>
  <c r="G84" i="11"/>
  <c r="A194" i="16"/>
  <c r="B40" i="8"/>
  <c r="A740" i="16"/>
  <c r="G119" i="13"/>
  <c r="B30" i="5"/>
  <c r="A81" i="19"/>
  <c r="G95" i="9"/>
  <c r="B2193" i="20"/>
  <c r="B3103" i="20"/>
  <c r="A24" i="18"/>
  <c r="F61" i="9"/>
  <c r="B748" i="20"/>
  <c r="B40" i="2"/>
  <c r="B428" i="20"/>
  <c r="A1248" i="16"/>
  <c r="C1" i="2"/>
  <c r="A26" i="7"/>
  <c r="H81" i="4"/>
  <c r="B1147" i="20"/>
  <c r="B125" i="10"/>
  <c r="H95" i="8"/>
  <c r="B1759" i="20"/>
  <c r="G102" i="10"/>
  <c r="A2760" i="20"/>
  <c r="H9" i="9"/>
  <c r="B692" i="20"/>
  <c r="H29" i="10"/>
  <c r="B151" i="9"/>
  <c r="A748" i="16"/>
  <c r="E142" i="9"/>
  <c r="G103" i="9"/>
  <c r="F33" i="8"/>
  <c r="A311" i="20"/>
  <c r="B746" i="16"/>
  <c r="G139" i="9"/>
  <c r="H126" i="9"/>
  <c r="B2772" i="20"/>
  <c r="A37" i="19"/>
  <c r="B2880" i="20"/>
  <c r="A4699" i="20"/>
  <c r="A3" i="13"/>
  <c r="A1606" i="20"/>
  <c r="A125" i="12"/>
  <c r="A1342" i="20"/>
  <c r="B7122" i="20"/>
  <c r="A515" i="20"/>
  <c r="A65" i="13"/>
  <c r="A1310" i="20"/>
  <c r="G123" i="10"/>
  <c r="A1286" i="20"/>
  <c r="G119" i="10"/>
  <c r="B2467" i="20"/>
  <c r="A1583" i="20"/>
  <c r="B2865" i="20"/>
  <c r="A6836" i="20"/>
  <c r="A4715" i="20"/>
  <c r="B3275" i="20"/>
  <c r="B6480" i="20"/>
  <c r="A2581" i="20"/>
  <c r="B7320" i="20"/>
  <c r="A2092" i="20"/>
  <c r="A7116" i="20"/>
  <c r="B2376" i="20"/>
  <c r="A6317" i="20"/>
  <c r="B3503" i="20"/>
  <c r="B1316" i="20"/>
  <c r="B2448" i="20"/>
  <c r="A527" i="16"/>
  <c r="B1838" i="20"/>
  <c r="B1421" i="20"/>
  <c r="G107" i="11"/>
  <c r="B946" i="16"/>
  <c r="A1142" i="20"/>
  <c r="A28" i="9"/>
  <c r="A1113" i="20"/>
  <c r="B1462" i="20"/>
  <c r="A2364" i="20"/>
  <c r="A75" i="11"/>
  <c r="B880" i="16"/>
  <c r="B764" i="16"/>
  <c r="B1120" i="20"/>
  <c r="A24" i="9"/>
  <c r="A1097" i="20"/>
  <c r="B4519" i="20"/>
  <c r="A2100" i="20"/>
  <c r="A6086" i="20"/>
  <c r="A5929" i="20"/>
  <c r="A2817" i="20"/>
  <c r="A5697" i="20"/>
  <c r="B4574" i="20"/>
  <c r="A7168" i="20"/>
  <c r="A1882" i="20"/>
  <c r="B7595" i="20"/>
  <c r="B3215" i="20"/>
  <c r="B3175" i="20"/>
  <c r="B1761" i="20"/>
  <c r="E5" i="13"/>
  <c r="B86" i="18"/>
  <c r="B1024" i="16"/>
  <c r="B4351" i="20"/>
  <c r="A2068" i="20"/>
  <c r="B1471" i="20"/>
  <c r="B680" i="16"/>
  <c r="B562" i="16"/>
  <c r="A815" i="20"/>
  <c r="F110" i="8"/>
  <c r="A793" i="20"/>
  <c r="B4223" i="20"/>
  <c r="A2044" i="20"/>
  <c r="A1128" i="20"/>
  <c r="B664" i="16"/>
  <c r="B550" i="16"/>
  <c r="A799" i="20"/>
  <c r="A106" i="8"/>
  <c r="A777" i="20"/>
  <c r="B3159" i="20"/>
  <c r="A1780" i="20"/>
  <c r="B5997" i="20"/>
  <c r="A5801" i="20"/>
  <c r="A2689" i="20"/>
  <c r="A5569" i="20"/>
  <c r="B4446" i="20"/>
  <c r="A7213" i="20"/>
  <c r="A1370" i="20"/>
  <c r="A6560" i="20"/>
  <c r="B3087" i="20"/>
  <c r="B3047" i="20"/>
  <c r="A1533" i="20"/>
  <c r="B2948" i="20"/>
  <c r="B47" i="20"/>
  <c r="B1157" i="20"/>
  <c r="B119" i="12"/>
  <c r="A2112" i="20"/>
  <c r="B127" i="20"/>
  <c r="A1119" i="16"/>
  <c r="H118" i="13"/>
  <c r="B238" i="19"/>
  <c r="G20" i="7"/>
  <c r="B216" i="19"/>
  <c r="A2088" i="20"/>
  <c r="B3597" i="20"/>
  <c r="B1578" i="16"/>
  <c r="B24" i="16"/>
  <c r="B111" i="13"/>
  <c r="B222" i="19"/>
  <c r="G16" i="7"/>
  <c r="B200" i="19"/>
  <c r="A1824" i="20"/>
  <c r="B3076" i="20"/>
  <c r="B7515" i="20"/>
  <c r="B7123" i="20"/>
  <c r="A4218" i="20"/>
  <c r="A7221" i="20"/>
  <c r="A3986" i="20"/>
  <c r="A5463" i="20"/>
  <c r="A87" i="19"/>
  <c r="A5143" i="20"/>
  <c r="A2158" i="20"/>
  <c r="A2148" i="20"/>
  <c r="A653" i="20"/>
  <c r="B3029" i="20"/>
  <c r="B1389" i="16"/>
  <c r="B384" i="16"/>
  <c r="A1792" i="20"/>
  <c r="A4536" i="20"/>
  <c r="B3140" i="20"/>
  <c r="A71" i="13"/>
  <c r="G16" i="13"/>
  <c r="B1088" i="20"/>
  <c r="G74" i="6"/>
  <c r="B1000" i="20"/>
  <c r="A1768" i="20"/>
  <c r="A4152" i="20"/>
  <c r="B2756" i="20"/>
  <c r="E67" i="13"/>
  <c r="B12" i="13"/>
  <c r="B1024" i="20"/>
  <c r="G70" i="6"/>
  <c r="B936" i="20"/>
  <c r="A1504" i="20"/>
  <c r="B4249" i="20"/>
  <c r="A6480" i="20"/>
  <c r="A7637" i="20"/>
  <c r="A4090" i="20"/>
  <c r="A6709" i="20"/>
  <c r="A3858" i="20"/>
  <c r="B6436" i="20"/>
  <c r="B4317" i="20"/>
  <c r="B6162" i="20"/>
  <c r="A2126" i="20"/>
  <c r="A2116" i="20"/>
  <c r="A621" i="20"/>
  <c r="A4960" i="20"/>
  <c r="B3446" i="20"/>
  <c r="B2701" i="20"/>
  <c r="B4" i="18"/>
  <c r="A1551" i="16"/>
  <c r="A3470" i="20"/>
  <c r="A718" i="20"/>
  <c r="B1373" i="16"/>
  <c r="A36" i="11"/>
  <c r="B765" i="20"/>
  <c r="G91" i="13"/>
  <c r="B737" i="20"/>
  <c r="B3593" i="20"/>
  <c r="B2342" i="20"/>
  <c r="A793" i="16"/>
  <c r="B16" i="19"/>
  <c r="B60" i="18"/>
  <c r="B745" i="20"/>
  <c r="H73" i="13"/>
  <c r="B715" i="20"/>
  <c r="B1836" i="20"/>
  <c r="B1820" i="20"/>
  <c r="B9104" i="20"/>
  <c r="A7440" i="20"/>
  <c r="A1405" i="20"/>
  <c r="B7579" i="20"/>
  <c r="A1173" i="20"/>
  <c r="A6555" i="20"/>
  <c r="A2872" i="20"/>
  <c r="A6395" i="20"/>
  <c r="B1726" i="20"/>
  <c r="B1712" i="20"/>
  <c r="B15" i="20"/>
  <c r="A449" i="16"/>
  <c r="B186" i="19"/>
  <c r="B1792" i="16"/>
  <c r="B4284" i="20"/>
  <c r="B1776" i="20"/>
  <c r="A497" i="16"/>
  <c r="B1840" i="16"/>
  <c r="B1686" i="16"/>
  <c r="B339" i="20"/>
  <c r="G68" i="11"/>
  <c r="B309" i="20"/>
  <c r="B3900" i="20"/>
  <c r="B1744" i="20"/>
  <c r="A473" i="16"/>
  <c r="B1816" i="16"/>
  <c r="B1670" i="16"/>
  <c r="B317" i="20"/>
  <c r="G53" i="11"/>
  <c r="B289" i="20"/>
  <c r="A2193" i="20"/>
  <c r="B1392" i="20"/>
  <c r="B8699" i="20"/>
  <c r="A6928" i="20"/>
  <c r="A1277" i="20"/>
  <c r="B7067" i="20"/>
  <c r="B4385" i="20"/>
  <c r="A6043" i="20"/>
  <c r="A1459" i="20"/>
  <c r="A5883" i="20"/>
  <c r="B1684" i="20"/>
  <c r="B1670" i="20"/>
  <c r="A367" i="19"/>
  <c r="A417" i="16"/>
  <c r="B154" i="19"/>
  <c r="B1760" i="16"/>
  <c r="A1337" i="20"/>
  <c r="A1697" i="16"/>
  <c r="B1357" i="16"/>
  <c r="A6463" i="20"/>
  <c r="A2270" i="20"/>
  <c r="A765" i="20"/>
  <c r="B1501" i="16"/>
  <c r="B1347" i="16"/>
  <c r="A952" i="16"/>
  <c r="H7" i="12"/>
  <c r="A470" i="16"/>
  <c r="B5796" i="20"/>
  <c r="A2246" i="20"/>
  <c r="A741" i="20"/>
  <c r="B1477" i="16"/>
  <c r="B1331" i="16"/>
  <c r="A920" i="16"/>
  <c r="F1" i="12"/>
  <c r="A406" i="16"/>
  <c r="A3659" i="20"/>
  <c r="A1982" i="20"/>
  <c r="B7322" i="20"/>
  <c r="A6635" i="20"/>
  <c r="B4600" i="20"/>
  <c r="A5441" i="20"/>
  <c r="B6471" i="20"/>
  <c r="B3000" i="20"/>
  <c r="B3883" i="20"/>
  <c r="A1956" i="20"/>
  <c r="A7504" i="20"/>
  <c r="A65" i="11"/>
  <c r="A1172" i="20"/>
  <c r="A115" i="11"/>
  <c r="A103" i="18"/>
  <c r="B191" i="20"/>
  <c r="H87" i="12"/>
  <c r="A1238" i="16"/>
  <c r="A1343" i="16"/>
  <c r="B1623" i="16"/>
  <c r="B1123" i="16"/>
  <c r="B60" i="4"/>
  <c r="A22" i="4"/>
  <c r="G69" i="5"/>
  <c r="D94" i="1"/>
  <c r="A126" i="7"/>
  <c r="B55" i="7"/>
  <c r="H141" i="8"/>
  <c r="B9" i="16"/>
  <c r="B4504" i="20"/>
  <c r="A140" i="10"/>
  <c r="F1" i="4"/>
  <c r="A30" i="7"/>
  <c r="E2" i="9"/>
  <c r="A115" i="13"/>
  <c r="G98" i="10"/>
  <c r="B1573" i="20"/>
  <c r="B1329" i="16"/>
  <c r="A69" i="13"/>
  <c r="A28" i="10"/>
  <c r="E3" i="2"/>
  <c r="A1227" i="16"/>
  <c r="B985" i="16"/>
  <c r="G57" i="1"/>
  <c r="H53" i="6"/>
  <c r="A770" i="16"/>
  <c r="B81" i="18"/>
  <c r="B1801" i="20"/>
  <c r="G8" i="2"/>
  <c r="G88" i="4"/>
  <c r="B671" i="16"/>
  <c r="A923" i="20"/>
  <c r="B96" i="16"/>
  <c r="B1939" i="20"/>
  <c r="B4319" i="20"/>
  <c r="B333" i="20"/>
  <c r="B147" i="20"/>
  <c r="G117" i="10"/>
  <c r="H127" i="12"/>
  <c r="G104" i="9"/>
  <c r="B115" i="12"/>
  <c r="B1843" i="20"/>
  <c r="B3903" i="20"/>
  <c r="B301" i="20"/>
  <c r="B131" i="20"/>
  <c r="H114" i="10"/>
  <c r="A118" i="12"/>
  <c r="A101" i="9"/>
  <c r="F3" i="29"/>
  <c r="B4212" i="20"/>
  <c r="A1914" i="20"/>
  <c r="B7391" i="20"/>
  <c r="A2453" i="20"/>
  <c r="A4474" i="20"/>
  <c r="A343" i="19"/>
  <c r="B2317" i="20"/>
  <c r="B1146" i="20"/>
  <c r="A1454" i="20"/>
  <c r="A418" i="20"/>
  <c r="A333" i="20"/>
  <c r="A1152" i="20"/>
  <c r="A2798" i="20"/>
  <c r="B891" i="20"/>
  <c r="B2778" i="20"/>
  <c r="G53" i="12"/>
  <c r="A1408" i="20"/>
  <c r="A6" i="10"/>
  <c r="B75" i="13"/>
  <c r="E2" i="10"/>
  <c r="A120" i="19"/>
  <c r="B124" i="13"/>
  <c r="B1126" i="20"/>
  <c r="A118" i="8"/>
  <c r="A114" i="20"/>
  <c r="B43" i="8"/>
  <c r="B233" i="19"/>
  <c r="B205" i="20"/>
  <c r="B51" i="20"/>
  <c r="B2841" i="20"/>
  <c r="A1338" i="16"/>
  <c r="A1414" i="20"/>
  <c r="G70" i="11"/>
  <c r="A4680" i="20"/>
  <c r="B803" i="20"/>
  <c r="B597" i="20"/>
  <c r="G114" i="12"/>
  <c r="B248" i="16"/>
  <c r="A2801" i="20"/>
  <c r="A1781" i="16"/>
  <c r="B3734" i="20"/>
  <c r="B68" i="20"/>
  <c r="B488" i="16"/>
  <c r="B370" i="16"/>
  <c r="A527" i="20"/>
  <c r="B1153" i="16"/>
  <c r="A560" i="16"/>
  <c r="B1131" i="16"/>
  <c r="B1656" i="16"/>
  <c r="B107" i="20"/>
  <c r="A264" i="16"/>
  <c r="E13" i="8"/>
  <c r="B72" i="4"/>
  <c r="A136" i="7"/>
  <c r="A356" i="16"/>
  <c r="F137" i="12"/>
  <c r="G49" i="4"/>
  <c r="A67" i="12"/>
  <c r="G23" i="4"/>
  <c r="A116" i="9"/>
  <c r="G67" i="12"/>
  <c r="B2503" i="20"/>
  <c r="H120" i="8"/>
  <c r="A8191" i="20"/>
  <c r="B8" i="20"/>
  <c r="B878" i="20"/>
  <c r="B86" i="8"/>
  <c r="B66" i="4"/>
  <c r="H28" i="1"/>
  <c r="B52" i="4"/>
  <c r="B370" i="20"/>
  <c r="F36" i="10"/>
  <c r="G65" i="1"/>
  <c r="B139" i="4"/>
  <c r="A268" i="16"/>
  <c r="G116" i="1"/>
  <c r="G103" i="4"/>
  <c r="A1330" i="16"/>
  <c r="A752" i="20"/>
  <c r="B1335" i="16"/>
  <c r="B846" i="16"/>
  <c r="A1034" i="16"/>
  <c r="A199" i="20"/>
  <c r="A29" i="2"/>
  <c r="A119" i="20"/>
  <c r="B618" i="16"/>
  <c r="A53" i="9"/>
  <c r="E104" i="8"/>
  <c r="H60" i="7"/>
  <c r="G7" i="13"/>
  <c r="F86" i="11"/>
  <c r="A990" i="16"/>
  <c r="H24" i="6"/>
  <c r="F136" i="10"/>
  <c r="A3800" i="20"/>
  <c r="B1217" i="20"/>
  <c r="B58" i="13"/>
  <c r="B738" i="20"/>
  <c r="B1563" i="20"/>
  <c r="C2" i="6"/>
  <c r="B1118" i="20"/>
  <c r="E34" i="12"/>
  <c r="F74" i="4"/>
  <c r="B107" i="4"/>
  <c r="A237" i="20"/>
  <c r="B825" i="20"/>
  <c r="C77" i="18"/>
  <c r="A1728" i="20"/>
  <c r="A3512" i="20"/>
  <c r="A4088" i="20"/>
  <c r="A53" i="13"/>
  <c r="A136" i="12"/>
  <c r="B832" i="20"/>
  <c r="G60" i="6"/>
  <c r="B744" i="20"/>
  <c r="A1704" i="20"/>
  <c r="A3128" i="20"/>
  <c r="A3704" i="20"/>
  <c r="G45" i="13"/>
  <c r="B129" i="12"/>
  <c r="B768" i="20"/>
  <c r="G56" i="6"/>
  <c r="B680" i="20"/>
  <c r="A1440" i="20"/>
  <c r="B2544" i="20"/>
  <c r="A7887" i="20"/>
  <c r="B7627" i="20"/>
  <c r="B6602" i="20"/>
  <c r="A2456" i="20"/>
  <c r="A104" i="32"/>
  <c r="B1486" i="20"/>
  <c r="A444" i="20"/>
  <c r="A5350" i="20"/>
  <c r="A622" i="20"/>
  <c r="A5951" i="20"/>
  <c r="B3873" i="20"/>
  <c r="A1700" i="20"/>
  <c r="E125" i="13"/>
  <c r="H58" i="11"/>
  <c r="G135" i="12"/>
  <c r="B1377" i="16"/>
  <c r="B2879" i="20"/>
  <c r="B88" i="12"/>
  <c r="A1658" i="20"/>
  <c r="B138" i="19"/>
  <c r="A77" i="20"/>
  <c r="B1487" i="20"/>
  <c r="B1918" i="20"/>
  <c r="B978" i="16"/>
  <c r="B1536" i="20"/>
  <c r="B4411" i="20"/>
  <c r="G22" i="13"/>
  <c r="A335" i="19"/>
  <c r="A211" i="19"/>
  <c r="A4629" i="20"/>
  <c r="B1535" i="20"/>
  <c r="A2095" i="20"/>
  <c r="B1570" i="16"/>
  <c r="B16" i="16"/>
  <c r="A106" i="13"/>
  <c r="B3999" i="20"/>
  <c r="A921" i="20"/>
  <c r="B752" i="16"/>
  <c r="A905" i="20"/>
  <c r="A1489" i="16"/>
  <c r="A64" i="11"/>
  <c r="B137" i="10"/>
  <c r="A576" i="20"/>
  <c r="B1257" i="20"/>
  <c r="G149" i="8"/>
  <c r="A953" i="20"/>
  <c r="B857" i="20"/>
  <c r="H43" i="10"/>
  <c r="B113" i="8"/>
  <c r="B894" i="16"/>
  <c r="G99" i="10"/>
  <c r="B842" i="16"/>
  <c r="G117" i="9"/>
  <c r="B44" i="2"/>
  <c r="H135" i="7"/>
  <c r="A372" i="16"/>
  <c r="A750" i="16"/>
  <c r="H41" i="5"/>
  <c r="A3" i="6"/>
  <c r="A5" i="17"/>
  <c r="B45" i="18"/>
  <c r="B1835" i="16"/>
  <c r="A871" i="16"/>
  <c r="G65" i="9"/>
  <c r="A1672" i="16"/>
  <c r="A1056" i="16"/>
  <c r="G143" i="1"/>
  <c r="A896" i="16"/>
  <c r="H89" i="5"/>
  <c r="A1035" i="16"/>
  <c r="A576" i="16"/>
  <c r="B434" i="20"/>
  <c r="G72" i="5"/>
  <c r="H129" i="1"/>
  <c r="A101" i="10"/>
  <c r="B474" i="16"/>
  <c r="B10" i="19"/>
  <c r="B3655" i="20"/>
  <c r="B1" i="19"/>
  <c r="B374" i="16"/>
  <c r="A1540" i="16"/>
  <c r="G66" i="9"/>
  <c r="G132" i="2"/>
  <c r="B1865" i="20"/>
  <c r="G94" i="2"/>
  <c r="B22" i="7"/>
  <c r="B628" i="16"/>
  <c r="A43" i="9"/>
  <c r="H116" i="1"/>
  <c r="H80" i="4"/>
  <c r="A760" i="16"/>
  <c r="B942" i="16"/>
  <c r="A9" i="5"/>
  <c r="B3820" i="20"/>
  <c r="G114" i="4"/>
  <c r="B844" i="16"/>
  <c r="E113" i="4"/>
  <c r="A93" i="4"/>
  <c r="A23" i="1"/>
  <c r="B3236" i="20"/>
  <c r="A117" i="9"/>
  <c r="H17" i="2"/>
  <c r="A41" i="12"/>
  <c r="B3893" i="20"/>
  <c r="A686" i="20"/>
  <c r="H19" i="11"/>
  <c r="B502" i="20"/>
  <c r="A4042" i="20"/>
  <c r="B855" i="20"/>
  <c r="B118" i="13"/>
  <c r="A1247" i="16"/>
  <c r="A1093" i="16"/>
  <c r="B32" i="6"/>
  <c r="H105" i="13"/>
  <c r="B82" i="10"/>
  <c r="A3946" i="20"/>
  <c r="B831" i="20"/>
  <c r="F105" i="13"/>
  <c r="A1223" i="16"/>
  <c r="A1077" i="16"/>
  <c r="F28" i="6"/>
  <c r="B100" i="13"/>
  <c r="H75" i="10"/>
  <c r="A2890" i="20"/>
  <c r="B567" i="20"/>
  <c r="B7037" i="20"/>
  <c r="B4264" i="20"/>
  <c r="A6298" i="20"/>
  <c r="B1938" i="20"/>
  <c r="B1658" i="20"/>
  <c r="A1582" i="20"/>
  <c r="B4015" i="20"/>
  <c r="B5298" i="20"/>
  <c r="B3471" i="20"/>
  <c r="A130" i="18"/>
  <c r="B4558" i="20"/>
  <c r="A4072" i="20"/>
  <c r="B2877" i="20"/>
  <c r="B367" i="16"/>
  <c r="B549" i="20"/>
  <c r="B725" i="20"/>
  <c r="A4682" i="20"/>
  <c r="A46" i="12"/>
  <c r="A3598" i="20"/>
  <c r="B1698" i="16"/>
  <c r="B104" i="16"/>
  <c r="A1786" i="20"/>
  <c r="B24" i="10"/>
  <c r="B901" i="16"/>
  <c r="B16" i="10"/>
  <c r="G71" i="13"/>
  <c r="A1151" i="16"/>
  <c r="A997" i="16"/>
  <c r="A1428" i="20"/>
  <c r="H51" i="5"/>
  <c r="B82" i="19"/>
  <c r="H47" i="5"/>
  <c r="B271" i="16"/>
  <c r="A1599" i="16"/>
  <c r="A1445" i="16"/>
  <c r="B5227" i="20"/>
  <c r="A54" i="19"/>
  <c r="B3349" i="20"/>
  <c r="A40" i="17"/>
  <c r="A797" i="20"/>
  <c r="B1533" i="16"/>
  <c r="B1379" i="16"/>
  <c r="A1016" i="16"/>
  <c r="A632" i="16"/>
  <c r="B900" i="16"/>
  <c r="F142" i="4"/>
  <c r="B2796" i="20"/>
  <c r="A54" i="4"/>
  <c r="B802" i="16"/>
  <c r="H93" i="4"/>
  <c r="H73" i="4"/>
  <c r="F8" i="1"/>
  <c r="B1678" i="20"/>
  <c r="B137" i="8"/>
  <c r="F62" i="1"/>
  <c r="A54" i="11"/>
  <c r="B26" i="19"/>
  <c r="H83" i="2"/>
  <c r="B98" i="8"/>
  <c r="A104" i="7"/>
  <c r="B55" i="12"/>
  <c r="G112" i="8"/>
  <c r="A712" i="20"/>
  <c r="B390" i="20"/>
  <c r="G7" i="12"/>
  <c r="H41" i="8"/>
  <c r="E33" i="1"/>
  <c r="B436" i="16"/>
  <c r="A74" i="18"/>
  <c r="A700" i="16"/>
  <c r="A143" i="8"/>
  <c r="A51" i="8"/>
  <c r="E27" i="9"/>
  <c r="B1673" i="16"/>
  <c r="B1846" i="16"/>
  <c r="B198" i="20"/>
  <c r="B46" i="8"/>
  <c r="A6357" i="20"/>
  <c r="B979" i="16"/>
  <c r="A44" i="19"/>
  <c r="F10" i="8"/>
  <c r="A1188" i="16"/>
  <c r="G28" i="10"/>
  <c r="A1012" i="16"/>
  <c r="A1070" i="16"/>
  <c r="G17" i="6"/>
  <c r="A126" i="2"/>
  <c r="B2437" i="20"/>
  <c r="F1" i="8"/>
  <c r="G112" i="1"/>
  <c r="A1061" i="16"/>
  <c r="H20" i="12"/>
  <c r="G52" i="9"/>
  <c r="B4843" i="20"/>
  <c r="A801" i="20"/>
  <c r="B85" i="11"/>
  <c r="H17" i="9"/>
  <c r="A30" i="6"/>
  <c r="F31" i="1"/>
  <c r="H7" i="6"/>
  <c r="B76" i="4"/>
  <c r="B121" i="4"/>
  <c r="A1644" i="16"/>
  <c r="H98" i="5"/>
  <c r="B49" i="2"/>
  <c r="A256" i="16"/>
  <c r="H65" i="9"/>
  <c r="A512" i="16"/>
  <c r="A436" i="16"/>
  <c r="A4504" i="20"/>
  <c r="B241" i="16"/>
  <c r="H123" i="12"/>
  <c r="A56" i="9"/>
  <c r="H24" i="1"/>
  <c r="A2571" i="20"/>
  <c r="A597" i="16"/>
  <c r="A1165" i="16"/>
  <c r="B49" i="6"/>
  <c r="H73" i="6"/>
  <c r="C36" i="2"/>
  <c r="H64" i="6"/>
  <c r="B53" i="9"/>
  <c r="A83" i="2"/>
  <c r="B2968" i="20"/>
  <c r="A44" i="13"/>
  <c r="A1" i="17"/>
  <c r="B65" i="7"/>
  <c r="A10" i="9"/>
  <c r="H84" i="13"/>
  <c r="A1588" i="16"/>
  <c r="H88" i="6"/>
  <c r="G56" i="1"/>
  <c r="A1063" i="16"/>
  <c r="F156" i="9"/>
  <c r="A1768" i="16"/>
  <c r="A1440" i="16"/>
  <c r="G9" i="2"/>
  <c r="A2074" i="20"/>
  <c r="B13" i="12"/>
  <c r="B59" i="12"/>
  <c r="B119" i="8"/>
  <c r="B15" i="2"/>
  <c r="B1246" i="16"/>
  <c r="B3573" i="20"/>
  <c r="H39" i="1"/>
  <c r="E144" i="10"/>
  <c r="B2352" i="20"/>
  <c r="A50" i="19"/>
  <c r="A137" i="13"/>
  <c r="G95" i="10"/>
  <c r="F9" i="4"/>
  <c r="H126" i="4"/>
  <c r="B861" i="20"/>
  <c r="B1887" i="20"/>
  <c r="A2076" i="20"/>
  <c r="A831" i="20"/>
  <c r="B236" i="16"/>
  <c r="A708" i="16"/>
  <c r="A85" i="6"/>
  <c r="A4041" i="20"/>
  <c r="B595" i="16"/>
  <c r="B108" i="18"/>
  <c r="A130" i="7"/>
  <c r="A420" i="16"/>
  <c r="E150" i="8"/>
  <c r="A244" i="16"/>
  <c r="A686" i="16"/>
  <c r="G22" i="5"/>
  <c r="A7376" i="20"/>
  <c r="A353" i="20"/>
  <c r="B32" i="11"/>
  <c r="B135" i="8"/>
  <c r="H5" i="5"/>
  <c r="B521" i="20"/>
  <c r="H74" i="6"/>
  <c r="A49" i="6"/>
  <c r="B490" i="16"/>
  <c r="A9" i="4"/>
  <c r="B1061" i="16"/>
  <c r="E94" i="10"/>
  <c r="H103" i="6"/>
  <c r="H115" i="10"/>
  <c r="F5" i="2"/>
  <c r="A1244" i="20"/>
  <c r="B902" i="20"/>
  <c r="B17" i="12"/>
  <c r="B57" i="8"/>
  <c r="B564" i="16"/>
  <c r="G1" i="1"/>
  <c r="A938" i="16"/>
  <c r="B29" i="8"/>
  <c r="A858" i="16"/>
  <c r="A412" i="16"/>
  <c r="A18" i="7"/>
  <c r="H8" i="11"/>
  <c r="A60" i="9"/>
  <c r="G49" i="2"/>
  <c r="B1305" i="16"/>
  <c r="A71" i="2"/>
  <c r="A245" i="19"/>
  <c r="B7809" i="20"/>
  <c r="A240" i="19"/>
  <c r="B1942" i="20"/>
  <c r="B2712" i="20"/>
  <c r="B744" i="16"/>
  <c r="B1523" i="16"/>
  <c r="B924" i="16"/>
  <c r="G52" i="5"/>
  <c r="H52" i="5"/>
  <c r="A1337" i="16"/>
  <c r="H50" i="2"/>
  <c r="B394" i="20"/>
  <c r="G51" i="5"/>
  <c r="A435" i="20"/>
  <c r="B21" i="4"/>
  <c r="E125" i="2"/>
  <c r="G30" i="6"/>
  <c r="G21" i="10"/>
  <c r="C67" i="2"/>
  <c r="B54" i="11"/>
  <c r="A68" i="8"/>
  <c r="A271" i="20"/>
  <c r="G119" i="7"/>
  <c r="A249" i="20"/>
  <c r="B306" i="19"/>
  <c r="A100" i="5"/>
  <c r="G83" i="7"/>
  <c r="B1975" i="20"/>
  <c r="H113" i="2"/>
  <c r="B706" i="20"/>
  <c r="B19" i="5"/>
  <c r="B89" i="20"/>
  <c r="B5" i="2"/>
  <c r="F67" i="7"/>
  <c r="A154" i="9"/>
  <c r="G108" i="10"/>
  <c r="A1038" i="16"/>
  <c r="A1860" i="20"/>
  <c r="A801" i="16"/>
  <c r="B461" i="16"/>
  <c r="B5948" i="20"/>
  <c r="B2517" i="20"/>
  <c r="B888" i="20"/>
  <c r="B221" i="16"/>
  <c r="B67" i="16"/>
  <c r="B48" i="10"/>
  <c r="B1716" i="16"/>
  <c r="C1" i="8"/>
  <c r="A3283" i="20"/>
  <c r="B2421" i="20"/>
  <c r="B792" i="20"/>
  <c r="B197" i="16"/>
  <c r="B51" i="16"/>
  <c r="H44" i="10"/>
  <c r="B1700" i="16"/>
  <c r="B132" i="7"/>
  <c r="B3096" i="20"/>
  <c r="B1365" i="20"/>
  <c r="B6391" i="20"/>
  <c r="B5343" i="20"/>
  <c r="B5064" i="20"/>
  <c r="A4077" i="20"/>
  <c r="A3952" i="20"/>
  <c r="B379" i="19"/>
  <c r="A2481" i="20"/>
  <c r="A878" i="20"/>
  <c r="B1558" i="20"/>
  <c r="A1522" i="20"/>
  <c r="B869" i="20"/>
  <c r="A4921" i="20"/>
  <c r="A6" i="11"/>
  <c r="B4612" i="20"/>
  <c r="B3989" i="20"/>
  <c r="B362" i="19"/>
  <c r="B587" i="16"/>
  <c r="B143" i="19"/>
  <c r="B571" i="16"/>
  <c r="A657" i="16"/>
  <c r="A67" i="18"/>
  <c r="B2775" i="20"/>
  <c r="A55" i="12"/>
  <c r="A601" i="16"/>
  <c r="G39" i="12"/>
  <c r="B504" i="20"/>
  <c r="B125" i="16"/>
  <c r="C5" i="14"/>
  <c r="A2837" i="20"/>
  <c r="H33" i="11"/>
  <c r="B542" i="20"/>
  <c r="G28" i="11"/>
  <c r="B220" i="19"/>
  <c r="B573" i="16"/>
  <c r="B419" i="16"/>
  <c r="B1325" i="16"/>
  <c r="B77" i="6"/>
  <c r="B1232" i="20"/>
  <c r="A289" i="19"/>
  <c r="B3751" i="20"/>
  <c r="A1099" i="20"/>
  <c r="A945" i="20"/>
  <c r="G141" i="8"/>
  <c r="G134" i="9"/>
  <c r="A112" i="12"/>
  <c r="A1366" i="16"/>
  <c r="A820" i="20"/>
  <c r="A1754" i="16"/>
  <c r="A42" i="12"/>
  <c r="A774" i="16"/>
  <c r="A462" i="16"/>
  <c r="E1" i="6"/>
  <c r="A382" i="16"/>
  <c r="H79" i="4"/>
  <c r="H79" i="9"/>
  <c r="B1033" i="20"/>
  <c r="B5" i="12"/>
  <c r="H53" i="4"/>
  <c r="H134" i="2"/>
  <c r="A1784" i="16"/>
  <c r="B1198" i="16"/>
  <c r="A127" i="5"/>
  <c r="B2603" i="20"/>
  <c r="H55" i="7"/>
  <c r="B1100" i="16"/>
  <c r="B81" i="5"/>
  <c r="G50" i="5"/>
  <c r="H114" i="1"/>
  <c r="G44" i="5"/>
  <c r="F49" i="1"/>
  <c r="H92" i="4"/>
  <c r="A1003" i="16"/>
  <c r="G92" i="8"/>
  <c r="G72" i="1"/>
  <c r="G38" i="4"/>
  <c r="B1281" i="16"/>
  <c r="A816" i="16"/>
  <c r="B1259" i="16"/>
  <c r="A60" i="19"/>
  <c r="B757" i="20"/>
  <c r="A520" i="16"/>
  <c r="G134" i="8"/>
  <c r="F54" i="1"/>
  <c r="B114" i="8"/>
  <c r="A1380" i="16"/>
  <c r="B308" i="16"/>
  <c r="H45" i="7"/>
  <c r="A62" i="16"/>
  <c r="G55" i="4"/>
  <c r="A32" i="6"/>
  <c r="B129" i="7"/>
  <c r="A57" i="18"/>
  <c r="A250" i="19"/>
  <c r="B42" i="18"/>
  <c r="A1383" i="16"/>
  <c r="G58" i="11"/>
  <c r="C18" i="18"/>
  <c r="A121" i="18"/>
  <c r="B80" i="2"/>
  <c r="B13" i="18"/>
  <c r="A52" i="6"/>
  <c r="A107" i="18"/>
  <c r="B185" i="19"/>
  <c r="A19" i="11"/>
  <c r="B496" i="20"/>
  <c r="B7543" i="20"/>
  <c r="B2152" i="20"/>
  <c r="B273" i="20"/>
  <c r="A43" i="20"/>
  <c r="B272" i="19"/>
  <c r="A29" i="7"/>
  <c r="A931" i="16"/>
  <c r="A128" i="5"/>
  <c r="A5145" i="20"/>
  <c r="B2104" i="20"/>
  <c r="B241" i="20"/>
  <c r="A19" i="20"/>
  <c r="B256" i="19"/>
  <c r="E25" i="7"/>
  <c r="A915" i="16"/>
  <c r="B123" i="5"/>
  <c r="A6536" i="20"/>
  <c r="B1662" i="20"/>
  <c r="A351" i="19"/>
  <c r="A3398" i="20"/>
  <c r="B2164" i="20"/>
  <c r="A7148" i="20"/>
  <c r="B693" i="16"/>
  <c r="B181" i="16"/>
  <c r="B6095" i="20"/>
  <c r="A3008" i="20"/>
  <c r="A2066" i="20"/>
  <c r="B190" i="20"/>
  <c r="B3333" i="20"/>
  <c r="B1667" i="20"/>
  <c r="B1151" i="16"/>
  <c r="B2536" i="20"/>
  <c r="A74" i="7"/>
  <c r="B3515" i="20"/>
  <c r="A44" i="11"/>
  <c r="B1157" i="16"/>
  <c r="B17" i="11"/>
  <c r="H102" i="13"/>
  <c r="A1215" i="16"/>
  <c r="A303" i="16"/>
  <c r="B576" i="20"/>
  <c r="B4068" i="20"/>
  <c r="B337" i="16"/>
  <c r="A2361" i="20"/>
  <c r="B330" i="19"/>
  <c r="B176" i="19"/>
  <c r="A246" i="19"/>
  <c r="A305" i="19"/>
  <c r="B2096" i="20"/>
  <c r="B7" i="19"/>
  <c r="B2911" i="20"/>
  <c r="A395" i="20"/>
  <c r="A241" i="20"/>
  <c r="B99" i="18"/>
  <c r="A5" i="16"/>
  <c r="B2611" i="20"/>
  <c r="B88" i="11"/>
  <c r="B1555" i="20"/>
  <c r="A1110" i="20"/>
  <c r="B4575" i="20"/>
  <c r="C94" i="18"/>
  <c r="B404" i="20"/>
  <c r="B710" i="20"/>
  <c r="F76" i="8"/>
  <c r="A6365" i="20"/>
  <c r="B1491" i="16"/>
  <c r="B110" i="20"/>
  <c r="B41" i="8"/>
  <c r="A202" i="19"/>
  <c r="A76" i="16"/>
  <c r="C90" i="18"/>
  <c r="A1582" i="16"/>
  <c r="G131" i="7"/>
  <c r="A19" i="1"/>
  <c r="A3160" i="20"/>
  <c r="G86" i="9"/>
  <c r="G148" i="1"/>
  <c r="F93" i="13"/>
  <c r="A323" i="16"/>
  <c r="H140" i="4"/>
  <c r="B1164" i="20"/>
  <c r="B614" i="16"/>
  <c r="A173" i="16"/>
  <c r="A105" i="4"/>
  <c r="F34" i="4"/>
  <c r="F129" i="1"/>
  <c r="B29" i="4"/>
  <c r="G13" i="6"/>
  <c r="H123" i="1"/>
  <c r="B650" i="16"/>
  <c r="A166" i="19"/>
  <c r="A1468" i="16"/>
  <c r="H80" i="9"/>
  <c r="B2025" i="20"/>
  <c r="A20" i="9"/>
  <c r="A1081" i="20"/>
  <c r="B165" i="19"/>
  <c r="H122" i="11"/>
  <c r="H142" i="8"/>
  <c r="B1236" i="16"/>
  <c r="A812" i="16"/>
  <c r="B1182" i="16"/>
  <c r="H82" i="10"/>
  <c r="E10" i="1"/>
  <c r="B11" i="4"/>
  <c r="A1396" i="16"/>
  <c r="A1262" i="16"/>
  <c r="G104" i="6"/>
  <c r="B59" i="7"/>
  <c r="B211" i="20"/>
  <c r="F27" i="10"/>
  <c r="A123" i="19"/>
  <c r="B152" i="18"/>
  <c r="A7" i="8"/>
  <c r="F151" i="9"/>
  <c r="A379" i="16"/>
  <c r="A130" i="6"/>
  <c r="A299" i="16"/>
  <c r="G64" i="7"/>
  <c r="G29" i="1"/>
  <c r="A542" i="16"/>
  <c r="A54" i="6"/>
  <c r="H90" i="4"/>
  <c r="A877" i="20"/>
  <c r="B117" i="19"/>
  <c r="B1084" i="20"/>
  <c r="A2496" i="20"/>
  <c r="A1492" i="20"/>
  <c r="C57" i="18"/>
  <c r="B296" i="16"/>
  <c r="B178" i="16"/>
  <c r="A239" i="20"/>
  <c r="B110" i="7"/>
  <c r="A217" i="20"/>
  <c r="A2472" i="20"/>
  <c r="A1468" i="20"/>
  <c r="C41" i="18"/>
  <c r="B280" i="16"/>
  <c r="B166" i="16"/>
  <c r="A223" i="20"/>
  <c r="A106" i="7"/>
  <c r="A201" i="20"/>
  <c r="A2208" i="20"/>
  <c r="A1204" i="20"/>
  <c r="B8030" i="20"/>
  <c r="A5953" i="20"/>
  <c r="A7533" i="20"/>
  <c r="B1578" i="20"/>
  <c r="A3984" i="20"/>
  <c r="B1140" i="20"/>
  <c r="A2219" i="20"/>
  <c r="A2227" i="20"/>
  <c r="B2820" i="20"/>
  <c r="A1539" i="20"/>
  <c r="B5066" i="20"/>
  <c r="B1286" i="20"/>
  <c r="B1472" i="16"/>
  <c r="B1272" i="16"/>
  <c r="A26" i="11"/>
  <c r="B509" i="20"/>
  <c r="B4228" i="20"/>
  <c r="B2965" i="20"/>
  <c r="A2521" i="20"/>
  <c r="A523" i="20"/>
  <c r="B2631" i="20"/>
  <c r="A2090" i="20"/>
  <c r="A3079" i="20"/>
  <c r="A245" i="16"/>
  <c r="A2709" i="20"/>
  <c r="A38" i="17"/>
  <c r="B232" i="16"/>
  <c r="B114" i="16"/>
  <c r="B424" i="16"/>
  <c r="B1386" i="20"/>
  <c r="B91" i="18"/>
  <c r="A2769" i="20"/>
  <c r="B324" i="20"/>
  <c r="B528" i="16"/>
  <c r="B412" i="16"/>
  <c r="A1649" i="16"/>
  <c r="A1411" i="20"/>
  <c r="F96" i="13"/>
  <c r="A1155" i="20"/>
  <c r="A382" i="19"/>
  <c r="B13" i="15"/>
  <c r="B81" i="13"/>
  <c r="A4440" i="20"/>
  <c r="B145" i="20"/>
  <c r="E12" i="10"/>
  <c r="A59" i="19"/>
  <c r="A14" i="17"/>
  <c r="B84" i="7"/>
  <c r="A136" i="9"/>
  <c r="A123" i="16"/>
  <c r="A7" i="6"/>
  <c r="A43" i="16"/>
  <c r="A5" i="7"/>
  <c r="A14" i="1"/>
  <c r="A53" i="12"/>
  <c r="G129" i="5"/>
  <c r="B71" i="4"/>
  <c r="B98" i="4"/>
  <c r="A11" i="13"/>
  <c r="B2479" i="20"/>
  <c r="B97" i="6"/>
  <c r="B2127" i="20"/>
  <c r="B357" i="16"/>
  <c r="A69" i="8"/>
  <c r="A63" i="6"/>
  <c r="B108" i="9"/>
  <c r="H115" i="1"/>
  <c r="B90" i="9"/>
  <c r="E74" i="10"/>
  <c r="B1583" i="20"/>
  <c r="G109" i="7"/>
  <c r="B37" i="5"/>
  <c r="E7" i="8"/>
  <c r="B48" i="8"/>
  <c r="A888" i="16"/>
  <c r="B986" i="16"/>
  <c r="E28" i="5"/>
  <c r="B223" i="20"/>
  <c r="B18" i="5"/>
  <c r="B886" i="16"/>
  <c r="H135" i="4"/>
  <c r="H112" i="4"/>
  <c r="A38" i="1"/>
  <c r="B106" i="4"/>
  <c r="B78" i="10"/>
  <c r="H9" i="1"/>
  <c r="H23" i="13"/>
  <c r="G58" i="6"/>
  <c r="G136" i="2"/>
  <c r="H28" i="10"/>
  <c r="A15" i="6"/>
  <c r="B1492" i="16"/>
  <c r="H38" i="7"/>
  <c r="A1106" i="20"/>
  <c r="G116" i="9"/>
  <c r="B1356" i="16"/>
  <c r="F103" i="6"/>
  <c r="G62" i="6"/>
  <c r="G52" i="2"/>
  <c r="A53" i="6"/>
  <c r="F45" i="1"/>
  <c r="G70" i="9"/>
  <c r="B1130" i="20"/>
  <c r="A7" i="11"/>
  <c r="H9" i="2"/>
  <c r="E28" i="9"/>
  <c r="A60" i="1"/>
  <c r="B1580" i="16"/>
  <c r="B94" i="10"/>
  <c r="B1829" i="16"/>
  <c r="A1814" i="16"/>
  <c r="G19" i="7"/>
  <c r="A418" i="16"/>
  <c r="A50" i="2"/>
  <c r="A2012" i="20"/>
  <c r="A767" i="20"/>
  <c r="B226" i="16"/>
  <c r="A644" i="16"/>
  <c r="H60" i="6"/>
  <c r="D78" i="1"/>
  <c r="A423" i="20"/>
  <c r="G42" i="2"/>
  <c r="H98" i="10"/>
  <c r="A2497" i="20"/>
  <c r="B1709" i="20"/>
  <c r="B684" i="16"/>
  <c r="A26" i="4"/>
  <c r="G112" i="4"/>
  <c r="A43" i="4"/>
  <c r="A107" i="2"/>
  <c r="H52" i="1"/>
  <c r="B1420" i="20"/>
  <c r="B742" i="16"/>
  <c r="A221" i="16"/>
  <c r="A116" i="4"/>
  <c r="A45" i="4"/>
  <c r="B33" i="2"/>
  <c r="B997" i="16"/>
  <c r="G64" i="10"/>
  <c r="B100" i="6"/>
  <c r="B100" i="10"/>
  <c r="B2" i="2"/>
  <c r="A81" i="10"/>
  <c r="H71" i="13"/>
  <c r="A215" i="20"/>
  <c r="D151" i="1"/>
  <c r="A755" i="20"/>
  <c r="H31" i="7"/>
  <c r="H118" i="7"/>
  <c r="A11" i="12"/>
  <c r="G47" i="5"/>
  <c r="B32" i="8"/>
  <c r="B1839" i="20"/>
  <c r="B5" i="4"/>
  <c r="B429" i="20"/>
  <c r="E122" i="9"/>
  <c r="G93" i="8"/>
  <c r="B682" i="16"/>
  <c r="H100" i="9"/>
  <c r="B3308" i="20"/>
  <c r="G83" i="4"/>
  <c r="B822" i="16"/>
  <c r="B103" i="4"/>
  <c r="B82" i="4"/>
  <c r="A15" i="1"/>
  <c r="A1657" i="20"/>
  <c r="A57" i="9"/>
  <c r="F116" i="1"/>
  <c r="A658" i="20"/>
  <c r="E12" i="9"/>
  <c r="B1282" i="16"/>
  <c r="G18" i="6"/>
  <c r="B69" i="10"/>
  <c r="H53" i="5"/>
  <c r="B9" i="13"/>
  <c r="H40" i="2"/>
  <c r="B123" i="4"/>
  <c r="A1803" i="20"/>
  <c r="A405" i="16"/>
  <c r="A1117" i="16"/>
  <c r="B37" i="6"/>
  <c r="H51" i="6"/>
  <c r="G24" i="2"/>
  <c r="B3773" i="20"/>
  <c r="G130" i="8"/>
  <c r="G69" i="6"/>
  <c r="G74" i="11"/>
  <c r="B3477" i="20"/>
  <c r="A402" i="20"/>
  <c r="A4184" i="20"/>
  <c r="E6" i="9"/>
  <c r="A131" i="8"/>
  <c r="B649" i="16"/>
  <c r="A1819" i="16"/>
  <c r="H106" i="6"/>
  <c r="D61" i="1"/>
  <c r="A78" i="4"/>
  <c r="A94" i="11"/>
  <c r="A4553" i="20"/>
  <c r="B659" i="16"/>
  <c r="A119" i="18"/>
  <c r="A134" i="7"/>
  <c r="A548" i="16"/>
  <c r="H29" i="9"/>
  <c r="B1482" i="16"/>
  <c r="B215" i="19"/>
  <c r="A1" i="15"/>
  <c r="B189" i="16"/>
  <c r="B123" i="9"/>
  <c r="C25" i="18"/>
  <c r="A2174" i="20"/>
  <c r="B1104" i="16"/>
  <c r="B1092" i="20"/>
  <c r="B1409" i="16"/>
  <c r="B303" i="19"/>
  <c r="A77" i="9"/>
  <c r="A574" i="16"/>
  <c r="B95" i="11"/>
  <c r="A25" i="11"/>
  <c r="G60" i="5"/>
  <c r="A60" i="5"/>
  <c r="A1842" i="16"/>
  <c r="A1546" i="16"/>
  <c r="B1300" i="16"/>
  <c r="A1764" i="16"/>
  <c r="B156" i="16"/>
  <c r="A1731" i="16"/>
  <c r="H50" i="7"/>
  <c r="B2282" i="20"/>
  <c r="B14" i="20"/>
  <c r="A1581" i="16"/>
  <c r="B15" i="7"/>
  <c r="A154" i="8"/>
  <c r="B136" i="2"/>
  <c r="A132" i="8"/>
  <c r="G89" i="10"/>
  <c r="A111" i="1"/>
  <c r="B116" i="2"/>
  <c r="B1609" i="20"/>
  <c r="H91" i="2"/>
  <c r="B93" i="6"/>
  <c r="G137" i="1"/>
  <c r="A152" i="20"/>
  <c r="A2329" i="20"/>
  <c r="A591" i="16"/>
  <c r="A1455" i="20"/>
  <c r="A2657" i="20"/>
  <c r="A945" i="16"/>
  <c r="B124" i="20"/>
  <c r="A14" i="19"/>
  <c r="B937" i="20"/>
  <c r="A114" i="16"/>
  <c r="B907" i="20"/>
  <c r="A1359" i="20"/>
  <c r="B2598" i="20"/>
  <c r="A921" i="16"/>
  <c r="B28" i="20"/>
  <c r="C148" i="18"/>
  <c r="B915" i="20"/>
  <c r="A82" i="16"/>
  <c r="B885" i="20"/>
  <c r="B2348" i="20"/>
  <c r="B2070" i="20"/>
  <c r="A3797" i="20"/>
  <c r="A2399" i="20"/>
  <c r="A8610" i="20"/>
  <c r="B4939" i="20"/>
  <c r="B6503" i="20"/>
  <c r="A2017" i="20"/>
  <c r="B3097" i="20"/>
  <c r="A3621" i="20"/>
  <c r="A3648" i="20"/>
  <c r="A3432" i="20"/>
  <c r="B201" i="19"/>
  <c r="B2271" i="20"/>
  <c r="A357" i="20"/>
  <c r="B2015" i="20"/>
  <c r="B9078" i="20"/>
  <c r="B5322" i="20"/>
  <c r="B315" i="19"/>
  <c r="B1037" i="20"/>
  <c r="A61" i="20"/>
  <c r="A83" i="19"/>
  <c r="B13" i="10"/>
  <c r="H50" i="11"/>
  <c r="A2" i="9"/>
  <c r="A8354" i="20"/>
  <c r="B3476" i="20"/>
  <c r="A1178" i="20"/>
  <c r="A213" i="19"/>
  <c r="A67" i="19"/>
  <c r="G9" i="10"/>
  <c r="H42" i="11"/>
  <c r="G155" i="8"/>
  <c r="A7500" i="20"/>
  <c r="A4392" i="20"/>
  <c r="A1016" i="20"/>
  <c r="B4272" i="20"/>
  <c r="B5422" i="20"/>
  <c r="A4542" i="20"/>
  <c r="B5190" i="20"/>
  <c r="A4310" i="20"/>
  <c r="A3310" i="20"/>
  <c r="A1545" i="16"/>
  <c r="A3150" i="20"/>
  <c r="A954" i="20"/>
  <c r="B2713" i="20"/>
  <c r="B34" i="18"/>
  <c r="B3865" i="20"/>
  <c r="F10" i="13"/>
  <c r="B7537" i="20"/>
  <c r="A920" i="20"/>
  <c r="A3832" i="20"/>
  <c r="A847" i="16"/>
  <c r="A2479" i="20"/>
  <c r="A4696" i="20"/>
  <c r="A1201" i="16"/>
  <c r="B1183" i="20"/>
  <c r="B532" i="20"/>
  <c r="B2019" i="20"/>
  <c r="A626" i="16"/>
  <c r="B1699" i="20"/>
  <c r="A2383" i="20"/>
  <c r="B4465" i="20"/>
  <c r="A1177" i="16"/>
  <c r="B1052" i="20"/>
  <c r="B468" i="20"/>
  <c r="B1763" i="20"/>
  <c r="A594" i="16"/>
  <c r="B1571" i="20"/>
  <c r="A1327" i="20"/>
  <c r="B2582" i="20"/>
  <c r="B5806" i="20"/>
  <c r="A3902" i="20"/>
  <c r="A8697" i="20"/>
  <c r="B7934" i="20"/>
  <c r="A6184" i="20"/>
  <c r="A3520" i="20"/>
  <c r="A97" i="13"/>
  <c r="B5395" i="20"/>
  <c r="B679" i="20"/>
  <c r="A1071" i="16"/>
  <c r="A1947" i="20"/>
  <c r="B1301" i="20"/>
  <c r="G117" i="13"/>
  <c r="B249" i="20"/>
  <c r="H93" i="13"/>
  <c r="B818" i="16"/>
  <c r="B2488" i="20"/>
  <c r="A70" i="7"/>
  <c r="B1960" i="20"/>
  <c r="B341" i="19"/>
  <c r="B335" i="19"/>
  <c r="B589" i="20"/>
  <c r="B488" i="20"/>
  <c r="E26" i="13"/>
  <c r="B424" i="20"/>
  <c r="A1105" i="16"/>
  <c r="B764" i="20"/>
  <c r="B148" i="20"/>
  <c r="B2576" i="20"/>
  <c r="B1297" i="20"/>
  <c r="B920" i="16"/>
  <c r="B1233" i="20"/>
  <c r="A1553" i="16"/>
  <c r="A93" i="11"/>
  <c r="H21" i="11"/>
  <c r="B2895" i="20"/>
  <c r="A88" i="18"/>
  <c r="B3615" i="20"/>
  <c r="C66" i="18"/>
  <c r="B1487" i="16"/>
  <c r="B64" i="11"/>
  <c r="B4213" i="20"/>
  <c r="H128" i="8"/>
  <c r="B44" i="7"/>
  <c r="A126" i="11"/>
  <c r="G18" i="8"/>
  <c r="B1145" i="20"/>
  <c r="A1587" i="16"/>
  <c r="H77" i="11"/>
  <c r="G84" i="7"/>
  <c r="A140" i="16"/>
  <c r="B106" i="11"/>
  <c r="A1243" i="16"/>
  <c r="B112" i="9"/>
  <c r="H86" i="5"/>
  <c r="H7" i="7"/>
  <c r="A2" i="8"/>
  <c r="B521" i="16"/>
  <c r="H24" i="2"/>
  <c r="B191" i="19"/>
  <c r="A25" i="12"/>
  <c r="B437" i="20"/>
  <c r="A1081" i="16"/>
  <c r="A402" i="16"/>
  <c r="B19" i="11"/>
  <c r="A120" i="11"/>
  <c r="A141" i="1"/>
  <c r="B84" i="11"/>
  <c r="B23" i="13"/>
  <c r="G28" i="2"/>
  <c r="A308" i="16"/>
  <c r="A76" i="10"/>
  <c r="E132" i="5"/>
  <c r="A87" i="8"/>
  <c r="B95" i="10"/>
  <c r="A3" i="16"/>
  <c r="G64" i="4"/>
  <c r="A1864" i="20"/>
  <c r="G42" i="13"/>
  <c r="G84" i="13"/>
  <c r="B210" i="20"/>
  <c r="B65" i="18"/>
  <c r="H143" i="10"/>
  <c r="A12" i="18"/>
  <c r="H38" i="5"/>
  <c r="G152" i="1"/>
  <c r="A322" i="19"/>
  <c r="A923" i="16"/>
  <c r="B116" i="8"/>
  <c r="A89" i="4"/>
  <c r="B1194" i="20"/>
  <c r="B807" i="16"/>
  <c r="B3219" i="20"/>
  <c r="B4413" i="20"/>
  <c r="B376" i="16"/>
  <c r="B6962" i="20"/>
  <c r="A131" i="19"/>
  <c r="B321" i="45"/>
  <c r="B5038" i="20"/>
  <c r="A2319" i="20"/>
  <c r="B1904" i="20"/>
  <c r="A8495" i="20"/>
  <c r="B2545" i="20"/>
  <c r="A8378" i="20"/>
  <c r="B2481" i="20"/>
  <c r="B148" i="8"/>
  <c r="A3503" i="20"/>
  <c r="B2655" i="20"/>
  <c r="A8888" i="20"/>
  <c r="B7538" i="20"/>
  <c r="B4914" i="20"/>
  <c r="A7640" i="20"/>
  <c r="B4682" i="20"/>
  <c r="A7359" i="20"/>
  <c r="B3385" i="20"/>
  <c r="A387" i="20"/>
  <c r="B155" i="19"/>
  <c r="B1666" i="20"/>
  <c r="B4275" i="20"/>
  <c r="A506" i="20"/>
  <c r="A737" i="16"/>
  <c r="B269" i="16"/>
  <c r="B6514" i="20"/>
  <c r="B3633" i="20"/>
  <c r="B1339" i="20"/>
  <c r="B451" i="16"/>
  <c r="A111" i="7"/>
  <c r="B494" i="16"/>
  <c r="B10" i="20"/>
  <c r="B4599" i="20"/>
  <c r="B177" i="19"/>
  <c r="B791" i="16"/>
  <c r="B149" i="18"/>
  <c r="C48" i="18"/>
  <c r="A107" i="7"/>
  <c r="B484" i="16"/>
  <c r="A138" i="19"/>
  <c r="B4502" i="20"/>
  <c r="B2443" i="20"/>
  <c r="A7420" i="20"/>
  <c r="A342" i="32"/>
  <c r="A3903" i="20"/>
  <c r="B7804" i="20"/>
  <c r="A3671" i="20"/>
  <c r="B6242" i="20"/>
  <c r="A162" i="20"/>
  <c r="B918" i="20"/>
  <c r="A4328" i="20"/>
  <c r="A4288" i="20"/>
  <c r="A984" i="20"/>
  <c r="A318" i="19"/>
  <c r="B3901" i="20"/>
  <c r="A14" i="14"/>
  <c r="B4374" i="20"/>
  <c r="B2315" i="20"/>
  <c r="B495" i="16"/>
  <c r="A1823" i="16"/>
  <c r="A1669" i="16"/>
  <c r="F36" i="7"/>
  <c r="B282" i="16"/>
  <c r="A980" i="16"/>
  <c r="B4278" i="20"/>
  <c r="B2219" i="20"/>
  <c r="B471" i="16"/>
  <c r="A1799" i="16"/>
  <c r="A1653" i="16"/>
  <c r="B33" i="7"/>
  <c r="B270" i="16"/>
  <c r="A916" i="16"/>
  <c r="B3222" i="20"/>
  <c r="B1163" i="20"/>
  <c r="A7465" i="20"/>
  <c r="A8519" i="20"/>
  <c r="A3775" i="20"/>
  <c r="B6704" i="20"/>
  <c r="A3543" i="20"/>
  <c r="B5630" i="20"/>
  <c r="A34" i="20"/>
  <c r="B406" i="20"/>
  <c r="A4200" i="20"/>
  <c r="A4160" i="20"/>
  <c r="A7609" i="20"/>
  <c r="B5167" i="20"/>
  <c r="B3468" i="20"/>
  <c r="B79" i="13"/>
  <c r="H56" i="12"/>
  <c r="B2250" i="20"/>
  <c r="A2388" i="20"/>
  <c r="B2393" i="20"/>
  <c r="A334" i="19"/>
  <c r="H74" i="5"/>
  <c r="B125" i="12"/>
  <c r="A58" i="9"/>
  <c r="B3843" i="20"/>
  <c r="B447" i="20"/>
  <c r="F61" i="12"/>
  <c r="A839" i="16"/>
  <c r="A693" i="16"/>
  <c r="H70" i="5"/>
  <c r="A119" i="12"/>
  <c r="A50" i="9"/>
  <c r="A1899" i="20"/>
  <c r="A2695" i="20"/>
  <c r="B7878" i="20"/>
  <c r="A5176" i="20"/>
  <c r="B3496" i="20"/>
  <c r="B6207" i="20"/>
  <c r="B3264" i="20"/>
  <c r="A4137" i="20"/>
  <c r="A4064" i="20"/>
  <c r="G120" i="13"/>
  <c r="A2313" i="20"/>
  <c r="A2273" i="20"/>
  <c r="B4581" i="20"/>
  <c r="A1601" i="16"/>
  <c r="A955" i="20"/>
  <c r="H114" i="11"/>
  <c r="A1771" i="20"/>
  <c r="B4556" i="20"/>
  <c r="B57" i="11"/>
  <c r="A543" i="16"/>
  <c r="A389" i="16"/>
  <c r="D1" i="5"/>
  <c r="B24" i="12"/>
  <c r="H66" i="8"/>
  <c r="A1675" i="20"/>
  <c r="B4460" i="20"/>
  <c r="H45" i="11"/>
  <c r="A519" i="16"/>
  <c r="A373" i="16"/>
  <c r="A153" i="4"/>
  <c r="B19" i="12"/>
  <c r="B59" i="8"/>
  <c r="A3221" i="20"/>
  <c r="B3404" i="20"/>
  <c r="A7940" i="20"/>
  <c r="B6623" i="20"/>
  <c r="B3368" i="20"/>
  <c r="B5695" i="20"/>
  <c r="B3136" i="20"/>
  <c r="A6125" i="20"/>
  <c r="A3552" i="20"/>
  <c r="B60" i="13"/>
  <c r="A2185" i="20"/>
  <c r="A2145" i="20"/>
  <c r="B3557" i="20"/>
  <c r="B5697" i="20"/>
  <c r="B1298" i="20"/>
  <c r="B4423" i="20"/>
  <c r="A1761" i="16"/>
  <c r="B1293" i="16"/>
  <c r="B5463" i="20"/>
  <c r="B471" i="20"/>
  <c r="A2585" i="20"/>
  <c r="B968" i="20"/>
  <c r="G17" i="10"/>
  <c r="B1588" i="16"/>
  <c r="E83" i="7"/>
  <c r="B4248" i="20"/>
  <c r="B1909" i="20"/>
  <c r="B280" i="20"/>
  <c r="B69" i="16"/>
  <c r="H120" i="13"/>
  <c r="G13" i="10"/>
  <c r="B1572" i="16"/>
  <c r="G75" i="7"/>
  <c r="A4044" i="20"/>
  <c r="A1066" i="20"/>
  <c r="B330" i="45"/>
  <c r="A7091" i="20"/>
  <c r="A5829" i="20"/>
  <c r="A6150" i="20"/>
  <c r="A5365" i="20"/>
  <c r="B5896" i="20"/>
  <c r="B2991" i="20"/>
  <c r="A49" i="18"/>
  <c r="B2003" i="20"/>
  <c r="B359" i="20"/>
  <c r="A4688" i="20"/>
  <c r="H19" i="12"/>
  <c r="B355" i="20"/>
  <c r="A751" i="16"/>
  <c r="A3788" i="20"/>
  <c r="A1034" i="20"/>
  <c r="C87" i="18"/>
  <c r="A49" i="13"/>
  <c r="B111" i="12"/>
  <c r="B98" i="9"/>
  <c r="B1306" i="16"/>
  <c r="A65" i="6"/>
  <c r="A3660" i="20"/>
  <c r="A1010" i="20"/>
  <c r="C71" i="18"/>
  <c r="G37" i="13"/>
  <c r="B104" i="12"/>
  <c r="G94" i="9"/>
  <c r="B1294" i="16"/>
  <c r="A58" i="6"/>
  <c r="B3595" i="20"/>
  <c r="A746" i="20"/>
  <c r="B16" i="21"/>
  <c r="A6566" i="20"/>
  <c r="A5573" i="20"/>
  <c r="A5638" i="20"/>
  <c r="A5109" i="20"/>
  <c r="B7336" i="20"/>
  <c r="A2614" i="20"/>
  <c r="B1845" i="16"/>
  <c r="B1875" i="20"/>
  <c r="B327" i="20"/>
  <c r="B4031" i="20"/>
  <c r="A6" i="12"/>
  <c r="B313" i="20"/>
  <c r="A719" i="16"/>
  <c r="A3276" i="20"/>
  <c r="B1695" i="16"/>
  <c r="A29" i="19"/>
  <c r="B992" i="16"/>
  <c r="A684" i="20"/>
  <c r="A462" i="20"/>
  <c r="A534" i="20"/>
  <c r="A1104" i="20"/>
  <c r="A1466" i="16"/>
  <c r="B929" i="16"/>
  <c r="A112" i="16"/>
  <c r="B907" i="16"/>
  <c r="A660" i="20"/>
  <c r="A414" i="20"/>
  <c r="A486" i="20"/>
  <c r="A1040" i="20"/>
  <c r="A1434" i="16"/>
  <c r="B913" i="16"/>
  <c r="A80" i="16"/>
  <c r="B891" i="16"/>
  <c r="A396" i="20"/>
  <c r="B269" i="19"/>
  <c r="B7843" i="20"/>
  <c r="A4593" i="20"/>
  <c r="B3752" i="20"/>
  <c r="B3116" i="20"/>
  <c r="B259" i="19"/>
  <c r="B4665" i="20"/>
  <c r="B2568" i="20"/>
  <c r="B2874" i="20"/>
  <c r="B1061" i="20"/>
  <c r="B3802" i="20"/>
  <c r="B8723" i="20"/>
  <c r="A2719" i="20"/>
  <c r="A3403" i="20"/>
  <c r="B1027" i="16"/>
  <c r="A3397" i="20"/>
  <c r="B878" i="16"/>
  <c r="B1367" i="16"/>
  <c r="B868" i="16"/>
  <c r="A477" i="20"/>
  <c r="B1213" i="16"/>
  <c r="A513" i="16"/>
  <c r="B1558" i="16"/>
  <c r="A2409" i="20"/>
  <c r="G114" i="8"/>
  <c r="A1451" i="20"/>
  <c r="A342" i="20"/>
  <c r="A720" i="20"/>
  <c r="B702" i="20"/>
  <c r="A261" i="16"/>
  <c r="B211" i="19"/>
  <c r="B48" i="13"/>
  <c r="B2579" i="20"/>
  <c r="B1541" i="20"/>
  <c r="B2048" i="20"/>
  <c r="B63" i="19"/>
  <c r="E5" i="12"/>
  <c r="B7419" i="20"/>
  <c r="A321" i="20"/>
  <c r="A6553" i="20"/>
  <c r="E134" i="13"/>
  <c r="B1336" i="16"/>
  <c r="B1222" i="16"/>
  <c r="A145" i="19"/>
  <c r="B704" i="20"/>
  <c r="G52" i="6"/>
  <c r="B616" i="20"/>
  <c r="G97" i="12"/>
  <c r="B122" i="5"/>
  <c r="A17" i="6"/>
  <c r="G84" i="8"/>
  <c r="G70" i="1"/>
  <c r="G66" i="8"/>
  <c r="H40" i="9"/>
  <c r="B1737" i="16"/>
  <c r="A43" i="2"/>
  <c r="G137" i="4"/>
  <c r="G52" i="7"/>
  <c r="A1388" i="16"/>
  <c r="B1059" i="16"/>
  <c r="B321" i="16"/>
  <c r="F107" i="10"/>
  <c r="B299" i="16"/>
  <c r="G128" i="11"/>
  <c r="B1819" i="16"/>
  <c r="H73" i="10"/>
  <c r="A422" i="16"/>
  <c r="G112" i="6"/>
  <c r="A246" i="16"/>
  <c r="G100" i="6"/>
  <c r="G66" i="4"/>
  <c r="B108" i="4"/>
  <c r="G102" i="8"/>
  <c r="A149" i="4"/>
  <c r="E150" i="1"/>
  <c r="H73" i="7"/>
  <c r="B35" i="12"/>
  <c r="H80" i="8"/>
  <c r="A200" i="20"/>
  <c r="C133" i="18"/>
  <c r="B117" i="11"/>
  <c r="H7" i="8"/>
  <c r="A106" i="19"/>
  <c r="B52" i="16"/>
  <c r="A1755" i="16"/>
  <c r="A89" i="12"/>
  <c r="E139" i="7"/>
  <c r="A131" i="7"/>
  <c r="G124" i="8"/>
  <c r="B1417" i="16"/>
  <c r="A120" i="1"/>
  <c r="B2732" i="20"/>
  <c r="A87" i="16"/>
  <c r="A1929" i="20"/>
  <c r="B2571" i="20"/>
  <c r="B396" i="20"/>
  <c r="A101" i="20"/>
  <c r="B332" i="20"/>
  <c r="B6724" i="20"/>
  <c r="B4810" i="20"/>
  <c r="B187" i="19"/>
  <c r="B867" i="20"/>
  <c r="B188" i="19"/>
  <c r="A91" i="18"/>
  <c r="B164" i="19"/>
  <c r="B80" i="18"/>
  <c r="A53" i="18"/>
  <c r="B2525" i="20"/>
  <c r="A2210" i="20"/>
  <c r="A9014" i="20"/>
  <c r="B5495" i="20"/>
  <c r="A3066" i="20"/>
  <c r="B5239" i="20"/>
  <c r="A2834" i="20"/>
  <c r="B5576" i="20"/>
  <c r="A597" i="20"/>
  <c r="B5416" i="20"/>
  <c r="A1835" i="20"/>
  <c r="B6669" i="20"/>
  <c r="B135" i="18"/>
  <c r="A35" i="17"/>
  <c r="B93" i="20"/>
  <c r="B1312" i="16"/>
  <c r="B2804" i="20"/>
  <c r="B1583" i="16"/>
  <c r="B1064" i="16"/>
  <c r="A10" i="13"/>
  <c r="B33" i="16"/>
  <c r="H39" i="10"/>
  <c r="B11" i="16"/>
  <c r="B147" i="19"/>
  <c r="A1507" i="20"/>
  <c r="B813" i="20"/>
  <c r="B619" i="20"/>
  <c r="B132" i="12"/>
  <c r="B17" i="16"/>
  <c r="C36" i="10"/>
  <c r="A10" i="15"/>
  <c r="B2323" i="20"/>
  <c r="B1572" i="20"/>
  <c r="A5333" i="20"/>
  <c r="A5103" i="20"/>
  <c r="B3722" i="20"/>
  <c r="B6636" i="20"/>
  <c r="B3490" i="20"/>
  <c r="A3271" i="20"/>
  <c r="B8" i="11"/>
  <c r="A3111" i="20"/>
  <c r="B1557" i="20"/>
  <c r="A3768" i="20"/>
  <c r="A312" i="19"/>
  <c r="A4344" i="20"/>
  <c r="A13" i="14"/>
  <c r="B1636" i="20"/>
  <c r="B2195" i="20"/>
  <c r="B1400" i="20"/>
  <c r="B419" i="20"/>
  <c r="B213" i="20"/>
  <c r="H134" i="10"/>
  <c r="A20" i="13"/>
  <c r="G119" i="9"/>
  <c r="H9" i="13"/>
  <c r="B2099" i="20"/>
  <c r="B1272" i="20"/>
  <c r="B387" i="20"/>
  <c r="B195" i="20"/>
  <c r="B130" i="10"/>
  <c r="F12" i="13"/>
  <c r="H115" i="9"/>
  <c r="A7612" i="20"/>
  <c r="B4468" i="20"/>
  <c r="A2170" i="20"/>
  <c r="B6306" i="20"/>
  <c r="A4847" i="20"/>
  <c r="B3594" i="20"/>
  <c r="B6380" i="20"/>
  <c r="B3362" i="20"/>
  <c r="A3873" i="20"/>
  <c r="B1575" i="20"/>
  <c r="A3285" i="20"/>
  <c r="B1429" i="20"/>
  <c r="B3867" i="20"/>
  <c r="A7024" i="20"/>
  <c r="B4875" i="20"/>
  <c r="B991" i="16"/>
  <c r="B1561" i="20"/>
  <c r="B544" i="16"/>
  <c r="B1896" i="20"/>
  <c r="G57" i="13"/>
  <c r="B40" i="16"/>
  <c r="B67" i="9"/>
  <c r="B326" i="20"/>
  <c r="H53" i="8"/>
  <c r="B5907" i="20"/>
  <c r="A3656" i="20"/>
  <c r="A648" i="20"/>
  <c r="B2297" i="20"/>
  <c r="B1713" i="20"/>
  <c r="B63" i="9"/>
  <c r="B262" i="20"/>
  <c r="H49" i="8"/>
  <c r="A8950" i="20"/>
  <c r="B4603" i="20"/>
  <c r="A120" i="20"/>
  <c r="A1157" i="20"/>
  <c r="A4053" i="20"/>
  <c r="A3134" i="20"/>
  <c r="A3821" i="20"/>
  <c r="A2902" i="20"/>
  <c r="A1297" i="20"/>
  <c r="A137" i="16"/>
  <c r="B4241" i="20"/>
  <c r="A602" i="20"/>
  <c r="B2672" i="20"/>
  <c r="B1599" i="16"/>
  <c r="B3231" i="20"/>
  <c r="E114" i="11"/>
  <c r="A7141" i="20"/>
  <c r="B4091" i="20"/>
  <c r="A56" i="20"/>
  <c r="B1136" i="20"/>
  <c r="A977" i="20"/>
  <c r="B150" i="8"/>
  <c r="B79" i="18"/>
  <c r="B119" i="7"/>
  <c r="A6200" i="20"/>
  <c r="B3707" i="20"/>
  <c r="A8" i="20"/>
  <c r="A1107" i="20"/>
  <c r="A961" i="20"/>
  <c r="B144" i="8"/>
  <c r="C68" i="18"/>
  <c r="A114" i="7"/>
  <c r="A5979" i="20"/>
  <c r="A1865" i="20"/>
  <c r="B2243" i="20"/>
  <c r="B2785" i="20"/>
  <c r="A3925" i="20"/>
  <c r="A3006" i="20"/>
  <c r="A3693" i="20"/>
  <c r="A2774" i="20"/>
  <c r="B3281" i="20"/>
  <c r="A9" i="16"/>
  <c r="B2833" i="20"/>
  <c r="A570" i="20"/>
  <c r="A2530" i="20"/>
  <c r="B1567" i="16"/>
  <c r="A2885" i="20"/>
  <c r="B263" i="16"/>
  <c r="B300" i="19"/>
  <c r="B3013" i="20"/>
  <c r="B316" i="20"/>
  <c r="A812" i="20"/>
  <c r="A637" i="20"/>
  <c r="B107" i="11"/>
  <c r="A137" i="10"/>
  <c r="B1569" i="16"/>
  <c r="A1392" i="16"/>
  <c r="B1547" i="16"/>
  <c r="B1789" i="20"/>
  <c r="A1474" i="20"/>
  <c r="A1618" i="20"/>
  <c r="H35" i="11"/>
  <c r="A133" i="10"/>
  <c r="B1553" i="16"/>
  <c r="A1360" i="16"/>
  <c r="B1531" i="16"/>
  <c r="A1036" i="20"/>
  <c r="B1253" i="20"/>
  <c r="B5429" i="20"/>
  <c r="A6095" i="20"/>
  <c r="A2203" i="20"/>
  <c r="A5863" i="20"/>
  <c r="A1971" i="20"/>
  <c r="A4108" i="20"/>
  <c r="A90" i="19"/>
  <c r="A3948" i="20"/>
  <c r="A1518" i="20"/>
  <c r="A1508" i="20"/>
  <c r="A13" i="20"/>
  <c r="B68" i="18"/>
  <c r="B749" i="16"/>
  <c r="E34" i="13"/>
  <c r="A1004" i="20"/>
  <c r="A1102" i="20"/>
  <c r="B1285" i="20"/>
  <c r="B1464" i="20"/>
  <c r="B138" i="18"/>
  <c r="B1249" i="16"/>
  <c r="A752" i="16"/>
  <c r="B1227" i="16"/>
  <c r="A980" i="20"/>
  <c r="A1054" i="20"/>
  <c r="A1130" i="20"/>
  <c r="B1294" i="20"/>
  <c r="A117" i="18"/>
  <c r="B1233" i="16"/>
  <c r="A720" i="16"/>
  <c r="B1211" i="16"/>
  <c r="A716" i="20"/>
  <c r="A526" i="20"/>
  <c r="A5631" i="20"/>
  <c r="A5967" i="20"/>
  <c r="A2075" i="20"/>
  <c r="A8854" i="20"/>
  <c r="A1843" i="20"/>
  <c r="A3596" i="20"/>
  <c r="C103" i="18"/>
  <c r="A3436" i="20"/>
  <c r="A1486" i="20"/>
  <c r="A1476" i="20"/>
  <c r="B364" i="19"/>
  <c r="A47" i="18"/>
  <c r="B717" i="16"/>
  <c r="G18" i="13"/>
  <c r="A430" i="20"/>
  <c r="B2239" i="20"/>
  <c r="A4" i="19"/>
  <c r="A3018" i="20"/>
  <c r="B599" i="20"/>
  <c r="E136" i="12"/>
  <c r="A991" i="16"/>
  <c r="A837" i="16"/>
  <c r="H104" i="5"/>
  <c r="E25" i="13"/>
  <c r="A120" i="9"/>
  <c r="A2922" i="20"/>
  <c r="B575" i="20"/>
  <c r="G122" i="12"/>
  <c r="A967" i="16"/>
  <c r="A821" i="16"/>
  <c r="A101" i="5"/>
  <c r="G20" i="13"/>
  <c r="B113" i="9"/>
  <c r="A2411" i="20"/>
  <c r="B311" i="20"/>
  <c r="B6111" i="20"/>
  <c r="A4188" i="20"/>
  <c r="B7780" i="20"/>
  <c r="B4318" i="20"/>
  <c r="A3962" i="20"/>
  <c r="B3373" i="20"/>
  <c r="A930" i="20"/>
  <c r="B3240" i="20"/>
  <c r="A2350" i="20"/>
  <c r="B1581" i="16"/>
  <c r="A6054" i="20"/>
  <c r="B2529" i="20"/>
  <c r="B2092" i="20"/>
  <c r="A131" i="6"/>
  <c r="A895" i="16"/>
  <c r="B1669" i="16"/>
  <c r="A1189" i="16"/>
  <c r="B1038" i="16"/>
  <c r="A504" i="16"/>
  <c r="A1385" i="20"/>
  <c r="B7" i="4"/>
  <c r="B37" i="9"/>
  <c r="B57" i="5"/>
  <c r="B795" i="20"/>
  <c r="E39" i="11"/>
  <c r="G126" i="4"/>
  <c r="B1010" i="16"/>
  <c r="A135" i="13"/>
  <c r="G118" i="6"/>
  <c r="H134" i="1"/>
  <c r="H22" i="4"/>
  <c r="B4221" i="20"/>
  <c r="B66" i="9"/>
  <c r="B1681" i="20"/>
  <c r="B1861" i="20"/>
  <c r="A912" i="16"/>
  <c r="G30" i="9"/>
  <c r="C21" i="18"/>
  <c r="H78" i="1"/>
  <c r="B1852" i="16"/>
  <c r="A224" i="16"/>
  <c r="G100" i="1"/>
  <c r="G76" i="5"/>
  <c r="E13" i="4"/>
  <c r="C86" i="18"/>
  <c r="H43" i="9"/>
  <c r="G39" i="8"/>
  <c r="B2358" i="20"/>
  <c r="A1569" i="16"/>
  <c r="B1101" i="16"/>
  <c r="A5920" i="20"/>
  <c r="A2014" i="20"/>
  <c r="A509" i="20"/>
  <c r="B1245" i="16"/>
  <c r="B1091" i="16"/>
  <c r="A440" i="16"/>
  <c r="H20" i="11"/>
  <c r="A23" i="12"/>
  <c r="A3787" i="20"/>
  <c r="A1990" i="20"/>
  <c r="A485" i="20"/>
  <c r="B1221" i="16"/>
  <c r="B1075" i="16"/>
  <c r="A408" i="16"/>
  <c r="B13" i="11"/>
  <c r="D1" i="12"/>
  <c r="B5666" i="20"/>
  <c r="A1726" i="20"/>
  <c r="B6261" i="20"/>
  <c r="B6584" i="20"/>
  <c r="B6775" i="20"/>
  <c r="B7219" i="20"/>
  <c r="A3563" i="20"/>
  <c r="A3722" i="20"/>
  <c r="A3505" i="20"/>
  <c r="A1444" i="20"/>
  <c r="B5566" i="20"/>
  <c r="B260" i="20"/>
  <c r="B3423" i="20"/>
  <c r="B1205" i="16"/>
  <c r="A1153" i="16"/>
  <c r="A2944" i="20"/>
  <c r="A2570" i="20"/>
  <c r="B1666" i="16"/>
  <c r="A27" i="19"/>
  <c r="B1264" i="16"/>
  <c r="A11" i="19"/>
  <c r="A1681" i="16"/>
  <c r="G20" i="12"/>
  <c r="B5410" i="20"/>
  <c r="B708" i="16"/>
  <c r="B1111" i="16"/>
  <c r="B698" i="16"/>
  <c r="A413" i="20"/>
  <c r="B1149" i="16"/>
  <c r="B995" i="16"/>
  <c r="A6502" i="20"/>
  <c r="B652" i="20"/>
  <c r="B292" i="19"/>
  <c r="B32" i="19"/>
  <c r="A861" i="20"/>
  <c r="B1597" i="16"/>
  <c r="B1443" i="16"/>
  <c r="B441" i="20"/>
  <c r="A137" i="7"/>
  <c r="B2949" i="20"/>
  <c r="F63" i="7"/>
  <c r="B1675" i="20"/>
  <c r="B77" i="20"/>
  <c r="A307" i="19"/>
  <c r="A66" i="10"/>
  <c r="A1274" i="16"/>
  <c r="A643" i="16"/>
  <c r="H59" i="5"/>
  <c r="A3312" i="20"/>
  <c r="B1510" i="16"/>
  <c r="A493" i="16"/>
  <c r="B24" i="5"/>
  <c r="B128" i="4"/>
  <c r="D36" i="1"/>
  <c r="H122" i="4"/>
  <c r="A28" i="7"/>
  <c r="B44" i="10"/>
  <c r="A39" i="11"/>
  <c r="G106" i="13"/>
  <c r="H125" i="2"/>
  <c r="B818" i="20"/>
  <c r="A82" i="7"/>
  <c r="B11" i="19"/>
  <c r="B38" i="9"/>
  <c r="B1204" i="20"/>
  <c r="F11" i="6"/>
  <c r="A55" i="18"/>
  <c r="G128" i="8"/>
  <c r="A90" i="8"/>
  <c r="A87" i="6"/>
  <c r="A80" i="8"/>
  <c r="A86" i="4"/>
  <c r="A204" i="16"/>
  <c r="B1513" i="16"/>
  <c r="G81" i="12"/>
  <c r="G97" i="4"/>
  <c r="E4" i="6"/>
  <c r="B192" i="20"/>
  <c r="A22" i="6"/>
  <c r="B104" i="20"/>
  <c r="B4341" i="20"/>
  <c r="A114" i="4"/>
  <c r="B1559" i="20"/>
  <c r="B101" i="7"/>
  <c r="G39" i="1"/>
  <c r="A83" i="7"/>
  <c r="A78" i="8"/>
  <c r="B1161" i="16"/>
  <c r="E75" i="1"/>
  <c r="H96" i="4"/>
  <c r="G121" i="6"/>
  <c r="B39" i="6"/>
  <c r="B124" i="6"/>
  <c r="A15" i="20"/>
  <c r="A59" i="7"/>
  <c r="B376" i="19"/>
  <c r="A41" i="17"/>
  <c r="B114" i="18"/>
  <c r="G23" i="7"/>
  <c r="A546" i="16"/>
  <c r="G53" i="2"/>
  <c r="A386" i="16"/>
  <c r="A1638" i="16"/>
  <c r="A1111" i="20"/>
  <c r="A1358" i="20"/>
  <c r="A50" i="13"/>
  <c r="A27" i="20"/>
  <c r="A107" i="11"/>
  <c r="B3067" i="20"/>
  <c r="B311" i="19"/>
  <c r="A1067" i="20"/>
  <c r="A913" i="20"/>
  <c r="H134" i="8"/>
  <c r="C36" i="18"/>
  <c r="A103" i="7"/>
  <c r="B6047" i="20"/>
  <c r="B2686" i="20"/>
  <c r="B263" i="19"/>
  <c r="A1043" i="20"/>
  <c r="A897" i="20"/>
  <c r="A129" i="8"/>
  <c r="A26" i="18"/>
  <c r="A99" i="7"/>
  <c r="A5467" i="20"/>
  <c r="A1609" i="20"/>
  <c r="B1731" i="20"/>
  <c r="A4317" i="20"/>
  <c r="A3119" i="20"/>
  <c r="A1887" i="20"/>
  <c r="A31" i="18"/>
  <c r="A905" i="16"/>
  <c r="A5126" i="20"/>
  <c r="B1867" i="20"/>
  <c r="A981" i="20"/>
  <c r="B767" i="16"/>
  <c r="B1278" i="20"/>
  <c r="B1899" i="20"/>
  <c r="A205" i="20"/>
  <c r="B2141" i="20"/>
  <c r="H7" i="11"/>
  <c r="B791" i="20"/>
  <c r="A90" i="9"/>
  <c r="B217" i="20"/>
  <c r="A86" i="9"/>
  <c r="B911" i="16"/>
  <c r="A310" i="19"/>
  <c r="B813" i="16"/>
  <c r="G90" i="5"/>
  <c r="B2759" i="20"/>
  <c r="B2345" i="20"/>
  <c r="A2420" i="20"/>
  <c r="A971" i="20"/>
  <c r="A817" i="20"/>
  <c r="B122" i="19"/>
  <c r="A69" i="9"/>
  <c r="A1449" i="20"/>
  <c r="A128" i="20"/>
  <c r="B3889" i="20"/>
  <c r="B2265" i="20"/>
  <c r="B1649" i="20"/>
  <c r="B1423" i="20"/>
  <c r="B1795" i="16"/>
  <c r="B1206" i="20"/>
  <c r="B636" i="16"/>
  <c r="B3671" i="20"/>
  <c r="A1299" i="20"/>
  <c r="G120" i="12"/>
  <c r="B65" i="12"/>
  <c r="B81" i="11"/>
  <c r="A96" i="13"/>
  <c r="B3" i="10"/>
  <c r="B85" i="13"/>
  <c r="B661" i="20"/>
  <c r="B27" i="16"/>
  <c r="A122" i="9"/>
  <c r="G19" i="9"/>
  <c r="B66" i="2"/>
  <c r="D2" i="9"/>
  <c r="G57" i="5"/>
  <c r="A48" i="18"/>
  <c r="E26" i="2"/>
  <c r="G29" i="7"/>
  <c r="G6" i="2"/>
  <c r="A82" i="1"/>
  <c r="H46" i="12"/>
  <c r="A1347" i="16"/>
  <c r="F91" i="6"/>
  <c r="B4355" i="20"/>
  <c r="A725" i="16"/>
  <c r="A1197" i="16"/>
  <c r="B57" i="6"/>
  <c r="H89" i="6"/>
  <c r="G43" i="2"/>
  <c r="H79" i="6"/>
  <c r="H68" i="9"/>
  <c r="B112" i="2"/>
  <c r="B969" i="16"/>
  <c r="B102" i="19"/>
  <c r="D2" i="2"/>
  <c r="G16" i="6"/>
  <c r="B809" i="20"/>
  <c r="A102" i="10"/>
  <c r="B59" i="20"/>
  <c r="B61" i="13"/>
  <c r="A152" i="9"/>
  <c r="A68" i="10"/>
  <c r="A1659" i="16"/>
  <c r="B20" i="11"/>
  <c r="A1579" i="16"/>
  <c r="B72" i="9"/>
  <c r="A106" i="1"/>
  <c r="B56" i="5"/>
  <c r="A79" i="8"/>
  <c r="G31" i="5"/>
  <c r="B6" i="12"/>
  <c r="G48" i="1"/>
  <c r="A1802" i="20"/>
  <c r="A178" i="16"/>
  <c r="B949" i="20"/>
  <c r="B2343" i="20"/>
  <c r="B99" i="11"/>
  <c r="B98" i="13"/>
  <c r="B889" i="16"/>
  <c r="G51" i="1"/>
  <c r="B809" i="16"/>
  <c r="A143" i="10"/>
  <c r="H120" i="2"/>
  <c r="H129" i="10"/>
  <c r="A1654" i="16"/>
  <c r="G110" i="7"/>
  <c r="A239" i="19"/>
  <c r="B1669" i="20"/>
  <c r="A88" i="12"/>
  <c r="B1664" i="20"/>
  <c r="A2516" i="20"/>
  <c r="G13" i="12"/>
  <c r="B976" i="16"/>
  <c r="B860" i="16"/>
  <c r="B1641" i="20"/>
  <c r="H58" i="9"/>
  <c r="B1553" i="20"/>
  <c r="B1632" i="20"/>
  <c r="A2492" i="20"/>
  <c r="B4" i="12"/>
  <c r="B968" i="16"/>
  <c r="B850" i="16"/>
  <c r="B1577" i="20"/>
  <c r="H54" i="9"/>
  <c r="B1489" i="20"/>
  <c r="B1280" i="20"/>
  <c r="A2228" i="20"/>
  <c r="A3299" i="20"/>
  <c r="B7240" i="20"/>
  <c r="B6359" i="20"/>
  <c r="B5097" i="20"/>
  <c r="B1426" i="20"/>
  <c r="A1572" i="20"/>
  <c r="A5371" i="20"/>
  <c r="B4912" i="20"/>
  <c r="B3431" i="20"/>
  <c r="B1088" i="16"/>
  <c r="B6414" i="20"/>
  <c r="A4032" i="20"/>
  <c r="B115" i="13"/>
  <c r="A1695" i="16"/>
  <c r="A251" i="20"/>
  <c r="H93" i="10"/>
  <c r="A2848" i="20"/>
  <c r="A2442" i="20"/>
  <c r="A2337" i="20"/>
  <c r="B3133" i="20"/>
  <c r="B2161" i="20"/>
  <c r="F6" i="12"/>
  <c r="B5282" i="20"/>
  <c r="B755" i="16"/>
  <c r="A5029" i="20"/>
  <c r="G101" i="11"/>
  <c r="B912" i="16"/>
  <c r="B796" i="16"/>
  <c r="A34" i="18"/>
  <c r="A5000" i="20"/>
  <c r="B1231" i="20"/>
  <c r="A6" i="24"/>
  <c r="H41" i="13"/>
  <c r="B1208" i="16"/>
  <c r="B1094" i="16"/>
  <c r="B183" i="19"/>
  <c r="A91" i="8"/>
  <c r="B389" i="16"/>
  <c r="A83" i="8"/>
  <c r="F11" i="13"/>
  <c r="A1023" i="16"/>
  <c r="A869" i="16"/>
  <c r="A112" i="5"/>
  <c r="B1965" i="20"/>
  <c r="A50" i="16"/>
  <c r="B865" i="20"/>
  <c r="B414" i="20"/>
  <c r="G18" i="11"/>
  <c r="B40" i="13"/>
  <c r="B633" i="16"/>
  <c r="H36" i="1"/>
  <c r="B553" i="16"/>
  <c r="B66" i="20"/>
  <c r="H104" i="2"/>
  <c r="G36" i="9"/>
  <c r="A1142" i="16"/>
  <c r="B51" i="7"/>
  <c r="D67" i="7"/>
  <c r="A46" i="4"/>
  <c r="A719" i="20"/>
  <c r="G72" i="8"/>
  <c r="A633" i="20"/>
  <c r="B2425" i="20"/>
  <c r="H57" i="8"/>
  <c r="F36" i="8"/>
  <c r="B42" i="16"/>
  <c r="H92" i="6"/>
  <c r="A3" i="15"/>
  <c r="H117" i="7"/>
  <c r="A1866" i="20"/>
  <c r="F103" i="1"/>
  <c r="B140" i="9"/>
  <c r="A27" i="12"/>
  <c r="H66" i="6"/>
  <c r="H122" i="6"/>
  <c r="B1812" i="16"/>
  <c r="A46" i="8"/>
  <c r="A1894" i="20"/>
  <c r="A216" i="16"/>
  <c r="B1662" i="16"/>
  <c r="G117" i="7"/>
  <c r="G78" i="7"/>
  <c r="A127" i="2"/>
  <c r="G68" i="7"/>
  <c r="H42" i="2"/>
  <c r="F1" i="2"/>
  <c r="B233" i="16"/>
  <c r="A1634" i="16"/>
  <c r="B85" i="2"/>
  <c r="E36" i="7"/>
  <c r="G65" i="8"/>
  <c r="B1036" i="20"/>
  <c r="G72" i="10"/>
  <c r="A2281" i="20"/>
  <c r="A107" i="8"/>
  <c r="B436" i="20"/>
  <c r="B153" i="9"/>
  <c r="B119" i="9"/>
  <c r="H52" i="13"/>
  <c r="H109" i="9"/>
  <c r="B120" i="8"/>
  <c r="E91" i="6"/>
  <c r="A55" i="20"/>
  <c r="B574" i="16"/>
  <c r="B18" i="9"/>
  <c r="A38" i="5"/>
  <c r="G44" i="12"/>
  <c r="A615" i="20"/>
  <c r="G18" i="9"/>
  <c r="B1113" i="20"/>
  <c r="H88" i="10"/>
  <c r="H123" i="8"/>
  <c r="B1022" i="16"/>
  <c r="G123" i="12"/>
  <c r="B351" i="20"/>
  <c r="H48" i="5"/>
  <c r="B908" i="16"/>
  <c r="H147" i="4"/>
  <c r="B122" i="4"/>
  <c r="G46" i="1"/>
  <c r="A115" i="4"/>
  <c r="A5" i="11"/>
  <c r="G40" i="1"/>
  <c r="B1269" i="20"/>
  <c r="G131" i="9"/>
  <c r="B1366" i="16"/>
  <c r="A78" i="6"/>
  <c r="A1596" i="16"/>
  <c r="H37" i="10"/>
  <c r="B5" i="5"/>
  <c r="E63" i="5"/>
  <c r="A3306" i="20"/>
  <c r="A917" i="16"/>
  <c r="A1245" i="16"/>
  <c r="B67" i="6"/>
  <c r="G111" i="6"/>
  <c r="A55" i="2"/>
  <c r="B53" i="20"/>
  <c r="G48" i="9"/>
  <c r="E75" i="8"/>
  <c r="B468" i="16"/>
  <c r="H101" i="8"/>
  <c r="B414" i="16"/>
  <c r="H125" i="8"/>
  <c r="F48" i="1"/>
  <c r="H41" i="2"/>
  <c r="A2649" i="20"/>
  <c r="B1687" i="20"/>
  <c r="B65" i="9"/>
  <c r="B1004" i="20"/>
  <c r="B59" i="4"/>
  <c r="A1376" i="16"/>
  <c r="F12" i="7"/>
  <c r="A33" i="12"/>
  <c r="B1599" i="20"/>
  <c r="H113" i="8"/>
  <c r="H18" i="10"/>
  <c r="A827" i="16"/>
  <c r="H71" i="8"/>
  <c r="A1510" i="20"/>
  <c r="A28" i="12"/>
  <c r="B1566" i="16"/>
  <c r="G73" i="7"/>
  <c r="G31" i="7"/>
  <c r="D105" i="2"/>
  <c r="A22" i="7"/>
  <c r="G1" i="2"/>
  <c r="A68" i="1"/>
  <c r="B4281" i="20"/>
  <c r="E1" i="8"/>
  <c r="A372" i="19"/>
  <c r="H67" i="9"/>
  <c r="A1420" i="16"/>
  <c r="E7" i="10"/>
  <c r="A113" i="2"/>
  <c r="G85" i="10"/>
  <c r="A86" i="13"/>
  <c r="A5079" i="20"/>
  <c r="B915" i="16"/>
  <c r="B22" i="19"/>
  <c r="F7" i="8"/>
  <c r="A1060" i="16"/>
  <c r="H155" i="9"/>
  <c r="B1738" i="16"/>
  <c r="B87" i="8"/>
  <c r="G44" i="8"/>
  <c r="B139" i="9"/>
  <c r="B178" i="20"/>
  <c r="A1231" i="20"/>
  <c r="A125" i="5"/>
  <c r="A1" i="2"/>
  <c r="A426" i="16"/>
  <c r="B85" i="18"/>
  <c r="B658" i="20"/>
  <c r="E4" i="4"/>
  <c r="G131" i="2"/>
  <c r="A48" i="11"/>
  <c r="H22" i="7"/>
  <c r="A246" i="32"/>
  <c r="A99" i="19"/>
  <c r="A2529" i="20"/>
  <c r="B47" i="8"/>
  <c r="B1753" i="20"/>
  <c r="G28" i="13"/>
  <c r="B626" i="16"/>
  <c r="B5156" i="20"/>
  <c r="B1441" i="20"/>
  <c r="F27" i="12"/>
  <c r="A64" i="20"/>
  <c r="A914" i="16"/>
  <c r="H68" i="12"/>
  <c r="C2" i="11"/>
  <c r="A399" i="20"/>
  <c r="G87" i="6"/>
  <c r="B97" i="11"/>
  <c r="B55" i="8"/>
  <c r="B1556" i="16"/>
  <c r="B1406" i="16"/>
  <c r="B82" i="6"/>
  <c r="G103" i="12"/>
  <c r="A37" i="16"/>
  <c r="B35" i="11"/>
  <c r="F151" i="8"/>
  <c r="B6374" i="20"/>
  <c r="B160" i="19"/>
  <c r="B2151" i="20"/>
  <c r="A115" i="8"/>
  <c r="H152" i="4"/>
  <c r="F134" i="1"/>
  <c r="G134" i="4"/>
  <c r="G9" i="4"/>
  <c r="A350" i="16"/>
  <c r="H6" i="1"/>
  <c r="H19" i="5"/>
  <c r="B234" i="20"/>
  <c r="H84" i="2"/>
  <c r="B27" i="10"/>
  <c r="A2490" i="20"/>
  <c r="B1714" i="16"/>
  <c r="A1359" i="16"/>
  <c r="B3034" i="20"/>
  <c r="A3200" i="20"/>
  <c r="A46" i="18"/>
  <c r="H17" i="13"/>
  <c r="H83" i="12"/>
  <c r="B4399" i="20"/>
  <c r="B50" i="19"/>
  <c r="B3711" i="20"/>
  <c r="B2938" i="20"/>
  <c r="A3104" i="20"/>
  <c r="A30" i="18"/>
  <c r="E7" i="13"/>
  <c r="G75" i="12"/>
  <c r="B3839" i="20"/>
  <c r="A8" i="19"/>
  <c r="B3199" i="20"/>
  <c r="A3854" i="20"/>
  <c r="A2593" i="20"/>
  <c r="A7125" i="20"/>
  <c r="A2938" i="20"/>
  <c r="A2181" i="20"/>
  <c r="A3158" i="20"/>
  <c r="A7135" i="20"/>
  <c r="B935" i="20"/>
  <c r="B2561" i="20"/>
  <c r="A1375" i="20"/>
  <c r="A282" i="20"/>
  <c r="B2183" i="20"/>
  <c r="B2728" i="20"/>
  <c r="A2222" i="20"/>
  <c r="B1453" i="16"/>
  <c r="B1410" i="16"/>
  <c r="B123" i="11"/>
  <c r="A1029" i="16"/>
  <c r="A340" i="20"/>
  <c r="A794" i="16"/>
  <c r="A76" i="20"/>
  <c r="B3437" i="20"/>
  <c r="A3544" i="20"/>
  <c r="A144" i="10"/>
  <c r="B481" i="20"/>
  <c r="C29" i="18"/>
  <c r="B459" i="20"/>
  <c r="B20" i="17"/>
  <c r="A110" i="12"/>
  <c r="A38" i="12"/>
  <c r="B638" i="20"/>
  <c r="H20" i="7"/>
  <c r="A135" i="16"/>
  <c r="E11" i="7"/>
  <c r="B254" i="20"/>
  <c r="A63" i="16"/>
  <c r="G110" i="13"/>
  <c r="A1664" i="20"/>
  <c r="A65" i="10"/>
  <c r="A89" i="16"/>
  <c r="E61" i="10"/>
  <c r="A376" i="19"/>
  <c r="A12" i="15"/>
  <c r="G81" i="13"/>
  <c r="G153" i="9"/>
  <c r="B143" i="8"/>
  <c r="G95" i="13"/>
  <c r="B68" i="10"/>
  <c r="A734" i="20"/>
  <c r="B1073" i="16"/>
  <c r="E50" i="13"/>
  <c r="H154" i="9"/>
  <c r="H126" i="1"/>
  <c r="A651" i="16"/>
  <c r="B729" i="16"/>
  <c r="A42" i="1"/>
  <c r="G84" i="5"/>
  <c r="A258" i="16"/>
  <c r="A1510" i="16"/>
  <c r="A1047" i="20"/>
  <c r="A636" i="16"/>
  <c r="B4516" i="20"/>
  <c r="A946" i="16"/>
  <c r="B367" i="19"/>
  <c r="B567" i="16"/>
  <c r="B334" i="16"/>
  <c r="A650" i="16"/>
  <c r="B672" i="20"/>
  <c r="F141" i="1"/>
  <c r="B352" i="20"/>
  <c r="B106" i="16"/>
  <c r="D2" i="7"/>
  <c r="E6" i="13"/>
  <c r="E10" i="6"/>
  <c r="A24" i="10"/>
  <c r="H103" i="11"/>
  <c r="A1786" i="16"/>
  <c r="A771" i="16"/>
  <c r="G89" i="5"/>
  <c r="B4105" i="20"/>
  <c r="C81" i="18"/>
  <c r="A621" i="16"/>
  <c r="H54" i="5"/>
  <c r="F7" i="5"/>
  <c r="A66" i="1"/>
  <c r="C2" i="5"/>
  <c r="H90" i="7"/>
  <c r="H82" i="2"/>
  <c r="A75" i="16"/>
  <c r="B409" i="16"/>
  <c r="G23" i="1"/>
  <c r="A143" i="4"/>
  <c r="A126" i="12"/>
  <c r="A1475" i="16"/>
  <c r="H121" i="6"/>
  <c r="A4586" i="20"/>
  <c r="A1237" i="16"/>
  <c r="A1325" i="16"/>
  <c r="G86" i="6"/>
  <c r="H43" i="7"/>
  <c r="A73" i="2"/>
  <c r="H24" i="7"/>
  <c r="B130" i="9"/>
  <c r="H42" i="8"/>
  <c r="A3256" i="20"/>
  <c r="A33" i="16"/>
  <c r="A86" i="12"/>
  <c r="A1741" i="20"/>
  <c r="A202" i="20"/>
  <c r="B1199" i="16"/>
  <c r="B1078" i="20"/>
  <c r="B462" i="20"/>
  <c r="B62" i="8"/>
  <c r="B750" i="16"/>
  <c r="B70" i="4"/>
  <c r="B2689" i="20"/>
  <c r="A178" i="20"/>
  <c r="B1175" i="16"/>
  <c r="B982" i="20"/>
  <c r="B398" i="20"/>
  <c r="H58" i="8"/>
  <c r="B740" i="16"/>
  <c r="A65" i="4"/>
  <c r="B1610" i="20"/>
  <c r="B297" i="19"/>
  <c r="A2847" i="20"/>
  <c r="B4788" i="20"/>
  <c r="A5412" i="20"/>
  <c r="B5424" i="20"/>
  <c r="B7483" i="20"/>
  <c r="B3321" i="20"/>
  <c r="A6509" i="20"/>
  <c r="B3760" i="20"/>
  <c r="A4584" i="20"/>
  <c r="C151" i="18"/>
  <c r="B623" i="16"/>
  <c r="B3735" i="20"/>
  <c r="B2597" i="20"/>
  <c r="B529" i="20"/>
  <c r="A1123" i="16"/>
  <c r="G107" i="13"/>
  <c r="B5349" i="20"/>
  <c r="B1011" i="16"/>
  <c r="B5154" i="20"/>
  <c r="B1" i="12"/>
  <c r="B952" i="16"/>
  <c r="A138" i="20"/>
  <c r="G115" i="10"/>
  <c r="B1659" i="20"/>
  <c r="G111" i="10"/>
  <c r="B1103" i="16"/>
  <c r="B694" i="20"/>
  <c r="B78" i="20"/>
  <c r="B1620" i="20"/>
  <c r="B1175" i="20"/>
  <c r="B2384" i="20"/>
  <c r="B1018" i="20"/>
  <c r="B1551" i="16"/>
  <c r="B93" i="11"/>
  <c r="A21" i="11"/>
  <c r="B56" i="13"/>
  <c r="A37" i="17"/>
  <c r="B2016" i="20"/>
  <c r="G72" i="13"/>
  <c r="B2751" i="20"/>
  <c r="B202" i="19"/>
  <c r="B4117" i="20"/>
  <c r="B105" i="6"/>
  <c r="G21" i="7"/>
  <c r="A27" i="18"/>
  <c r="G107" i="8"/>
  <c r="A2406" i="20"/>
  <c r="A1240" i="16"/>
  <c r="B1790" i="16"/>
  <c r="D36" i="8"/>
  <c r="E4" i="8"/>
  <c r="A82" i="4"/>
  <c r="F134" i="7"/>
  <c r="B72" i="2"/>
  <c r="A121" i="2"/>
  <c r="B745" i="16"/>
  <c r="B4021" i="20"/>
  <c r="A116" i="2"/>
  <c r="G68" i="10"/>
  <c r="H40" i="10"/>
  <c r="B346" i="16"/>
  <c r="A1364" i="16"/>
  <c r="A2140" i="20"/>
  <c r="A895" i="20"/>
  <c r="B246" i="16"/>
  <c r="A772" i="16"/>
  <c r="A120" i="6"/>
  <c r="F106" i="1"/>
  <c r="A551" i="20"/>
  <c r="E50" i="2"/>
  <c r="B50" i="13"/>
  <c r="B116" i="16"/>
  <c r="A21" i="8"/>
  <c r="B1508" i="20"/>
  <c r="G51" i="13"/>
  <c r="C1" i="16"/>
  <c r="A32" i="10"/>
  <c r="B11" i="14"/>
  <c r="B3429" i="20"/>
  <c r="B539" i="16"/>
  <c r="B155" i="9"/>
  <c r="B137" i="9"/>
  <c r="F125" i="2"/>
  <c r="B116" i="9"/>
  <c r="H95" i="5"/>
  <c r="G96" i="5"/>
  <c r="F11" i="10"/>
  <c r="A94" i="7"/>
  <c r="B54" i="2"/>
  <c r="G45" i="2"/>
  <c r="B1999" i="20"/>
  <c r="B705" i="16"/>
  <c r="A1" i="13"/>
  <c r="B683" i="16"/>
  <c r="B392" i="16"/>
  <c r="A361" i="20"/>
  <c r="G119" i="11"/>
  <c r="H154" i="4"/>
  <c r="A92" i="16"/>
  <c r="G135" i="4"/>
  <c r="B15" i="9"/>
  <c r="H84" i="6"/>
  <c r="G22" i="4"/>
  <c r="A132" i="9"/>
  <c r="G80" i="9"/>
  <c r="B287" i="16"/>
  <c r="A539" i="20"/>
  <c r="A79" i="13"/>
  <c r="B3316" i="20"/>
  <c r="B2634" i="20"/>
  <c r="A173" i="19"/>
  <c r="A19" i="19"/>
  <c r="C1" i="10"/>
  <c r="A20" i="11"/>
  <c r="G142" i="8"/>
  <c r="B7025" i="20"/>
  <c r="B3220" i="20"/>
  <c r="B2253" i="20"/>
  <c r="A149" i="19"/>
  <c r="A3" i="19"/>
  <c r="H153" i="9"/>
  <c r="F12" i="11"/>
  <c r="A140" i="8"/>
  <c r="A7545" i="20"/>
  <c r="A4136" i="20"/>
  <c r="A888" i="20"/>
  <c r="B7756" i="20"/>
  <c r="A2841" i="20"/>
  <c r="A2839" i="20"/>
  <c r="B903" i="16"/>
  <c r="B561" i="20"/>
  <c r="B4490" i="20"/>
  <c r="A922" i="20"/>
  <c r="A2476" i="20"/>
  <c r="B184" i="20"/>
  <c r="B2853" i="20"/>
  <c r="A388" i="20"/>
  <c r="A79" i="19"/>
  <c r="B2478" i="20"/>
  <c r="B1158" i="16"/>
  <c r="A1515" i="20"/>
  <c r="A104" i="6"/>
  <c r="B1386" i="16"/>
  <c r="B101" i="6"/>
  <c r="B1679" i="16"/>
  <c r="H18" i="12"/>
  <c r="A891" i="20"/>
  <c r="A824" i="16"/>
  <c r="B3948" i="20"/>
  <c r="A122" i="4"/>
  <c r="B2892" i="20"/>
  <c r="A77" i="19"/>
  <c r="B3741" i="20"/>
  <c r="B953" i="20"/>
  <c r="A58" i="8"/>
  <c r="B241" i="19"/>
  <c r="H123" i="7"/>
  <c r="B2821" i="20"/>
  <c r="B141" i="20"/>
  <c r="A371" i="19"/>
  <c r="B721" i="20"/>
  <c r="B1067" i="20"/>
  <c r="B3706" i="20"/>
  <c r="F28" i="13"/>
  <c r="A4622" i="20"/>
  <c r="B1762" i="16"/>
  <c r="B144" i="16"/>
  <c r="B28" i="16"/>
  <c r="B328" i="20"/>
  <c r="B641" i="16"/>
  <c r="A72" i="12"/>
  <c r="B619" i="16"/>
  <c r="B216" i="16"/>
  <c r="A105" i="20"/>
  <c r="G64" i="11"/>
  <c r="G92" i="4"/>
  <c r="A11" i="11"/>
  <c r="E74" i="4"/>
  <c r="G115" i="8"/>
  <c r="A1344" i="16"/>
  <c r="H81" i="8"/>
  <c r="H103" i="9"/>
  <c r="H89" i="8"/>
  <c r="E33" i="6"/>
  <c r="B1180" i="16"/>
  <c r="C145" i="18"/>
  <c r="B2" i="8"/>
  <c r="A4399" i="20"/>
  <c r="B211" i="16"/>
  <c r="B43" i="18"/>
  <c r="G105" i="7"/>
  <c r="G111" i="12"/>
  <c r="G113" i="7"/>
  <c r="G38" i="12"/>
  <c r="A302" i="16"/>
  <c r="B64" i="4"/>
  <c r="A8" i="2"/>
  <c r="B925" i="20"/>
  <c r="B50" i="5"/>
  <c r="G135" i="8"/>
  <c r="A2314" i="20"/>
  <c r="A306" i="16"/>
  <c r="B1035" i="20"/>
  <c r="G90" i="11"/>
  <c r="B50" i="12"/>
  <c r="A10" i="16"/>
  <c r="B1145" i="16"/>
  <c r="A67" i="1"/>
  <c r="B1065" i="16"/>
  <c r="H70" i="11"/>
  <c r="A135" i="2"/>
  <c r="A1078" i="16"/>
  <c r="A56" i="19"/>
  <c r="C36" i="8"/>
  <c r="F94" i="10"/>
  <c r="B53" i="2"/>
  <c r="H6" i="5"/>
  <c r="A1714" i="16"/>
  <c r="B4333" i="20"/>
  <c r="C136" i="18"/>
  <c r="B1358" i="16"/>
  <c r="A1418" i="16"/>
  <c r="A967" i="20"/>
  <c r="A74" i="2"/>
  <c r="A887" i="20"/>
  <c r="B1130" i="16"/>
  <c r="A172" i="16"/>
  <c r="E9" i="2"/>
  <c r="G100" i="8"/>
  <c r="A1252" i="16"/>
  <c r="B222" i="16"/>
  <c r="G109" i="2"/>
  <c r="E36" i="5"/>
  <c r="A1390" i="16"/>
  <c r="A4549" i="20"/>
  <c r="B1683" i="16"/>
  <c r="B302" i="20"/>
  <c r="H52" i="8"/>
  <c r="B2007" i="20"/>
  <c r="A844" i="16"/>
  <c r="B996" i="20"/>
  <c r="H98" i="8"/>
  <c r="H14" i="10"/>
  <c r="A763" i="16"/>
  <c r="H40" i="8"/>
  <c r="A683" i="16"/>
  <c r="B16" i="8"/>
  <c r="A53" i="1"/>
  <c r="C119" i="18"/>
  <c r="A1657" i="16"/>
  <c r="A1554" i="16"/>
  <c r="G93" i="11"/>
  <c r="F2" i="13"/>
  <c r="F9" i="1"/>
  <c r="B46" i="10"/>
  <c r="A104" i="2"/>
  <c r="A139" i="16"/>
  <c r="A2332" i="20"/>
  <c r="A1087" i="20"/>
  <c r="B278" i="16"/>
  <c r="A964" i="16"/>
  <c r="B70" i="7"/>
  <c r="B6118" i="20"/>
  <c r="B851" i="16"/>
  <c r="C1" i="19"/>
  <c r="F4" i="8"/>
  <c r="A932" i="16"/>
  <c r="A128" i="9"/>
  <c r="A756" i="16"/>
  <c r="A942" i="16"/>
  <c r="G101" i="5"/>
  <c r="A5339" i="20"/>
  <c r="A609" i="20"/>
  <c r="B63" i="11"/>
  <c r="A150" i="8"/>
  <c r="H43" i="5"/>
  <c r="B1435" i="20"/>
  <c r="A143" i="18"/>
  <c r="B130" i="8"/>
  <c r="H110" i="1"/>
  <c r="B235" i="20"/>
  <c r="A17" i="13"/>
  <c r="A104" i="9"/>
  <c r="A101" i="8"/>
  <c r="H47" i="2"/>
  <c r="B926" i="20"/>
  <c r="H59" i="11"/>
  <c r="H69" i="13"/>
  <c r="B761" i="16"/>
  <c r="A44" i="1"/>
  <c r="B681" i="16"/>
  <c r="B1090" i="20"/>
  <c r="H111" i="2"/>
  <c r="A3" i="10"/>
  <c r="B1655" i="16"/>
  <c r="B1060" i="16"/>
  <c r="A1066" i="16"/>
  <c r="A263" i="20"/>
  <c r="A63" i="2"/>
  <c r="B4605" i="20"/>
  <c r="A101" i="13"/>
  <c r="B554" i="20"/>
  <c r="A1347" i="20"/>
  <c r="B4588" i="20"/>
  <c r="F3" i="5"/>
  <c r="B876" i="16"/>
  <c r="H129" i="4"/>
  <c r="G107" i="4"/>
  <c r="A6988" i="20"/>
  <c r="B339" i="16"/>
  <c r="C64" i="18"/>
  <c r="A113" i="7"/>
  <c r="B35" i="10"/>
  <c r="B67" i="5"/>
  <c r="B1767" i="20"/>
  <c r="H116" i="4"/>
  <c r="B55" i="9"/>
  <c r="A75" i="8"/>
  <c r="B288" i="20"/>
  <c r="B54" i="4"/>
  <c r="D105" i="7"/>
  <c r="H85" i="1"/>
  <c r="A572" i="16"/>
  <c r="G77" i="2"/>
  <c r="A1574" i="20"/>
  <c r="G90" i="12"/>
  <c r="B1582" i="16"/>
  <c r="G81" i="7"/>
  <c r="A41" i="7"/>
  <c r="H108" i="2"/>
  <c r="A138" i="13"/>
  <c r="A2283" i="20"/>
  <c r="A857" i="16"/>
  <c r="B1413" i="20"/>
  <c r="A874" i="20"/>
  <c r="B36" i="12"/>
  <c r="B1171" i="20"/>
  <c r="A2413" i="20"/>
  <c r="B656" i="16"/>
  <c r="A1072" i="16"/>
  <c r="A776" i="16"/>
  <c r="B586" i="20"/>
  <c r="A95" i="4"/>
  <c r="H22" i="9"/>
  <c r="B145" i="8"/>
  <c r="A39" i="4"/>
  <c r="H89" i="1"/>
  <c r="A1642" i="20"/>
  <c r="B1481" i="20"/>
  <c r="A1196" i="16"/>
  <c r="B606" i="16"/>
  <c r="B59" i="19"/>
  <c r="B1284" i="16"/>
  <c r="A50" i="6"/>
  <c r="A82" i="20"/>
  <c r="A36" i="8"/>
  <c r="B1186" i="16"/>
  <c r="F121" i="5"/>
  <c r="H90" i="5"/>
  <c r="A151" i="1"/>
  <c r="B84" i="5"/>
  <c r="A10" i="2"/>
  <c r="B105" i="10"/>
  <c r="A1515" i="16"/>
  <c r="H56" i="9"/>
  <c r="G102" i="1"/>
  <c r="A36" i="5"/>
  <c r="A348" i="16"/>
  <c r="B312" i="20"/>
  <c r="B157" i="20"/>
  <c r="B1504" i="16"/>
  <c r="B2397" i="20"/>
  <c r="A2082" i="20"/>
  <c r="A2226" i="20"/>
  <c r="H80" i="11"/>
  <c r="E25" i="11"/>
  <c r="B1697" i="16"/>
  <c r="A1648" i="16"/>
  <c r="B1675" i="16"/>
  <c r="B2301" i="20"/>
  <c r="A1986" i="20"/>
  <c r="A2130" i="20"/>
  <c r="H72" i="11"/>
  <c r="G19" i="11"/>
  <c r="B1681" i="16"/>
  <c r="A1616" i="16"/>
  <c r="B1659" i="16"/>
  <c r="B1245" i="20"/>
  <c r="B2277" i="20"/>
  <c r="A6328" i="20"/>
  <c r="A5165" i="20"/>
  <c r="A4313" i="20"/>
  <c r="B1652" i="20"/>
  <c r="B3958" i="20"/>
  <c r="B6612" i="20"/>
  <c r="B3124" i="20"/>
  <c r="B5791" i="20"/>
  <c r="A2362" i="20"/>
  <c r="A2509" i="20"/>
  <c r="A4182" i="20"/>
  <c r="B3679" i="20"/>
  <c r="A6450" i="20"/>
  <c r="A1105" i="20"/>
  <c r="B192" i="16"/>
  <c r="A867" i="16"/>
  <c r="B2369" i="20"/>
  <c r="A83" i="16"/>
  <c r="B2337" i="20"/>
  <c r="B54" i="18"/>
  <c r="A14" i="15"/>
  <c r="A102" i="18"/>
  <c r="A1108" i="20"/>
  <c r="B290" i="20"/>
  <c r="A844" i="20"/>
  <c r="A1842" i="20"/>
  <c r="B51" i="11"/>
  <c r="A13" i="18"/>
  <c r="B771" i="16"/>
  <c r="A2408" i="20"/>
  <c r="B124" i="16"/>
  <c r="A2144" i="20"/>
  <c r="B1816" i="20"/>
  <c r="B61" i="12"/>
  <c r="G5" i="12"/>
  <c r="A491" i="20"/>
  <c r="B843" i="16"/>
  <c r="A784" i="20"/>
  <c r="B827" i="16"/>
  <c r="A721" i="16"/>
  <c r="C110" i="18"/>
  <c r="A7" i="18"/>
  <c r="B637" i="20"/>
  <c r="A207" i="20"/>
  <c r="B103" i="7"/>
  <c r="A185" i="20"/>
  <c r="B4245" i="20"/>
  <c r="B40" i="5"/>
  <c r="A68" i="7"/>
  <c r="B122" i="18"/>
  <c r="B98" i="2"/>
  <c r="C14" i="18"/>
  <c r="B115" i="4"/>
  <c r="A217" i="19"/>
  <c r="F101" i="1"/>
  <c r="G9" i="7"/>
  <c r="D122" i="9"/>
  <c r="B62" i="7"/>
  <c r="A782" i="16"/>
  <c r="B1089" i="16"/>
  <c r="A432" i="16"/>
  <c r="B1067" i="16"/>
  <c r="B1416" i="16"/>
  <c r="A235" i="19"/>
  <c r="A136" i="16"/>
  <c r="B94" i="7"/>
  <c r="G51" i="4"/>
  <c r="H74" i="7"/>
  <c r="H70" i="13"/>
  <c r="B129" i="11"/>
  <c r="A1502" i="16"/>
  <c r="C70" i="11"/>
  <c r="H8" i="4"/>
  <c r="F61" i="6"/>
  <c r="H15" i="9"/>
  <c r="A139" i="13"/>
  <c r="A124" i="10"/>
  <c r="A1602" i="20"/>
  <c r="B1585" i="16"/>
  <c r="B89" i="13"/>
  <c r="H58" i="10"/>
  <c r="F35" i="2"/>
  <c r="A1739" i="16"/>
  <c r="B1241" i="16"/>
  <c r="A73" i="1"/>
  <c r="A91" i="7"/>
  <c r="A1282" i="16"/>
  <c r="B1106" i="20"/>
  <c r="B3325" i="20"/>
  <c r="E26" i="1"/>
  <c r="H85" i="10"/>
  <c r="B430" i="16"/>
  <c r="B23" i="17"/>
  <c r="B2664" i="20"/>
  <c r="B2217" i="20"/>
  <c r="B332" i="16"/>
  <c r="A1284" i="16"/>
  <c r="F75" i="8"/>
  <c r="H74" i="2"/>
  <c r="A1063" i="20"/>
  <c r="A80" i="2"/>
  <c r="B46" i="5"/>
  <c r="B251" i="20"/>
  <c r="B4461" i="20"/>
  <c r="B70" i="13"/>
  <c r="B2094" i="20"/>
  <c r="B3111" i="20"/>
  <c r="B136" i="12"/>
  <c r="B1144" i="16"/>
  <c r="B1030" i="16"/>
  <c r="B2687" i="20"/>
  <c r="H117" i="9"/>
  <c r="B2577" i="20"/>
  <c r="B2046" i="20"/>
  <c r="B3015" i="20"/>
  <c r="H124" i="12"/>
  <c r="B1136" i="16"/>
  <c r="B1020" i="16"/>
  <c r="B2601" i="20"/>
  <c r="G113" i="9"/>
  <c r="B2513" i="20"/>
  <c r="B1622" i="20"/>
  <c r="A2484" i="20"/>
  <c r="B5144" i="20"/>
  <c r="A8926" i="20"/>
  <c r="B6072" i="20"/>
  <c r="B6717" i="20"/>
  <c r="A2932" i="20"/>
  <c r="A2084" i="20"/>
  <c r="A346" i="32"/>
  <c r="B5578" i="20"/>
  <c r="B1456" i="20"/>
  <c r="B1600" i="16"/>
  <c r="A7581" i="20"/>
  <c r="B4108" i="20"/>
  <c r="A431" i="16"/>
  <c r="A18" i="11"/>
  <c r="B1689" i="20"/>
  <c r="A1336" i="16"/>
  <c r="B255" i="20"/>
  <c r="B26" i="5"/>
  <c r="B3916" i="20"/>
  <c r="A141" i="19"/>
  <c r="A145" i="18"/>
  <c r="A927" i="16"/>
  <c r="B5278" i="20"/>
  <c r="B1779" i="16"/>
  <c r="B4845" i="20"/>
  <c r="G89" i="12"/>
  <c r="B1080" i="16"/>
  <c r="B966" i="16"/>
  <c r="H125" i="12"/>
  <c r="A5083" i="20"/>
  <c r="A577" i="20"/>
  <c r="B6907" i="20"/>
  <c r="A17" i="16"/>
  <c r="B1384" i="16"/>
  <c r="B1266" i="16"/>
  <c r="B4452" i="20"/>
  <c r="A214" i="16"/>
  <c r="B1413" i="16"/>
  <c r="A150" i="16"/>
  <c r="A133" i="13"/>
  <c r="A1279" i="16"/>
  <c r="A1125" i="16"/>
  <c r="H39" i="6"/>
  <c r="B2240" i="20"/>
  <c r="A562" i="16"/>
  <c r="B1443" i="20"/>
  <c r="G61" i="13"/>
  <c r="A70" i="13"/>
  <c r="A266" i="16"/>
  <c r="B1657" i="16"/>
  <c r="H96" i="1"/>
  <c r="B1577" i="16"/>
  <c r="A101" i="12"/>
  <c r="F122" i="4"/>
  <c r="F63" i="6"/>
  <c r="A119" i="4"/>
  <c r="A4" i="9"/>
  <c r="A24" i="6"/>
  <c r="B42" i="20"/>
  <c r="A1103" i="20"/>
  <c r="B133" i="8"/>
  <c r="A889" i="20"/>
  <c r="B515" i="20"/>
  <c r="A139" i="9"/>
  <c r="H97" i="8"/>
  <c r="B724" i="16"/>
  <c r="A121" i="9"/>
  <c r="B670" i="16"/>
  <c r="G58" i="9"/>
  <c r="F130" i="1"/>
  <c r="B9" i="5"/>
  <c r="H78" i="13"/>
  <c r="A494" i="16"/>
  <c r="G122" i="4"/>
  <c r="A67" i="7"/>
  <c r="B113" i="18"/>
  <c r="B12" i="9"/>
  <c r="B3695" i="20"/>
  <c r="B26" i="20"/>
  <c r="B12" i="18"/>
  <c r="B97" i="8"/>
  <c r="G60" i="8"/>
  <c r="H106" i="5"/>
  <c r="G50" i="8"/>
  <c r="B16" i="4"/>
  <c r="A98" i="8"/>
  <c r="B1257" i="16"/>
  <c r="C2" i="12"/>
  <c r="H28" i="4"/>
  <c r="A51" i="4"/>
  <c r="D1" i="9"/>
  <c r="A35" i="11"/>
  <c r="A79" i="12"/>
  <c r="B3860" i="20"/>
  <c r="B32" i="10"/>
  <c r="B2431" i="20"/>
  <c r="B122" i="10"/>
  <c r="C78" i="10"/>
  <c r="D76" i="1"/>
  <c r="G69" i="10"/>
  <c r="A540" i="16"/>
  <c r="A1758" i="16"/>
  <c r="A7536" i="20"/>
  <c r="A666" i="20"/>
  <c r="A1" i="14"/>
  <c r="B2107" i="20"/>
  <c r="A2041" i="20"/>
  <c r="B92" i="18"/>
  <c r="A137" i="20"/>
  <c r="B1237" i="20"/>
  <c r="B1231" i="16"/>
  <c r="G84" i="6"/>
  <c r="A563" i="16"/>
  <c r="A2122" i="20"/>
  <c r="A1792" i="16"/>
  <c r="B893" i="20"/>
  <c r="G53" i="10"/>
  <c r="A1835" i="16"/>
  <c r="F142" i="8"/>
  <c r="F35" i="13"/>
  <c r="A102" i="12"/>
  <c r="A894" i="16"/>
  <c r="E105" i="13"/>
  <c r="A451" i="16"/>
  <c r="A301" i="16"/>
  <c r="A62" i="4"/>
  <c r="A79" i="11"/>
  <c r="B175" i="16"/>
  <c r="B68" i="16"/>
  <c r="B151" i="16"/>
  <c r="B58" i="16"/>
  <c r="B7095" i="20"/>
  <c r="A3164" i="20"/>
  <c r="B1470" i="20"/>
  <c r="A381" i="19"/>
  <c r="A2187" i="20"/>
  <c r="B272" i="16"/>
  <c r="A146" i="19"/>
  <c r="B1606" i="20"/>
  <c r="B527" i="16"/>
  <c r="B80" i="13"/>
  <c r="B1789" i="16"/>
  <c r="B1070" i="16"/>
  <c r="B972" i="16"/>
  <c r="B145" i="4"/>
  <c r="G49" i="7"/>
  <c r="G134" i="12"/>
  <c r="H88" i="12"/>
  <c r="B32" i="12"/>
  <c r="B118" i="10"/>
  <c r="B1479" i="20"/>
  <c r="A6341" i="20"/>
  <c r="B622" i="20"/>
  <c r="G31" i="4"/>
  <c r="A21" i="4"/>
  <c r="F74" i="9"/>
  <c r="H120" i="4"/>
  <c r="A56" i="1"/>
  <c r="B6" i="13"/>
  <c r="A8148" i="20"/>
  <c r="H77" i="12"/>
  <c r="A135" i="7"/>
  <c r="H114" i="7"/>
  <c r="H62" i="8"/>
  <c r="B102" i="10"/>
  <c r="B13" i="14"/>
  <c r="B236" i="19"/>
  <c r="B653" i="20"/>
  <c r="A36" i="17"/>
  <c r="A1472" i="20"/>
  <c r="B3225" i="20"/>
  <c r="B4377" i="20"/>
  <c r="B108" i="12"/>
  <c r="B56" i="12"/>
  <c r="A192" i="19"/>
  <c r="H1" i="6"/>
  <c r="A104" i="19"/>
  <c r="A1448" i="20"/>
  <c r="B2608" i="20"/>
  <c r="B3609" i="20"/>
  <c r="H104" i="12"/>
  <c r="B51" i="12"/>
  <c r="A128" i="19"/>
  <c r="B2869" i="20"/>
  <c r="A66" i="19"/>
  <c r="A1184" i="20"/>
  <c r="B3935" i="20"/>
  <c r="B8604" i="20"/>
  <c r="A5151" i="20"/>
  <c r="A4315" i="20"/>
  <c r="A900" i="20"/>
  <c r="A5081" i="20"/>
  <c r="A1338" i="20"/>
  <c r="B251" i="19"/>
  <c r="B6319" i="20"/>
  <c r="B2885" i="20"/>
  <c r="B5412" i="20"/>
  <c r="B3294" i="20"/>
  <c r="A1188" i="20"/>
  <c r="B22" i="12"/>
  <c r="B207" i="19"/>
  <c r="A316" i="19"/>
  <c r="B97" i="16"/>
  <c r="A264" i="20"/>
  <c r="B9" i="19"/>
  <c r="B119" i="19"/>
  <c r="B944" i="20"/>
  <c r="B98" i="18"/>
  <c r="B1283" i="16"/>
  <c r="B2684" i="20"/>
  <c r="B294" i="16"/>
  <c r="A2400" i="20"/>
  <c r="B2320" i="20"/>
  <c r="B79" i="12"/>
  <c r="A973" i="20"/>
  <c r="A593" i="20"/>
  <c r="A3824" i="20"/>
  <c r="B1542" i="16"/>
  <c r="B4049" i="20"/>
  <c r="B3652" i="20"/>
  <c r="A83" i="13"/>
  <c r="E27" i="13"/>
  <c r="B1851" i="20"/>
  <c r="B280" i="19"/>
  <c r="B72" i="16"/>
  <c r="B264" i="19"/>
  <c r="A1233" i="16"/>
  <c r="B1695" i="20"/>
  <c r="B660" i="20"/>
  <c r="B2531" i="20"/>
  <c r="A847" i="20"/>
  <c r="G86" i="8"/>
  <c r="A697" i="20"/>
  <c r="A53" i="19"/>
  <c r="H116" i="8"/>
  <c r="A52" i="8"/>
  <c r="B212" i="16"/>
  <c r="B80" i="7"/>
  <c r="B158" i="16"/>
  <c r="E36" i="8"/>
  <c r="B2368" i="20"/>
  <c r="E11" i="1"/>
  <c r="B41" i="10"/>
  <c r="H28" i="13"/>
  <c r="H123" i="9"/>
  <c r="B93" i="4"/>
  <c r="B1601" i="16"/>
  <c r="A1456" i="16"/>
  <c r="B1579" i="16"/>
  <c r="B82" i="13"/>
  <c r="B2777" i="20"/>
  <c r="A1160" i="16"/>
  <c r="G120" i="10"/>
  <c r="F29" i="1"/>
  <c r="H102" i="10"/>
  <c r="B80" i="4"/>
  <c r="B812" i="20"/>
  <c r="A950" i="16"/>
  <c r="A1342" i="16"/>
  <c r="B153" i="4"/>
  <c r="F39" i="1"/>
  <c r="E25" i="10"/>
  <c r="B302" i="16"/>
  <c r="A1108" i="16"/>
  <c r="A1884" i="20"/>
  <c r="A639" i="20"/>
  <c r="B204" i="16"/>
  <c r="A516" i="16"/>
  <c r="A4" i="6"/>
  <c r="F52" i="1"/>
  <c r="A295" i="20"/>
  <c r="E35" i="2"/>
  <c r="A123" i="9"/>
  <c r="H132" i="13"/>
  <c r="A101" i="7"/>
  <c r="A1354" i="20"/>
  <c r="F47" i="1"/>
  <c r="A120" i="16"/>
  <c r="B772" i="16"/>
  <c r="A79" i="4"/>
  <c r="A2241" i="20"/>
  <c r="A1024" i="20"/>
  <c r="B674" i="16"/>
  <c r="B37" i="4"/>
  <c r="G21" i="4"/>
  <c r="B78" i="2"/>
  <c r="B3685" i="20"/>
  <c r="H50" i="6"/>
  <c r="H118" i="10"/>
  <c r="B96" i="18"/>
  <c r="A608" i="16"/>
  <c r="A117" i="1"/>
  <c r="F67" i="1"/>
  <c r="G113" i="4"/>
  <c r="A79" i="7"/>
  <c r="G18" i="2"/>
  <c r="A1319" i="16"/>
  <c r="H117" i="10"/>
  <c r="B43" i="17"/>
  <c r="C34" i="18"/>
  <c r="B37" i="2"/>
  <c r="B4487" i="20"/>
  <c r="B137" i="12"/>
  <c r="B78" i="12"/>
  <c r="B151" i="8"/>
  <c r="H66" i="2"/>
  <c r="B1628" i="16"/>
  <c r="E105" i="11"/>
  <c r="F125" i="1"/>
  <c r="A158" i="16"/>
  <c r="A2616" i="20"/>
  <c r="B640" i="20"/>
  <c r="B2" i="16"/>
  <c r="A122" i="10"/>
  <c r="H39" i="4"/>
  <c r="A112" i="10"/>
  <c r="G92" i="9"/>
  <c r="E61" i="1"/>
  <c r="B115" i="19"/>
  <c r="H101" i="12"/>
  <c r="G47" i="11"/>
  <c r="B134" i="12"/>
  <c r="G108" i="11"/>
  <c r="B96" i="2"/>
  <c r="A487" i="16"/>
  <c r="H43" i="8"/>
  <c r="A1480" i="16"/>
  <c r="A288" i="16"/>
  <c r="D104" i="1"/>
  <c r="A128" i="16"/>
  <c r="B29" i="5"/>
  <c r="A267" i="16"/>
  <c r="B99" i="9"/>
  <c r="H129" i="12"/>
  <c r="B11" i="6"/>
  <c r="H6" i="6"/>
  <c r="A117" i="7"/>
  <c r="G87" i="1"/>
  <c r="B13" i="4"/>
  <c r="B830" i="16"/>
  <c r="G152" i="4"/>
  <c r="B1317" i="16"/>
  <c r="B33" i="13"/>
  <c r="H120" i="6"/>
  <c r="A17" i="12"/>
  <c r="A19" i="2"/>
  <c r="A1500" i="20"/>
  <c r="A255" i="20"/>
  <c r="B140" i="16"/>
  <c r="A132" i="16"/>
  <c r="G23" i="5"/>
  <c r="C19" i="18"/>
  <c r="B294" i="19"/>
  <c r="B12" i="2"/>
  <c r="A65" i="7"/>
  <c r="B4209" i="20"/>
  <c r="B1499" i="20"/>
  <c r="B598" i="16"/>
  <c r="B2519" i="20"/>
  <c r="H102" i="2"/>
  <c r="A1140" i="16"/>
  <c r="B50" i="9"/>
  <c r="A64" i="2"/>
  <c r="D122" i="1"/>
  <c r="B3319" i="20"/>
  <c r="B402" i="16"/>
  <c r="A93" i="16"/>
  <c r="G85" i="4"/>
  <c r="H14" i="4"/>
  <c r="D26" i="1"/>
  <c r="B485" i="16"/>
  <c r="A3288" i="20"/>
  <c r="A1224" i="16"/>
  <c r="G62" i="4"/>
  <c r="C78" i="18"/>
  <c r="B539" i="20"/>
  <c r="B64" i="18"/>
  <c r="A13" i="8"/>
  <c r="A40" i="18"/>
  <c r="B1417" i="20"/>
  <c r="B570" i="20"/>
  <c r="A322" i="16"/>
  <c r="A459" i="16"/>
  <c r="A28" i="2"/>
  <c r="A85" i="4"/>
  <c r="A3617" i="20"/>
  <c r="A149" i="16"/>
  <c r="A1053" i="16"/>
  <c r="H22" i="6"/>
  <c r="B20" i="6"/>
  <c r="B15" i="19"/>
  <c r="A362" i="20"/>
  <c r="A1099" i="16"/>
  <c r="B1122" i="20"/>
  <c r="G17" i="5"/>
  <c r="B1195" i="16"/>
  <c r="B75" i="8"/>
  <c r="B10" i="16"/>
  <c r="A266" i="19"/>
  <c r="B2805" i="20"/>
  <c r="A1759" i="16"/>
  <c r="A724" i="16"/>
  <c r="A1735" i="16"/>
  <c r="A660" i="16"/>
  <c r="B6290" i="20"/>
  <c r="A2606" i="20"/>
  <c r="A123" i="20"/>
  <c r="B632" i="20"/>
  <c r="A1525" i="16"/>
  <c r="A1684" i="20"/>
  <c r="B335" i="16"/>
  <c r="H127" i="8"/>
  <c r="A142" i="18"/>
  <c r="A39" i="19"/>
  <c r="A39" i="17"/>
  <c r="G20" i="6"/>
  <c r="A103" i="5"/>
  <c r="F105" i="1"/>
  <c r="G86" i="1"/>
  <c r="H38" i="10"/>
  <c r="A127" i="9"/>
  <c r="E27" i="1"/>
  <c r="A791" i="20"/>
  <c r="A6425" i="20"/>
  <c r="A35" i="5"/>
  <c r="A1374" i="16"/>
  <c r="B25" i="4"/>
  <c r="A116" i="13"/>
  <c r="D78" i="9"/>
  <c r="A87" i="4"/>
  <c r="B5942" i="20"/>
  <c r="B835" i="16"/>
  <c r="B5794" i="20"/>
  <c r="B819" i="16"/>
  <c r="A6253" i="20"/>
  <c r="B7924" i="20"/>
  <c r="A3218" i="20"/>
  <c r="A334" i="20"/>
  <c r="B851" i="20"/>
  <c r="A649" i="20"/>
  <c r="B26" i="16"/>
  <c r="B893" i="16"/>
  <c r="A27" i="17"/>
  <c r="B1187" i="16"/>
  <c r="A86" i="5"/>
  <c r="G6" i="10"/>
  <c r="B1504" i="20"/>
  <c r="G48" i="4"/>
  <c r="G31" i="2"/>
  <c r="G42" i="10"/>
  <c r="A2150" i="20"/>
  <c r="H111" i="7"/>
  <c r="A61" i="2"/>
  <c r="A135" i="8"/>
  <c r="A1639" i="16"/>
  <c r="A106" i="2"/>
  <c r="H52" i="9"/>
  <c r="B75" i="5"/>
  <c r="B869" i="16"/>
  <c r="G151" i="1"/>
  <c r="G36" i="1"/>
  <c r="A285" i="19"/>
  <c r="A1046" i="20"/>
  <c r="A624" i="16"/>
  <c r="A998" i="20"/>
  <c r="A592" i="16"/>
  <c r="A616" i="45"/>
  <c r="A1944" i="20"/>
  <c r="A88" i="20"/>
  <c r="B5831" i="20"/>
  <c r="B536" i="20"/>
  <c r="A1537" i="16"/>
  <c r="B2932" i="20"/>
  <c r="A1797" i="16"/>
  <c r="A1586" i="20"/>
  <c r="A5996" i="20"/>
  <c r="B1552" i="16"/>
  <c r="B112" i="6"/>
  <c r="G77" i="6"/>
  <c r="B141" i="10"/>
  <c r="F35" i="8"/>
  <c r="F7" i="12"/>
  <c r="A142" i="10"/>
  <c r="B53" i="8"/>
  <c r="G107" i="7"/>
  <c r="G42" i="9"/>
  <c r="G136" i="8"/>
  <c r="H80" i="1"/>
  <c r="B992" i="20"/>
  <c r="F64" i="13"/>
  <c r="A51" i="11"/>
  <c r="A116" i="1"/>
  <c r="B307" i="20"/>
  <c r="A30" i="8"/>
  <c r="B89" i="6"/>
  <c r="A152" i="18"/>
  <c r="B620" i="20"/>
  <c r="C4" i="18"/>
  <c r="F3" i="2"/>
  <c r="A1112" i="16"/>
  <c r="H62" i="4"/>
  <c r="B27" i="5"/>
  <c r="A75" i="7"/>
  <c r="A680" i="16"/>
  <c r="A28" i="6"/>
  <c r="A1640" i="16"/>
  <c r="A28" i="11"/>
  <c r="B906" i="16"/>
  <c r="B3551" i="20"/>
  <c r="A1372" i="16"/>
  <c r="G91" i="2"/>
  <c r="G36" i="11"/>
  <c r="B360" i="19"/>
  <c r="A2002" i="20"/>
  <c r="A47" i="6"/>
  <c r="A24" i="7"/>
  <c r="A297" i="20"/>
  <c r="G139" i="4"/>
  <c r="A6930" i="20"/>
  <c r="B52" i="10"/>
  <c r="B1438" i="16"/>
  <c r="A15" i="7"/>
  <c r="B103" i="6"/>
  <c r="G74" i="2"/>
  <c r="G94" i="6"/>
  <c r="F88" i="1"/>
  <c r="F56" i="1"/>
  <c r="B2040" i="20"/>
  <c r="G17" i="7"/>
  <c r="B3" i="19"/>
  <c r="B10" i="9"/>
  <c r="G13" i="8"/>
  <c r="B281" i="16"/>
  <c r="A32" i="9"/>
  <c r="H97" i="10"/>
  <c r="B5914" i="20"/>
  <c r="B403" i="16"/>
  <c r="B75" i="18"/>
  <c r="G118" i="7"/>
  <c r="A36" i="16"/>
  <c r="B58" i="8"/>
  <c r="A4216" i="20"/>
  <c r="G63" i="6"/>
  <c r="G98" i="9"/>
  <c r="G48" i="12"/>
  <c r="B83" i="4"/>
  <c r="B11" i="12"/>
  <c r="B1082" i="20"/>
  <c r="G103" i="2"/>
  <c r="E34" i="9"/>
  <c r="A377" i="16"/>
  <c r="B129" i="10"/>
  <c r="A86" i="10"/>
  <c r="C52" i="18"/>
  <c r="B1367" i="20"/>
  <c r="B1342" i="16"/>
  <c r="A702" i="16"/>
  <c r="A1228" i="16"/>
  <c r="A94" i="18"/>
  <c r="B258" i="20"/>
  <c r="G107" i="12"/>
  <c r="B313" i="16"/>
  <c r="G17" i="1"/>
  <c r="A1769" i="20"/>
  <c r="G76" i="8"/>
  <c r="B308" i="20"/>
  <c r="A134" i="9"/>
  <c r="B105" i="9"/>
  <c r="H104" i="11"/>
  <c r="H92" i="9"/>
  <c r="B60" i="8"/>
  <c r="G112" i="5"/>
  <c r="A628" i="20"/>
  <c r="A1370" i="16"/>
  <c r="G19" i="12"/>
  <c r="A326" i="16"/>
  <c r="B810" i="20"/>
  <c r="B88" i="13"/>
  <c r="E63" i="2"/>
  <c r="A126" i="6"/>
  <c r="G100" i="5"/>
  <c r="A7096" i="20"/>
  <c r="A993" i="20"/>
  <c r="H106" i="11"/>
  <c r="B29" i="9"/>
  <c r="A74" i="6"/>
  <c r="H54" i="1"/>
  <c r="A1209" i="16"/>
  <c r="A658" i="16"/>
  <c r="A50" i="11"/>
  <c r="B47" i="12"/>
  <c r="B21" i="2"/>
  <c r="G9" i="12"/>
  <c r="C4" i="14"/>
  <c r="E36" i="2"/>
  <c r="A1332" i="16"/>
  <c r="B375" i="16"/>
  <c r="A58" i="12"/>
  <c r="B138" i="2"/>
  <c r="A47" i="2"/>
  <c r="A16" i="11"/>
  <c r="B86" i="5"/>
  <c r="G5" i="13"/>
  <c r="G14" i="2"/>
  <c r="A1529" i="16"/>
  <c r="A1298" i="16"/>
  <c r="G123" i="11"/>
  <c r="G62" i="13"/>
  <c r="H97" i="2"/>
  <c r="B2745" i="20"/>
  <c r="A93" i="7"/>
  <c r="A180" i="19"/>
  <c r="F75" i="9"/>
  <c r="H41" i="9"/>
  <c r="A61" i="9"/>
  <c r="A30" i="9"/>
  <c r="G101" i="6"/>
  <c r="G76" i="11"/>
  <c r="A116" i="20"/>
  <c r="A346" i="16"/>
  <c r="B92" i="11"/>
  <c r="H57" i="13"/>
  <c r="H95" i="9"/>
  <c r="E107" i="10"/>
  <c r="H121" i="1"/>
  <c r="G21" i="5"/>
  <c r="B6312" i="20"/>
  <c r="A481" i="20"/>
  <c r="H47" i="11"/>
  <c r="G1" i="9"/>
  <c r="B104" i="5"/>
  <c r="A130" i="2"/>
  <c r="A697" i="16"/>
  <c r="F128" i="12"/>
  <c r="H119" i="10"/>
  <c r="B1351" i="20"/>
  <c r="F13" i="1"/>
  <c r="B870" i="20"/>
  <c r="H122" i="10"/>
  <c r="H6" i="2"/>
  <c r="G69" i="9"/>
  <c r="B91" i="13"/>
  <c r="H91" i="13"/>
  <c r="A170" i="16"/>
  <c r="B1465" i="16"/>
  <c r="F113" i="1"/>
  <c r="B1561" i="16"/>
  <c r="A88" i="6"/>
  <c r="B32" i="2"/>
  <c r="B1527" i="16"/>
  <c r="B974" i="16"/>
  <c r="A1130" i="16"/>
  <c r="A391" i="20"/>
  <c r="G40" i="2"/>
  <c r="A948" i="20"/>
  <c r="B73" i="18"/>
  <c r="G57" i="12"/>
  <c r="A902" i="16"/>
  <c r="A590" i="16"/>
  <c r="H48" i="6"/>
  <c r="A510" i="16"/>
  <c r="B90" i="4"/>
  <c r="E13" i="12"/>
  <c r="B1248" i="20"/>
  <c r="B658" i="16"/>
  <c r="A189" i="16"/>
  <c r="G93" i="4"/>
  <c r="H96" i="8"/>
  <c r="B684" i="20"/>
  <c r="A90" i="2"/>
  <c r="A108" i="2"/>
  <c r="H50" i="4"/>
  <c r="A57" i="2"/>
  <c r="G24" i="11"/>
  <c r="B1499" i="16"/>
  <c r="B54" i="10"/>
  <c r="B42" i="13"/>
  <c r="G105" i="5"/>
  <c r="B695" i="16"/>
  <c r="B420" i="16"/>
  <c r="A714" i="16"/>
  <c r="B1327" i="20"/>
  <c r="A149" i="1"/>
  <c r="B864" i="20"/>
  <c r="B190" i="16"/>
  <c r="F65" i="7"/>
  <c r="A704" i="16"/>
  <c r="A453" i="20"/>
  <c r="C1" i="11"/>
  <c r="B41" i="18"/>
  <c r="B9" i="20"/>
  <c r="A133" i="4"/>
  <c r="A106" i="11"/>
  <c r="G38" i="2"/>
  <c r="H91" i="6"/>
  <c r="G47" i="10"/>
  <c r="F42" i="1"/>
  <c r="B342" i="20"/>
  <c r="A23" i="4"/>
  <c r="B602" i="20"/>
  <c r="E26" i="7"/>
  <c r="A20" i="1"/>
  <c r="B349" i="19"/>
  <c r="B689" i="16"/>
  <c r="G19" i="13"/>
  <c r="B111" i="9"/>
  <c r="B78" i="1"/>
  <c r="B131" i="13"/>
  <c r="B345" i="16"/>
  <c r="G19" i="1"/>
  <c r="G124" i="4"/>
  <c r="A1692" i="20"/>
  <c r="A447" i="20"/>
  <c r="B172" i="16"/>
  <c r="A68" i="16"/>
  <c r="G97" i="1"/>
  <c r="H31" i="4"/>
  <c r="H68" i="2"/>
  <c r="B38" i="2"/>
  <c r="A756" i="20"/>
  <c r="A1626" i="16"/>
  <c r="E35" i="12"/>
  <c r="A710" i="16"/>
  <c r="A398" i="16"/>
  <c r="B108" i="5"/>
  <c r="A1511" i="16"/>
  <c r="H31" i="13"/>
  <c r="B61" i="18"/>
  <c r="B314" i="20"/>
  <c r="B93" i="2"/>
  <c r="B75" i="19"/>
  <c r="G81" i="6"/>
  <c r="B230" i="20"/>
  <c r="G88" i="8"/>
  <c r="B677" i="16"/>
  <c r="H61" i="9"/>
  <c r="G65" i="6"/>
  <c r="F122" i="9"/>
  <c r="H154" i="1"/>
  <c r="H47" i="6"/>
  <c r="B2143" i="20"/>
  <c r="G46" i="6"/>
  <c r="B336" i="20"/>
  <c r="A121" i="4"/>
  <c r="E50" i="7"/>
  <c r="A1442" i="16"/>
  <c r="G79" i="2"/>
  <c r="A2524" i="20"/>
  <c r="B1705" i="20"/>
  <c r="B310" i="16"/>
  <c r="A1156" i="16"/>
  <c r="G17" i="8"/>
  <c r="B48" i="2"/>
  <c r="A935" i="20"/>
  <c r="A72" i="2"/>
  <c r="G80" i="4"/>
  <c r="A4000" i="20"/>
  <c r="A2425" i="20"/>
  <c r="B770" i="16"/>
  <c r="H58" i="4"/>
  <c r="F121" i="6"/>
  <c r="G30" i="5"/>
  <c r="B3" i="17"/>
  <c r="G60" i="4"/>
  <c r="H46" i="2"/>
  <c r="B2238" i="20"/>
  <c r="B1084" i="16"/>
  <c r="A349" i="16"/>
  <c r="H148" i="4"/>
  <c r="H82" i="4"/>
  <c r="D3" i="1"/>
  <c r="B1509" i="16"/>
  <c r="A534" i="16"/>
  <c r="C2" i="7"/>
  <c r="H51" i="13"/>
  <c r="G30" i="2"/>
  <c r="B118" i="12"/>
  <c r="A870" i="16"/>
  <c r="A727" i="20"/>
  <c r="G21" i="8"/>
  <c r="B1657" i="20"/>
  <c r="F11" i="8"/>
  <c r="E9" i="8"/>
  <c r="E33" i="13"/>
  <c r="B115" i="6"/>
  <c r="A10" i="7"/>
  <c r="B61" i="7"/>
  <c r="B78" i="6"/>
  <c r="G1" i="7"/>
  <c r="H135" i="10"/>
  <c r="F122" i="1"/>
  <c r="B914" i="20"/>
  <c r="E110" i="8"/>
  <c r="A35" i="9"/>
  <c r="B63" i="10"/>
  <c r="B82" i="20"/>
  <c r="B1817" i="16"/>
  <c r="G118" i="13"/>
  <c r="A1470" i="16"/>
  <c r="G97" i="9"/>
  <c r="B1396" i="16"/>
  <c r="A6" i="9"/>
  <c r="B101" i="16"/>
  <c r="D1" i="2"/>
  <c r="A146" i="18"/>
  <c r="A147" i="16"/>
  <c r="B2261" i="20"/>
  <c r="F26" i="11"/>
  <c r="A1667" i="16"/>
  <c r="H61" i="2"/>
  <c r="A44" i="5"/>
  <c r="A313" i="20"/>
  <c r="A1550" i="16"/>
  <c r="H96" i="2"/>
  <c r="A45" i="9"/>
  <c r="B2189" i="20"/>
  <c r="B209" i="20"/>
  <c r="B1023" i="20"/>
  <c r="A10" i="12"/>
  <c r="B904" i="16"/>
  <c r="A1246" i="16"/>
  <c r="E2" i="7"/>
  <c r="A62" i="19"/>
  <c r="A82" i="5"/>
  <c r="E26" i="10"/>
  <c r="B225" i="20"/>
  <c r="B1308" i="20"/>
  <c r="A8468" i="20"/>
  <c r="B1680" i="16"/>
  <c r="B719" i="16"/>
  <c r="B1772" i="16"/>
  <c r="B150" i="18"/>
  <c r="H1" i="1"/>
  <c r="H108" i="10"/>
  <c r="G99" i="12"/>
  <c r="A667" i="16"/>
  <c r="B1694" i="16"/>
  <c r="B125" i="9"/>
  <c r="A2" i="10"/>
  <c r="B1074" i="20"/>
  <c r="H46" i="1"/>
  <c r="A100" i="1"/>
  <c r="B43" i="5"/>
  <c r="E5" i="9"/>
  <c r="B40" i="9"/>
  <c r="F36" i="6"/>
  <c r="A81" i="5"/>
  <c r="A1040" i="16"/>
  <c r="B180" i="16"/>
  <c r="H29" i="4"/>
  <c r="B23" i="12"/>
  <c r="H70" i="1"/>
  <c r="A1162" i="20"/>
  <c r="B45" i="4"/>
  <c r="H117" i="1"/>
  <c r="G66" i="2"/>
  <c r="G132" i="7"/>
  <c r="B6" i="6"/>
  <c r="B123" i="8"/>
  <c r="F55" i="1"/>
  <c r="A37" i="8"/>
  <c r="B94" i="9"/>
  <c r="A4637" i="20"/>
  <c r="B17" i="18"/>
  <c r="A29" i="17"/>
  <c r="A70" i="8"/>
  <c r="A445" i="16"/>
  <c r="B1289" i="16"/>
  <c r="C1" i="7"/>
  <c r="B77" i="13"/>
  <c r="B24" i="9"/>
  <c r="A1226" i="16"/>
  <c r="G29" i="2"/>
  <c r="H99" i="5"/>
  <c r="E104" i="1"/>
  <c r="H137" i="10"/>
  <c r="G102" i="9"/>
  <c r="B62" i="10"/>
  <c r="A1680" i="16"/>
  <c r="H52" i="6"/>
  <c r="A79" i="1"/>
  <c r="B1112" i="16"/>
  <c r="A1092" i="16"/>
  <c r="E93" i="2"/>
  <c r="A1288" i="20"/>
  <c r="A1734" i="16"/>
  <c r="B1110" i="20"/>
  <c r="A71" i="20"/>
  <c r="G93" i="5"/>
  <c r="A3525" i="20"/>
  <c r="E11" i="8"/>
  <c r="F154" i="1"/>
  <c r="A225" i="20"/>
  <c r="B127" i="10"/>
  <c r="A105" i="10"/>
  <c r="A132" i="4"/>
  <c r="A2794" i="20"/>
  <c r="H45" i="6"/>
  <c r="B38" i="13"/>
  <c r="A761" i="16"/>
  <c r="H118" i="8"/>
  <c r="A1665" i="16"/>
  <c r="B5" i="13"/>
  <c r="A899" i="16"/>
  <c r="B524" i="20"/>
  <c r="H82" i="6"/>
  <c r="A1402" i="16"/>
  <c r="B1766" i="16"/>
  <c r="G50" i="1"/>
  <c r="A9" i="13"/>
  <c r="E33" i="2"/>
  <c r="B2606" i="20"/>
  <c r="B1202" i="16"/>
  <c r="B2558" i="20"/>
  <c r="B1190" i="16"/>
  <c r="B2030" i="20"/>
  <c r="A6123" i="20"/>
  <c r="A695" i="16"/>
  <c r="B4883" i="20"/>
  <c r="B269" i="20"/>
  <c r="B1015" i="20"/>
  <c r="B6630" i="20"/>
  <c r="B1256" i="16"/>
  <c r="B3997" i="20"/>
  <c r="B1462" i="16"/>
  <c r="G143" i="4"/>
  <c r="A99" i="6"/>
  <c r="B823" i="16"/>
  <c r="B1" i="2"/>
  <c r="A1728" i="16"/>
  <c r="F150" i="8"/>
  <c r="A294" i="20"/>
  <c r="A1836" i="16"/>
  <c r="F78" i="4"/>
  <c r="A5" i="8"/>
  <c r="A64" i="7"/>
  <c r="B153" i="8"/>
  <c r="B96" i="20"/>
  <c r="B75" i="9"/>
  <c r="A218" i="16"/>
  <c r="G41" i="4"/>
  <c r="B1947" i="20"/>
  <c r="B4300" i="20"/>
  <c r="G141" i="4"/>
  <c r="B4204" i="20"/>
  <c r="H138" i="4"/>
  <c r="B3148" i="20"/>
  <c r="B2979" i="20"/>
  <c r="B4038" i="20"/>
  <c r="B2056" i="20"/>
  <c r="B1539" i="16"/>
  <c r="B3353" i="20"/>
  <c r="A1415" i="16"/>
  <c r="A229" i="16"/>
  <c r="F131" i="5"/>
  <c r="B2838" i="20"/>
  <c r="A29" i="20"/>
  <c r="H71" i="10"/>
  <c r="B1193" i="20"/>
  <c r="B18" i="2"/>
  <c r="B286" i="16"/>
  <c r="H129" i="5"/>
  <c r="B87" i="11"/>
  <c r="B435" i="20"/>
  <c r="G60" i="11"/>
  <c r="A1539" i="16"/>
  <c r="A1389" i="16"/>
  <c r="B83" i="7"/>
  <c r="A487" i="20"/>
  <c r="A326" i="19"/>
  <c r="C129" i="18"/>
  <c r="A500" i="16"/>
  <c r="A416" i="20"/>
  <c r="B7485" i="20"/>
  <c r="B2511" i="20"/>
  <c r="A7061" i="20"/>
  <c r="B2255" i="20"/>
  <c r="A6207" i="20"/>
  <c r="B4177" i="20"/>
  <c r="A6501" i="20"/>
  <c r="B535" i="20"/>
  <c r="B410" i="20"/>
  <c r="H103" i="7"/>
  <c r="B1121" i="16"/>
  <c r="B74" i="19"/>
  <c r="A798" i="20"/>
  <c r="B368" i="19"/>
  <c r="B78" i="9"/>
  <c r="A1530" i="16"/>
  <c r="A4773" i="20"/>
  <c r="A164" i="16"/>
  <c r="A141" i="4"/>
  <c r="G59" i="10"/>
  <c r="A2120" i="20"/>
  <c r="A370" i="19"/>
  <c r="F46" i="1"/>
  <c r="A66" i="5"/>
  <c r="B181" i="20"/>
  <c r="A3" i="9"/>
  <c r="B71" i="2"/>
  <c r="A55" i="5"/>
  <c r="B2875" i="20"/>
  <c r="G45" i="4"/>
  <c r="G125" i="8"/>
  <c r="G9" i="9"/>
  <c r="B914" i="16"/>
  <c r="F93" i="2"/>
  <c r="H89" i="11"/>
  <c r="A471" i="20"/>
  <c r="G135" i="7"/>
  <c r="B102" i="4"/>
  <c r="B98" i="20"/>
  <c r="B358" i="16"/>
  <c r="E9" i="1"/>
  <c r="A2734" i="20"/>
  <c r="A1294" i="16"/>
  <c r="B3331" i="20"/>
  <c r="F81" i="6"/>
  <c r="A60" i="8"/>
  <c r="B67" i="8"/>
  <c r="B110" i="18"/>
  <c r="H81" i="13"/>
  <c r="A2330" i="20"/>
  <c r="H30" i="2"/>
  <c r="A52" i="4"/>
  <c r="C2" i="2"/>
  <c r="G112" i="2"/>
  <c r="B778" i="16"/>
  <c r="H43" i="12"/>
  <c r="H46" i="5"/>
  <c r="A3232" i="20"/>
  <c r="A130" i="19"/>
  <c r="H96" i="12"/>
  <c r="B249" i="16"/>
  <c r="G13" i="1"/>
  <c r="B169" i="16"/>
  <c r="A1506" i="16"/>
  <c r="G81" i="2"/>
  <c r="H109" i="6"/>
  <c r="B1143" i="16"/>
  <c r="B718" i="16"/>
  <c r="A810" i="16"/>
  <c r="B134" i="19"/>
  <c r="A32" i="2"/>
  <c r="H17" i="8"/>
  <c r="B9" i="12"/>
  <c r="B819" i="20"/>
  <c r="A4512" i="20"/>
  <c r="B4004" i="20"/>
  <c r="B790" i="16"/>
  <c r="B88" i="4"/>
  <c r="B68" i="4"/>
  <c r="A5112" i="20"/>
  <c r="A929" i="20"/>
  <c r="H99" i="11"/>
  <c r="F25" i="9"/>
  <c r="A60" i="6"/>
  <c r="D47" i="1"/>
  <c r="H38" i="6"/>
  <c r="B85" i="4"/>
  <c r="B1" i="5"/>
  <c r="H69" i="1"/>
  <c r="A2218" i="20"/>
  <c r="B1115" i="16"/>
  <c r="G15" i="10"/>
  <c r="A1" i="10"/>
  <c r="B1162" i="16"/>
  <c r="G54" i="6"/>
  <c r="H112" i="7"/>
  <c r="H128" i="1"/>
  <c r="B8" i="16"/>
  <c r="B168" i="19"/>
  <c r="A132" i="10"/>
  <c r="B338" i="20"/>
  <c r="G143" i="9"/>
  <c r="B50" i="18"/>
  <c r="B1274" i="16"/>
  <c r="A1354" i="16"/>
  <c r="A839" i="20"/>
  <c r="A67" i="2"/>
  <c r="A759" i="20"/>
  <c r="B1044" i="16"/>
  <c r="B36" i="13"/>
  <c r="A1218" i="16"/>
  <c r="A71" i="19"/>
  <c r="A371" i="16"/>
  <c r="A135" i="10"/>
  <c r="A544" i="20"/>
  <c r="B118" i="8"/>
  <c r="A117" i="6"/>
  <c r="A92" i="8"/>
  <c r="B139" i="2"/>
  <c r="A145" i="1"/>
  <c r="B1781" i="20"/>
  <c r="B7" i="10"/>
  <c r="B1390" i="16"/>
  <c r="G129" i="6"/>
  <c r="H83" i="6"/>
  <c r="E64" i="2"/>
  <c r="B34" i="12"/>
  <c r="C31" i="18"/>
  <c r="H79" i="10"/>
  <c r="A678" i="16"/>
  <c r="B31" i="7"/>
  <c r="A502" i="16"/>
  <c r="A116" i="6"/>
  <c r="H30" i="5"/>
  <c r="A47" i="5"/>
  <c r="B1288" i="16"/>
  <c r="B686" i="20"/>
  <c r="C10" i="18"/>
  <c r="B22" i="2"/>
  <c r="G62" i="11"/>
  <c r="H65" i="6"/>
  <c r="F6" i="6"/>
  <c r="B52" i="8"/>
  <c r="B135" i="12"/>
  <c r="B40" i="20"/>
  <c r="A99" i="10"/>
  <c r="A1318" i="16"/>
  <c r="B38" i="8"/>
  <c r="B1463" i="16"/>
  <c r="B932" i="16"/>
  <c r="A1098" i="16"/>
  <c r="A327" i="20"/>
  <c r="G36" i="2"/>
  <c r="A247" i="20"/>
  <c r="B702" i="16"/>
  <c r="F110" i="9"/>
  <c r="B68" i="9"/>
  <c r="B1473" i="20"/>
  <c r="G87" i="13"/>
  <c r="B354" i="20"/>
  <c r="B969" i="20"/>
  <c r="E12" i="7"/>
  <c r="A407" i="20"/>
  <c r="H22" i="2"/>
  <c r="G78" i="1"/>
  <c r="A786" i="20"/>
  <c r="A42" i="9"/>
  <c r="B1302" i="16"/>
  <c r="E63" i="6"/>
  <c r="G23" i="6"/>
  <c r="A34" i="2"/>
  <c r="B3620" i="20"/>
  <c r="B1435" i="16"/>
  <c r="B50" i="10"/>
  <c r="A121" i="12"/>
  <c r="E94" i="5"/>
  <c r="G37" i="12"/>
  <c r="H55" i="6"/>
  <c r="A127" i="12"/>
  <c r="D1" i="10"/>
  <c r="B944" i="16"/>
  <c r="B1361" i="20"/>
  <c r="A135" i="12"/>
  <c r="H71" i="5"/>
  <c r="A39" i="13"/>
  <c r="B394" i="16"/>
  <c r="B133" i="7"/>
  <c r="B28" i="8"/>
  <c r="B412" i="20"/>
  <c r="B1013" i="20"/>
  <c r="A616" i="16"/>
  <c r="H20" i="9"/>
  <c r="F94" i="1"/>
  <c r="B7" i="20"/>
  <c r="A691" i="16"/>
  <c r="F9" i="11"/>
  <c r="B2112" i="20"/>
  <c r="A1" i="9"/>
  <c r="B1166" i="20"/>
  <c r="A347" i="16"/>
  <c r="G97" i="6"/>
  <c r="B121" i="2"/>
  <c r="B2272" i="20"/>
  <c r="H88" i="13"/>
  <c r="H92" i="12"/>
  <c r="H143" i="8"/>
  <c r="G135" i="1"/>
  <c r="G126" i="13"/>
  <c r="A150" i="4"/>
  <c r="A53" i="5"/>
  <c r="A11" i="2"/>
  <c r="B2296" i="20"/>
  <c r="G48" i="7"/>
  <c r="A46" i="19"/>
  <c r="B52" i="9"/>
  <c r="G16" i="9"/>
  <c r="B125" i="8"/>
  <c r="B1528" i="16"/>
  <c r="A363" i="19"/>
  <c r="A200" i="16"/>
  <c r="G124" i="7"/>
  <c r="H61" i="4"/>
  <c r="C105" i="7"/>
  <c r="A100" i="16"/>
  <c r="B58" i="12"/>
  <c r="B50" i="20"/>
  <c r="A679" i="16"/>
  <c r="A138" i="8"/>
  <c r="A1448" i="16"/>
  <c r="A131" i="12"/>
  <c r="A152" i="1"/>
  <c r="G9" i="8"/>
  <c r="A138" i="7"/>
  <c r="H68" i="6"/>
  <c r="H103" i="5"/>
  <c r="B4412" i="20"/>
  <c r="B1702" i="16"/>
  <c r="A541" i="16"/>
  <c r="B36" i="5"/>
  <c r="E142" i="4"/>
  <c r="A47" i="1"/>
  <c r="B80" i="20"/>
  <c r="A106" i="4"/>
  <c r="G46" i="7"/>
  <c r="A1314" i="16"/>
  <c r="G75" i="2"/>
  <c r="A1154" i="16"/>
  <c r="B594" i="20"/>
  <c r="B2569" i="20"/>
  <c r="D11" i="1"/>
  <c r="A373" i="19"/>
  <c r="F34" i="9"/>
  <c r="A56" i="8"/>
  <c r="B254" i="16"/>
  <c r="H128" i="5"/>
  <c r="B116" i="5"/>
  <c r="A14" i="7"/>
  <c r="B77" i="2"/>
  <c r="A199" i="19"/>
  <c r="A499" i="16"/>
  <c r="F144" i="10"/>
  <c r="A2250" i="20"/>
  <c r="H65" i="8"/>
  <c r="B2110" i="20"/>
  <c r="B1042" i="16"/>
  <c r="A333" i="16"/>
  <c r="H142" i="4"/>
  <c r="B78" i="4"/>
  <c r="H138" i="2"/>
  <c r="H72" i="4"/>
  <c r="B87" i="6"/>
  <c r="A123" i="2"/>
  <c r="A2869" i="20"/>
  <c r="A21" i="16"/>
  <c r="A1021" i="16"/>
  <c r="A2" i="6"/>
  <c r="A74" i="4"/>
  <c r="B41" i="19"/>
  <c r="B10" i="4"/>
  <c r="A81" i="6"/>
  <c r="B4406" i="20"/>
  <c r="A1685" i="16"/>
  <c r="A1437" i="16"/>
  <c r="A112" i="6"/>
  <c r="B11" i="8"/>
  <c r="G99" i="2"/>
  <c r="B1027" i="20"/>
  <c r="F74" i="10"/>
  <c r="A120" i="8"/>
  <c r="B980" i="16"/>
  <c r="A121" i="11"/>
  <c r="B926" i="16"/>
  <c r="F150" i="9"/>
  <c r="H70" i="2"/>
  <c r="H98" i="9"/>
  <c r="B1674" i="16"/>
  <c r="G39" i="7"/>
  <c r="B109" i="9"/>
  <c r="E2" i="13"/>
  <c r="B23" i="6"/>
  <c r="A122" i="12"/>
  <c r="A972" i="16"/>
  <c r="B154" i="9"/>
  <c r="G128" i="4"/>
  <c r="B2663" i="20"/>
  <c r="B497" i="16"/>
  <c r="H5" i="13"/>
  <c r="G85" i="9"/>
  <c r="H56" i="1"/>
  <c r="A3050" i="20"/>
  <c r="A853" i="16"/>
  <c r="A1229" i="16"/>
  <c r="B64" i="6"/>
  <c r="E103" i="6"/>
  <c r="A51" i="2"/>
  <c r="A95" i="6"/>
  <c r="H82" i="9"/>
  <c r="B15" i="4"/>
  <c r="A3027" i="20"/>
  <c r="B19" i="16"/>
  <c r="B11" i="18"/>
  <c r="H79" i="7"/>
  <c r="G67" i="9"/>
  <c r="B39" i="19"/>
  <c r="A780" i="16"/>
  <c r="A92" i="9"/>
  <c r="B121" i="9"/>
  <c r="H17" i="7"/>
  <c r="A123" i="6"/>
  <c r="G9" i="11"/>
  <c r="B2552" i="20"/>
  <c r="H42" i="6"/>
  <c r="A1094" i="16"/>
  <c r="H54" i="2"/>
  <c r="H57" i="4"/>
  <c r="B1545" i="16"/>
  <c r="A1696" i="16"/>
  <c r="C118" i="18"/>
  <c r="E12" i="2"/>
  <c r="B4115" i="20"/>
  <c r="B267" i="20"/>
  <c r="H101" i="9"/>
  <c r="A163" i="16"/>
  <c r="B3023" i="20"/>
  <c r="A769" i="16"/>
  <c r="A447" i="16"/>
  <c r="B1741" i="20"/>
  <c r="A2621" i="20"/>
  <c r="G119" i="2"/>
  <c r="A518" i="16"/>
  <c r="F27" i="6"/>
  <c r="B1513" i="20"/>
  <c r="C3" i="14"/>
  <c r="A259" i="19"/>
  <c r="B340" i="19"/>
  <c r="B612" i="20"/>
  <c r="A618" i="20"/>
  <c r="A48" i="16"/>
  <c r="A136" i="18"/>
  <c r="F5" i="1"/>
  <c r="H124" i="13"/>
  <c r="B460" i="20"/>
  <c r="B1105" i="20"/>
  <c r="B2876" i="20"/>
  <c r="B5118" i="20"/>
  <c r="A2034" i="20"/>
  <c r="A747" i="20"/>
  <c r="B2553" i="20"/>
  <c r="A1802" i="16"/>
  <c r="B81" i="20"/>
  <c r="A90" i="5"/>
  <c r="G142" i="10"/>
  <c r="A80" i="10"/>
  <c r="B115" i="2"/>
  <c r="A472" i="16"/>
  <c r="G9" i="1"/>
  <c r="D67" i="13"/>
  <c r="G34" i="11"/>
  <c r="E3" i="10"/>
  <c r="E3" i="13"/>
  <c r="A40" i="8"/>
  <c r="A363" i="16"/>
  <c r="G71" i="10"/>
  <c r="A130" i="11"/>
  <c r="F76" i="1"/>
  <c r="B2093" i="20"/>
  <c r="B1371" i="16"/>
  <c r="A100" i="8"/>
  <c r="A956" i="16"/>
  <c r="G87" i="5"/>
  <c r="A62" i="11"/>
  <c r="B77" i="18"/>
  <c r="A299" i="19"/>
  <c r="H83" i="13"/>
  <c r="G80" i="8"/>
  <c r="G21" i="13"/>
  <c r="A1830" i="16"/>
  <c r="B37" i="12"/>
  <c r="A55" i="8"/>
  <c r="G13" i="9"/>
  <c r="C112" i="18"/>
  <c r="B47" i="6"/>
  <c r="G57" i="8"/>
  <c r="A120" i="12"/>
  <c r="A130" i="8"/>
  <c r="H29" i="11"/>
  <c r="H44" i="2"/>
  <c r="D140" i="1"/>
  <c r="A317" i="16"/>
  <c r="A43" i="5"/>
  <c r="B1688" i="20"/>
  <c r="A2669" i="20"/>
  <c r="B66" i="8"/>
  <c r="A71" i="7"/>
  <c r="G105" i="10"/>
  <c r="B1555" i="16"/>
  <c r="E1" i="13"/>
  <c r="H73" i="9"/>
  <c r="B72" i="6"/>
  <c r="H77" i="2"/>
  <c r="A525" i="16"/>
  <c r="D74" i="1"/>
  <c r="A364" i="16"/>
  <c r="B96" i="9"/>
  <c r="F99" i="1"/>
  <c r="B97" i="2"/>
  <c r="A39" i="18"/>
  <c r="B3" i="5"/>
  <c r="A42" i="6"/>
  <c r="A669" i="20"/>
  <c r="B179" i="20"/>
  <c r="G53" i="1"/>
  <c r="G90" i="7"/>
  <c r="E11" i="5"/>
  <c r="B1894" i="20"/>
  <c r="A156" i="16"/>
  <c r="A448" i="16"/>
  <c r="B1066" i="20"/>
  <c r="B864" i="16"/>
  <c r="A80" i="20"/>
  <c r="B651" i="16"/>
  <c r="A16" i="20"/>
  <c r="B635" i="16"/>
  <c r="B5966" i="20"/>
  <c r="B5397" i="20"/>
  <c r="A2223" i="20"/>
  <c r="B3" i="16"/>
  <c r="B186" i="16"/>
  <c r="B646" i="16"/>
  <c r="B213" i="19"/>
  <c r="B2964" i="20"/>
  <c r="B3309" i="20"/>
  <c r="B136" i="20"/>
  <c r="B1052" i="16"/>
  <c r="A42" i="19"/>
  <c r="B110" i="6"/>
  <c r="B137" i="16"/>
  <c r="G76" i="2"/>
  <c r="B43" i="16"/>
  <c r="A51" i="10"/>
  <c r="A50" i="7"/>
  <c r="B105" i="2"/>
  <c r="B453" i="20"/>
  <c r="E36" i="10"/>
  <c r="A988" i="16"/>
  <c r="A75" i="10"/>
  <c r="B3556" i="20"/>
  <c r="A34" i="1"/>
  <c r="E2" i="4"/>
  <c r="B3031" i="20"/>
  <c r="B348" i="16"/>
  <c r="B2935" i="20"/>
  <c r="B338" i="16"/>
  <c r="A2464" i="20"/>
  <c r="B4831" i="20"/>
  <c r="A2924" i="20"/>
  <c r="B5068" i="20"/>
  <c r="B173" i="16"/>
  <c r="A1652" i="20"/>
  <c r="B2742" i="20"/>
  <c r="B400" i="16"/>
  <c r="B44" i="12"/>
  <c r="B582" i="16"/>
  <c r="G79" i="9"/>
  <c r="G87" i="4"/>
  <c r="B90" i="11"/>
  <c r="G62" i="9"/>
  <c r="G54" i="4"/>
  <c r="A124" i="16"/>
  <c r="B1381" i="16"/>
  <c r="A23" i="2"/>
  <c r="H37" i="6"/>
  <c r="A1656" i="16"/>
  <c r="B125" i="6"/>
  <c r="H99" i="1"/>
  <c r="A747" i="16"/>
  <c r="A91" i="6"/>
  <c r="B22" i="13"/>
  <c r="H112" i="2"/>
  <c r="C9" i="14"/>
  <c r="F26" i="12"/>
  <c r="B54" i="20"/>
  <c r="F5" i="4"/>
  <c r="A342" i="19"/>
  <c r="B2" i="4"/>
  <c r="A5623" i="20"/>
  <c r="B1812" i="20"/>
  <c r="B1177" i="20"/>
  <c r="B2465" i="20"/>
  <c r="A2" i="15"/>
  <c r="B4044" i="20"/>
  <c r="B847" i="16"/>
  <c r="A496" i="16"/>
  <c r="B2439" i="20"/>
  <c r="A776" i="20"/>
  <c r="B584" i="20"/>
  <c r="A125" i="7"/>
  <c r="G59" i="7"/>
  <c r="H140" i="1"/>
  <c r="G55" i="2"/>
  <c r="A340" i="16"/>
  <c r="B24" i="13"/>
  <c r="G147" i="1"/>
  <c r="B989" i="20"/>
  <c r="A25" i="13"/>
  <c r="G55" i="8"/>
  <c r="A147" i="9"/>
  <c r="F153" i="1"/>
  <c r="B427" i="16"/>
  <c r="A1446" i="16"/>
  <c r="B127" i="7"/>
  <c r="B1001" i="16"/>
  <c r="A2588" i="20"/>
  <c r="H44" i="8"/>
  <c r="A18" i="8"/>
  <c r="A1198" i="16"/>
  <c r="G92" i="11"/>
  <c r="A60" i="12"/>
  <c r="A790" i="16"/>
  <c r="A1756" i="20"/>
  <c r="H96" i="5"/>
  <c r="H8" i="9"/>
  <c r="F10" i="4"/>
  <c r="H87" i="1"/>
  <c r="A155" i="4"/>
  <c r="H62" i="12"/>
  <c r="H87" i="7"/>
  <c r="B14" i="12"/>
  <c r="B1068" i="20"/>
  <c r="H26" i="1"/>
  <c r="B510" i="16"/>
  <c r="B98" i="16"/>
  <c r="B1238" i="16"/>
  <c r="E61" i="5"/>
  <c r="A29" i="6"/>
  <c r="A29" i="16"/>
  <c r="A2" i="4"/>
  <c r="B3066" i="20"/>
  <c r="B126" i="19"/>
  <c r="B54" i="16"/>
  <c r="H97" i="12"/>
  <c r="B24" i="4"/>
  <c r="B329" i="16"/>
  <c r="B544" i="20"/>
  <c r="A140" i="1"/>
  <c r="B97" i="4"/>
  <c r="B2022" i="20"/>
  <c r="B531" i="20"/>
  <c r="B514" i="16"/>
  <c r="C146" i="18"/>
  <c r="A42" i="2"/>
  <c r="H139" i="9"/>
  <c r="G17" i="2"/>
  <c r="B20" i="13"/>
  <c r="A2312" i="20"/>
  <c r="B60" i="16"/>
  <c r="B1" i="14"/>
  <c r="A56" i="4"/>
  <c r="B754" i="20"/>
  <c r="A1020" i="16"/>
  <c r="A7" i="14"/>
  <c r="A33" i="7"/>
  <c r="A40" i="6"/>
  <c r="A18" i="9"/>
  <c r="G92" i="1"/>
  <c r="H1" i="9"/>
  <c r="B129" i="9"/>
  <c r="A96" i="19"/>
  <c r="F134" i="2"/>
  <c r="B114" i="19"/>
  <c r="H55" i="5"/>
  <c r="A58" i="7"/>
  <c r="A1698" i="16"/>
  <c r="G117" i="2"/>
  <c r="A19" i="5"/>
  <c r="B25" i="16"/>
  <c r="G80" i="2"/>
  <c r="B2169" i="20"/>
  <c r="B42" i="8"/>
  <c r="B33" i="8"/>
  <c r="A13" i="15"/>
  <c r="F62" i="6"/>
  <c r="A1729" i="20"/>
  <c r="A512" i="20"/>
  <c r="B652" i="16"/>
  <c r="G29" i="4"/>
  <c r="G13" i="4"/>
  <c r="F28" i="2"/>
  <c r="B1315" i="20"/>
  <c r="H117" i="5"/>
  <c r="G1" i="10"/>
  <c r="B3461" i="20"/>
  <c r="H69" i="7"/>
  <c r="B1110" i="16"/>
  <c r="F65" i="5"/>
  <c r="A138" i="4"/>
  <c r="A374" i="16"/>
  <c r="G56" i="12"/>
  <c r="H55" i="2"/>
  <c r="D2" i="4"/>
  <c r="A4270" i="20"/>
  <c r="D2" i="12"/>
  <c r="A861" i="16"/>
  <c r="A110" i="5"/>
  <c r="A83" i="5"/>
  <c r="G121" i="1"/>
  <c r="A563" i="20"/>
  <c r="A118" i="6"/>
  <c r="H122" i="7"/>
  <c r="H31" i="12"/>
  <c r="A48" i="4"/>
  <c r="E6" i="12"/>
  <c r="H36" i="6"/>
  <c r="B905" i="20"/>
  <c r="B65" i="4"/>
  <c r="B293" i="19"/>
  <c r="A532" i="16"/>
  <c r="A61" i="6"/>
  <c r="A105" i="2"/>
  <c r="G9" i="5"/>
  <c r="H65" i="2"/>
  <c r="B1863" i="20"/>
  <c r="A89" i="10"/>
  <c r="A883" i="20"/>
  <c r="H62" i="7"/>
  <c r="A3" i="8"/>
  <c r="B131" i="12"/>
  <c r="B10" i="5"/>
  <c r="B2681" i="20"/>
  <c r="B957" i="20"/>
  <c r="B566" i="16"/>
  <c r="H1" i="4"/>
  <c r="A1692" i="16"/>
  <c r="H125" i="1"/>
  <c r="B499" i="20"/>
  <c r="B110" i="4"/>
  <c r="B99" i="6"/>
  <c r="B1055" i="20"/>
  <c r="B81" i="6"/>
  <c r="B1026" i="16"/>
  <c r="A27" i="5"/>
  <c r="H59" i="2"/>
  <c r="H100" i="5"/>
  <c r="B746" i="20"/>
  <c r="B87" i="10"/>
  <c r="B3091" i="20"/>
  <c r="B852" i="20"/>
  <c r="A733" i="16"/>
  <c r="H80" i="5"/>
  <c r="H44" i="5"/>
  <c r="A92" i="1"/>
  <c r="A51" i="20"/>
  <c r="A132" i="5"/>
  <c r="H91" i="7"/>
  <c r="H5" i="11"/>
  <c r="B122" i="2"/>
  <c r="H130" i="10"/>
  <c r="H49" i="5"/>
  <c r="B221" i="20"/>
  <c r="E34" i="2"/>
  <c r="B941" i="20"/>
  <c r="B59" i="10"/>
  <c r="G101" i="8"/>
  <c r="B766" i="16"/>
  <c r="C11" i="14"/>
  <c r="B35" i="5"/>
  <c r="B2627" i="20"/>
  <c r="A63" i="12"/>
  <c r="A2514" i="20"/>
  <c r="A1808" i="16"/>
  <c r="H57" i="9"/>
  <c r="B492" i="20"/>
  <c r="B23" i="2"/>
  <c r="B337" i="19"/>
  <c r="B6" i="8"/>
  <c r="B1164" i="16"/>
  <c r="H111" i="5"/>
  <c r="G80" i="5"/>
  <c r="H141" i="1"/>
  <c r="A74" i="5"/>
  <c r="A132" i="1"/>
  <c r="E9" i="9"/>
  <c r="A2214" i="20"/>
  <c r="A856" i="16"/>
  <c r="B1742" i="16"/>
  <c r="G123" i="7"/>
  <c r="B4" i="2"/>
  <c r="B14" i="15"/>
  <c r="B1289" i="20"/>
  <c r="H15" i="5"/>
  <c r="A133" i="7"/>
  <c r="B4225" i="20"/>
  <c r="B782" i="20"/>
  <c r="A1629" i="16"/>
  <c r="B27" i="7"/>
  <c r="G37" i="9"/>
  <c r="B23" i="4"/>
  <c r="A550" i="20"/>
  <c r="A144" i="16"/>
  <c r="B8" i="9"/>
  <c r="B1548" i="16"/>
  <c r="B362" i="20"/>
  <c r="B1468" i="16"/>
  <c r="G31" i="12"/>
  <c r="H55" i="1"/>
  <c r="B118" i="4"/>
  <c r="B740" i="20"/>
  <c r="G82" i="8"/>
  <c r="G155" i="9"/>
  <c r="A443" i="16"/>
  <c r="H122" i="8"/>
  <c r="H81" i="5"/>
  <c r="F142" i="1"/>
  <c r="F151" i="4"/>
  <c r="B1098" i="20"/>
  <c r="D5" i="1"/>
  <c r="B1806" i="20"/>
  <c r="B1243" i="16"/>
  <c r="B38" i="10"/>
  <c r="G81" i="11"/>
  <c r="G41" i="5"/>
  <c r="B439" i="16"/>
  <c r="B250" i="16"/>
  <c r="A586" i="16"/>
  <c r="B160" i="20"/>
  <c r="G134" i="1"/>
  <c r="A224" i="19"/>
  <c r="B20" i="16"/>
  <c r="H76" i="6"/>
  <c r="H78" i="10"/>
  <c r="A197" i="20"/>
  <c r="B716" i="20"/>
  <c r="A1834" i="16"/>
  <c r="A137" i="19"/>
  <c r="B55" i="4"/>
  <c r="B1118" i="16"/>
  <c r="A88" i="2"/>
  <c r="F96" i="2"/>
  <c r="B145" i="19"/>
  <c r="A100" i="7"/>
  <c r="B1132" i="16"/>
  <c r="B98" i="5"/>
  <c r="C65" i="5"/>
  <c r="A125" i="1"/>
  <c r="B1283" i="20"/>
  <c r="B411" i="16"/>
  <c r="G147" i="9"/>
  <c r="B106" i="9"/>
  <c r="G105" i="2"/>
  <c r="H87" i="9"/>
  <c r="H85" i="5"/>
  <c r="A15" i="5"/>
  <c r="B104" i="6"/>
  <c r="B264" i="16"/>
  <c r="A169" i="20"/>
  <c r="E9" i="11"/>
  <c r="A125" i="18"/>
  <c r="A1355" i="16"/>
  <c r="B96" i="4"/>
  <c r="G70" i="4"/>
  <c r="E140" i="9"/>
  <c r="B1368" i="16"/>
  <c r="A171" i="19"/>
  <c r="A104" i="16"/>
  <c r="H78" i="7"/>
  <c r="F47" i="4"/>
  <c r="A1029" i="20"/>
  <c r="A137" i="12"/>
  <c r="B482" i="20"/>
  <c r="B1053" i="20"/>
  <c r="B80" i="5"/>
  <c r="B947" i="20"/>
  <c r="H105" i="11"/>
  <c r="B34" i="4"/>
  <c r="B101" i="2"/>
  <c r="A840" i="20"/>
  <c r="B646" i="20"/>
  <c r="A12" i="12"/>
  <c r="G16" i="8"/>
  <c r="H93" i="1"/>
  <c r="H149" i="9"/>
  <c r="F77" i="1"/>
  <c r="G57" i="2"/>
  <c r="G111" i="8"/>
  <c r="B3439" i="20"/>
  <c r="A16" i="19"/>
  <c r="C1" i="18"/>
  <c r="A89" i="8"/>
  <c r="G52" i="8"/>
  <c r="H87" i="5"/>
  <c r="B816" i="16"/>
  <c r="A1001" i="20"/>
  <c r="E9" i="13"/>
  <c r="H13" i="6"/>
  <c r="B3637" i="20"/>
  <c r="G130" i="5"/>
  <c r="F7" i="10"/>
  <c r="E104" i="10"/>
  <c r="B120" i="6"/>
  <c r="G129" i="12"/>
  <c r="A2538" i="20"/>
  <c r="A936" i="16"/>
  <c r="B110" i="9"/>
  <c r="A35" i="1"/>
  <c r="A80" i="4"/>
  <c r="A76" i="18"/>
  <c r="G54" i="2"/>
  <c r="F58" i="1"/>
  <c r="B16" i="13"/>
  <c r="G5" i="1"/>
  <c r="B4905" i="20"/>
  <c r="A1139" i="16"/>
  <c r="A424" i="16"/>
  <c r="B37" i="10"/>
  <c r="A36" i="7"/>
  <c r="A90" i="12"/>
  <c r="A70" i="16"/>
  <c r="B26" i="10"/>
  <c r="G120" i="1"/>
  <c r="G49" i="5"/>
  <c r="B1187" i="20"/>
  <c r="H109" i="8"/>
  <c r="B48" i="20"/>
  <c r="B5662" i="20"/>
  <c r="B29" i="11"/>
  <c r="F11" i="11"/>
  <c r="A760" i="20"/>
  <c r="B1" i="15"/>
  <c r="A999" i="20"/>
  <c r="A206" i="16"/>
  <c r="A179" i="20"/>
  <c r="A7" i="1"/>
  <c r="G22" i="10"/>
  <c r="A1946" i="20"/>
  <c r="A2712" i="20"/>
  <c r="G78" i="8"/>
  <c r="A179" i="19"/>
  <c r="A2666" i="20"/>
  <c r="B43" i="13"/>
  <c r="B454" i="20"/>
  <c r="B4095" i="20"/>
  <c r="F113" i="9"/>
  <c r="A249" i="19"/>
  <c r="B253" i="20"/>
  <c r="A8402" i="20"/>
  <c r="F63" i="13"/>
  <c r="A8265" i="20"/>
  <c r="C49" i="18"/>
  <c r="A147" i="18"/>
  <c r="G24" i="7"/>
  <c r="A70" i="4"/>
  <c r="A1662" i="16"/>
  <c r="A25" i="1"/>
  <c r="A30" i="2"/>
  <c r="A356" i="19"/>
  <c r="A1042" i="16"/>
  <c r="B3348" i="20"/>
  <c r="B542" i="16"/>
  <c r="H127" i="9"/>
  <c r="A33" i="5"/>
  <c r="B920" i="20"/>
  <c r="G24" i="8"/>
  <c r="A86" i="7"/>
  <c r="B2469" i="20"/>
  <c r="B1740" i="16"/>
  <c r="B793" i="16"/>
  <c r="H102" i="8"/>
  <c r="B170" i="16"/>
  <c r="B3035" i="20"/>
  <c r="A845" i="16"/>
  <c r="G79" i="5"/>
  <c r="A73" i="5"/>
  <c r="B1692" i="16"/>
  <c r="B273" i="19"/>
  <c r="B1751" i="20"/>
  <c r="H96" i="6"/>
  <c r="H128" i="10"/>
  <c r="B3245" i="20"/>
  <c r="C32" i="18"/>
  <c r="B100" i="2"/>
  <c r="H61" i="12"/>
  <c r="H133" i="10"/>
  <c r="A1534" i="16"/>
  <c r="A1169" i="20"/>
  <c r="H155" i="4"/>
  <c r="H16" i="7"/>
  <c r="A1800" i="20"/>
  <c r="G78" i="12"/>
  <c r="A1741" i="16"/>
  <c r="A503" i="20"/>
  <c r="B119" i="4"/>
  <c r="G121" i="11"/>
  <c r="A107" i="6"/>
  <c r="A1042" i="20"/>
  <c r="A903" i="20"/>
  <c r="B1713" i="16"/>
  <c r="A166" i="16"/>
  <c r="A992" i="16"/>
  <c r="H106" i="9"/>
  <c r="B14" i="17"/>
  <c r="G57" i="4"/>
  <c r="B73" i="9"/>
  <c r="A210" i="20"/>
  <c r="B23" i="9"/>
  <c r="H37" i="2"/>
  <c r="A1368" i="16"/>
  <c r="G48" i="2"/>
  <c r="A192" i="16"/>
  <c r="A244" i="19"/>
  <c r="G5" i="4"/>
  <c r="B482" i="16"/>
  <c r="A81" i="4"/>
  <c r="A78" i="13"/>
  <c r="A1213" i="16"/>
  <c r="B113" i="11"/>
  <c r="B17" i="10"/>
  <c r="B44" i="13"/>
  <c r="A924" i="16"/>
  <c r="E9" i="5"/>
  <c r="A1666" i="16"/>
  <c r="B259" i="20"/>
  <c r="B152" i="9"/>
  <c r="B61" i="4"/>
  <c r="A112" i="8"/>
  <c r="H23" i="10"/>
  <c r="A1707" i="16"/>
  <c r="B2" i="11"/>
  <c r="A70" i="1"/>
  <c r="B1446" i="20"/>
  <c r="G97" i="10"/>
  <c r="B64" i="8"/>
  <c r="A44" i="18"/>
  <c r="H47" i="12"/>
  <c r="H135" i="8"/>
  <c r="B731" i="16"/>
  <c r="B122" i="13"/>
  <c r="A104" i="1"/>
  <c r="H52" i="7"/>
  <c r="B1737" i="20"/>
  <c r="H68" i="1"/>
  <c r="B1046" i="16"/>
  <c r="B491" i="20"/>
  <c r="B59" i="2"/>
  <c r="E122" i="1"/>
  <c r="A1062" i="16"/>
  <c r="B78" i="7"/>
  <c r="A1517" i="20"/>
  <c r="A34" i="5"/>
  <c r="B107" i="9"/>
  <c r="A20" i="19"/>
  <c r="D1" i="6"/>
  <c r="H86" i="2"/>
  <c r="A80" i="7"/>
  <c r="B4076" i="20"/>
  <c r="A32" i="1"/>
  <c r="H131" i="8"/>
  <c r="B994" i="16"/>
  <c r="B480" i="20"/>
  <c r="A105" i="8"/>
  <c r="A64" i="5"/>
  <c r="H84" i="8"/>
  <c r="H85" i="4"/>
  <c r="B96" i="10"/>
  <c r="A81" i="9"/>
  <c r="A7" i="2"/>
  <c r="B118" i="6"/>
  <c r="B10" i="8"/>
  <c r="F64" i="7"/>
  <c r="B46" i="11"/>
  <c r="A1320" i="16"/>
  <c r="G22" i="9"/>
  <c r="A94" i="10"/>
  <c r="A72" i="18"/>
  <c r="A67" i="5"/>
  <c r="B3092" i="20"/>
  <c r="B56" i="2"/>
  <c r="A500" i="20"/>
  <c r="A142" i="16"/>
  <c r="G22" i="6"/>
  <c r="B99" i="8"/>
  <c r="A91" i="4"/>
  <c r="B247" i="16"/>
  <c r="A122" i="1"/>
  <c r="E108" i="12"/>
  <c r="H5" i="4"/>
  <c r="B65" i="10"/>
  <c r="B140" i="10"/>
  <c r="H38" i="1"/>
  <c r="B84" i="16"/>
  <c r="B12" i="11"/>
  <c r="B1715" i="20"/>
  <c r="A13" i="11"/>
  <c r="A3207" i="20"/>
  <c r="D1" i="8"/>
  <c r="G94" i="12"/>
  <c r="B753" i="16"/>
  <c r="H72" i="6"/>
  <c r="A20" i="16"/>
  <c r="A120" i="2"/>
  <c r="G80" i="11"/>
  <c r="B45" i="9"/>
  <c r="B834" i="20"/>
  <c r="H77" i="1"/>
  <c r="G76" i="1"/>
  <c r="B11" i="11"/>
  <c r="C82" i="18"/>
  <c r="F14" i="1"/>
  <c r="G87" i="10"/>
  <c r="A108" i="4"/>
  <c r="G40" i="8"/>
  <c r="G89" i="7"/>
  <c r="A539" i="16"/>
  <c r="B30" i="2"/>
  <c r="A38" i="4"/>
  <c r="A1190" i="20"/>
  <c r="B1418" i="16"/>
  <c r="A124" i="4"/>
  <c r="A884" i="16"/>
  <c r="G115" i="6"/>
  <c r="H113" i="9"/>
  <c r="B1729" i="20"/>
  <c r="G106" i="7"/>
  <c r="B1" i="7"/>
  <c r="A79" i="2"/>
  <c r="A98" i="12"/>
  <c r="B2" i="1"/>
  <c r="B278" i="19"/>
  <c r="B3355" i="20"/>
  <c r="H9" i="7"/>
  <c r="B4620" i="20"/>
  <c r="E11" i="12"/>
  <c r="B3823" i="20"/>
  <c r="B1109" i="20"/>
  <c r="B1339" i="16"/>
  <c r="A406" i="20"/>
  <c r="A1297" i="16"/>
  <c r="C14" i="14"/>
  <c r="B1415" i="20"/>
  <c r="B44" i="11"/>
  <c r="B3" i="11"/>
  <c r="A219" i="16"/>
  <c r="A37" i="6"/>
  <c r="F116" i="10"/>
  <c r="A82" i="10"/>
  <c r="H130" i="9"/>
  <c r="B52" i="5"/>
  <c r="B25" i="17"/>
  <c r="A1286" i="16"/>
  <c r="G119" i="4"/>
  <c r="G59" i="5"/>
  <c r="F13" i="5"/>
  <c r="B136" i="4"/>
  <c r="A73" i="6"/>
  <c r="B1014" i="20"/>
  <c r="A1503" i="16"/>
  <c r="G133" i="12"/>
  <c r="A1479" i="16"/>
  <c r="A108" i="12"/>
  <c r="A4159" i="20"/>
  <c r="A2094" i="20"/>
  <c r="B2159" i="20"/>
  <c r="B1391" i="16"/>
  <c r="A501" i="16"/>
  <c r="B2021" i="20"/>
  <c r="B79" i="16"/>
  <c r="B28" i="7"/>
  <c r="B2" i="17"/>
  <c r="A677" i="20"/>
  <c r="B1635" i="16"/>
  <c r="G66" i="5"/>
  <c r="H21" i="5"/>
  <c r="A524" i="16"/>
  <c r="A26" i="1"/>
  <c r="G73" i="9"/>
  <c r="A7" i="9"/>
  <c r="A12" i="2"/>
  <c r="B150" i="19"/>
  <c r="A73" i="7"/>
  <c r="A34" i="19"/>
  <c r="B38" i="7"/>
  <c r="G67" i="2"/>
  <c r="B34" i="19"/>
  <c r="H71" i="2"/>
  <c r="B61" i="9"/>
  <c r="B46" i="13"/>
  <c r="A102" i="8"/>
  <c r="A309" i="19"/>
  <c r="G67" i="8"/>
  <c r="H46" i="8"/>
  <c r="A96" i="8"/>
  <c r="F139" i="1"/>
  <c r="A75" i="6"/>
  <c r="B1941" i="20"/>
  <c r="E126" i="12"/>
  <c r="B282" i="19"/>
  <c r="A3032" i="20"/>
  <c r="A1737" i="20"/>
  <c r="B1987" i="20"/>
  <c r="A811" i="20"/>
  <c r="A657" i="20"/>
  <c r="G73" i="8"/>
  <c r="A1699" i="16"/>
  <c r="B43" i="7"/>
  <c r="A5595" i="20"/>
  <c r="A1641" i="20"/>
  <c r="B1795" i="20"/>
  <c r="A787" i="20"/>
  <c r="A641" i="20"/>
  <c r="G69" i="8"/>
  <c r="A1683" i="16"/>
  <c r="B39" i="7"/>
  <c r="A7882" i="20"/>
  <c r="B4473" i="20"/>
  <c r="B913" i="20"/>
  <c r="A4321" i="20"/>
  <c r="B3746" i="20"/>
  <c r="B1884" i="20"/>
  <c r="A966" i="20"/>
  <c r="B1434" i="16"/>
  <c r="A5074" i="20"/>
  <c r="B807" i="20"/>
  <c r="B1415" i="16"/>
  <c r="B255" i="16"/>
  <c r="A2206" i="20"/>
  <c r="A1545" i="20"/>
  <c r="B76" i="19"/>
  <c r="A364" i="20"/>
  <c r="A826" i="16"/>
  <c r="A1497" i="20"/>
  <c r="B8" i="8"/>
  <c r="B1529" i="20"/>
  <c r="F5" i="8"/>
  <c r="B655" i="16"/>
  <c r="B55" i="18"/>
  <c r="G56" i="13"/>
  <c r="B1453" i="20"/>
  <c r="A1660" i="20"/>
  <c r="A415" i="20"/>
  <c r="A1396" i="20"/>
  <c r="A715" i="20"/>
  <c r="A561" i="20"/>
  <c r="B1709" i="16"/>
  <c r="H66" i="7"/>
  <c r="B1574" i="20"/>
  <c r="B161" i="20"/>
  <c r="B1222" i="20"/>
  <c r="B1241" i="20"/>
  <c r="A1009" i="20"/>
  <c r="B1535" i="16"/>
  <c r="B515" i="16"/>
  <c r="A2152" i="20"/>
  <c r="G135" i="13"/>
  <c r="A1888" i="20"/>
  <c r="B1476" i="20"/>
  <c r="H41" i="12"/>
  <c r="G115" i="11"/>
  <c r="A1829" i="16"/>
  <c r="B110" i="12"/>
  <c r="B97" i="9"/>
  <c r="A4966" i="20"/>
  <c r="B3485" i="20"/>
  <c r="B40" i="12"/>
  <c r="A63" i="9"/>
  <c r="G77" i="7"/>
  <c r="H124" i="1"/>
  <c r="G57" i="7"/>
  <c r="G136" i="4"/>
  <c r="G105" i="6"/>
  <c r="G39" i="9"/>
  <c r="G45" i="6"/>
  <c r="E36" i="1"/>
  <c r="E113" i="8"/>
  <c r="G14" i="11"/>
  <c r="A1091" i="16"/>
  <c r="B31" i="6"/>
  <c r="B3578" i="20"/>
  <c r="B13" i="13"/>
  <c r="A941" i="16"/>
  <c r="B131" i="5"/>
  <c r="H108" i="5"/>
  <c r="G140" i="1"/>
  <c r="H101" i="5"/>
  <c r="B100" i="8"/>
  <c r="A30" i="1"/>
  <c r="A2637" i="20"/>
  <c r="B1689" i="16"/>
  <c r="F98" i="1"/>
  <c r="B64" i="10"/>
  <c r="B381" i="20"/>
  <c r="A42" i="10"/>
  <c r="A187" i="19"/>
  <c r="B484" i="20"/>
  <c r="G68" i="8"/>
  <c r="A8" i="10"/>
  <c r="A635" i="16"/>
  <c r="H119" i="7"/>
  <c r="A555" i="16"/>
  <c r="E125" i="7"/>
  <c r="G45" i="1"/>
  <c r="A1566" i="16"/>
  <c r="G119" i="6"/>
  <c r="G110" i="4"/>
  <c r="B99" i="5"/>
  <c r="A31" i="5"/>
  <c r="A320" i="20"/>
  <c r="A7" i="13"/>
  <c r="B609" i="20"/>
  <c r="A1593" i="16"/>
  <c r="A1426" i="16"/>
  <c r="F5" i="12"/>
  <c r="B92" i="13"/>
  <c r="A112" i="2"/>
  <c r="G54" i="13"/>
  <c r="A738" i="16"/>
  <c r="G59" i="2"/>
  <c r="B116" i="4"/>
  <c r="H98" i="12"/>
  <c r="B63" i="6"/>
  <c r="A182" i="16"/>
  <c r="A352" i="19"/>
  <c r="G142" i="4"/>
  <c r="H102" i="5"/>
  <c r="A4330" i="20"/>
  <c r="A1173" i="16"/>
  <c r="A1309" i="16"/>
  <c r="G82" i="6"/>
  <c r="B30" i="7"/>
  <c r="A69" i="2"/>
  <c r="B345" i="20"/>
  <c r="A108" i="9"/>
  <c r="G89" i="8"/>
  <c r="B638" i="16"/>
  <c r="G68" i="9"/>
  <c r="B586" i="16"/>
  <c r="F28" i="9"/>
  <c r="F104" i="1"/>
  <c r="A11" i="4"/>
  <c r="A3192" i="20"/>
  <c r="G48" i="6"/>
  <c r="B79" i="9"/>
  <c r="A31" i="11"/>
  <c r="B130" i="4"/>
  <c r="G6" i="5"/>
  <c r="H9" i="8"/>
  <c r="B124" i="8"/>
  <c r="A1251" i="20"/>
  <c r="C15" i="14"/>
  <c r="H102" i="12"/>
  <c r="B27" i="9"/>
  <c r="G134" i="2"/>
  <c r="A3945" i="20"/>
  <c r="A341" i="16"/>
  <c r="A1101" i="16"/>
  <c r="F34" i="6"/>
  <c r="B44" i="6"/>
  <c r="G20" i="2"/>
  <c r="B34" i="6"/>
  <c r="G20" i="9"/>
  <c r="G22" i="2"/>
  <c r="A3020" i="20"/>
  <c r="H59" i="12"/>
  <c r="A1789" i="16"/>
  <c r="B50" i="7"/>
  <c r="H108" i="8"/>
  <c r="B1641" i="16"/>
  <c r="A270" i="16"/>
  <c r="A366" i="16"/>
  <c r="A4555" i="20"/>
  <c r="B1171" i="16"/>
  <c r="A174" i="19"/>
  <c r="A22" i="8"/>
  <c r="A1572" i="16"/>
  <c r="A123" i="10"/>
  <c r="A63" i="18"/>
  <c r="B114" i="7"/>
  <c r="G142" i="9"/>
  <c r="A251" i="16"/>
  <c r="H56" i="6"/>
  <c r="A171" i="16"/>
  <c r="E34" i="7"/>
  <c r="A22" i="1"/>
  <c r="A30" i="16"/>
  <c r="A1145" i="16"/>
  <c r="A530" i="16"/>
  <c r="G132" i="10"/>
  <c r="B31" i="11"/>
  <c r="F64" i="2"/>
  <c r="A1051" i="16"/>
  <c r="H99" i="9"/>
  <c r="A11" i="18"/>
  <c r="B1564" i="16"/>
  <c r="A1820" i="20"/>
  <c r="A575" i="20"/>
  <c r="B194" i="16"/>
  <c r="A452" i="16"/>
  <c r="H110" i="5"/>
  <c r="B5384" i="20"/>
  <c r="B73" i="13"/>
  <c r="A973" i="16"/>
  <c r="E5" i="6"/>
  <c r="B101" i="4"/>
  <c r="H79" i="8"/>
  <c r="A78" i="7"/>
  <c r="G71" i="2"/>
  <c r="A80" i="18"/>
  <c r="A1348" i="16"/>
  <c r="G18" i="7"/>
  <c r="B123" i="6"/>
  <c r="E35" i="1"/>
  <c r="A10" i="6"/>
  <c r="G113" i="2"/>
  <c r="A96" i="20"/>
  <c r="B3564" i="20"/>
  <c r="H99" i="4"/>
  <c r="B834" i="16"/>
  <c r="B109" i="4"/>
  <c r="A771" i="20"/>
  <c r="B1251" i="16"/>
  <c r="B162" i="20"/>
  <c r="B35" i="8"/>
  <c r="B1455" i="20"/>
  <c r="H44" i="1"/>
  <c r="B8" i="18"/>
  <c r="A3" i="1"/>
  <c r="B70" i="5"/>
  <c r="B27" i="6"/>
  <c r="B4118" i="20"/>
  <c r="A1605" i="16"/>
  <c r="B4022" i="20"/>
  <c r="A1589" i="16"/>
  <c r="B2966" i="20"/>
  <c r="A6350" i="20"/>
  <c r="A1432" i="20"/>
  <c r="A1137" i="16"/>
  <c r="B1652" i="16"/>
  <c r="B2710" i="20"/>
  <c r="A111" i="5"/>
  <c r="A1663" i="16"/>
  <c r="A85" i="19"/>
  <c r="A38" i="18"/>
  <c r="A339" i="16"/>
  <c r="B93" i="18"/>
  <c r="B209" i="19"/>
  <c r="A70" i="5"/>
  <c r="A85" i="7"/>
  <c r="G115" i="4"/>
  <c r="A222" i="20"/>
  <c r="F93" i="1"/>
  <c r="E4" i="5"/>
  <c r="A293" i="16"/>
  <c r="A33" i="20"/>
  <c r="A38" i="2"/>
  <c r="A127" i="1"/>
  <c r="H65" i="12"/>
  <c r="B1003" i="20"/>
  <c r="G89" i="2"/>
  <c r="B1500" i="20"/>
  <c r="A1758" i="20"/>
  <c r="G124" i="13"/>
  <c r="A1734" i="20"/>
  <c r="A110" i="13"/>
  <c r="A1470" i="20"/>
  <c r="A6631" i="20"/>
  <c r="B2285" i="20"/>
  <c r="A1719" i="16"/>
  <c r="B2341" i="20"/>
  <c r="A1425" i="16"/>
  <c r="B87" i="16"/>
  <c r="B739" i="16"/>
  <c r="B1210" i="16"/>
  <c r="B2201" i="20"/>
  <c r="B247" i="20"/>
  <c r="A250" i="16"/>
  <c r="B786" i="16"/>
  <c r="B47" i="2"/>
  <c r="B948" i="16"/>
  <c r="A7" i="7"/>
  <c r="A728" i="16"/>
  <c r="B17" i="4"/>
  <c r="B489" i="16"/>
  <c r="C99" i="18"/>
  <c r="A276" i="16"/>
  <c r="B698" i="20"/>
  <c r="F25" i="4"/>
  <c r="B142" i="19"/>
  <c r="A155" i="9"/>
  <c r="G51" i="10"/>
  <c r="B78" i="5"/>
  <c r="B1120" i="16"/>
  <c r="B2943" i="20"/>
  <c r="B1163" i="16"/>
  <c r="A2602" i="20"/>
  <c r="B1147" i="16"/>
  <c r="A5159" i="20"/>
  <c r="A6002" i="20"/>
  <c r="A2762" i="20"/>
  <c r="A101" i="18"/>
  <c r="B1636" i="16"/>
  <c r="A67" i="11"/>
  <c r="A854" i="20"/>
  <c r="A852" i="20"/>
  <c r="C28" i="11"/>
  <c r="B1969" i="20"/>
  <c r="B1398" i="16"/>
  <c r="B4631" i="20"/>
  <c r="E10" i="10"/>
  <c r="B214" i="19"/>
  <c r="H60" i="13"/>
  <c r="B555" i="16"/>
  <c r="B850" i="20"/>
  <c r="H92" i="11"/>
  <c r="H131" i="4"/>
  <c r="A2586" i="20"/>
  <c r="B42" i="2"/>
  <c r="B124" i="12"/>
  <c r="G128" i="6"/>
  <c r="A2137" i="20"/>
  <c r="A91" i="2"/>
  <c r="A1076" i="16"/>
  <c r="G127" i="1"/>
  <c r="B1032" i="16"/>
  <c r="G16" i="4"/>
  <c r="B371" i="20"/>
  <c r="H31" i="2"/>
  <c r="A103" i="11"/>
  <c r="H155" i="1"/>
  <c r="B1774" i="16"/>
  <c r="B472" i="16"/>
  <c r="A604" i="16"/>
  <c r="A75" i="4"/>
  <c r="B149" i="8"/>
  <c r="C2" i="1"/>
  <c r="A928" i="16"/>
  <c r="H38" i="12"/>
  <c r="B550" i="20"/>
  <c r="C3" i="18"/>
  <c r="H86" i="4"/>
  <c r="A4630" i="20"/>
  <c r="H101" i="10"/>
  <c r="G33" i="11"/>
  <c r="G28" i="8"/>
  <c r="A113" i="1"/>
  <c r="A1804" i="16"/>
  <c r="B150" i="16"/>
  <c r="H87" i="4"/>
  <c r="B2549" i="20"/>
  <c r="B1732" i="16"/>
  <c r="A1610" i="16"/>
  <c r="B1993" i="20"/>
  <c r="E96" i="2"/>
  <c r="B1673" i="20"/>
  <c r="B1388" i="16"/>
  <c r="A1708" i="16"/>
  <c r="A21" i="1"/>
  <c r="B199" i="20"/>
  <c r="A883" i="16"/>
  <c r="G22" i="11"/>
  <c r="B1336" i="20"/>
  <c r="H55" i="10"/>
  <c r="E34" i="1"/>
  <c r="G43" i="1"/>
  <c r="A48" i="2"/>
  <c r="A1318" i="20"/>
  <c r="A130" i="10"/>
  <c r="B1518" i="16"/>
  <c r="G51" i="7"/>
  <c r="F7" i="7"/>
  <c r="A94" i="2"/>
  <c r="A57" i="13"/>
  <c r="B808" i="20"/>
  <c r="G110" i="10"/>
  <c r="A1702" i="16"/>
  <c r="B131" i="8"/>
  <c r="A1526" i="16"/>
  <c r="H94" i="7"/>
  <c r="H107" i="8"/>
  <c r="B46" i="2"/>
  <c r="B1720" i="16"/>
  <c r="B171" i="20"/>
  <c r="A168" i="16"/>
  <c r="B49" i="7"/>
  <c r="A11" i="1"/>
  <c r="A1452" i="16"/>
  <c r="A98" i="10"/>
  <c r="A119" i="2"/>
  <c r="B52" i="13"/>
  <c r="B1720" i="20"/>
  <c r="A1128" i="16"/>
  <c r="H105" i="10"/>
  <c r="H21" i="1"/>
  <c r="B2051" i="20"/>
  <c r="A1715" i="16"/>
  <c r="A87" i="11"/>
  <c r="G99" i="7"/>
  <c r="A652" i="16"/>
  <c r="B77" i="12"/>
  <c r="A1371" i="16"/>
  <c r="A19" i="10"/>
  <c r="E25" i="6"/>
  <c r="A350" i="20"/>
  <c r="B881" i="16"/>
  <c r="E35" i="13"/>
  <c r="G101" i="9"/>
  <c r="E81" i="5"/>
  <c r="C54" i="18"/>
  <c r="A45" i="1"/>
  <c r="A1068" i="16"/>
  <c r="B20" i="9"/>
  <c r="B4219" i="20"/>
  <c r="A153" i="8"/>
  <c r="B628" i="20"/>
  <c r="B22" i="10"/>
  <c r="H143" i="9"/>
  <c r="A492" i="16"/>
  <c r="B1311" i="20"/>
  <c r="B1955" i="20"/>
  <c r="A712" i="16"/>
  <c r="A66" i="9"/>
  <c r="H149" i="1"/>
  <c r="A47" i="9"/>
  <c r="A32" i="19"/>
  <c r="B862" i="16"/>
  <c r="A180" i="16"/>
  <c r="A1703" i="16"/>
  <c r="B603" i="16"/>
  <c r="A33" i="2"/>
  <c r="A27" i="16"/>
  <c r="H5" i="7"/>
  <c r="F139" i="13"/>
  <c r="B13" i="9"/>
  <c r="G28" i="1"/>
  <c r="A82" i="11"/>
  <c r="A688" i="20"/>
  <c r="A872" i="16"/>
  <c r="A141" i="9"/>
  <c r="F63" i="2"/>
  <c r="B625" i="20"/>
  <c r="A1203" i="16"/>
  <c r="B48" i="11"/>
  <c r="H39" i="7"/>
  <c r="B93" i="10"/>
  <c r="C144" i="18"/>
  <c r="A859" i="16"/>
  <c r="H85" i="8"/>
  <c r="E34" i="4"/>
  <c r="B4580" i="20"/>
  <c r="B369" i="16"/>
  <c r="H133" i="12"/>
  <c r="G40" i="9"/>
  <c r="B69" i="2"/>
  <c r="H125" i="13"/>
  <c r="B34" i="9"/>
  <c r="G104" i="5"/>
  <c r="A1275" i="20"/>
  <c r="H30" i="8"/>
  <c r="B116" i="20"/>
  <c r="G111" i="9"/>
  <c r="H78" i="9"/>
  <c r="H59" i="10"/>
  <c r="C93" i="18"/>
  <c r="B587" i="20"/>
  <c r="A456" i="16"/>
  <c r="B104" i="8"/>
  <c r="D28" i="1"/>
  <c r="B85" i="8"/>
  <c r="A1124" i="16"/>
  <c r="B138" i="16"/>
  <c r="H29" i="6"/>
  <c r="A1191" i="16"/>
  <c r="H60" i="10"/>
  <c r="A1704" i="16"/>
  <c r="A672" i="16"/>
  <c r="A85" i="2"/>
  <c r="H19" i="8"/>
  <c r="A354" i="16"/>
  <c r="A476" i="16"/>
  <c r="B82" i="11"/>
  <c r="A23" i="5"/>
  <c r="B4405" i="20"/>
  <c r="G8" i="8"/>
  <c r="A51" i="1"/>
  <c r="A990" i="20"/>
  <c r="B1201" i="16"/>
  <c r="A60" i="13"/>
  <c r="F10" i="10"/>
  <c r="H142" i="1"/>
  <c r="A971" i="16"/>
  <c r="B857" i="16"/>
  <c r="G49" i="1"/>
  <c r="B126" i="5"/>
  <c r="A2204" i="20"/>
  <c r="A959" i="20"/>
  <c r="B258" i="16"/>
  <c r="A580" i="16"/>
  <c r="G86" i="2"/>
  <c r="B119" i="6"/>
  <c r="B85" i="12"/>
  <c r="E25" i="1"/>
  <c r="H98" i="2"/>
  <c r="B1661" i="20"/>
  <c r="B3509" i="20"/>
  <c r="G95" i="12"/>
  <c r="A1222" i="16"/>
  <c r="A910" i="16"/>
  <c r="B74" i="7"/>
  <c r="A82" i="18"/>
  <c r="A1812" i="16"/>
  <c r="A346" i="19"/>
  <c r="G80" i="6"/>
  <c r="H2" i="1"/>
  <c r="E62" i="6"/>
  <c r="G69" i="7"/>
  <c r="H99" i="13"/>
  <c r="A66" i="16"/>
  <c r="B1189" i="16"/>
  <c r="G73" i="11"/>
  <c r="G96" i="6"/>
  <c r="A85" i="10"/>
  <c r="A26" i="2"/>
  <c r="A663" i="20"/>
  <c r="A279" i="20"/>
  <c r="A123" i="7"/>
  <c r="C67" i="7"/>
  <c r="B2026" i="20"/>
  <c r="A142" i="19"/>
  <c r="A1565" i="16"/>
  <c r="A11" i="7"/>
  <c r="H139" i="8"/>
  <c r="E133" i="2"/>
  <c r="A38" i="20"/>
  <c r="G117" i="12"/>
  <c r="G151" i="8"/>
  <c r="B1322" i="16"/>
  <c r="A1324" i="16"/>
  <c r="B1268" i="16"/>
  <c r="G113" i="10"/>
  <c r="H25" i="1"/>
  <c r="H41" i="4"/>
  <c r="A100" i="19"/>
  <c r="B22" i="8"/>
  <c r="A140" i="9"/>
  <c r="A187" i="16"/>
  <c r="H5" i="8"/>
  <c r="G108" i="1"/>
  <c r="A50" i="12"/>
  <c r="A30" i="11"/>
  <c r="A606" i="20"/>
  <c r="B1009" i="16"/>
  <c r="G44" i="13"/>
  <c r="H148" i="9"/>
  <c r="H119" i="1"/>
  <c r="B3126" i="20"/>
  <c r="A1365" i="16"/>
  <c r="A1357" i="16"/>
  <c r="B94" i="6"/>
  <c r="B73" i="7"/>
  <c r="A81" i="2"/>
  <c r="B53" i="7"/>
  <c r="A148" i="9"/>
  <c r="B142" i="9"/>
  <c r="A5797" i="20"/>
  <c r="B531" i="16"/>
  <c r="C96" i="18"/>
  <c r="A109" i="7"/>
  <c r="B92" i="10"/>
  <c r="B4501" i="20"/>
  <c r="A131" i="9"/>
  <c r="C1" i="4"/>
  <c r="B7467" i="20"/>
  <c r="A136" i="19"/>
  <c r="B814" i="20"/>
  <c r="B82" i="8"/>
  <c r="B56" i="4"/>
  <c r="A12" i="1"/>
  <c r="G17" i="12"/>
  <c r="B62" i="9"/>
  <c r="A45" i="10"/>
  <c r="A1275" i="16"/>
  <c r="A126" i="9"/>
  <c r="A1195" i="16"/>
  <c r="G139" i="8"/>
  <c r="G82" i="1"/>
  <c r="F94" i="4"/>
  <c r="B61" i="19"/>
  <c r="B1719" i="20"/>
  <c r="G80" i="12"/>
  <c r="B185" i="16"/>
  <c r="A39" i="1"/>
  <c r="B76" i="11"/>
  <c r="A310" i="16"/>
  <c r="F69" i="1"/>
  <c r="B9" i="11"/>
  <c r="B3399" i="20"/>
  <c r="B3965" i="20"/>
  <c r="B364" i="16"/>
  <c r="A1476" i="16"/>
  <c r="H31" i="9"/>
  <c r="B6122" i="20"/>
  <c r="B1363" i="16"/>
  <c r="A366" i="19"/>
  <c r="A34" i="8"/>
  <c r="B37" i="18"/>
  <c r="A95" i="12"/>
  <c r="A1780" i="16"/>
  <c r="A1454" i="16"/>
  <c r="G65" i="7"/>
  <c r="A6975" i="20"/>
  <c r="B1123" i="20"/>
  <c r="H121" i="11"/>
  <c r="H21" i="9"/>
  <c r="E123" i="5"/>
  <c r="B1581" i="20"/>
  <c r="H74" i="13"/>
  <c r="B202" i="16"/>
  <c r="B3" i="9"/>
  <c r="B97" i="5"/>
  <c r="B25" i="10"/>
  <c r="B3583" i="20"/>
  <c r="B2173" i="20"/>
  <c r="A18" i="16"/>
  <c r="B19" i="7"/>
  <c r="G47" i="2"/>
  <c r="B53" i="18"/>
  <c r="G123" i="2"/>
  <c r="C51" i="18"/>
  <c r="G83" i="2"/>
  <c r="G78" i="9"/>
  <c r="B1405" i="16"/>
  <c r="H125" i="10"/>
  <c r="H69" i="4"/>
  <c r="B55" i="5"/>
  <c r="A102" i="4"/>
  <c r="B8315" i="20"/>
  <c r="A1671" i="16"/>
  <c r="B3061" i="20"/>
  <c r="A70" i="18"/>
  <c r="B142" i="4"/>
  <c r="A21" i="7"/>
  <c r="B41" i="11"/>
  <c r="A1017" i="20"/>
  <c r="B543" i="16"/>
  <c r="B4244" i="20"/>
  <c r="B3907" i="20"/>
  <c r="B235" i="19"/>
  <c r="A333" i="19"/>
  <c r="A79" i="18"/>
  <c r="H44" i="6"/>
  <c r="F61" i="8"/>
  <c r="H114" i="8"/>
  <c r="B127" i="18"/>
  <c r="A133" i="20"/>
  <c r="B1220" i="20"/>
  <c r="A409" i="16"/>
  <c r="A1457" i="20"/>
  <c r="A176" i="19"/>
  <c r="B1099" i="16"/>
  <c r="A89" i="7"/>
  <c r="G121" i="9"/>
  <c r="H120" i="9"/>
  <c r="G50" i="4"/>
  <c r="A136" i="1"/>
  <c r="B55" i="13"/>
  <c r="E2" i="8"/>
  <c r="H136" i="2"/>
  <c r="A878" i="16"/>
  <c r="G93" i="7"/>
  <c r="A106" i="16"/>
  <c r="A734" i="16"/>
  <c r="A89" i="9"/>
  <c r="A508" i="16"/>
  <c r="B115" i="10"/>
  <c r="B820" i="20"/>
  <c r="B266" i="16"/>
  <c r="B1002" i="20"/>
  <c r="A74" i="13"/>
  <c r="E26" i="4"/>
  <c r="A1096" i="20"/>
  <c r="G59" i="9"/>
  <c r="G114" i="1"/>
  <c r="B2565" i="20"/>
  <c r="A30" i="10"/>
  <c r="H114" i="13"/>
  <c r="B125" i="13"/>
  <c r="A1533" i="16"/>
  <c r="H30" i="6"/>
  <c r="A28" i="1"/>
  <c r="A3887" i="20"/>
  <c r="B1454" i="16"/>
  <c r="H110" i="6"/>
  <c r="A256" i="19"/>
  <c r="A1614" i="16"/>
  <c r="B37" i="7"/>
  <c r="B1276" i="20"/>
  <c r="A40" i="16"/>
  <c r="A76" i="11"/>
  <c r="B36" i="10"/>
  <c r="G114" i="10"/>
  <c r="B1719" i="16"/>
  <c r="A56" i="6"/>
  <c r="B36" i="8"/>
  <c r="F12" i="2"/>
  <c r="B84" i="6"/>
  <c r="B11" i="9"/>
  <c r="A1821" i="16"/>
  <c r="G80" i="1"/>
  <c r="B99" i="13"/>
  <c r="A300" i="19"/>
  <c r="A1090" i="16"/>
  <c r="B998" i="16"/>
  <c r="F94" i="9"/>
  <c r="B106" i="6"/>
  <c r="B57" i="12"/>
  <c r="A806" i="16"/>
  <c r="B762" i="16"/>
  <c r="B100" i="5"/>
  <c r="G47" i="8"/>
  <c r="B1701" i="16"/>
  <c r="A804" i="16"/>
  <c r="A1307" i="16"/>
  <c r="A17" i="11"/>
  <c r="G90" i="9"/>
  <c r="B83" i="19"/>
  <c r="A612" i="16"/>
  <c r="A935" i="16"/>
  <c r="A160" i="16"/>
  <c r="A26" i="12"/>
  <c r="B701" i="20"/>
  <c r="H31" i="1"/>
  <c r="B821" i="20"/>
  <c r="B1313" i="20"/>
  <c r="A749" i="16"/>
  <c r="A308" i="19"/>
  <c r="G47" i="6"/>
  <c r="A707" i="16"/>
  <c r="A557" i="16"/>
  <c r="B141" i="4"/>
  <c r="B153" i="16"/>
  <c r="B421" i="20"/>
  <c r="B4135" i="20"/>
  <c r="A113" i="19"/>
  <c r="B4039" i="20"/>
  <c r="A97" i="19"/>
  <c r="B2983" i="20"/>
  <c r="A4524" i="20"/>
  <c r="B5580" i="20"/>
  <c r="B551" i="20"/>
  <c r="G13" i="7"/>
  <c r="B13" i="20"/>
  <c r="B192" i="19"/>
  <c r="B1138" i="16"/>
  <c r="A5484" i="20"/>
  <c r="B4155" i="20"/>
  <c r="B207" i="16"/>
  <c r="A58" i="4"/>
  <c r="B506" i="16"/>
  <c r="B2095" i="20"/>
  <c r="B70" i="6"/>
  <c r="B2281" i="20"/>
  <c r="G105" i="13"/>
  <c r="B1354" i="16"/>
  <c r="B5" i="18"/>
  <c r="B268" i="20"/>
  <c r="A72" i="19"/>
  <c r="A13" i="9"/>
  <c r="B62" i="16"/>
  <c r="G22" i="12"/>
  <c r="A85" i="11"/>
  <c r="G105" i="12"/>
  <c r="A260" i="19"/>
  <c r="A27" i="11"/>
  <c r="A5" i="12"/>
  <c r="A15" i="11"/>
  <c r="A131" i="11"/>
  <c r="A8255" i="20"/>
  <c r="A2878" i="20"/>
  <c r="A1326" i="20"/>
  <c r="B378" i="19"/>
  <c r="B3703" i="20"/>
  <c r="B100" i="12"/>
  <c r="B124" i="11"/>
  <c r="A319" i="19"/>
  <c r="H57" i="12"/>
  <c r="F6" i="13"/>
  <c r="B765" i="16"/>
  <c r="B388" i="16"/>
  <c r="B290" i="16"/>
  <c r="A807" i="20"/>
  <c r="B81" i="8"/>
  <c r="B898" i="20"/>
  <c r="A98" i="19"/>
  <c r="B1138" i="20"/>
  <c r="H110" i="4"/>
  <c r="F5" i="7"/>
  <c r="A101" i="6"/>
  <c r="A4" i="10"/>
  <c r="G46" i="2"/>
  <c r="G30" i="8"/>
  <c r="H137" i="7"/>
  <c r="A814" i="16"/>
  <c r="B1483" i="20"/>
  <c r="B1704" i="20"/>
  <c r="B98" i="6"/>
  <c r="B1672" i="20"/>
  <c r="E94" i="6"/>
  <c r="B1320" i="20"/>
  <c r="A7090" i="20"/>
  <c r="A1529" i="20"/>
  <c r="A469" i="20"/>
  <c r="B1475" i="20"/>
  <c r="B117" i="12"/>
  <c r="A1690" i="20"/>
  <c r="B1096" i="20"/>
  <c r="B1105" i="16"/>
  <c r="A1025" i="16"/>
  <c r="A2856" i="20"/>
  <c r="B1350" i="16"/>
  <c r="B467" i="16"/>
  <c r="H87" i="8"/>
  <c r="D36" i="2"/>
  <c r="H110" i="10"/>
  <c r="E123" i="13"/>
  <c r="A252" i="16"/>
  <c r="F67" i="11"/>
  <c r="A975" i="20"/>
  <c r="E78" i="9"/>
  <c r="B500" i="16"/>
  <c r="G95" i="11"/>
  <c r="A273" i="19"/>
  <c r="A34" i="6"/>
  <c r="A84" i="11"/>
  <c r="B11" i="5"/>
  <c r="B53" i="4"/>
  <c r="A285" i="16"/>
  <c r="B1253" i="16"/>
  <c r="A15" i="2"/>
  <c r="B151" i="4"/>
  <c r="H91" i="12"/>
  <c r="E67" i="2"/>
  <c r="B797" i="20"/>
  <c r="A77" i="16"/>
  <c r="E7" i="4"/>
  <c r="B2047" i="20"/>
  <c r="A1131" i="16"/>
  <c r="A661" i="16"/>
  <c r="G39" i="2"/>
  <c r="B298" i="16"/>
  <c r="B2724" i="20"/>
  <c r="H49" i="9"/>
  <c r="D113" i="1"/>
  <c r="B43" i="12"/>
  <c r="B4090" i="20"/>
  <c r="A29" i="1"/>
  <c r="A91" i="1"/>
  <c r="A491" i="16"/>
  <c r="A1564" i="20"/>
  <c r="A75" i="9"/>
  <c r="G14" i="8"/>
  <c r="B1913" i="20"/>
  <c r="B4231" i="20"/>
  <c r="A1096" i="16"/>
  <c r="H90" i="10"/>
  <c r="H13" i="1"/>
  <c r="H72" i="10"/>
  <c r="E61" i="4"/>
  <c r="A172" i="19"/>
  <c r="B113" i="10"/>
  <c r="B854" i="20"/>
  <c r="H54" i="4"/>
  <c r="B346" i="20"/>
  <c r="C65" i="6"/>
  <c r="G111" i="2"/>
  <c r="A31" i="4"/>
  <c r="A1214" i="16"/>
  <c r="E74" i="9"/>
  <c r="B158" i="20"/>
  <c r="B4" i="11"/>
  <c r="B27" i="13"/>
  <c r="B569" i="16"/>
  <c r="H33" i="1"/>
  <c r="B3195" i="20"/>
  <c r="H138" i="8"/>
  <c r="B564" i="20"/>
  <c r="A11" i="10"/>
  <c r="G136" i="9"/>
  <c r="A236" i="16"/>
  <c r="B124" i="9"/>
  <c r="A51" i="9"/>
  <c r="G50" i="7"/>
  <c r="A884" i="20"/>
  <c r="B29" i="17"/>
  <c r="G49" i="12"/>
  <c r="A582" i="16"/>
  <c r="E25" i="4"/>
  <c r="B30" i="16"/>
  <c r="A144" i="1"/>
  <c r="G149" i="9"/>
  <c r="A2056" i="20"/>
  <c r="B102" i="13"/>
  <c r="B106" i="13"/>
  <c r="B978" i="20"/>
  <c r="A114" i="19"/>
  <c r="B10" i="15"/>
  <c r="A22" i="13"/>
  <c r="G42" i="6"/>
  <c r="A25" i="6"/>
  <c r="B115" i="8"/>
  <c r="G77" i="1"/>
  <c r="B96" i="8"/>
  <c r="H71" i="9"/>
  <c r="A13" i="17"/>
  <c r="G72" i="2"/>
  <c r="B848" i="20"/>
  <c r="B152" i="4"/>
  <c r="G42" i="7"/>
  <c r="A1186" i="16"/>
  <c r="H101" i="2"/>
  <c r="A52" i="11"/>
  <c r="B95" i="5"/>
  <c r="G46" i="9"/>
  <c r="B137" i="7"/>
  <c r="B152" i="20"/>
  <c r="B1540" i="16"/>
  <c r="A1514" i="16"/>
  <c r="B1225" i="20"/>
  <c r="H85" i="2"/>
  <c r="A1224" i="20"/>
  <c r="H110" i="11"/>
  <c r="G9" i="13"/>
  <c r="A1670" i="16"/>
  <c r="A1358" i="16"/>
  <c r="A155" i="8"/>
  <c r="A1278" i="16"/>
  <c r="B149" i="4"/>
  <c r="B94" i="2"/>
  <c r="B2494" i="20"/>
  <c r="B538" i="20"/>
  <c r="B2103" i="20"/>
  <c r="F28" i="5"/>
  <c r="A124" i="1"/>
  <c r="A20" i="5"/>
  <c r="A136" i="4"/>
  <c r="A93" i="5"/>
  <c r="A1544" i="20"/>
  <c r="H80" i="12"/>
  <c r="H47" i="13"/>
  <c r="A60" i="18"/>
  <c r="A1678" i="16"/>
  <c r="F3" i="10"/>
  <c r="H52" i="11"/>
  <c r="A5" i="5"/>
  <c r="B2583" i="20"/>
  <c r="H134" i="7"/>
  <c r="E47" i="1"/>
  <c r="B112" i="7"/>
  <c r="H110" i="8"/>
  <c r="B1353" i="16"/>
  <c r="A105" i="1"/>
  <c r="B38" i="18"/>
  <c r="B274" i="20"/>
  <c r="B12" i="7"/>
  <c r="A162" i="16"/>
  <c r="F10" i="2"/>
  <c r="G1" i="5"/>
  <c r="G38" i="7"/>
  <c r="H143" i="1"/>
  <c r="B1783" i="16"/>
  <c r="B1146" i="16"/>
  <c r="A1258" i="16"/>
  <c r="A647" i="20"/>
  <c r="A56" i="2"/>
  <c r="B1405" i="20"/>
  <c r="B1058" i="20"/>
  <c r="G87" i="12"/>
  <c r="A1158" i="16"/>
  <c r="A846" i="16"/>
  <c r="H44" i="7"/>
  <c r="A766" i="16"/>
  <c r="E110" i="4"/>
  <c r="F61" i="5"/>
  <c r="B1590" i="20"/>
  <c r="B828" i="16"/>
  <c r="A253" i="16"/>
  <c r="G109" i="4"/>
  <c r="B1" i="9"/>
  <c r="H141" i="10"/>
  <c r="A396" i="16"/>
  <c r="B16" i="9"/>
  <c r="A1743" i="20"/>
  <c r="A212" i="19"/>
  <c r="A669" i="16"/>
  <c r="D65" i="5"/>
  <c r="A24" i="5"/>
  <c r="A77" i="1"/>
  <c r="B178" i="19"/>
  <c r="H69" i="5"/>
  <c r="A76" i="7"/>
  <c r="B322" i="20"/>
  <c r="H105" i="2"/>
  <c r="B79" i="19"/>
  <c r="A147" i="4"/>
  <c r="A345" i="19"/>
  <c r="G130" i="1"/>
  <c r="B601" i="20"/>
  <c r="B156" i="9"/>
  <c r="G85" i="8"/>
  <c r="B596" i="16"/>
  <c r="G128" i="10"/>
  <c r="A352" i="16"/>
  <c r="A95" i="9"/>
  <c r="H112" i="8"/>
  <c r="B45" i="13"/>
  <c r="B369" i="20"/>
  <c r="A1011" i="16"/>
  <c r="H32" i="11"/>
  <c r="H18" i="7"/>
  <c r="F5" i="10"/>
  <c r="A1809" i="20"/>
  <c r="B1382" i="16"/>
  <c r="A461" i="16"/>
  <c r="B16" i="5"/>
  <c r="H119" i="4"/>
  <c r="E28" i="1"/>
  <c r="H111" i="4"/>
  <c r="F10" i="7"/>
  <c r="B106" i="8"/>
  <c r="A2315" i="20"/>
  <c r="A533" i="16"/>
  <c r="A1149" i="16"/>
  <c r="B30" i="6"/>
  <c r="B134" i="4"/>
  <c r="B4597" i="20"/>
  <c r="B57" i="20"/>
  <c r="A380" i="16"/>
  <c r="H76" i="4"/>
  <c r="B151" i="18"/>
  <c r="B1788" i="20"/>
  <c r="B361" i="20"/>
  <c r="B492" i="16"/>
  <c r="A330" i="19"/>
  <c r="B116" i="13"/>
  <c r="A6432" i="20"/>
  <c r="A10" i="19"/>
  <c r="B750" i="20"/>
  <c r="F78" i="8"/>
  <c r="B47" i="4"/>
  <c r="B2658" i="20"/>
  <c r="E36" i="4"/>
  <c r="A242" i="19"/>
  <c r="A138" i="9"/>
  <c r="AI2" i="29"/>
  <c r="A227" i="19"/>
  <c r="B93" i="12"/>
  <c r="A67" i="9"/>
  <c r="A35" i="7"/>
  <c r="A224" i="20"/>
  <c r="H147" i="1"/>
  <c r="G63" i="12"/>
  <c r="A64" i="12"/>
  <c r="B2031" i="20"/>
  <c r="B25" i="5"/>
  <c r="E65" i="7"/>
  <c r="A36" i="18"/>
  <c r="A95" i="2"/>
  <c r="B3143" i="20"/>
  <c r="B2941" i="20"/>
  <c r="B354" i="16"/>
  <c r="A1412" i="16"/>
  <c r="H151" i="8"/>
  <c r="A101" i="2"/>
  <c r="B1353" i="20"/>
  <c r="B87" i="2"/>
  <c r="F33" i="6"/>
  <c r="B3052" i="20"/>
  <c r="G69" i="4"/>
  <c r="B812" i="16"/>
  <c r="D78" i="4"/>
  <c r="H76" i="8"/>
  <c r="G110" i="5"/>
  <c r="H122" i="1"/>
  <c r="E7" i="2"/>
  <c r="B2347" i="20"/>
  <c r="B40" i="7"/>
  <c r="B1090" i="16"/>
  <c r="A76" i="5"/>
  <c r="H45" i="5"/>
  <c r="F111" i="1"/>
  <c r="B833" i="20"/>
  <c r="B155" i="16"/>
  <c r="G129" i="9"/>
  <c r="B48" i="9"/>
  <c r="B73" i="2"/>
  <c r="A29" i="9"/>
  <c r="B66" i="5"/>
  <c r="A17" i="4"/>
  <c r="B86" i="2"/>
  <c r="B88" i="16"/>
  <c r="B296" i="19"/>
  <c r="G121" i="10"/>
  <c r="A1574" i="16"/>
  <c r="A843" i="16"/>
  <c r="H45" i="9"/>
  <c r="G89" i="9"/>
  <c r="B2121" i="20"/>
  <c r="A104" i="10"/>
  <c r="B3781" i="20"/>
  <c r="A68" i="11"/>
  <c r="B140" i="8"/>
  <c r="B1194" i="16"/>
  <c r="A556" i="16"/>
  <c r="B607" i="20"/>
  <c r="A108" i="5"/>
  <c r="B950" i="16"/>
  <c r="E12" i="5"/>
  <c r="E140" i="4"/>
  <c r="G61" i="1"/>
  <c r="A135" i="4"/>
  <c r="A12" i="16"/>
  <c r="H101" i="1"/>
  <c r="B2293" i="20"/>
  <c r="G36" i="10"/>
  <c r="B1422" i="16"/>
  <c r="H111" i="6"/>
  <c r="G5" i="2"/>
  <c r="A90" i="7"/>
  <c r="B1801" i="16"/>
  <c r="B318" i="16"/>
  <c r="A17" i="1"/>
  <c r="A764" i="16"/>
  <c r="D103" i="6"/>
  <c r="G79" i="10"/>
  <c r="A889" i="16"/>
  <c r="A1661" i="16"/>
  <c r="A7" i="20"/>
  <c r="B1129" i="16"/>
  <c r="B38" i="5"/>
  <c r="H23" i="5"/>
  <c r="A72" i="4"/>
  <c r="A127" i="10"/>
  <c r="G15" i="5"/>
  <c r="B22" i="6"/>
  <c r="B8" i="12"/>
  <c r="E91" i="5"/>
  <c r="A2629" i="20"/>
  <c r="A6521" i="20"/>
  <c r="A109" i="12"/>
  <c r="B38" i="17"/>
  <c r="B2415" i="20"/>
  <c r="A506" i="16"/>
  <c r="G124" i="2"/>
  <c r="A126" i="16"/>
  <c r="B128" i="2"/>
  <c r="B104" i="10"/>
  <c r="A2042" i="20"/>
  <c r="A41" i="9"/>
  <c r="B2325" i="20"/>
  <c r="A253" i="19"/>
  <c r="B14" i="11"/>
  <c r="A1134" i="20"/>
  <c r="B5028" i="20"/>
  <c r="F30" i="1"/>
  <c r="G83" i="5"/>
  <c r="A137" i="2"/>
  <c r="B3260" i="20"/>
  <c r="B1752" i="16"/>
  <c r="A272" i="19"/>
  <c r="A29" i="10"/>
  <c r="B1083" i="16"/>
  <c r="A98" i="18"/>
  <c r="B120" i="2"/>
  <c r="B1610" i="16"/>
  <c r="F27" i="4"/>
  <c r="H99" i="10"/>
  <c r="A126" i="13"/>
  <c r="A1310" i="16"/>
  <c r="H130" i="7"/>
  <c r="B755" i="20"/>
  <c r="G37" i="8"/>
  <c r="A1563" i="16"/>
  <c r="G106" i="10"/>
  <c r="G155" i="4"/>
  <c r="A55" i="7"/>
  <c r="H97" i="1"/>
  <c r="G97" i="13"/>
  <c r="E47" i="10"/>
  <c r="B107" i="13"/>
  <c r="A84" i="8"/>
  <c r="A19" i="9"/>
  <c r="A146" i="4"/>
  <c r="A294" i="32"/>
  <c r="A1642" i="16"/>
  <c r="B75" i="2"/>
  <c r="H6" i="7"/>
  <c r="A72" i="10"/>
  <c r="A622" i="16"/>
  <c r="B68" i="7"/>
  <c r="B1064" i="20"/>
  <c r="A118" i="2"/>
  <c r="B1102" i="16"/>
  <c r="G15" i="6"/>
  <c r="B1609" i="16"/>
  <c r="A43" i="19"/>
  <c r="G64" i="1"/>
  <c r="G22" i="8"/>
  <c r="A72" i="6"/>
  <c r="A55" i="6"/>
  <c r="A117" i="12"/>
  <c r="G36" i="8"/>
  <c r="H97" i="6"/>
  <c r="H58" i="13"/>
  <c r="B137" i="4"/>
  <c r="A89" i="18"/>
  <c r="B64" i="2"/>
  <c r="F75" i="4"/>
  <c r="G21" i="2"/>
  <c r="B905" i="16"/>
  <c r="A1302" i="16"/>
  <c r="B25" i="6"/>
  <c r="A94" i="4"/>
  <c r="B53" i="11"/>
  <c r="B1702" i="20"/>
  <c r="A328" i="16"/>
  <c r="A25" i="8"/>
  <c r="A122" i="7"/>
  <c r="A42" i="16"/>
  <c r="G49" i="8"/>
  <c r="H70" i="7"/>
  <c r="B673" i="20"/>
  <c r="H40" i="1"/>
  <c r="B279" i="20"/>
  <c r="A355" i="16"/>
  <c r="G120" i="5"/>
  <c r="E6" i="10"/>
  <c r="B1133" i="20"/>
  <c r="G113" i="11"/>
  <c r="B445" i="20"/>
  <c r="F89" i="1"/>
  <c r="B1140" i="16"/>
  <c r="B1463" i="20"/>
  <c r="A428" i="20"/>
  <c r="A954" i="16"/>
  <c r="A404" i="20"/>
  <c r="A922" i="16"/>
  <c r="A140" i="20"/>
  <c r="A3676" i="20"/>
  <c r="B1640" i="20"/>
  <c r="A4495" i="20"/>
  <c r="A2988" i="20"/>
  <c r="A221" i="20"/>
  <c r="B1976" i="20"/>
  <c r="B4453" i="20"/>
  <c r="G138" i="9"/>
  <c r="A1658" i="16"/>
  <c r="B4821" i="20"/>
  <c r="B3197" i="20"/>
  <c r="A36" i="19"/>
  <c r="D9" i="1"/>
  <c r="H71" i="1"/>
  <c r="B35" i="16"/>
  <c r="A656" i="20"/>
  <c r="B51" i="4"/>
  <c r="B34" i="2"/>
  <c r="B131" i="6"/>
  <c r="A1075" i="16"/>
  <c r="A1602" i="16"/>
  <c r="A16" i="6"/>
  <c r="B84" i="8"/>
  <c r="B305" i="16"/>
  <c r="G98" i="11"/>
  <c r="B1633" i="20"/>
  <c r="A1748" i="20"/>
  <c r="A495" i="20"/>
  <c r="A1724" i="20"/>
  <c r="A479" i="20"/>
  <c r="A1460" i="20"/>
  <c r="A3219" i="20"/>
  <c r="B3806" i="20"/>
  <c r="B2038" i="20"/>
  <c r="A1913" i="20"/>
  <c r="A779" i="20"/>
  <c r="A1269" i="16"/>
  <c r="B284" i="16"/>
  <c r="A2381" i="20"/>
  <c r="B111" i="16"/>
  <c r="B1022" i="20"/>
  <c r="B553" i="20"/>
  <c r="G31" i="9"/>
  <c r="A1067" i="16"/>
  <c r="H99" i="7"/>
  <c r="B270" i="19"/>
  <c r="A22" i="16"/>
  <c r="B2" i="12"/>
  <c r="B118" i="5"/>
  <c r="B1156" i="16"/>
  <c r="B1058" i="16"/>
  <c r="A25" i="5"/>
  <c r="H31" i="8"/>
  <c r="B1748" i="16"/>
  <c r="B1598" i="16"/>
  <c r="A39" i="7"/>
  <c r="A1122" i="16"/>
  <c r="B3073" i="20"/>
  <c r="B147" i="18"/>
  <c r="B1642" i="20"/>
  <c r="A135" i="18"/>
  <c r="A3025" i="20"/>
  <c r="A5404" i="20"/>
  <c r="A3882" i="20"/>
  <c r="B102" i="12"/>
  <c r="A99" i="16"/>
  <c r="A4556" i="20"/>
  <c r="B30" i="9"/>
  <c r="B73" i="19"/>
  <c r="A870" i="20"/>
  <c r="B846" i="20"/>
  <c r="B518" i="20"/>
  <c r="A46" i="6"/>
  <c r="A1382" i="20"/>
  <c r="A16" i="7"/>
  <c r="A37" i="1"/>
  <c r="B77" i="4"/>
  <c r="B4109" i="20"/>
  <c r="G56" i="4"/>
  <c r="F25" i="5"/>
  <c r="B334" i="20"/>
  <c r="B35" i="20"/>
  <c r="F33" i="2"/>
  <c r="B39" i="2"/>
  <c r="B1571" i="16"/>
  <c r="G14" i="13"/>
  <c r="H67" i="8"/>
  <c r="A362" i="19"/>
  <c r="B47" i="17"/>
  <c r="B1961" i="20"/>
  <c r="A4043" i="20"/>
  <c r="A1444" i="16"/>
  <c r="A79" i="6"/>
  <c r="E7" i="9"/>
  <c r="B1172" i="16"/>
  <c r="G5" i="7"/>
  <c r="A511" i="20"/>
  <c r="F24" i="1"/>
  <c r="A1513" i="20"/>
  <c r="A133" i="2"/>
  <c r="B415" i="20"/>
  <c r="B125" i="4"/>
  <c r="A71" i="9"/>
  <c r="A144" i="4"/>
  <c r="A31" i="17"/>
  <c r="H100" i="7"/>
  <c r="B117" i="20"/>
  <c r="A134" i="8"/>
  <c r="A89" i="13"/>
  <c r="A151" i="4"/>
  <c r="G126" i="2"/>
  <c r="A960" i="16"/>
  <c r="H147" i="9"/>
  <c r="F126" i="1"/>
  <c r="A456" i="20"/>
  <c r="A127" i="6"/>
  <c r="A113" i="9"/>
  <c r="B31" i="13"/>
  <c r="A7" i="5"/>
  <c r="A133" i="12"/>
  <c r="A43" i="6"/>
  <c r="B131" i="2"/>
  <c r="C2" i="10"/>
  <c r="A633" i="16"/>
  <c r="A69" i="12"/>
  <c r="B101" i="10"/>
  <c r="A294" i="19"/>
  <c r="H66" i="1"/>
  <c r="E6" i="1"/>
  <c r="E62" i="12"/>
  <c r="B94" i="16"/>
  <c r="A1308" i="20"/>
  <c r="A63" i="20"/>
  <c r="B108" i="16"/>
  <c r="A130" i="13"/>
  <c r="G116" i="4"/>
  <c r="B3480" i="20"/>
  <c r="G73" i="13"/>
  <c r="B16" i="17"/>
  <c r="F83" i="7"/>
  <c r="B106" i="10"/>
  <c r="H58" i="6"/>
  <c r="B86" i="10"/>
  <c r="A113" i="13"/>
  <c r="A732" i="16"/>
  <c r="A6024" i="20"/>
  <c r="B1743" i="20"/>
  <c r="B1383" i="20"/>
  <c r="B90" i="8"/>
  <c r="B9" i="4"/>
  <c r="A57" i="19"/>
  <c r="G80" i="7"/>
  <c r="B16" i="6"/>
  <c r="AD2" i="29"/>
  <c r="B1585" i="20"/>
  <c r="E4" i="12"/>
  <c r="A44" i="9"/>
  <c r="G6" i="7"/>
  <c r="F82" i="1"/>
  <c r="A1465" i="16"/>
  <c r="A1170" i="16"/>
  <c r="G110" i="11"/>
  <c r="G31" i="13"/>
  <c r="F83" i="2"/>
  <c r="B133" i="12"/>
  <c r="A482" i="16"/>
  <c r="G51" i="2"/>
  <c r="B40" i="4"/>
  <c r="B631" i="16"/>
  <c r="B378" i="16"/>
  <c r="A554" i="16"/>
  <c r="A288" i="19"/>
  <c r="B3" i="2"/>
  <c r="B230" i="19"/>
  <c r="B82" i="2"/>
  <c r="B115" i="7"/>
  <c r="A281" i="19"/>
  <c r="B4059" i="20"/>
  <c r="A1674" i="20"/>
  <c r="B706" i="16"/>
  <c r="H48" i="4"/>
  <c r="E33" i="4"/>
  <c r="A29" i="32"/>
  <c r="A417" i="20"/>
  <c r="H39" i="11"/>
  <c r="G154" i="8"/>
  <c r="A94" i="5"/>
  <c r="H117" i="2"/>
  <c r="A80" i="5"/>
  <c r="A47" i="4"/>
  <c r="E12" i="4"/>
  <c r="G19" i="5"/>
  <c r="B271" i="19"/>
  <c r="A381" i="16"/>
  <c r="A17" i="5"/>
  <c r="F78" i="1"/>
  <c r="G69" i="2"/>
  <c r="H64" i="9"/>
  <c r="G62" i="5"/>
  <c r="A6363" i="20"/>
  <c r="A737" i="20"/>
  <c r="B77" i="11"/>
  <c r="H13" i="9"/>
  <c r="A13" i="6"/>
  <c r="H22" i="1"/>
  <c r="A953" i="16"/>
  <c r="A146" i="16"/>
  <c r="G137" i="10"/>
  <c r="B62" i="11"/>
  <c r="H90" i="1"/>
  <c r="A24" i="11"/>
  <c r="E47" i="12"/>
  <c r="A21" i="2"/>
  <c r="G72" i="11"/>
  <c r="B119" i="16"/>
  <c r="B36" i="16"/>
  <c r="A298" i="16"/>
  <c r="B1721" i="16"/>
  <c r="G128" i="1"/>
  <c r="H63" i="6"/>
  <c r="E1" i="5"/>
  <c r="A919" i="20"/>
  <c r="A1257" i="20"/>
  <c r="B127" i="19"/>
  <c r="B620" i="16"/>
  <c r="A18" i="4"/>
  <c r="B4" i="4"/>
  <c r="A5401" i="20"/>
  <c r="B288" i="19"/>
  <c r="B2683" i="20"/>
  <c r="F122" i="8"/>
  <c r="A14" i="5"/>
  <c r="B14" i="2"/>
  <c r="D2" i="5"/>
  <c r="H16" i="4"/>
  <c r="A862" i="16"/>
  <c r="G67" i="1"/>
  <c r="B747" i="20"/>
  <c r="B91" i="16"/>
  <c r="H110" i="9"/>
  <c r="A71" i="8"/>
  <c r="A59" i="13"/>
  <c r="H15" i="7"/>
  <c r="B132" i="4"/>
  <c r="A22" i="5"/>
  <c r="A104" i="11"/>
  <c r="B1755" i="16"/>
  <c r="H69" i="10"/>
  <c r="A294" i="16"/>
  <c r="A82" i="6"/>
  <c r="B951" i="16"/>
  <c r="B590" i="16"/>
  <c r="A842" i="16"/>
  <c r="B198" i="19"/>
  <c r="B7" i="2"/>
  <c r="B118" i="19"/>
  <c r="B362" i="16"/>
  <c r="E27" i="8"/>
  <c r="B9" i="6"/>
  <c r="A709" i="20"/>
  <c r="H116" i="11"/>
  <c r="C127" i="18"/>
  <c r="B285" i="20"/>
  <c r="G55" i="5"/>
  <c r="B49" i="5"/>
  <c r="A36" i="1"/>
  <c r="F68" i="1"/>
  <c r="A18" i="1"/>
  <c r="A274" i="20"/>
  <c r="B80" i="8"/>
  <c r="B1218" i="16"/>
  <c r="B3" i="6"/>
  <c r="H105" i="5"/>
  <c r="F4" i="2"/>
  <c r="B1261" i="20"/>
  <c r="B923" i="16"/>
  <c r="G19" i="10"/>
  <c r="G80" i="10"/>
  <c r="B91" i="4"/>
  <c r="A61" i="10"/>
  <c r="B128" i="5"/>
  <c r="F26" i="8"/>
  <c r="H58" i="1"/>
  <c r="B600" i="16"/>
  <c r="A681" i="20"/>
  <c r="F4" i="12"/>
  <c r="G108" i="4"/>
  <c r="B486" i="20"/>
  <c r="H21" i="6"/>
  <c r="A129" i="5"/>
  <c r="F104" i="8"/>
  <c r="A68" i="2"/>
  <c r="A1012" i="20"/>
  <c r="B18" i="19"/>
  <c r="C64" i="12"/>
  <c r="A966" i="16"/>
  <c r="A654" i="16"/>
  <c r="H78" i="6"/>
  <c r="A1767" i="16"/>
  <c r="A788" i="16"/>
  <c r="A150" i="18"/>
  <c r="A20" i="6"/>
  <c r="G120" i="2"/>
  <c r="F2" i="6"/>
  <c r="E13" i="7"/>
  <c r="H98" i="11"/>
  <c r="H13" i="10"/>
  <c r="B933" i="16"/>
  <c r="H31" i="10"/>
  <c r="E81" i="6"/>
  <c r="F25" i="10"/>
  <c r="A103" i="1"/>
  <c r="B76" i="9"/>
  <c r="B48" i="5"/>
  <c r="A39" i="9"/>
  <c r="B759" i="16"/>
  <c r="B462" i="16"/>
  <c r="A746" i="16"/>
  <c r="B2351" i="20"/>
  <c r="G153" i="1"/>
  <c r="A180" i="20"/>
  <c r="A474" i="16"/>
  <c r="G99" i="11"/>
  <c r="A134" i="16"/>
  <c r="H75" i="13"/>
  <c r="E78" i="4"/>
  <c r="F36" i="13"/>
  <c r="E35" i="4"/>
  <c r="A692" i="16"/>
  <c r="A2440" i="20"/>
  <c r="B146" i="16"/>
  <c r="B11" i="15"/>
  <c r="B2551" i="20"/>
  <c r="G56" i="7"/>
  <c r="B1404" i="16"/>
  <c r="A61" i="5"/>
  <c r="B79" i="2"/>
  <c r="B3089" i="20"/>
  <c r="B1254" i="16"/>
  <c r="A413" i="16"/>
  <c r="F5" i="5"/>
  <c r="B104" i="4"/>
  <c r="G16" i="1"/>
  <c r="B1765" i="16"/>
  <c r="A1558" i="16"/>
  <c r="G15" i="7"/>
  <c r="A290" i="16"/>
  <c r="A46" i="2"/>
  <c r="A130" i="16"/>
  <c r="A1382" i="16"/>
  <c r="A983" i="20"/>
  <c r="A66" i="12"/>
  <c r="B2749" i="20"/>
  <c r="B73" i="8"/>
  <c r="B25" i="8"/>
  <c r="B113" i="13"/>
  <c r="H95" i="7"/>
  <c r="H51" i="8"/>
  <c r="A12" i="9"/>
  <c r="B69" i="5"/>
  <c r="A716" i="16"/>
  <c r="B1985" i="20"/>
  <c r="C1" i="15"/>
  <c r="B1125" i="20"/>
  <c r="A32" i="20"/>
  <c r="G99" i="6"/>
  <c r="B1334" i="20"/>
  <c r="B700" i="16"/>
  <c r="A205" i="16"/>
  <c r="B113" i="4"/>
  <c r="A41" i="4"/>
  <c r="B17" i="2"/>
  <c r="H36" i="4"/>
  <c r="E27" i="6"/>
  <c r="F2" i="2"/>
  <c r="B2810" i="20"/>
  <c r="E61" i="12"/>
  <c r="A893" i="16"/>
  <c r="C103" i="5"/>
  <c r="B1655" i="20"/>
  <c r="A1643" i="16"/>
  <c r="A31" i="1"/>
  <c r="D1" i="4"/>
  <c r="A1134" i="16"/>
  <c r="F44" i="1"/>
  <c r="A2506" i="20"/>
  <c r="A320" i="16"/>
  <c r="B2534" i="20"/>
  <c r="H136" i="4"/>
  <c r="H37" i="9"/>
  <c r="B33" i="4"/>
  <c r="A102" i="19"/>
  <c r="B41" i="2"/>
  <c r="A1828" i="16"/>
  <c r="H81" i="2"/>
  <c r="B142" i="8"/>
  <c r="B3769" i="20"/>
  <c r="A569" i="16"/>
  <c r="H73" i="8"/>
  <c r="B922" i="20"/>
  <c r="B5965" i="20"/>
  <c r="A1417" i="16"/>
  <c r="B167" i="20"/>
  <c r="B1727" i="20"/>
  <c r="B1258" i="20"/>
  <c r="H118" i="9"/>
  <c r="H60" i="4"/>
  <c r="G98" i="7"/>
  <c r="B6" i="9"/>
  <c r="A667" i="20"/>
  <c r="C1" i="12"/>
  <c r="A3040" i="20"/>
  <c r="C23" i="18"/>
  <c r="A43" i="10"/>
  <c r="A2155" i="20"/>
  <c r="F6" i="4"/>
  <c r="B1235" i="16"/>
  <c r="A818" i="16"/>
  <c r="B91" i="5"/>
  <c r="A36" i="4"/>
  <c r="B1660" i="20"/>
  <c r="B1798" i="20"/>
  <c r="B2165" i="20"/>
  <c r="A5478" i="20"/>
  <c r="B65" i="8"/>
  <c r="A149" i="18"/>
  <c r="A58" i="10"/>
  <c r="C42" i="18"/>
  <c r="B3748" i="20"/>
  <c r="G48" i="10"/>
  <c r="B500" i="20"/>
  <c r="A507" i="16"/>
  <c r="H16" i="12"/>
  <c r="G63" i="10"/>
  <c r="B5" i="8"/>
  <c r="A97" i="7"/>
  <c r="B2175" i="20"/>
  <c r="A262" i="19"/>
  <c r="A4" i="1"/>
  <c r="A188" i="16"/>
  <c r="B1393" i="16"/>
  <c r="A143" i="1"/>
  <c r="A606" i="16"/>
  <c r="B1151" i="20"/>
  <c r="G40" i="10"/>
  <c r="A39" i="12"/>
  <c r="E36" i="12"/>
  <c r="E105" i="2"/>
  <c r="A994" i="16"/>
  <c r="F15" i="1"/>
  <c r="B887" i="16"/>
  <c r="B1154" i="16"/>
  <c r="G16" i="2"/>
  <c r="B72" i="10"/>
  <c r="B293" i="16"/>
  <c r="G59" i="6"/>
  <c r="B76" i="7"/>
  <c r="F4" i="6"/>
  <c r="A1190" i="16"/>
  <c r="F9" i="5"/>
  <c r="A121" i="16"/>
  <c r="G120" i="6"/>
  <c r="F36" i="1"/>
  <c r="A75" i="13"/>
  <c r="A99" i="4"/>
  <c r="H9" i="6"/>
  <c r="H8" i="6"/>
  <c r="B6343" i="20"/>
  <c r="B129" i="5"/>
  <c r="A34" i="12"/>
  <c r="G52" i="13"/>
  <c r="A70" i="2"/>
  <c r="B1691" i="16"/>
  <c r="A4" i="2"/>
  <c r="A1718" i="16"/>
  <c r="B342" i="16"/>
  <c r="A104" i="5"/>
  <c r="B1496" i="20"/>
  <c r="B109" i="10"/>
  <c r="B526" i="20"/>
  <c r="F13" i="4"/>
  <c r="H20" i="2"/>
  <c r="B174" i="20"/>
  <c r="A89" i="5"/>
  <c r="B709" i="20"/>
  <c r="B109" i="7"/>
  <c r="B3388" i="20"/>
  <c r="H31" i="5"/>
  <c r="A230" i="19"/>
  <c r="G129" i="4"/>
  <c r="A1576" i="16"/>
  <c r="E121" i="5"/>
  <c r="B2607" i="20"/>
  <c r="B534" i="16"/>
  <c r="A62" i="1"/>
  <c r="A62" i="7"/>
  <c r="G84" i="4"/>
  <c r="A94" i="9"/>
  <c r="H104" i="4"/>
  <c r="A8490" i="20"/>
  <c r="H137" i="4"/>
  <c r="G75" i="10"/>
  <c r="B101" i="9"/>
  <c r="H119" i="11"/>
  <c r="A109" i="4"/>
  <c r="B65" i="20"/>
  <c r="B6114" i="20"/>
  <c r="A16" i="4"/>
  <c r="F9" i="9"/>
  <c r="G51" i="9"/>
  <c r="A484" i="16"/>
  <c r="H8" i="10"/>
  <c r="B110" i="13"/>
  <c r="B1705" i="16"/>
  <c r="B68" i="19"/>
  <c r="E123" i="2"/>
  <c r="H107" i="1"/>
  <c r="G56" i="5"/>
  <c r="H107" i="13"/>
  <c r="G126" i="8"/>
  <c r="A117" i="13"/>
  <c r="A331" i="16"/>
  <c r="B111" i="2"/>
  <c r="B890" i="16"/>
  <c r="A130" i="9"/>
  <c r="G39" i="6"/>
  <c r="A1858" i="20"/>
  <c r="H82" i="7"/>
  <c r="A112" i="9"/>
  <c r="A129" i="19"/>
  <c r="G98" i="4"/>
  <c r="A31" i="7"/>
  <c r="A230" i="16"/>
  <c r="B154" i="4"/>
  <c r="B3382" i="20"/>
  <c r="A33" i="10"/>
  <c r="B498" i="20"/>
  <c r="G8" i="4"/>
  <c r="F53" i="1"/>
  <c r="D67" i="2"/>
  <c r="B92" i="7"/>
  <c r="F100" i="1"/>
  <c r="C130" i="18"/>
  <c r="B1328" i="16"/>
  <c r="H43" i="4"/>
  <c r="A478" i="16"/>
  <c r="E6" i="11"/>
  <c r="B54" i="8"/>
  <c r="A139" i="18"/>
  <c r="A34" i="17"/>
  <c r="H36" i="8"/>
  <c r="A144" i="9"/>
  <c r="A1026" i="16"/>
  <c r="A1114" i="16"/>
  <c r="H20" i="5"/>
  <c r="A1824" i="16"/>
  <c r="A1803" i="16"/>
  <c r="G51" i="6"/>
  <c r="A7" i="4"/>
  <c r="B122" i="16"/>
  <c r="B4005" i="20"/>
  <c r="G77" i="11"/>
  <c r="E131" i="5"/>
  <c r="B148" i="18"/>
  <c r="A104" i="4"/>
  <c r="B3821" i="20"/>
  <c r="B3391" i="20"/>
  <c r="B537" i="16"/>
  <c r="H109" i="2"/>
  <c r="F3" i="8"/>
  <c r="B1783" i="20"/>
  <c r="A233" i="19"/>
  <c r="A1036" i="16"/>
  <c r="G19" i="6"/>
  <c r="A88" i="9"/>
  <c r="B477" i="20"/>
  <c r="B76" i="18"/>
  <c r="B95" i="8"/>
  <c r="A107" i="10"/>
  <c r="A100" i="18"/>
  <c r="E25" i="8"/>
  <c r="B4569" i="20"/>
  <c r="A397" i="16"/>
  <c r="A92" i="4"/>
  <c r="A277" i="16"/>
  <c r="A113" i="11"/>
  <c r="B1592" i="16"/>
  <c r="A67" i="4"/>
  <c r="B159" i="19"/>
  <c r="H105" i="4"/>
  <c r="B33" i="12"/>
  <c r="E116" i="10"/>
  <c r="G24" i="13"/>
  <c r="A1109" i="16"/>
  <c r="A66" i="2"/>
  <c r="B4872" i="20"/>
  <c r="G62" i="8"/>
  <c r="A119" i="13"/>
  <c r="A2751" i="20"/>
  <c r="G110" i="8"/>
  <c r="B9" i="2"/>
  <c r="B64" i="9"/>
  <c r="B1054" i="16"/>
  <c r="A91" i="16"/>
  <c r="B854" i="16"/>
  <c r="A642" i="16"/>
  <c r="A125" i="10"/>
  <c r="E4" i="11"/>
  <c r="B2" i="5"/>
  <c r="B43" i="20"/>
  <c r="G86" i="7"/>
  <c r="A118" i="9"/>
  <c r="B275" i="16"/>
  <c r="B826" i="20"/>
  <c r="A28" i="5"/>
  <c r="A283" i="16"/>
  <c r="H69" i="8"/>
  <c r="G109" i="5"/>
  <c r="A559" i="16"/>
  <c r="B1625" i="20"/>
  <c r="B282" i="20"/>
  <c r="A1003" i="20"/>
  <c r="A849" i="16"/>
  <c r="A153" i="20"/>
  <c r="B2901" i="20"/>
  <c r="A358" i="20"/>
  <c r="B590" i="20"/>
  <c r="D36" i="7"/>
  <c r="B3071" i="20"/>
  <c r="B41" i="6"/>
  <c r="C20" i="18"/>
  <c r="B123" i="20"/>
  <c r="A10" i="18"/>
  <c r="A121" i="1"/>
  <c r="A1460" i="16"/>
  <c r="B1917" i="20"/>
  <c r="A974" i="16"/>
  <c r="G97" i="7"/>
  <c r="F128" i="1"/>
  <c r="B1854" i="20"/>
  <c r="H68" i="4"/>
  <c r="B92" i="2"/>
  <c r="B3094" i="20"/>
  <c r="A1349" i="16"/>
  <c r="B2998" i="20"/>
  <c r="A1333" i="16"/>
  <c r="A3914" i="20"/>
  <c r="A6356" i="20"/>
  <c r="B1779" i="20"/>
  <c r="A113" i="16"/>
  <c r="A344" i="20"/>
  <c r="A3047" i="20"/>
  <c r="B18" i="20"/>
  <c r="A1407" i="16"/>
  <c r="A723" i="20"/>
  <c r="A1701" i="16"/>
  <c r="F102" i="11"/>
  <c r="A1528" i="16"/>
  <c r="B735" i="20"/>
  <c r="E151" i="4"/>
  <c r="H131" i="1"/>
  <c r="A286" i="16"/>
  <c r="B1784" i="20"/>
  <c r="B95" i="2"/>
  <c r="A670" i="16"/>
  <c r="A81" i="11"/>
  <c r="H105" i="8"/>
  <c r="A69" i="18"/>
  <c r="B72" i="8"/>
  <c r="F186" i="18"/>
  <c r="B130" i="18"/>
  <c r="A50" i="1"/>
  <c r="F114" i="11"/>
  <c r="B124" i="18"/>
  <c r="H111" i="9"/>
  <c r="A163" i="19"/>
  <c r="A78" i="9"/>
  <c r="A2" i="2"/>
  <c r="G153" i="4"/>
  <c r="A1148" i="16"/>
  <c r="B1258" i="16"/>
  <c r="A1348" i="20"/>
  <c r="A545" i="16"/>
  <c r="B77" i="16"/>
  <c r="A3737" i="20"/>
  <c r="A970" i="20"/>
  <c r="A45" i="18"/>
  <c r="A18" i="13"/>
  <c r="A81" i="12"/>
  <c r="A83" i="9"/>
  <c r="B1262" i="16"/>
  <c r="C36" i="6"/>
  <c r="A3148" i="20"/>
  <c r="A946" i="20"/>
  <c r="A29" i="18"/>
  <c r="F7" i="13"/>
  <c r="H73" i="12"/>
  <c r="A79" i="9"/>
  <c r="B1252" i="16"/>
  <c r="E28" i="6"/>
  <c r="B2644" i="20"/>
  <c r="A682" i="20"/>
  <c r="A4323" i="20"/>
  <c r="A5615" i="20"/>
  <c r="A2379" i="20"/>
  <c r="A4083" i="20"/>
  <c r="B6604" i="20"/>
  <c r="B3636" i="20"/>
  <c r="B5124" i="20"/>
  <c r="B4539" i="20"/>
  <c r="A252" i="20"/>
  <c r="B4037" i="20"/>
  <c r="A701" i="20"/>
  <c r="B4904" i="20"/>
  <c r="B1682" i="16"/>
  <c r="B205" i="19"/>
  <c r="B609" i="16"/>
  <c r="B413" i="16"/>
  <c r="A5938" i="20"/>
  <c r="A1089" i="20"/>
  <c r="B4971" i="20"/>
  <c r="A145" i="16"/>
  <c r="B1488" i="16"/>
  <c r="B4084" i="20"/>
  <c r="B18" i="8"/>
  <c r="B40" i="19"/>
  <c r="B14" i="8"/>
  <c r="A19" i="17"/>
  <c r="H108" i="12"/>
  <c r="H36" i="12"/>
  <c r="A2432" i="20"/>
  <c r="H124" i="10"/>
  <c r="A345" i="16"/>
  <c r="H120" i="10"/>
  <c r="B248" i="20"/>
  <c r="B61" i="16"/>
  <c r="H111" i="13"/>
  <c r="B86" i="11"/>
  <c r="B1371" i="20"/>
  <c r="B4621" i="20"/>
  <c r="B286" i="19"/>
  <c r="B4100" i="20"/>
  <c r="A587" i="20"/>
  <c r="A433" i="20"/>
  <c r="B19" i="8"/>
  <c r="A125" i="8"/>
  <c r="G6" i="11"/>
  <c r="B102" i="11"/>
  <c r="B2836" i="20"/>
  <c r="H129" i="9"/>
  <c r="B1407" i="20"/>
  <c r="G92" i="10"/>
  <c r="A48" i="10"/>
  <c r="A10" i="1"/>
  <c r="A38" i="10"/>
  <c r="B81" i="12"/>
  <c r="B21" i="13"/>
  <c r="A823" i="20"/>
  <c r="B1086" i="16"/>
  <c r="A120" i="13"/>
  <c r="H43" i="1"/>
  <c r="A376" i="16"/>
  <c r="B858" i="16"/>
  <c r="H118" i="4"/>
  <c r="A3744" i="20"/>
  <c r="B4057" i="20"/>
  <c r="B758" i="16"/>
  <c r="B74" i="4"/>
  <c r="H52" i="4"/>
  <c r="F133" i="2"/>
  <c r="A1482" i="20"/>
  <c r="G23" i="8"/>
  <c r="B24" i="2"/>
  <c r="B1375" i="20"/>
  <c r="A1632" i="16"/>
  <c r="H19" i="2"/>
  <c r="B240" i="19"/>
  <c r="B769" i="16"/>
  <c r="H62" i="13"/>
  <c r="B747" i="16"/>
  <c r="B560" i="16"/>
  <c r="A617" i="20"/>
  <c r="A54" i="12"/>
  <c r="H57" i="5"/>
  <c r="A1116" i="16"/>
  <c r="G38" i="5"/>
  <c r="E75" i="9"/>
  <c r="A59" i="8"/>
  <c r="A152" i="4"/>
  <c r="G5" i="10"/>
  <c r="G30" i="10"/>
  <c r="H88" i="9"/>
  <c r="F40" i="1"/>
  <c r="B1473" i="16"/>
  <c r="A1200" i="16"/>
  <c r="B1451" i="16"/>
  <c r="A111" i="11"/>
  <c r="A944" i="20"/>
  <c r="A904" i="16"/>
  <c r="F1" i="10"/>
  <c r="H78" i="2"/>
  <c r="G137" i="9"/>
  <c r="F12" i="4"/>
  <c r="B1436" i="16"/>
  <c r="C36" i="5"/>
  <c r="A830" i="16"/>
  <c r="H114" i="4"/>
  <c r="D35" i="1"/>
  <c r="H113" i="7"/>
  <c r="A27" i="2"/>
  <c r="H47" i="1"/>
  <c r="B927" i="20"/>
  <c r="B51" i="6"/>
  <c r="B1004" i="16"/>
  <c r="H36" i="5"/>
  <c r="B7" i="5"/>
  <c r="G79" i="1"/>
  <c r="B163" i="20"/>
  <c r="F3" i="13"/>
  <c r="B100" i="9"/>
  <c r="A85" i="8"/>
  <c r="H43" i="2"/>
  <c r="A65" i="8"/>
  <c r="F26" i="5"/>
  <c r="H107" i="10"/>
  <c r="H34" i="1"/>
  <c r="A37" i="13"/>
  <c r="B552" i="20"/>
  <c r="H91" i="10"/>
  <c r="A550" i="16"/>
  <c r="B1500" i="16"/>
  <c r="A25" i="19"/>
  <c r="A103" i="20"/>
  <c r="A43" i="7"/>
  <c r="B771" i="20"/>
  <c r="E28" i="10"/>
  <c r="G109" i="8"/>
  <c r="B852" i="16"/>
  <c r="B67" i="10"/>
  <c r="B4332" i="20"/>
  <c r="B144" i="4"/>
  <c r="B866" i="16"/>
  <c r="D122" i="4"/>
  <c r="H102" i="4"/>
  <c r="G30" i="1"/>
  <c r="G96" i="4"/>
  <c r="A21" i="10"/>
  <c r="G108" i="2"/>
  <c r="A914" i="20"/>
  <c r="A73" i="9"/>
  <c r="B1324" i="16"/>
  <c r="A48" i="6"/>
  <c r="A18" i="12"/>
  <c r="H40" i="6"/>
  <c r="A119" i="1"/>
  <c r="E139" i="2"/>
  <c r="A2086" i="20"/>
  <c r="A600" i="16"/>
  <c r="B1710" i="16"/>
  <c r="G138" i="7"/>
  <c r="H104" i="7"/>
  <c r="C2" i="4"/>
  <c r="B304" i="16"/>
  <c r="A233" i="20"/>
  <c r="A97" i="11"/>
  <c r="E122" i="4"/>
  <c r="A5" i="13"/>
  <c r="E104" i="4"/>
  <c r="A148" i="8"/>
  <c r="B442" i="20"/>
  <c r="A220" i="16"/>
  <c r="B924" i="20"/>
  <c r="B1331" i="20"/>
  <c r="A552" i="16"/>
  <c r="B89" i="8"/>
  <c r="H29" i="2"/>
  <c r="B626" i="20"/>
  <c r="H37" i="4"/>
  <c r="A89" i="6"/>
  <c r="A12" i="8"/>
  <c r="B228" i="20"/>
  <c r="A53" i="8"/>
  <c r="E5" i="10"/>
  <c r="A571" i="16"/>
  <c r="B82" i="7"/>
  <c r="A1254" i="20"/>
  <c r="A3928" i="20"/>
  <c r="B780" i="16"/>
  <c r="A83" i="4"/>
  <c r="F148" i="1"/>
  <c r="B46" i="6"/>
  <c r="A637" i="16"/>
  <c r="A619" i="16"/>
  <c r="H86" i="1"/>
  <c r="B60" i="6"/>
  <c r="B1235" i="20"/>
  <c r="E10" i="5"/>
  <c r="A231" i="20"/>
  <c r="A566" i="16"/>
  <c r="A1726" i="16"/>
  <c r="A52" i="5"/>
  <c r="B1319" i="20"/>
  <c r="H78" i="11"/>
  <c r="A88" i="13"/>
  <c r="B825" i="16"/>
  <c r="H115" i="11"/>
  <c r="E90" i="12"/>
  <c r="B1108" i="20"/>
  <c r="H124" i="7"/>
  <c r="B91" i="7"/>
  <c r="B1217" i="16"/>
  <c r="B417" i="20"/>
  <c r="H55" i="8"/>
  <c r="H67" i="13"/>
  <c r="A1506" i="20"/>
  <c r="B2059" i="20"/>
  <c r="B21" i="7"/>
  <c r="B1963" i="20"/>
  <c r="B17" i="7"/>
  <c r="B1079" i="20"/>
  <c r="A3444" i="20"/>
  <c r="A6649" i="20"/>
  <c r="B3109" i="20"/>
  <c r="B80" i="16"/>
  <c r="A196" i="19"/>
  <c r="B338" i="19"/>
  <c r="A1509" i="16"/>
  <c r="G123" i="8"/>
  <c r="B320" i="16"/>
  <c r="B2593" i="20"/>
  <c r="A8" i="18"/>
  <c r="B116" i="7"/>
  <c r="A129" i="1"/>
  <c r="A1259" i="16"/>
  <c r="G113" i="8"/>
  <c r="B817" i="16"/>
  <c r="A203" i="16"/>
  <c r="H37" i="13"/>
  <c r="B66" i="11"/>
  <c r="A141" i="10"/>
  <c r="G20" i="5"/>
  <c r="A39" i="5"/>
  <c r="G125" i="13"/>
  <c r="B283" i="16"/>
  <c r="B58" i="9"/>
  <c r="A1313" i="16"/>
  <c r="A253" i="20"/>
  <c r="B908" i="20"/>
  <c r="A229" i="20"/>
  <c r="B844" i="20"/>
  <c r="B6267" i="20"/>
  <c r="A3059" i="20"/>
  <c r="A5869" i="20"/>
  <c r="A641" i="16"/>
  <c r="A665" i="20"/>
  <c r="A33" i="11"/>
  <c r="B14" i="16"/>
  <c r="A5512" i="20"/>
  <c r="A605" i="20"/>
  <c r="A1848" i="16"/>
  <c r="A205" i="19"/>
  <c r="A387" i="16"/>
  <c r="A237" i="16"/>
  <c r="A44" i="4"/>
  <c r="B806" i="20"/>
  <c r="A24" i="17"/>
  <c r="B1726" i="16"/>
  <c r="H102" i="7"/>
  <c r="B29" i="19"/>
  <c r="B378" i="20"/>
  <c r="A104" i="18"/>
  <c r="B116" i="6"/>
  <c r="B7" i="6"/>
  <c r="E131" i="6"/>
  <c r="G92" i="6"/>
  <c r="G93" i="12"/>
  <c r="A64" i="8"/>
  <c r="A940" i="20"/>
  <c r="A52" i="18"/>
  <c r="A916" i="20"/>
  <c r="C30" i="18"/>
  <c r="A652" i="20"/>
  <c r="A3647" i="20"/>
  <c r="A1547" i="20"/>
  <c r="A5356" i="20"/>
  <c r="A5211" i="20"/>
  <c r="A733" i="20"/>
  <c r="B3988" i="20"/>
  <c r="A1706" i="20"/>
  <c r="A1818" i="16"/>
  <c r="A129" i="10"/>
  <c r="A5426" i="20"/>
  <c r="B17" i="20"/>
  <c r="B613" i="16"/>
  <c r="A130" i="1"/>
  <c r="G54" i="11"/>
  <c r="B123" i="18"/>
  <c r="B48" i="16"/>
  <c r="E13" i="10"/>
  <c r="H93" i="2"/>
  <c r="A24" i="8"/>
  <c r="H72" i="12"/>
  <c r="B1374" i="16"/>
  <c r="H75" i="9"/>
  <c r="E76" i="9"/>
  <c r="B384" i="20"/>
  <c r="B114" i="12"/>
  <c r="D2" i="11"/>
  <c r="F127" i="1"/>
  <c r="B1873" i="20"/>
  <c r="A517" i="20"/>
  <c r="B79" i="4"/>
  <c r="B99" i="2"/>
  <c r="A92" i="7"/>
  <c r="B82" i="5"/>
  <c r="F28" i="8"/>
  <c r="A489" i="20"/>
  <c r="G7" i="5"/>
  <c r="H22" i="11"/>
  <c r="A87" i="2"/>
  <c r="A807" i="16"/>
  <c r="G136" i="1"/>
  <c r="H86" i="8"/>
  <c r="A298" i="19"/>
  <c r="B114" i="13"/>
  <c r="F118" i="1"/>
  <c r="A77" i="10"/>
  <c r="G117" i="1"/>
  <c r="A48" i="7"/>
  <c r="A108" i="16"/>
  <c r="G75" i="5"/>
  <c r="A2568" i="20"/>
  <c r="H107" i="11"/>
  <c r="G83" i="6"/>
  <c r="B51" i="18"/>
  <c r="G6" i="8"/>
  <c r="G55" i="6"/>
  <c r="F78" i="9"/>
  <c r="A108" i="1"/>
  <c r="H60" i="9"/>
  <c r="G43" i="10"/>
  <c r="B736" i="20"/>
  <c r="A12" i="6"/>
  <c r="B370" i="19"/>
  <c r="G116" i="5"/>
  <c r="A72" i="7"/>
  <c r="A194" i="19"/>
  <c r="G70" i="2"/>
  <c r="B10" i="14"/>
  <c r="G92" i="12"/>
  <c r="E9" i="4"/>
  <c r="B196" i="19"/>
  <c r="C101" i="18"/>
  <c r="A1770" i="16"/>
  <c r="A9" i="19"/>
  <c r="A115" i="2"/>
  <c r="A1736" i="20"/>
  <c r="B3" i="13"/>
  <c r="B69" i="13"/>
  <c r="B87" i="19"/>
  <c r="B17" i="17"/>
  <c r="B91" i="10"/>
  <c r="A1790" i="16"/>
  <c r="G28" i="5"/>
  <c r="H29" i="1"/>
  <c r="A4336" i="20"/>
  <c r="B1574" i="16"/>
  <c r="A509" i="16"/>
  <c r="A12" i="5"/>
  <c r="H116" i="10"/>
  <c r="A107" i="16"/>
  <c r="G106" i="2"/>
  <c r="G15" i="4"/>
  <c r="B3322" i="20"/>
  <c r="B122" i="12"/>
  <c r="A925" i="16"/>
  <c r="B125" i="5"/>
  <c r="E103" i="5"/>
  <c r="F137" i="1"/>
  <c r="A819" i="20"/>
  <c r="B47" i="7"/>
  <c r="A139" i="7"/>
  <c r="H110" i="12"/>
  <c r="A145" i="4"/>
  <c r="B87" i="12"/>
  <c r="B96" i="6"/>
  <c r="B1691" i="20"/>
  <c r="B29" i="7"/>
  <c r="A422" i="20"/>
  <c r="A16" i="16"/>
  <c r="H148" i="8"/>
  <c r="B1278" i="16"/>
  <c r="D27" i="1"/>
  <c r="C2" i="8"/>
  <c r="A314" i="19"/>
  <c r="H79" i="13"/>
  <c r="B134" i="8"/>
  <c r="A72" i="20"/>
  <c r="A90" i="18"/>
  <c r="H113" i="11"/>
  <c r="B1" i="8"/>
  <c r="B21" i="18"/>
  <c r="A2511" i="20"/>
  <c r="B596" i="20"/>
  <c r="A717" i="16"/>
  <c r="H76" i="5"/>
  <c r="G39" i="5"/>
  <c r="A88" i="1"/>
  <c r="E33" i="5"/>
  <c r="G1" i="8"/>
  <c r="B60" i="7"/>
  <c r="B3894" i="20"/>
  <c r="A1557" i="16"/>
  <c r="B386" i="16"/>
  <c r="E78" i="8"/>
  <c r="H46" i="13"/>
  <c r="B1820" i="16"/>
  <c r="A1" i="6"/>
  <c r="A796" i="16"/>
  <c r="A3246" i="20"/>
  <c r="H13" i="11"/>
  <c r="A797" i="16"/>
  <c r="G95" i="5"/>
  <c r="G64" i="5"/>
  <c r="G106" i="1"/>
  <c r="A307" i="20"/>
  <c r="B58" i="6"/>
  <c r="H105" i="7"/>
  <c r="H81" i="11"/>
  <c r="G137" i="2"/>
  <c r="H56" i="11"/>
  <c r="A109" i="5"/>
  <c r="B563" i="20"/>
  <c r="G93" i="2"/>
  <c r="B1915" i="20"/>
  <c r="G118" i="10"/>
  <c r="A116" i="8"/>
  <c r="B938" i="16"/>
  <c r="A1004" i="16"/>
  <c r="B58" i="5"/>
  <c r="G45" i="10"/>
  <c r="G81" i="5"/>
  <c r="B1051" i="20"/>
  <c r="A1523" i="16"/>
  <c r="H71" i="11"/>
  <c r="B77" i="7"/>
  <c r="A112" i="13"/>
  <c r="B2508" i="20"/>
  <c r="A42" i="17"/>
  <c r="A589" i="16"/>
  <c r="B47" i="5"/>
  <c r="A156" i="4"/>
  <c r="G58" i="1"/>
  <c r="F150" i="4"/>
  <c r="G74" i="7"/>
  <c r="F110" i="1"/>
  <c r="A3818" i="20"/>
  <c r="A1045" i="16"/>
  <c r="A1277" i="16"/>
  <c r="B61" i="6"/>
  <c r="F34" i="5"/>
  <c r="E99" i="12"/>
  <c r="A120" i="5"/>
  <c r="G48" i="8"/>
  <c r="A2029" i="20"/>
  <c r="E13" i="11"/>
  <c r="A1693" i="16"/>
  <c r="B42" i="7"/>
  <c r="H97" i="9"/>
  <c r="H94" i="4"/>
  <c r="A1062" i="20"/>
  <c r="A656" i="16"/>
  <c r="A23" i="9"/>
  <c r="B1804" i="16"/>
  <c r="F50" i="1"/>
  <c r="B1724" i="16"/>
  <c r="B3" i="14"/>
  <c r="F87" i="1"/>
  <c r="A37" i="5"/>
  <c r="E2" i="11"/>
  <c r="G143" i="8"/>
  <c r="E11" i="10"/>
  <c r="A699" i="16"/>
  <c r="G84" i="9"/>
  <c r="B1002" i="16"/>
  <c r="B107" i="5"/>
  <c r="A1536" i="16"/>
  <c r="H47" i="8"/>
  <c r="A1346" i="20"/>
  <c r="B1521" i="16"/>
  <c r="B84" i="13"/>
  <c r="H50" i="10"/>
  <c r="F27" i="2"/>
  <c r="A3185" i="20"/>
  <c r="B24" i="17"/>
  <c r="A1485" i="16"/>
  <c r="H123" i="6"/>
  <c r="B61" i="8"/>
  <c r="B110" i="2"/>
  <c r="H39" i="8"/>
  <c r="G44" i="10"/>
  <c r="B19" i="2"/>
  <c r="A3531" i="20"/>
  <c r="B1043" i="16"/>
  <c r="B69" i="19"/>
  <c r="H1" i="8"/>
  <c r="B41" i="13"/>
  <c r="A183" i="20"/>
  <c r="H30" i="4"/>
  <c r="F35" i="4"/>
  <c r="F36" i="4"/>
  <c r="H4" i="1"/>
  <c r="A18" i="20"/>
  <c r="A20" i="8"/>
  <c r="B1174" i="16"/>
  <c r="G117" i="5"/>
  <c r="G85" i="5"/>
  <c r="A147" i="1"/>
  <c r="A144" i="20"/>
  <c r="B667" i="16"/>
  <c r="H5" i="10"/>
  <c r="B18" i="10"/>
  <c r="B20" i="4"/>
  <c r="H151" i="9"/>
  <c r="B106" i="5"/>
  <c r="A62" i="6"/>
  <c r="A64" i="18"/>
  <c r="B432" i="16"/>
  <c r="A425" i="20"/>
  <c r="G78" i="11"/>
  <c r="B2295" i="20"/>
  <c r="H98" i="13"/>
  <c r="F123" i="2"/>
  <c r="B413" i="20"/>
  <c r="H15" i="4"/>
  <c r="A678" i="20"/>
  <c r="A272" i="16"/>
  <c r="F11" i="9"/>
  <c r="B1612" i="16"/>
  <c r="B2135" i="20"/>
  <c r="B1121" i="20"/>
  <c r="G95" i="6"/>
  <c r="B1036" i="16"/>
  <c r="B51" i="5"/>
  <c r="A21" i="5"/>
  <c r="G91" i="1"/>
  <c r="H14" i="5"/>
  <c r="C107" i="18"/>
  <c r="G68" i="2"/>
  <c r="A1446" i="20"/>
  <c r="H102" i="11"/>
  <c r="B1550" i="16"/>
  <c r="G37" i="7"/>
  <c r="A40" i="1"/>
  <c r="H129" i="8"/>
  <c r="H87" i="2"/>
  <c r="H51" i="10"/>
  <c r="B4551" i="20"/>
  <c r="B3381" i="20"/>
  <c r="B44" i="18"/>
  <c r="G121" i="8"/>
  <c r="A82" i="8"/>
  <c r="H54" i="6"/>
  <c r="B984" i="16"/>
  <c r="B1617" i="20"/>
  <c r="H72" i="13"/>
  <c r="B74" i="6"/>
  <c r="A13" i="4"/>
  <c r="B56" i="6"/>
  <c r="B70" i="10"/>
  <c r="A834" i="16"/>
  <c r="G118" i="8"/>
  <c r="G111" i="13"/>
  <c r="A1785" i="20"/>
  <c r="A1064" i="16"/>
  <c r="G14" i="10"/>
  <c r="F66" i="1"/>
  <c r="C122" i="4"/>
  <c r="B110" i="5"/>
  <c r="G58" i="8"/>
  <c r="G85" i="1"/>
  <c r="B30" i="13"/>
  <c r="H137" i="9"/>
  <c r="A64" i="10"/>
  <c r="A1595" i="16"/>
  <c r="G116" i="10"/>
  <c r="A2278" i="20"/>
  <c r="A984" i="16"/>
  <c r="B1758" i="16"/>
  <c r="H20" i="8"/>
  <c r="A127" i="7"/>
  <c r="G44" i="4"/>
  <c r="B118" i="7"/>
  <c r="F65" i="2"/>
  <c r="B90" i="2"/>
  <c r="A3016" i="20"/>
  <c r="A25" i="9"/>
  <c r="B756" i="20"/>
  <c r="A5" i="10"/>
  <c r="G101" i="1"/>
  <c r="A2" i="16"/>
  <c r="H130" i="1"/>
  <c r="A871" i="20"/>
  <c r="A2378" i="20"/>
  <c r="A31" i="8"/>
  <c r="B1644" i="16"/>
  <c r="G60" i="1"/>
  <c r="B1399" i="16"/>
  <c r="F3" i="11"/>
  <c r="A36" i="10"/>
  <c r="A75" i="18"/>
  <c r="A105" i="7"/>
  <c r="G7" i="2"/>
  <c r="A4" i="4"/>
  <c r="H64" i="2"/>
  <c r="A42" i="5"/>
  <c r="A933" i="20"/>
  <c r="A11" i="9"/>
  <c r="G38" i="11"/>
  <c r="A2759" i="20"/>
  <c r="B4079" i="20"/>
  <c r="B5387" i="20"/>
  <c r="B832" i="16"/>
  <c r="B840" i="20"/>
  <c r="H90" i="8"/>
  <c r="B82" i="12"/>
  <c r="H16" i="11"/>
  <c r="H79" i="5"/>
  <c r="A127" i="8"/>
  <c r="B4340" i="20"/>
  <c r="B21" i="20"/>
  <c r="A3450" i="20"/>
  <c r="A76" i="8"/>
  <c r="A882" i="20"/>
  <c r="A369" i="20"/>
  <c r="B39" i="10"/>
  <c r="A238" i="19"/>
  <c r="B3771" i="20"/>
  <c r="B21" i="6"/>
  <c r="A329" i="19"/>
  <c r="B1692" i="20"/>
  <c r="B1606" i="16"/>
  <c r="A3571" i="20"/>
  <c r="B1135" i="20"/>
  <c r="A785" i="16"/>
  <c r="B2688" i="20"/>
  <c r="B1290" i="16"/>
  <c r="A49" i="5"/>
  <c r="E13" i="9"/>
  <c r="A1564" i="16"/>
  <c r="A27" i="10"/>
  <c r="B77" i="9"/>
  <c r="B85" i="7"/>
  <c r="B1427" i="16"/>
  <c r="A1401" i="16"/>
  <c r="A78" i="1"/>
  <c r="A1350" i="16"/>
  <c r="A286" i="19"/>
  <c r="B1660" i="16"/>
  <c r="G47" i="1"/>
  <c r="A40" i="9"/>
  <c r="B30" i="17"/>
  <c r="B2085" i="20"/>
  <c r="F4" i="10"/>
  <c r="F147" i="1"/>
  <c r="B114" i="9"/>
  <c r="H64" i="8"/>
  <c r="A4014" i="20"/>
  <c r="B694" i="16"/>
  <c r="A29" i="4"/>
  <c r="A160" i="20"/>
  <c r="B1514" i="20"/>
  <c r="A682" i="16"/>
  <c r="B617" i="16"/>
  <c r="H42" i="12"/>
  <c r="B1295" i="20"/>
  <c r="A102" i="7"/>
  <c r="F112" i="1"/>
  <c r="A168" i="19"/>
  <c r="H8" i="8"/>
  <c r="A109" i="1"/>
  <c r="B1340" i="16"/>
  <c r="A1723" i="16"/>
  <c r="B33" i="18"/>
  <c r="B3268" i="20"/>
  <c r="F12" i="12"/>
  <c r="F27" i="9"/>
  <c r="B144" i="9"/>
  <c r="B874" i="16"/>
  <c r="B2497" i="20"/>
  <c r="A1308" i="16"/>
  <c r="A71" i="6"/>
  <c r="G28" i="6"/>
  <c r="B2429" i="20"/>
  <c r="A1414" i="16"/>
  <c r="B1369" i="16"/>
  <c r="H77" i="8"/>
  <c r="B2385" i="20"/>
  <c r="A59" i="1"/>
  <c r="G111" i="4"/>
  <c r="B250" i="20"/>
  <c r="A100" i="2"/>
  <c r="B1206" i="16"/>
  <c r="G31" i="1"/>
  <c r="B147" i="8"/>
  <c r="A105" i="12"/>
  <c r="G56" i="2"/>
  <c r="H83" i="4"/>
  <c r="A142" i="8"/>
  <c r="A441" i="16"/>
  <c r="B28" i="13"/>
  <c r="D150" i="1"/>
  <c r="B10" i="13"/>
  <c r="H21" i="2"/>
  <c r="B56" i="7"/>
  <c r="A605" i="16"/>
  <c r="A6591" i="20"/>
  <c r="E4" i="13"/>
  <c r="B141" i="9"/>
  <c r="G43" i="5"/>
  <c r="F47" i="9"/>
  <c r="G7" i="10"/>
  <c r="H73" i="5"/>
  <c r="B39" i="5"/>
  <c r="G60" i="7"/>
  <c r="H8" i="1"/>
  <c r="A1650" i="20"/>
  <c r="B117" i="13"/>
  <c r="H19" i="10"/>
  <c r="A105" i="13"/>
  <c r="H15" i="10"/>
  <c r="B4797" i="20"/>
  <c r="A3067" i="20"/>
  <c r="B2294" i="20"/>
  <c r="A943" i="16"/>
  <c r="B1707" i="20"/>
  <c r="A243" i="19"/>
  <c r="B6447" i="20"/>
  <c r="B925" i="16"/>
  <c r="A273" i="16"/>
  <c r="G149" i="4"/>
  <c r="A1535" i="16"/>
  <c r="A1074" i="16"/>
  <c r="A778" i="16"/>
  <c r="B276" i="16"/>
  <c r="B84" i="10"/>
  <c r="A36" i="9"/>
  <c r="B2" i="9"/>
  <c r="A45" i="11"/>
  <c r="A1518" i="16"/>
  <c r="B127" i="9"/>
  <c r="B60" i="9"/>
  <c r="B45" i="6"/>
  <c r="G106" i="6"/>
  <c r="A598" i="16"/>
  <c r="A6" i="16"/>
  <c r="E27" i="4"/>
  <c r="B18" i="17"/>
  <c r="A479" i="16"/>
  <c r="E34" i="8"/>
  <c r="A455" i="16"/>
  <c r="E26" i="8"/>
  <c r="B2753" i="20"/>
  <c r="A538" i="20"/>
  <c r="B557" i="16"/>
  <c r="A881" i="16"/>
  <c r="B466" i="16"/>
  <c r="B1135" i="16"/>
  <c r="B2933" i="20"/>
  <c r="B5" i="6"/>
  <c r="A831" i="16"/>
  <c r="B91" i="12"/>
  <c r="B611" i="16"/>
  <c r="A1620" i="16"/>
  <c r="A1028" i="16"/>
  <c r="E65" i="2"/>
  <c r="G7" i="1"/>
  <c r="B3801" i="20"/>
  <c r="B541" i="20"/>
  <c r="H67" i="2"/>
  <c r="A69" i="11"/>
  <c r="B3638" i="20"/>
  <c r="G103" i="7"/>
  <c r="F136" i="12"/>
  <c r="H91" i="11"/>
  <c r="B5026" i="20"/>
  <c r="A676" i="16"/>
  <c r="E62" i="5"/>
  <c r="B1959" i="20"/>
  <c r="A383" i="19"/>
  <c r="A675" i="16"/>
  <c r="A359" i="19"/>
  <c r="A659" i="16"/>
  <c r="A95" i="19"/>
  <c r="A278" i="19"/>
  <c r="B1721" i="20"/>
  <c r="B639" i="16"/>
  <c r="H110" i="7"/>
  <c r="A959" i="16"/>
  <c r="A102" i="11"/>
  <c r="A1199" i="16"/>
  <c r="A270" i="20"/>
  <c r="B276" i="20"/>
  <c r="A598" i="20"/>
  <c r="B81" i="19"/>
  <c r="A86" i="18"/>
  <c r="B2" i="15"/>
  <c r="B1891" i="20"/>
  <c r="A67" i="16"/>
  <c r="G114" i="13"/>
  <c r="B71" i="19"/>
  <c r="A1179" i="16"/>
  <c r="A117" i="8"/>
  <c r="G81" i="8"/>
  <c r="C1" i="9"/>
  <c r="A238" i="16"/>
  <c r="H124" i="9"/>
  <c r="B91" i="9"/>
  <c r="B58" i="20"/>
  <c r="H20" i="4"/>
  <c r="F149" i="1"/>
  <c r="A131" i="4"/>
  <c r="A49" i="12"/>
  <c r="B15" i="11"/>
  <c r="A1011" i="20"/>
  <c r="B132" i="2"/>
  <c r="A837" i="20"/>
  <c r="H16" i="5"/>
  <c r="G81" i="4"/>
  <c r="G108" i="5"/>
  <c r="A765" i="16"/>
  <c r="G7" i="4"/>
  <c r="A1181" i="16"/>
  <c r="A181" i="19"/>
  <c r="B131" i="7"/>
  <c r="F73" i="1"/>
  <c r="A364" i="19"/>
  <c r="B114" i="5"/>
  <c r="B63" i="12"/>
  <c r="B18" i="16"/>
  <c r="A1212" i="16"/>
  <c r="B2403" i="20"/>
  <c r="H135" i="2"/>
  <c r="A319" i="20"/>
  <c r="F94" i="8"/>
  <c r="F9" i="2"/>
  <c r="B83" i="16"/>
  <c r="A909" i="16"/>
  <c r="G122" i="5"/>
  <c r="H97" i="5"/>
  <c r="A133" i="1"/>
  <c r="G92" i="5"/>
  <c r="A86" i="8"/>
  <c r="F1" i="1"/>
  <c r="B2538" i="20"/>
  <c r="B270" i="20"/>
  <c r="A1597" i="16"/>
  <c r="F4" i="7"/>
  <c r="B3" i="7"/>
  <c r="B614" i="20"/>
  <c r="A95" i="5"/>
  <c r="A84" i="13"/>
  <c r="H83" i="8"/>
  <c r="A39" i="16"/>
  <c r="B3364" i="20"/>
  <c r="A1256" i="16"/>
  <c r="H1" i="12"/>
  <c r="H51" i="1"/>
  <c r="B327" i="19"/>
  <c r="B47" i="18"/>
  <c r="H108" i="11"/>
  <c r="A132" i="7"/>
  <c r="A1676" i="16"/>
  <c r="G98" i="13"/>
  <c r="A1627" i="16"/>
  <c r="G130" i="10"/>
  <c r="G72" i="7"/>
  <c r="A862" i="20"/>
  <c r="B1137" i="16"/>
  <c r="A55" i="13"/>
  <c r="G135" i="9"/>
  <c r="B7" i="7"/>
  <c r="A306" i="19"/>
  <c r="H104" i="9"/>
  <c r="B16" i="12"/>
  <c r="B3085" i="20"/>
  <c r="B190" i="19"/>
  <c r="B66" i="16"/>
  <c r="F126" i="12"/>
  <c r="G39" i="4"/>
  <c r="A3404" i="20"/>
  <c r="H89" i="12"/>
  <c r="A1805" i="16"/>
  <c r="H67" i="7"/>
  <c r="B47" i="10"/>
  <c r="A75" i="5"/>
  <c r="A26" i="10"/>
  <c r="E137" i="12"/>
  <c r="G7" i="9"/>
  <c r="A6079" i="20"/>
  <c r="B264" i="20"/>
  <c r="B942" i="20"/>
  <c r="H75" i="8"/>
  <c r="B330" i="20"/>
  <c r="B2441" i="20"/>
  <c r="B62" i="2"/>
  <c r="H7" i="2"/>
  <c r="A91" i="11"/>
  <c r="A39" i="8"/>
  <c r="B37" i="16"/>
  <c r="G61" i="7"/>
  <c r="A44" i="6"/>
  <c r="A34" i="9"/>
  <c r="F96" i="1"/>
  <c r="B1156" i="20"/>
  <c r="B46" i="18"/>
  <c r="B120" i="13"/>
  <c r="G103" i="10"/>
  <c r="B60" i="2"/>
  <c r="B998" i="20"/>
  <c r="B1625" i="16"/>
  <c r="G94" i="1"/>
  <c r="F2" i="10"/>
  <c r="B3911" i="20"/>
  <c r="A115" i="16"/>
  <c r="B1108" i="16"/>
  <c r="A10" i="10"/>
  <c r="B458" i="16"/>
  <c r="A450" i="16"/>
  <c r="A8" i="1"/>
  <c r="A44" i="10"/>
  <c r="A1331" i="20"/>
  <c r="B128" i="20"/>
  <c r="A12" i="14"/>
  <c r="B16" i="11"/>
  <c r="B83" i="2"/>
  <c r="A1773" i="20"/>
  <c r="B3189" i="20"/>
  <c r="A1677" i="16"/>
  <c r="A38" i="7"/>
  <c r="G81" i="9"/>
  <c r="G75" i="4"/>
  <c r="G61" i="9"/>
  <c r="G5" i="11"/>
  <c r="G110" i="2"/>
  <c r="B5534" i="20"/>
  <c r="B1811" i="16"/>
  <c r="B430" i="20"/>
  <c r="B45" i="8"/>
  <c r="A1316" i="16"/>
  <c r="B310" i="19"/>
  <c r="A49" i="4"/>
  <c r="A1378" i="16"/>
  <c r="B99" i="4"/>
  <c r="H66" i="12"/>
  <c r="F103" i="5"/>
  <c r="E13" i="6"/>
  <c r="G70" i="8"/>
  <c r="G66" i="1"/>
  <c r="B3693" i="20"/>
  <c r="B1457" i="16"/>
  <c r="A80" i="13"/>
  <c r="B43" i="10"/>
  <c r="H18" i="2"/>
  <c r="A1483" i="16"/>
  <c r="B1113" i="16"/>
  <c r="A65" i="1"/>
  <c r="B113" i="6"/>
  <c r="A2460" i="20"/>
  <c r="B1449" i="20"/>
  <c r="B300" i="16"/>
  <c r="A836" i="16"/>
  <c r="H12" i="1"/>
  <c r="F96" i="7"/>
  <c r="A5" i="4"/>
  <c r="A151" i="20"/>
  <c r="B3185" i="20"/>
  <c r="B1043" i="20"/>
  <c r="B578" i="16"/>
  <c r="F4" i="4"/>
  <c r="A32" i="18"/>
  <c r="B7059" i="20"/>
  <c r="B3093" i="20"/>
  <c r="B1639" i="20"/>
  <c r="B108" i="8"/>
  <c r="B127" i="4"/>
  <c r="F108" i="1"/>
  <c r="A112" i="4"/>
  <c r="E3" i="4"/>
  <c r="F83" i="13"/>
  <c r="E11" i="2"/>
  <c r="B405" i="20"/>
  <c r="G77" i="13"/>
  <c r="H96" i="9"/>
  <c r="A8" i="8"/>
  <c r="F36" i="12"/>
  <c r="A142" i="4"/>
  <c r="B841" i="16"/>
  <c r="A795" i="16"/>
  <c r="B93" i="8"/>
  <c r="A115" i="20"/>
  <c r="E12" i="6"/>
  <c r="G94" i="7"/>
  <c r="G21" i="11"/>
  <c r="A125" i="2"/>
  <c r="B1360" i="20"/>
  <c r="C1" i="20"/>
  <c r="B438" i="16"/>
  <c r="A16" i="18"/>
  <c r="B73" i="10"/>
  <c r="F43" i="1"/>
  <c r="A41" i="19"/>
  <c r="H118" i="2"/>
  <c r="A84" i="9"/>
  <c r="B287" i="20"/>
  <c r="B34" i="5"/>
  <c r="B898" i="16"/>
  <c r="G117" i="4"/>
  <c r="A44" i="16"/>
  <c r="G71" i="7"/>
  <c r="A236" i="19"/>
  <c r="B133" i="9"/>
  <c r="B117" i="9"/>
  <c r="H83" i="1"/>
  <c r="A505" i="16"/>
  <c r="G83" i="11"/>
  <c r="B108" i="10"/>
  <c r="B422" i="20"/>
  <c r="C139" i="18"/>
  <c r="B4207" i="20"/>
  <c r="B1050" i="20"/>
  <c r="C33" i="18"/>
  <c r="A114" i="8"/>
  <c r="G75" i="8"/>
  <c r="H28" i="6"/>
  <c r="A66" i="8"/>
  <c r="E47" i="4"/>
  <c r="B40" i="10"/>
  <c r="B4116" i="20"/>
  <c r="A47" i="10"/>
  <c r="B2773" i="20"/>
  <c r="H100" i="10"/>
  <c r="G100" i="2"/>
  <c r="H109" i="7"/>
  <c r="H23" i="1"/>
  <c r="F28" i="4"/>
  <c r="B5071" i="20"/>
  <c r="B776" i="20"/>
  <c r="B1070" i="20"/>
  <c r="G97" i="8"/>
  <c r="G95" i="4"/>
  <c r="H67" i="1"/>
  <c r="A2" i="13"/>
  <c r="H121" i="9"/>
  <c r="G60" i="10"/>
  <c r="A1531" i="16"/>
  <c r="A96" i="10"/>
  <c r="A1451" i="16"/>
  <c r="B41" i="9"/>
  <c r="H98" i="1"/>
  <c r="B13" i="5"/>
  <c r="B670" i="20"/>
  <c r="H38" i="11"/>
  <c r="A4" i="13"/>
  <c r="B441" i="16"/>
  <c r="G54" i="1"/>
  <c r="A47" i="13"/>
  <c r="F6" i="5"/>
  <c r="A53" i="10"/>
  <c r="B503" i="16"/>
  <c r="B292" i="16"/>
  <c r="A618" i="16"/>
  <c r="B416" i="20"/>
  <c r="A138" i="1"/>
  <c r="B307" i="19"/>
  <c r="H138" i="13"/>
  <c r="A70" i="11"/>
  <c r="A90" i="13"/>
  <c r="A75" i="12"/>
  <c r="A3" i="4"/>
  <c r="A35" i="12"/>
  <c r="G19" i="4"/>
  <c r="A156" i="8"/>
  <c r="A2184" i="20"/>
  <c r="C7" i="14"/>
  <c r="F123" i="13"/>
  <c r="B466" i="20"/>
  <c r="A96" i="6"/>
  <c r="B1226" i="16"/>
  <c r="B84" i="12"/>
  <c r="B8" i="10"/>
  <c r="A113" i="10"/>
  <c r="E1" i="1"/>
  <c r="B1827" i="20"/>
  <c r="B475" i="16"/>
  <c r="E151" i="9"/>
  <c r="H122" i="9"/>
  <c r="G114" i="2"/>
  <c r="B2" i="13"/>
  <c r="A31" i="13"/>
  <c r="A202" i="16"/>
  <c r="B1529" i="16"/>
  <c r="A89" i="1"/>
  <c r="B1449" i="16"/>
  <c r="F62" i="12"/>
  <c r="H77" i="4"/>
  <c r="H75" i="5"/>
  <c r="B664" i="20"/>
  <c r="B1668" i="16"/>
  <c r="A1450" i="16"/>
  <c r="A1031" i="20"/>
  <c r="H106" i="2"/>
  <c r="B287" i="19"/>
  <c r="H123" i="2"/>
  <c r="F12" i="5"/>
  <c r="B9" i="15"/>
  <c r="B2813" i="20"/>
  <c r="A430" i="16"/>
  <c r="G149" i="1"/>
  <c r="A97" i="20"/>
  <c r="G94" i="13"/>
  <c r="A126" i="10"/>
  <c r="F33" i="4"/>
  <c r="B873" i="16"/>
  <c r="B1170" i="16"/>
  <c r="B105" i="16"/>
  <c r="A1163" i="16"/>
  <c r="F25" i="8"/>
  <c r="H7" i="4"/>
  <c r="B678" i="20"/>
  <c r="A17" i="17"/>
  <c r="B794" i="20"/>
  <c r="B1736" i="16"/>
  <c r="B2" i="18"/>
  <c r="A851" i="16"/>
  <c r="B134" i="16"/>
  <c r="B36" i="7"/>
  <c r="A76" i="2"/>
  <c r="B125" i="2"/>
  <c r="B393" i="20"/>
  <c r="B1012" i="16"/>
  <c r="G58" i="10"/>
  <c r="A7539" i="20"/>
  <c r="A620" i="20"/>
  <c r="B759" i="20"/>
  <c r="A757" i="16"/>
  <c r="F25" i="6"/>
  <c r="A1700" i="16"/>
  <c r="B111" i="19"/>
  <c r="B82" i="9"/>
  <c r="C85" i="18"/>
  <c r="B1622" i="16"/>
  <c r="B203" i="20"/>
  <c r="G72" i="12"/>
  <c r="B1437" i="16"/>
  <c r="A6" i="19"/>
  <c r="H66" i="5"/>
  <c r="H42" i="1"/>
  <c r="A91" i="13"/>
  <c r="A66" i="11"/>
  <c r="B1452" i="16"/>
  <c r="B3253" i="20"/>
  <c r="G47" i="12"/>
  <c r="F50" i="2"/>
  <c r="A5085" i="20"/>
  <c r="B52" i="7"/>
  <c r="B46" i="12"/>
  <c r="A54" i="10"/>
  <c r="H1" i="5"/>
  <c r="G28" i="7"/>
  <c r="B344" i="16"/>
  <c r="H21" i="13"/>
  <c r="B136" i="13"/>
  <c r="A156" i="9"/>
  <c r="A1150" i="20"/>
  <c r="A838" i="16"/>
  <c r="A715" i="16"/>
  <c r="B146" i="18"/>
  <c r="H115" i="12"/>
  <c r="C122" i="9"/>
  <c r="G54" i="8"/>
  <c r="A1604" i="16"/>
  <c r="B56" i="8"/>
  <c r="B148" i="4"/>
  <c r="B22" i="16"/>
  <c r="A110" i="10"/>
  <c r="B1292" i="16"/>
  <c r="E156" i="4"/>
  <c r="A46" i="11"/>
  <c r="G90" i="6"/>
  <c r="B59" i="9"/>
  <c r="E110" i="1"/>
  <c r="B1346" i="16"/>
  <c r="G98" i="5"/>
  <c r="H65" i="10"/>
  <c r="A1022" i="16"/>
  <c r="B2887" i="20"/>
  <c r="A1211" i="16"/>
  <c r="B59" i="5"/>
  <c r="H16" i="13"/>
  <c r="B28" i="9"/>
  <c r="A970" i="16"/>
  <c r="H1" i="2"/>
  <c r="A121" i="7"/>
  <c r="B1806" i="16"/>
  <c r="A695" i="20"/>
  <c r="A5360" i="20"/>
  <c r="H47" i="7"/>
  <c r="B1638" i="16"/>
  <c r="B44" i="8"/>
  <c r="A63" i="10"/>
  <c r="B543" i="20"/>
  <c r="H141" i="4"/>
  <c r="E151" i="1"/>
  <c r="B4" i="7"/>
  <c r="H123" i="10"/>
  <c r="B1374" i="20"/>
  <c r="A156" i="19"/>
  <c r="B1" i="17"/>
  <c r="A84" i="5"/>
  <c r="H89" i="9"/>
  <c r="H48" i="9"/>
  <c r="B602" i="16"/>
  <c r="B502" i="16"/>
  <c r="B41" i="20"/>
  <c r="H68" i="10"/>
  <c r="B1311" i="16"/>
  <c r="B333" i="19"/>
  <c r="B673" i="16"/>
  <c r="B285" i="19"/>
  <c r="B657" i="16"/>
  <c r="B1819" i="20"/>
  <c r="B1638" i="20"/>
  <c r="B1612" i="20"/>
  <c r="B2336" i="20"/>
  <c r="B196" i="16"/>
  <c r="B957" i="16"/>
  <c r="B10" i="7"/>
  <c r="A1409" i="16"/>
  <c r="A3880" i="20"/>
  <c r="A1439" i="16"/>
  <c r="E11" i="13"/>
  <c r="A78" i="19"/>
  <c r="B266" i="20"/>
  <c r="G91" i="6"/>
  <c r="B57" i="4"/>
  <c r="B65" i="16"/>
  <c r="B795" i="16"/>
  <c r="B28" i="10"/>
  <c r="G125" i="7"/>
  <c r="H83" i="11"/>
  <c r="H37" i="11"/>
  <c r="A731" i="16"/>
  <c r="A27" i="7"/>
  <c r="C36" i="13"/>
  <c r="A128" i="12"/>
  <c r="G138" i="13"/>
  <c r="A246" i="20"/>
  <c r="A324" i="19"/>
  <c r="B34" i="8"/>
  <c r="A228" i="19"/>
  <c r="H29" i="8"/>
  <c r="B8038" i="20"/>
  <c r="A2646" i="20"/>
  <c r="A1316" i="20"/>
  <c r="B56" i="18"/>
  <c r="A1916" i="20"/>
  <c r="A625" i="20"/>
  <c r="A3658" i="20"/>
  <c r="B1456" i="16"/>
  <c r="B1983" i="20"/>
  <c r="G87" i="9"/>
  <c r="A255" i="16"/>
  <c r="A73" i="10"/>
  <c r="A37" i="10"/>
  <c r="G108" i="8"/>
  <c r="H149" i="4"/>
  <c r="E28" i="7"/>
  <c r="H124" i="6"/>
  <c r="A614" i="16"/>
  <c r="G120" i="8"/>
  <c r="H107" i="5"/>
  <c r="A62" i="5"/>
  <c r="B1623" i="20"/>
  <c r="A57" i="1"/>
  <c r="B13" i="8"/>
  <c r="H89" i="7"/>
  <c r="H13" i="2"/>
  <c r="B1710" i="20"/>
  <c r="B329" i="19"/>
  <c r="F2" i="8"/>
  <c r="B305" i="19"/>
  <c r="F139" i="7"/>
  <c r="B3845" i="20"/>
  <c r="A3415" i="20"/>
  <c r="A8393" i="20"/>
  <c r="A956" i="20"/>
  <c r="C45" i="18"/>
  <c r="E12" i="11"/>
  <c r="A341" i="19"/>
  <c r="C80" i="18"/>
  <c r="A464" i="16"/>
  <c r="B444" i="20"/>
  <c r="A248" i="20"/>
  <c r="G75" i="6"/>
  <c r="A41" i="11"/>
  <c r="G97" i="2"/>
  <c r="A24" i="13"/>
  <c r="G120" i="9"/>
  <c r="B254" i="19"/>
  <c r="B585" i="16"/>
  <c r="B27" i="12"/>
  <c r="A36" i="13"/>
  <c r="A124" i="12"/>
  <c r="F34" i="8"/>
  <c r="H101" i="6"/>
  <c r="B449" i="16"/>
  <c r="B296" i="20"/>
  <c r="A1270" i="16"/>
  <c r="F6" i="9"/>
  <c r="B19" i="6"/>
  <c r="B322" i="16"/>
  <c r="B1107" i="16"/>
  <c r="B85" i="10"/>
  <c r="B5355" i="20"/>
  <c r="H84" i="5"/>
  <c r="G38" i="6"/>
  <c r="A107" i="13"/>
  <c r="B182" i="16"/>
  <c r="A167" i="20"/>
  <c r="A256" i="20"/>
  <c r="B53" i="19"/>
  <c r="H63" i="5"/>
  <c r="A6982" i="20"/>
  <c r="B105" i="7"/>
  <c r="B75" i="7"/>
  <c r="H61" i="10"/>
  <c r="H28" i="2"/>
  <c r="A64" i="9"/>
  <c r="A4256" i="20"/>
  <c r="H90" i="2"/>
  <c r="A75" i="2"/>
  <c r="B108" i="7"/>
  <c r="C106" i="18"/>
  <c r="G71" i="4"/>
  <c r="F83" i="1"/>
  <c r="B229" i="16"/>
  <c r="B104" i="19"/>
  <c r="G125" i="10"/>
  <c r="A210" i="19"/>
  <c r="G109" i="9"/>
  <c r="A92" i="18"/>
  <c r="G20" i="8"/>
  <c r="E34" i="10"/>
  <c r="H36" i="2"/>
  <c r="A51" i="18"/>
  <c r="B501" i="20"/>
  <c r="A296" i="16"/>
  <c r="A108" i="7"/>
  <c r="B201" i="16"/>
  <c r="B18" i="4"/>
  <c r="H109" i="5"/>
  <c r="H24" i="9"/>
  <c r="B1802" i="16"/>
  <c r="A69" i="7"/>
  <c r="H131" i="9"/>
  <c r="A59" i="16"/>
  <c r="B113" i="5"/>
  <c r="B1525" i="20"/>
  <c r="A149" i="9"/>
  <c r="B1378" i="16"/>
  <c r="A121" i="6"/>
  <c r="A77" i="6"/>
  <c r="G60" i="2"/>
  <c r="A67" i="6"/>
  <c r="H60" i="1"/>
  <c r="G31" i="11"/>
  <c r="B1630" i="20"/>
  <c r="H87" i="6"/>
  <c r="B109" i="18"/>
  <c r="H136" i="8"/>
  <c r="B33" i="6"/>
  <c r="B20" i="8"/>
  <c r="H30" i="1"/>
  <c r="B107" i="10"/>
  <c r="A3528" i="20"/>
  <c r="H55" i="9"/>
  <c r="B884" i="20"/>
  <c r="A55" i="10"/>
  <c r="F13" i="10"/>
  <c r="A1516" i="16"/>
  <c r="G52" i="11"/>
  <c r="A432" i="20"/>
  <c r="A840" i="16"/>
  <c r="G124" i="9"/>
  <c r="H51" i="2"/>
  <c r="G106" i="9"/>
  <c r="B4149" i="20"/>
  <c r="B1204" i="16"/>
  <c r="H67" i="4"/>
  <c r="B39" i="18"/>
  <c r="A1556" i="16"/>
  <c r="B126" i="18"/>
  <c r="A186" i="19"/>
  <c r="H11" i="1"/>
  <c r="H68" i="8"/>
  <c r="G89" i="1"/>
  <c r="A190" i="16"/>
  <c r="G8" i="6"/>
  <c r="A1785" i="16"/>
  <c r="A1810" i="16"/>
  <c r="A51" i="12"/>
  <c r="B57" i="16"/>
  <c r="D4" i="1"/>
  <c r="A1147" i="20"/>
  <c r="B15" i="8"/>
  <c r="B52" i="20"/>
  <c r="B102" i="9"/>
  <c r="H72" i="9"/>
  <c r="A25" i="10"/>
  <c r="H62" i="9"/>
  <c r="G88" i="7"/>
  <c r="B94" i="4"/>
  <c r="A372" i="20"/>
  <c r="E9" i="7"/>
  <c r="E27" i="7"/>
  <c r="B133" i="2"/>
  <c r="F76" i="10"/>
  <c r="A97" i="1"/>
  <c r="H124" i="2"/>
  <c r="B67" i="7"/>
  <c r="A2025" i="20"/>
  <c r="G91" i="8"/>
  <c r="B372" i="20"/>
  <c r="H141" i="9"/>
  <c r="G110" i="9"/>
  <c r="G104" i="12"/>
  <c r="B156" i="20"/>
  <c r="B929" i="20"/>
  <c r="A584" i="16"/>
  <c r="G6" i="9"/>
  <c r="H81" i="1"/>
  <c r="A144" i="8"/>
  <c r="A1636" i="16"/>
  <c r="B478" i="16"/>
  <c r="H92" i="8"/>
  <c r="A1447" i="16"/>
  <c r="A48" i="12"/>
  <c r="A1832" i="16"/>
  <c r="A1184" i="16"/>
  <c r="H118" i="1"/>
  <c r="F81" i="1"/>
  <c r="A12" i="11"/>
  <c r="G52" i="1"/>
  <c r="A1273" i="16"/>
  <c r="A786" i="16"/>
  <c r="G65" i="11"/>
  <c r="H76" i="12"/>
  <c r="F36" i="2"/>
  <c r="B2168" i="20"/>
  <c r="E33" i="7"/>
  <c r="B24" i="19"/>
  <c r="H44" i="9"/>
  <c r="H7" i="9"/>
  <c r="G96" i="8"/>
  <c r="B155" i="8"/>
  <c r="H122" i="5"/>
  <c r="H143" i="4"/>
  <c r="B243" i="19"/>
  <c r="H77" i="13"/>
  <c r="A63" i="11"/>
  <c r="A71" i="12"/>
  <c r="H13" i="7"/>
  <c r="G116" i="11"/>
  <c r="G55" i="1"/>
  <c r="H132" i="2"/>
  <c r="B2765" i="20"/>
  <c r="B50" i="11"/>
  <c r="B126" i="12"/>
  <c r="A1478" i="16"/>
  <c r="A1166" i="16"/>
  <c r="H63" i="8"/>
  <c r="B86" i="20"/>
  <c r="B8" i="4"/>
  <c r="B474" i="20"/>
  <c r="B11" i="7"/>
  <c r="A16" i="1"/>
  <c r="E123" i="6"/>
  <c r="B126" i="7"/>
  <c r="B393" i="16"/>
  <c r="G99" i="1"/>
  <c r="B1445" i="16"/>
  <c r="A278" i="16"/>
  <c r="B111" i="6"/>
  <c r="G29" i="11"/>
  <c r="A41" i="2"/>
  <c r="G55" i="7"/>
  <c r="G102" i="2"/>
  <c r="B26" i="6"/>
  <c r="H53" i="2"/>
  <c r="B1271" i="16"/>
  <c r="B804" i="16"/>
  <c r="A1002" i="16"/>
  <c r="A135" i="20"/>
  <c r="E25" i="2"/>
  <c r="A692" i="20"/>
  <c r="A1498" i="16"/>
  <c r="E27" i="12"/>
  <c r="A646" i="16"/>
  <c r="A334" i="16"/>
  <c r="H91" i="5"/>
  <c r="A254" i="16"/>
  <c r="A71" i="4"/>
  <c r="H136" i="7"/>
  <c r="B3831" i="20"/>
  <c r="B486" i="16"/>
  <c r="A125" i="16"/>
  <c r="C78" i="4"/>
  <c r="G38" i="8"/>
  <c r="A68" i="19"/>
  <c r="H96" i="10"/>
  <c r="A56" i="18"/>
  <c r="H97" i="7"/>
  <c r="A126" i="4"/>
  <c r="B1119" i="20"/>
  <c r="B1265" i="16"/>
  <c r="E65" i="13"/>
  <c r="A20" i="10"/>
  <c r="G154" i="1"/>
  <c r="B4150" i="20"/>
  <c r="A1621" i="16"/>
  <c r="A1421" i="16"/>
  <c r="A108" i="6"/>
  <c r="G136" i="7"/>
  <c r="G95" i="2"/>
  <c r="G112" i="7"/>
  <c r="B15" i="10"/>
  <c r="A1740" i="16"/>
  <c r="B5538" i="20"/>
  <c r="B787" i="16"/>
  <c r="B140" i="18"/>
  <c r="B125" i="7"/>
  <c r="E66" i="11"/>
  <c r="A45" i="17"/>
  <c r="A105" i="5"/>
  <c r="B86" i="9"/>
  <c r="A1484" i="16"/>
  <c r="C125" i="18"/>
  <c r="A113" i="18"/>
  <c r="B90" i="20"/>
  <c r="H95" i="6"/>
  <c r="D6" i="1"/>
  <c r="B2139" i="20"/>
  <c r="B433" i="16"/>
  <c r="B1" i="13"/>
  <c r="C78" i="9"/>
  <c r="H48" i="1"/>
  <c r="H86" i="12"/>
  <c r="B89" i="16"/>
  <c r="H5" i="1"/>
  <c r="B31" i="4"/>
  <c r="A1436" i="20"/>
  <c r="A191" i="20"/>
  <c r="B130" i="16"/>
  <c r="H56" i="13"/>
  <c r="F37" i="1"/>
  <c r="G107" i="5"/>
  <c r="G98" i="1"/>
  <c r="B265" i="16"/>
  <c r="B4495" i="20"/>
  <c r="A193" i="19"/>
  <c r="B406" i="16"/>
  <c r="A1732" i="16"/>
  <c r="A151" i="9"/>
  <c r="A4037" i="20"/>
  <c r="B1619" i="16"/>
  <c r="B238" i="20"/>
  <c r="H48" i="8"/>
  <c r="B842" i="20"/>
  <c r="A588" i="16"/>
  <c r="B138" i="20"/>
  <c r="A1710" i="16"/>
  <c r="A47" i="8"/>
  <c r="A7033" i="20"/>
  <c r="B2097" i="20"/>
  <c r="H17" i="12"/>
  <c r="H36" i="9"/>
  <c r="G44" i="6"/>
  <c r="B2640" i="20"/>
  <c r="A1820" i="16"/>
  <c r="A1206" i="16"/>
  <c r="B129" i="18"/>
  <c r="H9" i="4"/>
  <c r="C124" i="18"/>
  <c r="A61" i="4"/>
  <c r="E35" i="7"/>
  <c r="A930" i="16"/>
  <c r="A65" i="2"/>
  <c r="A2268" i="20"/>
  <c r="A1023" i="20"/>
  <c r="B268" i="16"/>
  <c r="A900" i="16"/>
  <c r="H40" i="7"/>
  <c r="A135" i="1"/>
  <c r="A679" i="20"/>
  <c r="A58" i="2"/>
  <c r="A822" i="16"/>
  <c r="A2976" i="20"/>
  <c r="B2815" i="20"/>
  <c r="B726" i="16"/>
  <c r="B41" i="4"/>
  <c r="G5" i="6"/>
  <c r="B62" i="4"/>
  <c r="G128" i="9"/>
  <c r="F1" i="9"/>
  <c r="F7" i="9"/>
  <c r="B106" i="20"/>
  <c r="H6" i="8"/>
  <c r="H7" i="1"/>
  <c r="A243" i="20"/>
  <c r="H109" i="12"/>
  <c r="B934" i="20"/>
  <c r="B372" i="16"/>
  <c r="G130" i="2"/>
  <c r="H140" i="9"/>
  <c r="F143" i="1"/>
  <c r="D2" i="6"/>
  <c r="A131" i="2"/>
  <c r="A1216" i="16"/>
  <c r="B426" i="20"/>
  <c r="A190" i="19"/>
  <c r="A5408" i="20"/>
  <c r="A5891" i="20"/>
  <c r="E33" i="10"/>
  <c r="A70" i="19"/>
  <c r="B1246" i="20"/>
  <c r="H1" i="7"/>
  <c r="A1110" i="16"/>
  <c r="B691" i="20"/>
  <c r="G15" i="11"/>
  <c r="B1403" i="20"/>
  <c r="B45" i="20"/>
  <c r="B3188" i="20"/>
  <c r="B3895" i="20"/>
  <c r="B83" i="6"/>
  <c r="A65" i="9"/>
  <c r="B198" i="16"/>
  <c r="H66" i="13"/>
  <c r="A26" i="8"/>
  <c r="B164" i="16"/>
  <c r="B1208" i="20"/>
  <c r="A335" i="16"/>
  <c r="B233" i="20"/>
  <c r="B4187" i="20"/>
  <c r="B633" i="20"/>
  <c r="B1526" i="16"/>
  <c r="B40" i="17"/>
  <c r="G50" i="2"/>
  <c r="B65" i="13"/>
  <c r="A1608" i="20"/>
  <c r="B139" i="7"/>
  <c r="A2022" i="20"/>
  <c r="A1806" i="16"/>
  <c r="A427" i="16"/>
  <c r="H17" i="4"/>
  <c r="A28" i="16"/>
  <c r="D108" i="12"/>
  <c r="G13" i="13"/>
  <c r="B340" i="16"/>
  <c r="H129" i="11"/>
  <c r="A1260" i="16"/>
  <c r="E26" i="9"/>
  <c r="G79" i="12"/>
  <c r="A54" i="2"/>
  <c r="A4552" i="20"/>
  <c r="A48" i="8"/>
  <c r="F50" i="7"/>
  <c r="B103" i="11"/>
  <c r="A106" i="5"/>
  <c r="A92" i="2"/>
  <c r="A28" i="4"/>
  <c r="A45" i="5"/>
  <c r="C113" i="18"/>
  <c r="A218" i="19"/>
  <c r="A27" i="1"/>
  <c r="G37" i="10"/>
  <c r="B147" i="16"/>
  <c r="B2249" i="20"/>
  <c r="A1480" i="20"/>
  <c r="H39" i="13"/>
  <c r="E6" i="4"/>
  <c r="B76" i="2"/>
  <c r="A321" i="19"/>
  <c r="A1532" i="16"/>
  <c r="A30" i="5"/>
  <c r="G78" i="6"/>
  <c r="B3211" i="20"/>
  <c r="A583" i="20"/>
  <c r="F3" i="12"/>
  <c r="A208" i="19"/>
  <c r="A138" i="2"/>
  <c r="B578" i="20"/>
  <c r="B1316" i="16"/>
  <c r="A49" i="2"/>
  <c r="H53" i="9"/>
  <c r="B63" i="18"/>
  <c r="B49" i="4"/>
  <c r="G123" i="4"/>
  <c r="A85" i="1"/>
  <c r="E1" i="12"/>
  <c r="A1422" i="16"/>
  <c r="A1613" i="16"/>
  <c r="A53" i="7"/>
  <c r="G44" i="1"/>
  <c r="H130" i="6"/>
  <c r="E105" i="7"/>
  <c r="B107" i="7"/>
  <c r="H81" i="9"/>
  <c r="B1784" i="16"/>
  <c r="B166" i="20"/>
  <c r="A297" i="19"/>
  <c r="B106" i="12"/>
  <c r="B1209" i="16"/>
  <c r="A39" i="6"/>
  <c r="B3081" i="20"/>
  <c r="A488" i="16"/>
  <c r="A135" i="19"/>
  <c r="A1826" i="16"/>
  <c r="A89" i="19"/>
  <c r="G71" i="8"/>
  <c r="G41" i="1"/>
  <c r="B96" i="19"/>
  <c r="A123" i="1"/>
  <c r="A1787" i="16"/>
  <c r="H113" i="1"/>
  <c r="H55" i="13"/>
  <c r="A9" i="2"/>
  <c r="B450" i="16"/>
  <c r="A23" i="17"/>
  <c r="A1612" i="16"/>
  <c r="A7027" i="20"/>
  <c r="H107" i="6"/>
  <c r="F94" i="6"/>
  <c r="B34" i="10"/>
  <c r="A330" i="16"/>
  <c r="B4" i="13"/>
  <c r="B16" i="18"/>
  <c r="A1994" i="20"/>
  <c r="B1323" i="20"/>
  <c r="E26" i="5"/>
  <c r="A114" i="9"/>
  <c r="E47" i="5"/>
  <c r="B3605" i="20"/>
  <c r="G137" i="8"/>
  <c r="H112" i="5"/>
  <c r="H119" i="8"/>
  <c r="G46" i="5"/>
  <c r="G82" i="9"/>
  <c r="B1627" i="16"/>
  <c r="G18" i="10"/>
  <c r="A1738" i="20"/>
  <c r="A119" i="9"/>
  <c r="G107" i="6"/>
  <c r="G61" i="2"/>
  <c r="B47" i="13"/>
  <c r="A97" i="10"/>
  <c r="A97" i="6"/>
  <c r="F13" i="2"/>
  <c r="H58" i="2"/>
  <c r="B1006" i="20"/>
  <c r="A73" i="4"/>
  <c r="B99" i="20"/>
  <c r="A139" i="10"/>
  <c r="B874" i="20"/>
  <c r="G23" i="9"/>
  <c r="A107" i="19"/>
  <c r="B45" i="7"/>
  <c r="A423" i="16"/>
  <c r="A6" i="1"/>
  <c r="A249" i="16"/>
  <c r="A1084" i="16"/>
  <c r="A81" i="8"/>
  <c r="A124" i="2"/>
  <c r="B1663" i="20"/>
  <c r="H72" i="1"/>
  <c r="H5" i="12"/>
  <c r="A115" i="6"/>
  <c r="H107" i="4"/>
  <c r="A490" i="16"/>
  <c r="G43" i="12"/>
  <c r="H72" i="2"/>
  <c r="A1928" i="20"/>
  <c r="B458" i="20"/>
  <c r="B396" i="16"/>
  <c r="A1373" i="16"/>
  <c r="G41" i="9"/>
  <c r="B49" i="8"/>
  <c r="B62" i="19"/>
  <c r="A13" i="10"/>
  <c r="A4414" i="20"/>
  <c r="B772" i="20"/>
  <c r="B2767" i="20"/>
  <c r="B1355" i="16"/>
  <c r="A124" i="19"/>
  <c r="B240" i="16"/>
  <c r="B916" i="20"/>
  <c r="G134" i="13"/>
  <c r="B70" i="8"/>
  <c r="A263" i="19"/>
  <c r="A95" i="8"/>
  <c r="H49" i="2"/>
  <c r="G45" i="7"/>
  <c r="A57" i="16"/>
  <c r="A316" i="16"/>
  <c r="A5" i="6"/>
  <c r="H20" i="10"/>
  <c r="B142" i="10"/>
  <c r="G111" i="7"/>
  <c r="A736" i="20"/>
  <c r="A378" i="16"/>
  <c r="B956" i="16"/>
  <c r="H107" i="2"/>
  <c r="B2533" i="20"/>
  <c r="B1111" i="20"/>
  <c r="B92" i="6"/>
  <c r="B1087" i="20"/>
  <c r="G88" i="6"/>
  <c r="B823" i="20"/>
  <c r="A1941" i="20"/>
  <c r="B5294" i="20"/>
  <c r="B4148" i="20"/>
  <c r="A2553" i="20"/>
  <c r="B36" i="18"/>
  <c r="A17" i="18"/>
  <c r="A1253" i="16"/>
  <c r="B24" i="7"/>
  <c r="A92" i="11"/>
  <c r="A1118" i="20"/>
  <c r="A1272" i="16"/>
  <c r="G6" i="6"/>
  <c r="G69" i="1"/>
  <c r="A235" i="16"/>
  <c r="B39" i="8"/>
  <c r="G58" i="13"/>
  <c r="A32" i="17"/>
  <c r="B135" i="9"/>
  <c r="A79" i="20"/>
  <c r="A57" i="20"/>
  <c r="A76" i="4"/>
  <c r="A1058" i="16"/>
  <c r="A898" i="16"/>
  <c r="B2057" i="20"/>
  <c r="H71" i="6"/>
  <c r="A97" i="2"/>
  <c r="A911" i="20"/>
  <c r="A761" i="20"/>
  <c r="H18" i="9"/>
  <c r="B382" i="16"/>
  <c r="B330" i="16"/>
  <c r="F22" i="1"/>
  <c r="A1079" i="20"/>
  <c r="E150" i="9"/>
  <c r="B1293" i="20"/>
  <c r="B3908" i="20"/>
  <c r="A975" i="16"/>
  <c r="A2958" i="20"/>
  <c r="A1697" i="20"/>
  <c r="A1457" i="16"/>
  <c r="G48" i="11"/>
  <c r="B3285" i="20"/>
  <c r="A448" i="20"/>
  <c r="A1138" i="16"/>
  <c r="A368" i="20"/>
  <c r="A2862" i="20"/>
  <c r="A1601" i="20"/>
  <c r="A1433" i="16"/>
  <c r="A37" i="11"/>
  <c r="B2559" i="20"/>
  <c r="A384" i="20"/>
  <c r="A1106" i="16"/>
  <c r="A304" i="20"/>
  <c r="A2351" i="20"/>
  <c r="B4401" i="20"/>
  <c r="A5472" i="20"/>
  <c r="B3978" i="20"/>
  <c r="A1895" i="20"/>
  <c r="B4060" i="20"/>
  <c r="B4945" i="20"/>
  <c r="B3596" i="20"/>
  <c r="B127" i="11"/>
  <c r="A7193" i="20"/>
  <c r="B1355" i="20"/>
  <c r="A1583" i="16"/>
  <c r="B3526" i="20"/>
  <c r="A1198" i="20"/>
  <c r="B429" i="16"/>
  <c r="B277" i="19"/>
  <c r="A897" i="16"/>
  <c r="B1814" i="16"/>
  <c r="A2888" i="20"/>
  <c r="A17" i="9"/>
  <c r="A2377" i="20"/>
  <c r="A470" i="20"/>
  <c r="A976" i="20"/>
  <c r="A918" i="20"/>
  <c r="A409" i="20"/>
  <c r="B408" i="16"/>
  <c r="A393" i="20"/>
  <c r="A1361" i="16"/>
  <c r="E5" i="11"/>
  <c r="B1279" i="20"/>
  <c r="A80" i="19"/>
  <c r="B155" i="20"/>
  <c r="B1688" i="16"/>
  <c r="B139" i="20"/>
  <c r="A1809" i="16"/>
  <c r="E80" i="12"/>
  <c r="H8" i="12"/>
  <c r="A2505" i="20"/>
  <c r="C36" i="7"/>
  <c r="B1642" i="16"/>
  <c r="A32" i="7"/>
  <c r="B1743" i="16"/>
  <c r="H48" i="12"/>
  <c r="B110" i="11"/>
  <c r="B31" i="9"/>
  <c r="A120" i="7"/>
  <c r="B74" i="12"/>
  <c r="A146" i="8"/>
  <c r="B1485" i="20"/>
  <c r="B2247" i="20"/>
  <c r="B28" i="12"/>
  <c r="H72" i="8"/>
  <c r="H82" i="1"/>
  <c r="B734" i="16"/>
  <c r="B38" i="20"/>
  <c r="A1724" i="16"/>
  <c r="G112" i="9"/>
  <c r="B112" i="8"/>
  <c r="H85" i="9"/>
  <c r="B62" i="18"/>
  <c r="H88" i="2"/>
  <c r="A1088" i="20"/>
  <c r="B119" i="13"/>
  <c r="B779" i="20"/>
  <c r="C137" i="18"/>
  <c r="B770" i="20"/>
  <c r="H122" i="12"/>
  <c r="B377" i="16"/>
  <c r="G21" i="1"/>
  <c r="B297" i="16"/>
  <c r="A1762" i="16"/>
  <c r="H89" i="2"/>
  <c r="E93" i="7"/>
  <c r="A630" i="16"/>
  <c r="B129" i="6"/>
  <c r="F91" i="5"/>
  <c r="B35" i="13"/>
  <c r="A259" i="16"/>
  <c r="H124" i="4"/>
  <c r="B3575" i="20"/>
  <c r="B444" i="16"/>
  <c r="A109" i="16"/>
  <c r="G89" i="4"/>
  <c r="H18" i="4"/>
  <c r="H45" i="1"/>
  <c r="H13" i="4"/>
  <c r="G123" i="5"/>
  <c r="G63" i="1"/>
  <c r="B350" i="16"/>
  <c r="B31" i="18"/>
  <c r="A444" i="16"/>
  <c r="B110" i="8"/>
  <c r="B674" i="20"/>
  <c r="A963" i="16"/>
  <c r="E2" i="6"/>
  <c r="A3502" i="20"/>
  <c r="G43" i="11"/>
  <c r="A813" i="16"/>
  <c r="A99" i="5"/>
  <c r="A69" i="5"/>
  <c r="A110" i="1"/>
  <c r="F63" i="5"/>
  <c r="A41" i="8"/>
  <c r="A892" i="16"/>
  <c r="A1611" i="16"/>
  <c r="B1177" i="16"/>
  <c r="A69" i="1"/>
  <c r="H101" i="4"/>
  <c r="G43" i="8"/>
  <c r="B67" i="4"/>
  <c r="B120" i="12"/>
  <c r="A6" i="15"/>
  <c r="B134" i="13"/>
  <c r="A362" i="16"/>
  <c r="B1849" i="16"/>
  <c r="G107" i="1"/>
  <c r="B1971" i="20"/>
  <c r="H121" i="10"/>
  <c r="E10" i="11"/>
  <c r="H118" i="11"/>
  <c r="B123" i="10"/>
  <c r="E1" i="2"/>
  <c r="B114" i="10"/>
  <c r="B118" i="18"/>
  <c r="G148" i="4"/>
  <c r="A1672" i="20"/>
  <c r="B121" i="12"/>
  <c r="B63" i="13"/>
  <c r="B9" i="17"/>
  <c r="F94" i="5"/>
  <c r="H131" i="10"/>
  <c r="A578" i="16"/>
  <c r="H30" i="9"/>
  <c r="B6" i="2"/>
  <c r="B577" i="20"/>
  <c r="E139" i="13"/>
  <c r="G118" i="9"/>
  <c r="B7" i="9"/>
  <c r="B63" i="2"/>
  <c r="H30" i="11"/>
  <c r="G8" i="12"/>
  <c r="G132" i="13"/>
  <c r="B1017" i="16"/>
  <c r="G59" i="1"/>
  <c r="B937" i="16"/>
  <c r="B30" i="11"/>
  <c r="B126" i="2"/>
  <c r="A54" i="16"/>
  <c r="C7" i="18"/>
  <c r="B1230" i="16"/>
  <c r="A1194" i="16"/>
  <c r="A519" i="20"/>
  <c r="A77" i="2"/>
  <c r="B105" i="20"/>
  <c r="G28" i="4"/>
  <c r="G104" i="1"/>
  <c r="A581" i="20"/>
  <c r="A58" i="11"/>
  <c r="A40" i="19"/>
  <c r="B457" i="20"/>
  <c r="B100" i="4"/>
  <c r="A2504" i="20"/>
  <c r="B188" i="16"/>
  <c r="A13" i="16"/>
  <c r="G67" i="4"/>
  <c r="B2741" i="20"/>
  <c r="A1788" i="16"/>
  <c r="B1399" i="20"/>
  <c r="B88" i="5"/>
  <c r="H94" i="2"/>
  <c r="A2255" i="20"/>
  <c r="B340" i="20"/>
  <c r="A701" i="16"/>
  <c r="H58" i="5"/>
  <c r="A526" i="16"/>
  <c r="A875" i="16"/>
  <c r="F21" i="1"/>
  <c r="B9" i="7"/>
  <c r="H114" i="9"/>
  <c r="A62" i="8"/>
  <c r="B520" i="16"/>
  <c r="A553" i="20"/>
  <c r="A36" i="12"/>
  <c r="B42" i="5"/>
  <c r="A860" i="16"/>
  <c r="B132" i="19"/>
  <c r="B132" i="10"/>
  <c r="B14" i="13"/>
  <c r="B505" i="16"/>
  <c r="H119" i="9"/>
  <c r="G45" i="9"/>
  <c r="H46" i="10"/>
  <c r="B1" i="18"/>
  <c r="A23" i="18"/>
  <c r="B7" i="8"/>
  <c r="A9" i="1"/>
  <c r="B48" i="6"/>
  <c r="H47" i="10"/>
  <c r="E5" i="1"/>
  <c r="A864" i="16"/>
  <c r="G96" i="1"/>
  <c r="A295" i="16"/>
  <c r="G87" i="7"/>
  <c r="A1384" i="16"/>
  <c r="A114" i="13"/>
  <c r="C24" i="18"/>
  <c r="A182" i="20"/>
  <c r="F95" i="1"/>
  <c r="B115" i="9"/>
  <c r="G29" i="9"/>
  <c r="A688" i="16"/>
  <c r="A392" i="16"/>
  <c r="A868" i="16"/>
  <c r="B38" i="4"/>
  <c r="G65" i="12"/>
  <c r="B431" i="16"/>
  <c r="B238" i="16"/>
  <c r="B407" i="16"/>
  <c r="B228" i="16"/>
  <c r="B7089" i="20"/>
  <c r="B4632" i="20"/>
  <c r="B2312" i="20"/>
  <c r="B611" i="20"/>
  <c r="B3766" i="20"/>
  <c r="B440" i="16"/>
  <c r="A107" i="5"/>
  <c r="B3020" i="20"/>
  <c r="B783" i="16"/>
  <c r="A1379" i="16"/>
  <c r="A97" i="18"/>
  <c r="B1242" i="16"/>
  <c r="B1142" i="16"/>
  <c r="B64" i="5"/>
  <c r="H154" i="8"/>
  <c r="A76" i="13"/>
  <c r="A29" i="13"/>
  <c r="B473" i="16"/>
  <c r="A998" i="16"/>
  <c r="A8" i="9"/>
  <c r="H130" i="8"/>
  <c r="H24" i="4"/>
  <c r="F38" i="1"/>
  <c r="G16" i="10"/>
  <c r="B138" i="9"/>
  <c r="A77" i="5"/>
  <c r="B973" i="16"/>
  <c r="B989" i="16"/>
  <c r="A57" i="10"/>
  <c r="B965" i="16"/>
  <c r="A49" i="10"/>
  <c r="A6448" i="20"/>
  <c r="A1135" i="20"/>
  <c r="B1810" i="16"/>
  <c r="B2518" i="20"/>
  <c r="B584" i="16"/>
  <c r="B2506" i="20"/>
  <c r="A157" i="20"/>
  <c r="B1220" i="16"/>
  <c r="B1341" i="16"/>
  <c r="B511" i="20"/>
  <c r="A51" i="19"/>
  <c r="F156" i="4"/>
  <c r="A120" i="4"/>
  <c r="G43" i="6"/>
  <c r="B938" i="20"/>
  <c r="E76" i="8"/>
  <c r="E5" i="8"/>
  <c r="B58" i="2"/>
  <c r="H100" i="2"/>
  <c r="A85" i="18"/>
  <c r="B1943" i="20"/>
  <c r="B1607" i="20"/>
  <c r="G109" i="1"/>
  <c r="B120" i="19"/>
  <c r="A71" i="10"/>
  <c r="A87" i="20"/>
  <c r="B1823" i="16"/>
  <c r="A974" i="20"/>
  <c r="B1185" i="16"/>
  <c r="A926" i="20"/>
  <c r="B1169" i="16"/>
  <c r="A398" i="20"/>
  <c r="B289" i="19"/>
  <c r="B3160" i="20"/>
  <c r="A366" i="20"/>
  <c r="C5" i="18"/>
  <c r="B1469" i="16"/>
  <c r="A39" i="10"/>
  <c r="A95" i="13"/>
  <c r="A588" i="20"/>
  <c r="B669" i="16"/>
  <c r="A209" i="16"/>
  <c r="B78" i="19"/>
  <c r="E33" i="9"/>
  <c r="A150" i="9"/>
  <c r="A59" i="5"/>
  <c r="B577" i="16"/>
  <c r="B232" i="19"/>
  <c r="B146" i="20"/>
  <c r="H70" i="9"/>
  <c r="H113" i="12"/>
  <c r="B68" i="12"/>
  <c r="H46" i="11"/>
  <c r="A59" i="10"/>
  <c r="B90" i="16"/>
  <c r="A5" i="15"/>
  <c r="A73" i="18"/>
  <c r="H64" i="5"/>
  <c r="A742" i="16"/>
  <c r="G85" i="13"/>
  <c r="D28" i="11"/>
  <c r="B265" i="20"/>
  <c r="B199" i="19"/>
  <c r="B490" i="20"/>
  <c r="A2342" i="20"/>
  <c r="G137" i="7"/>
  <c r="A20" i="12"/>
  <c r="G44" i="9"/>
  <c r="A176" i="20"/>
  <c r="B19" i="4"/>
  <c r="F36" i="9"/>
  <c r="B3053" i="20"/>
  <c r="E113" i="1"/>
  <c r="B14" i="10"/>
  <c r="B66" i="10"/>
  <c r="B68" i="5"/>
  <c r="G134" i="10"/>
  <c r="A8" i="14"/>
  <c r="H103" i="10"/>
  <c r="F142" i="9"/>
  <c r="G83" i="9"/>
  <c r="B230" i="16"/>
  <c r="A196" i="16"/>
  <c r="A150" i="1"/>
  <c r="B1329" i="20"/>
  <c r="A22" i="18"/>
  <c r="B98" i="7"/>
  <c r="H131" i="11"/>
  <c r="H46" i="7"/>
  <c r="A43" i="11"/>
  <c r="A174" i="16"/>
  <c r="A30" i="4"/>
  <c r="A4889" i="20"/>
  <c r="B224" i="19"/>
  <c r="B2407" i="20"/>
  <c r="H104" i="8"/>
  <c r="B39" i="4"/>
  <c r="A951" i="20"/>
  <c r="A222" i="16"/>
  <c r="A64" i="13"/>
  <c r="H53" i="13"/>
  <c r="B549" i="16"/>
  <c r="H5" i="9"/>
  <c r="G73" i="6"/>
  <c r="G154" i="9"/>
  <c r="A126" i="1"/>
  <c r="A3640" i="20"/>
  <c r="B896" i="20"/>
  <c r="B12" i="16"/>
  <c r="G111" i="11"/>
  <c r="B107" i="2"/>
  <c r="G68" i="13"/>
  <c r="A18" i="19"/>
  <c r="F123" i="1"/>
  <c r="B134" i="18"/>
  <c r="B1616" i="20"/>
  <c r="B193" i="20"/>
  <c r="B470" i="16"/>
  <c r="B7" i="17"/>
  <c r="F11" i="2"/>
  <c r="B9" i="10"/>
  <c r="G88" i="9"/>
  <c r="B153" i="20"/>
  <c r="A3488" i="20"/>
  <c r="B1984" i="20"/>
  <c r="B748" i="16"/>
  <c r="A69" i="4"/>
  <c r="B48" i="4"/>
  <c r="A5851" i="20"/>
  <c r="A673" i="20"/>
  <c r="B70" i="11"/>
  <c r="E10" i="9"/>
  <c r="F132" i="5"/>
  <c r="H14" i="1"/>
  <c r="H120" i="5"/>
  <c r="A66" i="4"/>
  <c r="H78" i="4"/>
  <c r="B75" i="10"/>
  <c r="A912" i="20"/>
  <c r="B859" i="16"/>
  <c r="D2" i="10"/>
  <c r="H93" i="9"/>
  <c r="B820" i="16"/>
  <c r="A130" i="5"/>
  <c r="H18" i="1"/>
  <c r="B62" i="12"/>
  <c r="H121" i="2"/>
  <c r="A1148" i="20"/>
  <c r="B123" i="7"/>
  <c r="B17" i="8"/>
  <c r="A73" i="13"/>
  <c r="A91" i="5"/>
  <c r="A1129" i="20"/>
  <c r="B2275" i="20"/>
  <c r="B610" i="16"/>
  <c r="A14" i="4"/>
  <c r="B1" i="4"/>
  <c r="E2" i="2"/>
  <c r="B841" i="20"/>
  <c r="E27" i="5"/>
  <c r="E74" i="8"/>
  <c r="B1835" i="20"/>
  <c r="B625" i="16"/>
  <c r="G71" i="9"/>
  <c r="B660" i="16"/>
  <c r="B1332" i="16"/>
  <c r="A142" i="1"/>
  <c r="E7" i="1"/>
  <c r="B2313" i="20"/>
  <c r="A1985" i="20"/>
  <c r="A768" i="20"/>
  <c r="B662" i="16"/>
  <c r="A34" i="4"/>
  <c r="G17" i="4"/>
  <c r="B5417" i="20"/>
  <c r="A161" i="20"/>
  <c r="H9" i="11"/>
  <c r="B139" i="8"/>
  <c r="A54" i="5"/>
  <c r="B65" i="2"/>
  <c r="H39" i="5"/>
  <c r="B32" i="4"/>
  <c r="B33" i="17"/>
  <c r="A36" i="2"/>
  <c r="B1089" i="20"/>
  <c r="B347" i="16"/>
  <c r="G125" i="9"/>
  <c r="B132" i="8"/>
  <c r="B5" i="17"/>
  <c r="H48" i="10"/>
  <c r="C117" i="18"/>
  <c r="A61" i="7"/>
  <c r="A627" i="20"/>
  <c r="B2" i="7"/>
  <c r="H126" i="7"/>
  <c r="B52" i="12"/>
  <c r="A68" i="4"/>
  <c r="B2150" i="20"/>
  <c r="B617" i="20"/>
  <c r="B524" i="16"/>
  <c r="B714" i="20"/>
  <c r="A668" i="16"/>
  <c r="F102" i="1"/>
  <c r="B169" i="20"/>
  <c r="B35" i="4"/>
  <c r="A1472" i="16"/>
  <c r="B799" i="20"/>
  <c r="H20" i="6"/>
  <c r="B982" i="16"/>
  <c r="H7" i="5"/>
  <c r="A95" i="1"/>
  <c r="G14" i="9"/>
  <c r="H120" i="1"/>
  <c r="A49" i="1"/>
  <c r="A530" i="20"/>
  <c r="G140" i="8"/>
  <c r="B1260" i="16"/>
  <c r="E34" i="6"/>
  <c r="B132" i="5"/>
  <c r="A18" i="2"/>
  <c r="B3455" i="20"/>
  <c r="B1179" i="16"/>
  <c r="E35" i="10"/>
  <c r="B25" i="11"/>
  <c r="A18" i="5"/>
  <c r="B120" i="10"/>
  <c r="B24" i="6"/>
  <c r="A110" i="9"/>
  <c r="G43" i="4"/>
  <c r="B776" i="16"/>
  <c r="A937" i="20"/>
  <c r="A68" i="12"/>
  <c r="A11" i="5"/>
  <c r="B69" i="11"/>
  <c r="G67" i="10"/>
  <c r="B67" i="19"/>
  <c r="A928" i="20"/>
  <c r="A84" i="6"/>
  <c r="A1490" i="20"/>
  <c r="A1296" i="16"/>
  <c r="B42" i="9"/>
  <c r="A1" i="19"/>
  <c r="F119" i="1"/>
  <c r="B4485" i="20"/>
  <c r="G85" i="7"/>
  <c r="B1122" i="16"/>
  <c r="G91" i="5"/>
  <c r="B61" i="5"/>
  <c r="C122" i="1"/>
  <c r="G54" i="5"/>
  <c r="H76" i="1"/>
  <c r="G115" i="5"/>
  <c r="A1958" i="20"/>
  <c r="A344" i="16"/>
  <c r="B1678" i="16"/>
  <c r="A95" i="7"/>
  <c r="F114" i="1"/>
  <c r="B57" i="10"/>
  <c r="G62" i="7"/>
  <c r="F138" i="1"/>
  <c r="B87" i="5"/>
  <c r="B122" i="1"/>
  <c r="B1015" i="16"/>
  <c r="B634" i="16"/>
  <c r="A874" i="16"/>
  <c r="B262" i="19"/>
  <c r="B10" i="2"/>
  <c r="A436" i="20"/>
  <c r="A986" i="16"/>
  <c r="B130" i="11"/>
  <c r="A390" i="16"/>
  <c r="A78" i="16"/>
  <c r="E2" i="5"/>
  <c r="B12" i="15"/>
  <c r="B50" i="4"/>
  <c r="G74" i="5"/>
  <c r="B2807" i="20"/>
  <c r="B316" i="16"/>
  <c r="A61" i="16"/>
  <c r="G63" i="4"/>
  <c r="G121" i="7"/>
  <c r="B131" i="9"/>
  <c r="A86" i="1"/>
  <c r="A1508" i="16"/>
  <c r="A14" i="10"/>
  <c r="B2309" i="20"/>
  <c r="B987" i="16"/>
  <c r="G23" i="10"/>
  <c r="H95" i="10"/>
  <c r="A111" i="4"/>
  <c r="B183" i="16"/>
  <c r="B78" i="16"/>
  <c r="A458" i="16"/>
  <c r="B94" i="18"/>
  <c r="G118" i="1"/>
  <c r="A41" i="18"/>
  <c r="G83" i="13"/>
  <c r="B101" i="5"/>
  <c r="H153" i="8"/>
  <c r="B324" i="19"/>
  <c r="A84" i="19"/>
  <c r="A1706" i="16"/>
  <c r="B3069" i="20"/>
  <c r="E1" i="4"/>
  <c r="H91" i="4"/>
  <c r="G24" i="6"/>
  <c r="H17" i="1"/>
  <c r="B4061" i="20"/>
  <c r="A243" i="16"/>
  <c r="B4533" i="20"/>
  <c r="A1056" i="20"/>
  <c r="H83" i="7"/>
  <c r="B1676" i="20"/>
  <c r="B870" i="16"/>
  <c r="A269" i="16"/>
  <c r="A127" i="4"/>
  <c r="G58" i="4"/>
  <c r="H79" i="2"/>
  <c r="H51" i="4"/>
  <c r="A59" i="6"/>
  <c r="G62" i="2"/>
  <c r="B3834" i="20"/>
  <c r="H43" i="13"/>
  <c r="A957" i="16"/>
  <c r="H119" i="5"/>
  <c r="A37" i="4"/>
  <c r="B46" i="17"/>
  <c r="A46" i="1"/>
  <c r="G58" i="2"/>
  <c r="A1766" i="16"/>
  <c r="F3" i="4"/>
  <c r="B1200" i="16"/>
  <c r="B3613" i="20"/>
  <c r="C8" i="14"/>
  <c r="B18" i="7"/>
  <c r="A32" i="4"/>
  <c r="A773" i="20"/>
  <c r="G14" i="12"/>
  <c r="A354" i="19"/>
  <c r="B713" i="20"/>
  <c r="A4" i="5"/>
  <c r="B605" i="20"/>
  <c r="A134" i="10"/>
  <c r="A110" i="2"/>
  <c r="A139" i="1"/>
  <c r="A328" i="20"/>
  <c r="A52" i="19"/>
  <c r="H123" i="11"/>
  <c r="F123" i="7"/>
  <c r="H41" i="1"/>
  <c r="H84" i="9"/>
  <c r="E13" i="1"/>
  <c r="H65" i="4"/>
  <c r="B136" i="16"/>
  <c r="B777" i="16"/>
  <c r="H82" i="8"/>
  <c r="B51" i="9"/>
  <c r="F66" i="11"/>
  <c r="B556" i="16"/>
  <c r="A129" i="6"/>
  <c r="A116" i="16"/>
  <c r="F61" i="4"/>
  <c r="B75" i="4"/>
  <c r="B522" i="16"/>
  <c r="D2" i="1"/>
  <c r="B22" i="9"/>
  <c r="B1699" i="16"/>
  <c r="B57" i="9"/>
  <c r="H112" i="10"/>
  <c r="B9043" i="20"/>
  <c r="A336" i="19"/>
  <c r="B4145" i="20"/>
  <c r="A287" i="19"/>
  <c r="B3791" i="20"/>
  <c r="H70" i="8"/>
  <c r="B12" i="12"/>
  <c r="A335" i="20"/>
  <c r="G130" i="7"/>
  <c r="H82" i="13"/>
  <c r="A275" i="19"/>
  <c r="G54" i="10"/>
  <c r="B204" i="19"/>
  <c r="F4" i="13"/>
  <c r="B461" i="20"/>
  <c r="B897" i="16"/>
  <c r="A6" i="8"/>
  <c r="A1524" i="16"/>
  <c r="B311" i="16"/>
  <c r="G122" i="9"/>
  <c r="A98" i="1"/>
  <c r="B1776" i="16"/>
  <c r="E1" i="11"/>
  <c r="A6119" i="20"/>
  <c r="A195" i="19"/>
  <c r="A2465" i="20"/>
  <c r="A73" i="19"/>
  <c r="E156" i="9"/>
  <c r="B54" i="13"/>
  <c r="A92" i="10"/>
  <c r="B1929" i="20"/>
  <c r="G18" i="5"/>
  <c r="H9" i="10"/>
  <c r="A2537" i="20"/>
  <c r="C123" i="18"/>
  <c r="B127" i="2"/>
  <c r="B1919" i="20"/>
  <c r="A154" i="4"/>
  <c r="B126" i="16"/>
  <c r="B56" i="9"/>
  <c r="A3272" i="20"/>
  <c r="G123" i="6"/>
  <c r="H6" i="10"/>
  <c r="B4283" i="20"/>
  <c r="B58" i="4"/>
  <c r="H77" i="6"/>
  <c r="F33" i="12"/>
  <c r="E63" i="7"/>
  <c r="A1721" i="16"/>
  <c r="A968" i="16"/>
  <c r="B1" i="1"/>
  <c r="G56" i="8"/>
  <c r="A214" i="19"/>
  <c r="B121" i="6"/>
  <c r="A359" i="20"/>
  <c r="A17" i="2"/>
  <c r="H67" i="10"/>
  <c r="A23" i="7"/>
  <c r="G78" i="2"/>
  <c r="A5" i="14"/>
  <c r="H24" i="11"/>
  <c r="G155" i="1"/>
  <c r="A69" i="10"/>
  <c r="A56" i="10"/>
  <c r="G129" i="1"/>
  <c r="B1199" i="20"/>
  <c r="C22" i="18"/>
  <c r="B83" i="5"/>
  <c r="G62" i="1"/>
  <c r="A2" i="1"/>
  <c r="A65" i="19"/>
  <c r="A105" i="9"/>
  <c r="A93" i="18"/>
  <c r="B95" i="6"/>
  <c r="H84" i="11"/>
  <c r="A1102" i="16"/>
  <c r="H127" i="4"/>
  <c r="B1982" i="20"/>
  <c r="A41" i="10"/>
  <c r="C98" i="18"/>
  <c r="G14" i="7"/>
  <c r="H126" i="13"/>
  <c r="B3201" i="20"/>
  <c r="B986" i="20"/>
  <c r="B374" i="19"/>
  <c r="A876" i="16"/>
  <c r="A226" i="19"/>
  <c r="A1024" i="16"/>
  <c r="B3257" i="20"/>
  <c r="E102" i="11"/>
  <c r="B275" i="20"/>
  <c r="A43" i="1"/>
  <c r="A16" i="12"/>
  <c r="B940" i="16"/>
  <c r="B1049" i="16"/>
  <c r="A1088" i="16"/>
  <c r="H50" i="5"/>
  <c r="B520" i="20"/>
  <c r="B1380" i="16"/>
  <c r="B377" i="20"/>
  <c r="B921" i="16"/>
  <c r="B234" i="16"/>
  <c r="A116" i="7"/>
  <c r="B1996" i="20"/>
  <c r="G147" i="4"/>
  <c r="B618" i="20"/>
  <c r="H64" i="4"/>
  <c r="F133" i="13"/>
  <c r="B1320" i="16"/>
  <c r="A91" i="19"/>
  <c r="B1304" i="16"/>
  <c r="A75" i="19"/>
  <c r="A15" i="21"/>
  <c r="A2596" i="20"/>
  <c r="B143" i="18"/>
  <c r="B157" i="16"/>
  <c r="F2" i="7"/>
  <c r="A182" i="19"/>
  <c r="B71" i="13"/>
  <c r="A5990" i="20"/>
  <c r="B1616" i="16"/>
  <c r="B720" i="20"/>
  <c r="A1381" i="16"/>
  <c r="A240" i="20"/>
  <c r="B70" i="19"/>
  <c r="A118" i="7"/>
  <c r="A1346" i="16"/>
  <c r="B1169" i="20"/>
  <c r="B1420" i="16"/>
  <c r="F41" i="1"/>
  <c r="B97" i="7"/>
  <c r="B2424" i="20"/>
  <c r="G24" i="9"/>
  <c r="G104" i="7"/>
  <c r="B26" i="11"/>
  <c r="A52" i="20"/>
  <c r="A12" i="13"/>
  <c r="F78" i="10"/>
  <c r="A3817" i="20"/>
  <c r="A325" i="16"/>
  <c r="A3433" i="20"/>
  <c r="A309" i="16"/>
  <c r="A2965" i="20"/>
  <c r="B4839" i="20"/>
  <c r="B3975" i="20"/>
  <c r="A5064" i="20"/>
  <c r="B696" i="20"/>
  <c r="B2669" i="20"/>
  <c r="A22" i="12"/>
  <c r="A383" i="16"/>
  <c r="B112" i="12"/>
  <c r="A677" i="16"/>
  <c r="D2" i="13"/>
  <c r="G46" i="12"/>
  <c r="A2396" i="20"/>
  <c r="H98" i="7"/>
  <c r="A1846" i="16"/>
  <c r="H103" i="1"/>
  <c r="A645" i="20"/>
  <c r="G120" i="4"/>
  <c r="A64" i="1"/>
  <c r="G47" i="13"/>
  <c r="A1493" i="16"/>
  <c r="B88" i="2"/>
  <c r="H91" i="1"/>
  <c r="B1590" i="16"/>
  <c r="B723" i="16"/>
  <c r="G64" i="9"/>
  <c r="A98" i="2"/>
  <c r="A2" i="19"/>
  <c r="B170" i="19"/>
  <c r="H65" i="5"/>
  <c r="B146" i="19"/>
  <c r="B63" i="5"/>
  <c r="A2161" i="20"/>
  <c r="A1207" i="16"/>
  <c r="A1793" i="16"/>
  <c r="B3919" i="20"/>
  <c r="B133" i="16"/>
  <c r="A86" i="11"/>
  <c r="B1677" i="20"/>
  <c r="A431" i="20"/>
  <c r="A139" i="20"/>
  <c r="A3912" i="20"/>
  <c r="B1517" i="20"/>
  <c r="A15" i="8"/>
  <c r="G122" i="7"/>
  <c r="A558" i="16"/>
  <c r="B17" i="6"/>
  <c r="G78" i="4"/>
  <c r="B1527" i="20"/>
  <c r="G58" i="5"/>
  <c r="G77" i="9"/>
  <c r="A825" i="20"/>
  <c r="B554" i="16"/>
  <c r="F75" i="1"/>
  <c r="H45" i="4"/>
  <c r="B2845" i="20"/>
  <c r="H120" i="11"/>
  <c r="G90" i="2"/>
  <c r="A1118" i="16"/>
  <c r="B1760" i="20"/>
  <c r="B63" i="4"/>
  <c r="H116" i="6"/>
  <c r="A358" i="16"/>
  <c r="G92" i="7"/>
  <c r="B133" i="13"/>
  <c r="A45" i="12"/>
  <c r="B3063" i="20"/>
  <c r="E11" i="4"/>
  <c r="D33" i="1"/>
  <c r="H72" i="5"/>
  <c r="E5" i="5"/>
  <c r="B53" i="6"/>
  <c r="H147" i="8"/>
  <c r="B244" i="16"/>
  <c r="B4127" i="20"/>
  <c r="B135" i="2"/>
  <c r="H59" i="4"/>
  <c r="B126" i="8"/>
  <c r="A132" i="13"/>
  <c r="B1649" i="16"/>
  <c r="A110" i="16"/>
  <c r="B55" i="2"/>
  <c r="H69" i="12"/>
  <c r="H120" i="7"/>
  <c r="A3375" i="20"/>
  <c r="B1252" i="20"/>
  <c r="B738" i="16"/>
  <c r="H63" i="4"/>
  <c r="H44" i="4"/>
  <c r="H119" i="2"/>
  <c r="B1325" i="20"/>
  <c r="G102" i="7"/>
  <c r="F57" i="1"/>
  <c r="A146" i="20"/>
  <c r="H50" i="8"/>
  <c r="B1196" i="16"/>
  <c r="G106" i="5"/>
  <c r="B12" i="8"/>
  <c r="A1254" i="16"/>
  <c r="F71" i="1"/>
  <c r="H46" i="4"/>
  <c r="B4346" i="20"/>
  <c r="G103" i="13"/>
  <c r="A989" i="16"/>
  <c r="A8" i="6"/>
  <c r="A123" i="5"/>
  <c r="H152" i="1"/>
  <c r="A1075" i="20"/>
  <c r="H106" i="7"/>
  <c r="F13" i="8"/>
  <c r="A54" i="13"/>
  <c r="B72" i="5"/>
  <c r="E28" i="13"/>
  <c r="B26" i="7"/>
  <c r="A352" i="20"/>
  <c r="B71" i="10"/>
  <c r="A934" i="20"/>
  <c r="A528" i="16"/>
  <c r="F5" i="9"/>
  <c r="B1484" i="16"/>
  <c r="H92" i="1"/>
  <c r="A74" i="9"/>
  <c r="G68" i="5"/>
  <c r="B402" i="20"/>
  <c r="B1546" i="16"/>
  <c r="F9" i="7"/>
  <c r="H116" i="9"/>
  <c r="B62" i="13"/>
  <c r="A26" i="5"/>
  <c r="A978" i="20"/>
  <c r="A87" i="9"/>
  <c r="B1334" i="16"/>
  <c r="B86" i="6"/>
  <c r="E47" i="6"/>
  <c r="A45" i="2"/>
  <c r="G36" i="6"/>
  <c r="F28" i="1"/>
  <c r="F125" i="7"/>
  <c r="B1288" i="20"/>
  <c r="A27" i="6"/>
  <c r="C65" i="18"/>
  <c r="G105" i="8"/>
  <c r="A139" i="4"/>
  <c r="A37" i="7"/>
  <c r="A1122" i="20"/>
  <c r="H86" i="7"/>
  <c r="H108" i="9"/>
  <c r="B3992" i="20"/>
  <c r="H104" i="13"/>
  <c r="B32" i="17"/>
  <c r="A87" i="7"/>
  <c r="A118" i="10"/>
  <c r="A90" i="6"/>
  <c r="B1348" i="20"/>
  <c r="A122" i="19"/>
  <c r="B69" i="9"/>
  <c r="B1631" i="20"/>
  <c r="H76" i="2"/>
  <c r="B940" i="20"/>
  <c r="A1504" i="16"/>
  <c r="B13" i="2"/>
  <c r="H88" i="7"/>
  <c r="G90" i="13"/>
  <c r="G90" i="4"/>
  <c r="B101" i="12"/>
  <c r="B8" i="5"/>
  <c r="B141" i="8"/>
  <c r="B12" i="6"/>
  <c r="E150" i="4"/>
  <c r="B8" i="7"/>
  <c r="A1689" i="20"/>
  <c r="A18" i="6"/>
  <c r="B87" i="9"/>
  <c r="B91" i="11"/>
  <c r="B26" i="4"/>
  <c r="A466" i="20"/>
  <c r="H124" i="8"/>
  <c r="B1250" i="16"/>
  <c r="E26" i="6"/>
  <c r="A126" i="5"/>
  <c r="A14" i="2"/>
  <c r="A119" i="5"/>
  <c r="A89" i="2"/>
  <c r="F140" i="1"/>
  <c r="B2927" i="20"/>
  <c r="B27" i="17"/>
  <c r="A18" i="17"/>
  <c r="A44" i="8"/>
  <c r="A93" i="2"/>
  <c r="B1836" i="16"/>
  <c r="B10" i="6"/>
  <c r="G106" i="8"/>
  <c r="B4235" i="20"/>
  <c r="G1" i="12"/>
  <c r="A1757" i="16"/>
  <c r="H57" i="7"/>
  <c r="H1" i="10"/>
  <c r="G14" i="5"/>
  <c r="A1234" i="20"/>
  <c r="A1168" i="16"/>
  <c r="H38" i="9"/>
  <c r="A108" i="18"/>
  <c r="F107" i="1"/>
  <c r="C53" i="18"/>
  <c r="A480" i="16"/>
  <c r="A112" i="1"/>
  <c r="A121" i="5"/>
  <c r="A119" i="11"/>
  <c r="B47" i="9"/>
  <c r="F26" i="10"/>
  <c r="A955" i="16"/>
  <c r="F61" i="10"/>
  <c r="A866" i="16"/>
  <c r="G76" i="10"/>
  <c r="B682" i="20"/>
  <c r="A1017" i="16"/>
  <c r="A274" i="16"/>
  <c r="A10" i="11"/>
  <c r="G91" i="11"/>
  <c r="A115" i="1"/>
  <c r="B1716" i="20"/>
  <c r="B102" i="6"/>
  <c r="A120" i="18"/>
  <c r="G15" i="9"/>
  <c r="G131" i="8"/>
  <c r="A124" i="7"/>
  <c r="A122" i="8"/>
  <c r="A57" i="5"/>
  <c r="H94" i="1"/>
  <c r="B2981" i="20"/>
  <c r="A117" i="11"/>
  <c r="A32" i="11"/>
  <c r="E96" i="11"/>
  <c r="H83" i="5"/>
  <c r="H36" i="11"/>
  <c r="E94" i="1"/>
  <c r="D78" i="8"/>
  <c r="G99" i="4"/>
  <c r="A5913" i="20"/>
  <c r="B352" i="19"/>
  <c r="B3701" i="20"/>
  <c r="H126" i="8"/>
  <c r="G24" i="5"/>
  <c r="B27" i="2"/>
  <c r="A185" i="16"/>
  <c r="A83" i="10"/>
  <c r="A90" i="10"/>
  <c r="B95" i="18"/>
  <c r="A828" i="16"/>
  <c r="A42" i="18"/>
  <c r="E4" i="10"/>
  <c r="A128" i="1"/>
  <c r="H67" i="6"/>
  <c r="B119" i="11"/>
  <c r="B69" i="12"/>
  <c r="A111" i="13"/>
  <c r="B953" i="16"/>
  <c r="A84" i="1"/>
  <c r="A66" i="6"/>
  <c r="A31" i="2"/>
  <c r="F121" i="1"/>
  <c r="H81" i="6"/>
  <c r="G138" i="8"/>
  <c r="B1848" i="16"/>
  <c r="B331" i="20"/>
  <c r="A360" i="16"/>
  <c r="H59" i="8"/>
  <c r="B86" i="4"/>
  <c r="B3037" i="20"/>
  <c r="A179" i="16"/>
  <c r="B2615" i="20"/>
  <c r="A800" i="20"/>
  <c r="B54" i="7"/>
  <c r="A480" i="20"/>
  <c r="B76" i="13"/>
  <c r="D36" i="5"/>
  <c r="F20" i="1"/>
  <c r="A1818" i="20"/>
  <c r="A116" i="11"/>
  <c r="B54" i="12"/>
  <c r="H78" i="8"/>
  <c r="H52" i="2"/>
  <c r="B4" i="8"/>
  <c r="B118" i="2"/>
  <c r="A428" i="16"/>
  <c r="B1460" i="20"/>
  <c r="G57" i="6"/>
  <c r="A87" i="18"/>
  <c r="B154" i="8"/>
  <c r="A109" i="8"/>
  <c r="H42" i="7"/>
  <c r="B1160" i="16"/>
  <c r="B2650" i="20"/>
  <c r="H131" i="13"/>
  <c r="F3" i="7"/>
  <c r="E28" i="4"/>
  <c r="G116" i="6"/>
  <c r="G129" i="10"/>
  <c r="B57" i="18"/>
  <c r="B21" i="10"/>
  <c r="A167" i="16"/>
  <c r="F28" i="7"/>
  <c r="A1192" i="16"/>
  <c r="B76" i="10"/>
  <c r="G95" i="1"/>
  <c r="E33" i="8"/>
  <c r="A26" i="9"/>
  <c r="B43" i="6"/>
  <c r="A1831" i="16"/>
  <c r="A1044" i="16"/>
  <c r="B37" i="19"/>
  <c r="A36" i="6"/>
  <c r="A128" i="2"/>
  <c r="A3480" i="20"/>
  <c r="B177" i="16"/>
  <c r="H117" i="12"/>
  <c r="A48" i="9"/>
  <c r="H15" i="1"/>
  <c r="B3669" i="20"/>
  <c r="G76" i="13"/>
  <c r="A103" i="2"/>
  <c r="A178" i="19"/>
  <c r="A1180" i="20"/>
  <c r="B318" i="19"/>
  <c r="B86" i="16"/>
  <c r="A70" i="12"/>
  <c r="B35" i="2"/>
  <c r="G67" i="5"/>
  <c r="B4" i="5"/>
  <c r="B2391" i="20"/>
  <c r="F136" i="1"/>
  <c r="A244" i="20"/>
  <c r="A602" i="16"/>
  <c r="G106" i="11"/>
  <c r="A198" i="16"/>
  <c r="A102" i="13"/>
  <c r="A96" i="4"/>
  <c r="A999" i="16"/>
  <c r="A129" i="9"/>
  <c r="A1736" i="16"/>
  <c r="A1312" i="16"/>
  <c r="E4" i="2"/>
  <c r="A1152" i="16"/>
  <c r="B109" i="5"/>
  <c r="A1291" i="16"/>
  <c r="A1600" i="16"/>
  <c r="B165" i="16"/>
  <c r="A119" i="7"/>
  <c r="E36" i="6"/>
  <c r="F4" i="9"/>
  <c r="A118" i="1"/>
  <c r="A20" i="4"/>
  <c r="F115" i="1"/>
  <c r="C78" i="1"/>
  <c r="A63" i="4"/>
  <c r="B1271" i="20"/>
  <c r="F155" i="1"/>
  <c r="A71" i="5"/>
  <c r="B873" i="20"/>
  <c r="B858" i="20"/>
  <c r="B127" i="8"/>
  <c r="G29" i="12"/>
  <c r="B145" i="9"/>
  <c r="H60" i="8"/>
  <c r="B364" i="20"/>
  <c r="H9" i="12"/>
  <c r="B801" i="20"/>
  <c r="H117" i="4"/>
  <c r="B358" i="20"/>
  <c r="B2909" i="20"/>
  <c r="H98" i="4"/>
  <c r="B1628" i="20"/>
  <c r="A404" i="16"/>
  <c r="C79" i="18"/>
  <c r="A19" i="6"/>
  <c r="A1517" i="16"/>
  <c r="A564" i="20"/>
  <c r="B136" i="7"/>
  <c r="B23" i="10"/>
  <c r="A52" i="12"/>
  <c r="A402" i="49"/>
  <c r="B7333" i="20"/>
  <c r="C114" i="18"/>
  <c r="A950" i="20"/>
  <c r="B312" i="16"/>
  <c r="G61" i="10"/>
  <c r="A1326" i="16"/>
  <c r="A522" i="16"/>
  <c r="A258" i="19"/>
  <c r="B73" i="4"/>
  <c r="F13" i="11"/>
  <c r="A3803" i="20"/>
  <c r="B3589" i="20"/>
  <c r="A337" i="16"/>
  <c r="B69" i="8"/>
  <c r="B260" i="19"/>
  <c r="B6" i="4"/>
  <c r="G72" i="6"/>
  <c r="B1459" i="20"/>
  <c r="A52" i="1"/>
  <c r="C102" i="18"/>
  <c r="A1339" i="16"/>
  <c r="C122" i="8"/>
  <c r="B46" i="20"/>
  <c r="G37" i="1"/>
  <c r="B1337" i="16"/>
  <c r="A1160" i="20"/>
  <c r="A355" i="19"/>
  <c r="H80" i="6"/>
  <c r="G63" i="8"/>
  <c r="A27" i="8"/>
  <c r="A7" i="10"/>
  <c r="G106" i="4"/>
  <c r="B546" i="20"/>
  <c r="G66" i="10"/>
  <c r="C6" i="18"/>
  <c r="B1223" i="20"/>
  <c r="B83" i="9"/>
  <c r="A1014" i="16"/>
  <c r="B1464" i="16"/>
  <c r="G138" i="1"/>
  <c r="G18" i="4"/>
  <c r="B2692" i="20"/>
  <c r="A338" i="19"/>
  <c r="A722" i="20"/>
  <c r="H53" i="7"/>
  <c r="A125" i="9"/>
  <c r="B3951" i="20"/>
  <c r="B81" i="7"/>
  <c r="A608" i="20"/>
  <c r="A3916" i="20"/>
  <c r="H71" i="7"/>
  <c r="A2114" i="20"/>
  <c r="B236" i="20"/>
  <c r="A86" i="6"/>
  <c r="B2473" i="20"/>
  <c r="B128" i="11"/>
  <c r="C1" i="1"/>
  <c r="H83" i="10"/>
  <c r="B1207" i="16"/>
  <c r="H130" i="5"/>
  <c r="G5" i="9"/>
  <c r="A2470" i="20"/>
  <c r="G29" i="8"/>
  <c r="A996" i="16"/>
  <c r="A371" i="20"/>
  <c r="B49" i="9"/>
  <c r="B245" i="20"/>
  <c r="A1852" i="16"/>
  <c r="G135" i="2"/>
  <c r="A789" i="16"/>
  <c r="B12" i="5"/>
  <c r="G124" i="10"/>
  <c r="B2278" i="20"/>
  <c r="B970" i="20"/>
  <c r="B1104" i="20"/>
  <c r="A4761" i="20"/>
  <c r="A626" i="20"/>
  <c r="H13" i="8"/>
  <c r="H23" i="7"/>
  <c r="B224" i="20"/>
  <c r="F11" i="4"/>
  <c r="B202" i="20"/>
  <c r="A10" i="4"/>
  <c r="E3" i="1"/>
  <c r="B3389" i="20"/>
  <c r="A22" i="20"/>
  <c r="F99" i="12"/>
  <c r="B357" i="19"/>
  <c r="G88" i="12"/>
  <c r="A5406" i="20"/>
  <c r="B2584" i="20"/>
  <c r="B379" i="20"/>
  <c r="A2899" i="20"/>
  <c r="B343" i="16"/>
  <c r="G51" i="12"/>
  <c r="B1576" i="20"/>
  <c r="B1791" i="20"/>
  <c r="A726" i="20"/>
  <c r="B314" i="45"/>
  <c r="B1168" i="16"/>
  <c r="B2199" i="20"/>
  <c r="B218" i="20"/>
  <c r="A98" i="7"/>
  <c r="E65" i="6"/>
  <c r="F47" i="10"/>
  <c r="B12" i="10"/>
  <c r="A117" i="5"/>
  <c r="B68" i="2"/>
  <c r="B93" i="7"/>
  <c r="F26" i="7"/>
  <c r="A29" i="8"/>
  <c r="H24" i="12"/>
  <c r="A137" i="9"/>
  <c r="G63" i="9"/>
  <c r="A136" i="2"/>
  <c r="B3925" i="20"/>
  <c r="B464" i="16"/>
  <c r="A473" i="20"/>
  <c r="B456" i="16"/>
  <c r="A457" i="20"/>
  <c r="A5520" i="20"/>
  <c r="A2402" i="20"/>
  <c r="A82" i="12"/>
  <c r="A252" i="19"/>
  <c r="A671" i="20"/>
  <c r="A30" i="13"/>
  <c r="A30" i="19"/>
  <c r="A2892" i="20"/>
  <c r="B696" i="16"/>
  <c r="A903" i="16"/>
  <c r="A101" i="16"/>
  <c r="A315" i="19"/>
  <c r="A1147" i="16"/>
  <c r="A76" i="1"/>
  <c r="B138" i="7"/>
  <c r="B248" i="19"/>
  <c r="A77" i="12"/>
  <c r="A599" i="20"/>
  <c r="G75" i="1"/>
  <c r="B1579" i="20"/>
  <c r="B31" i="5"/>
  <c r="A99" i="2"/>
  <c r="B306" i="20"/>
  <c r="A1638" i="20"/>
  <c r="A49" i="7"/>
  <c r="F97" i="1"/>
  <c r="H49" i="13"/>
  <c r="B943" i="16"/>
  <c r="B580" i="16"/>
  <c r="B919" i="16"/>
  <c r="B570" i="16"/>
  <c r="B1892" i="20"/>
  <c r="A611" i="45"/>
  <c r="B4347" i="20"/>
  <c r="A438" i="20"/>
  <c r="A2771" i="20"/>
  <c r="B784" i="16"/>
  <c r="F26" i="9"/>
  <c r="A1438" i="20"/>
  <c r="B1295" i="16"/>
  <c r="B353" i="16"/>
  <c r="B1391" i="20"/>
  <c r="B1684" i="16"/>
  <c r="B1534" i="16"/>
  <c r="A6" i="7"/>
  <c r="A610" i="16"/>
  <c r="B174" i="16"/>
  <c r="B76" i="16"/>
  <c r="B1056" i="20"/>
  <c r="B52" i="6"/>
  <c r="G126" i="9"/>
  <c r="A93" i="9"/>
  <c r="A16" i="5"/>
  <c r="A96" i="1"/>
  <c r="B18" i="11"/>
  <c r="A103" i="10"/>
  <c r="B66" i="7"/>
  <c r="B14" i="6"/>
  <c r="A1675" i="16"/>
  <c r="A1220" i="16"/>
  <c r="A110" i="19"/>
  <c r="A1268" i="16"/>
  <c r="A865" i="20"/>
  <c r="A313" i="19"/>
  <c r="B1573" i="16"/>
  <c r="A35" i="2"/>
  <c r="A388" i="16"/>
  <c r="E27" i="2"/>
  <c r="B642" i="16"/>
  <c r="G24" i="4"/>
  <c r="B918" i="16"/>
  <c r="A35" i="19"/>
  <c r="G141" i="1"/>
  <c r="A121" i="10"/>
  <c r="A57" i="12"/>
  <c r="C116" i="18"/>
  <c r="C78" i="8"/>
  <c r="B382" i="19"/>
  <c r="H105" i="1"/>
  <c r="E35" i="9"/>
  <c r="H66" i="9"/>
  <c r="E133" i="7"/>
  <c r="A315" i="16"/>
  <c r="A96" i="18"/>
  <c r="A91" i="12"/>
  <c r="G99" i="13"/>
  <c r="B722" i="20"/>
  <c r="B2" i="19"/>
  <c r="B109" i="12"/>
  <c r="B97" i="18"/>
  <c r="A48" i="5"/>
  <c r="A109" i="2"/>
  <c r="B2252" i="20"/>
  <c r="B1830" i="16"/>
  <c r="A573" i="16"/>
  <c r="B28" i="5"/>
  <c r="G45" i="12"/>
  <c r="A1538" i="16"/>
  <c r="A94" i="1"/>
  <c r="A93" i="8"/>
  <c r="A23" i="10"/>
  <c r="B176" i="16"/>
  <c r="A41" i="20"/>
  <c r="A49" i="11"/>
  <c r="G77" i="4"/>
  <c r="H94" i="10"/>
  <c r="A280" i="19"/>
  <c r="B1476" i="16"/>
  <c r="A1482" i="16"/>
  <c r="A1095" i="20"/>
  <c r="A82" i="2"/>
  <c r="A1015" i="20"/>
  <c r="B1214" i="16"/>
  <c r="A684" i="16"/>
  <c r="F84" i="1"/>
  <c r="A327" i="19"/>
  <c r="A627" i="16"/>
  <c r="F6" i="11"/>
  <c r="A1226" i="20"/>
  <c r="E94" i="9"/>
  <c r="A47" i="7"/>
  <c r="A886" i="16"/>
  <c r="G65" i="10"/>
  <c r="A584" i="20"/>
  <c r="B134" i="20"/>
  <c r="A3" i="12"/>
  <c r="A32" i="8"/>
  <c r="F17" i="1"/>
  <c r="A2990" i="20"/>
  <c r="B4309" i="20"/>
  <c r="A781" i="16"/>
  <c r="B92" i="5"/>
  <c r="B60" i="5"/>
  <c r="G103" i="1"/>
  <c r="G53" i="5"/>
  <c r="F27" i="8"/>
  <c r="G101" i="10"/>
  <c r="A2929" i="20"/>
  <c r="A1813" i="16"/>
  <c r="A1469" i="16"/>
  <c r="H104" i="6"/>
  <c r="B36" i="6"/>
  <c r="B361" i="16"/>
  <c r="B113" i="2"/>
  <c r="A1590" i="16"/>
  <c r="B132" i="9"/>
  <c r="H156" i="1"/>
  <c r="G68" i="12"/>
  <c r="A1514" i="20"/>
  <c r="A1000" i="16"/>
  <c r="H45" i="10"/>
  <c r="B119" i="2"/>
  <c r="B965" i="20"/>
  <c r="A1459" i="16"/>
  <c r="B68" i="11"/>
  <c r="B69" i="7"/>
  <c r="G115" i="12"/>
  <c r="E26" i="11"/>
  <c r="A1115" i="16"/>
  <c r="E47" i="9"/>
  <c r="F27" i="5"/>
  <c r="B221" i="19"/>
  <c r="B206" i="16"/>
  <c r="A115" i="5"/>
  <c r="A114" i="1"/>
  <c r="H18" i="8"/>
  <c r="B32" i="7"/>
  <c r="G104" i="10"/>
  <c r="A34" i="7"/>
  <c r="B2563" i="20"/>
  <c r="A1779" i="16"/>
  <c r="H93" i="11"/>
  <c r="B106" i="7"/>
  <c r="A908" i="16"/>
  <c r="A1487" i="20"/>
  <c r="B35" i="19"/>
  <c r="A653" i="16"/>
  <c r="F62" i="5"/>
  <c r="H18" i="5"/>
  <c r="A74" i="1"/>
  <c r="F10" i="5"/>
  <c r="H107" i="7"/>
  <c r="H88" i="4"/>
  <c r="B2870" i="20"/>
  <c r="A1301" i="16"/>
  <c r="A1341" i="16"/>
  <c r="B75" i="6"/>
  <c r="B74" i="5"/>
  <c r="A1387" i="16"/>
  <c r="A820" i="16"/>
  <c r="A111" i="8"/>
  <c r="G91" i="12"/>
  <c r="B2335" i="20"/>
  <c r="B3941" i="20"/>
  <c r="A744" i="16"/>
  <c r="A80" i="9"/>
  <c r="E6" i="2"/>
  <c r="B283" i="20"/>
  <c r="A947" i="16"/>
  <c r="E27" i="11"/>
  <c r="B4260" i="20"/>
  <c r="B136" i="9"/>
  <c r="A3672" i="20"/>
  <c r="A603" i="16"/>
  <c r="G100" i="7"/>
  <c r="G43" i="9"/>
  <c r="B4027" i="20"/>
  <c r="B113" i="16"/>
  <c r="H112" i="12"/>
  <c r="F13" i="9"/>
  <c r="H39" i="2"/>
  <c r="A446" i="16"/>
  <c r="B1431" i="20"/>
  <c r="H68" i="13"/>
  <c r="A2370" i="20"/>
  <c r="B1777" i="16"/>
  <c r="B104" i="13"/>
  <c r="B80" i="10"/>
  <c r="H48" i="2"/>
  <c r="B1770" i="20"/>
  <c r="A12" i="19"/>
  <c r="A1549" i="16"/>
  <c r="G7" i="7"/>
  <c r="D122" i="8"/>
  <c r="A129" i="2"/>
  <c r="H103" i="8"/>
  <c r="E75" i="10"/>
  <c r="H50" i="1"/>
  <c r="B5540" i="20"/>
  <c r="B1299" i="16"/>
  <c r="A302" i="19"/>
  <c r="A14" i="8"/>
  <c r="A292" i="16"/>
  <c r="A439" i="20"/>
  <c r="H19" i="1"/>
  <c r="A132" i="2"/>
  <c r="B120" i="11"/>
  <c r="G86" i="5"/>
  <c r="B2055" i="20"/>
  <c r="G94" i="4"/>
  <c r="B1114" i="20"/>
  <c r="B86" i="7"/>
  <c r="B36" i="1"/>
  <c r="A478" i="20"/>
  <c r="B945" i="16"/>
  <c r="G39" i="13"/>
  <c r="G141" i="9"/>
  <c r="H108" i="1"/>
  <c r="A395" i="16"/>
  <c r="B601" i="16"/>
  <c r="H35" i="1"/>
  <c r="A46" i="5"/>
  <c r="A1948" i="20"/>
  <c r="A703" i="20"/>
  <c r="B214" i="16"/>
  <c r="A324" i="16"/>
  <c r="H153" i="1"/>
  <c r="H57" i="6"/>
  <c r="B7" i="14"/>
  <c r="B57" i="2"/>
  <c r="B1097" i="20"/>
  <c r="E25" i="5"/>
  <c r="B1349" i="20"/>
  <c r="A784" i="16"/>
  <c r="A27" i="9"/>
  <c r="A16" i="17"/>
  <c r="H65" i="1"/>
  <c r="B2091" i="20"/>
  <c r="B25" i="7"/>
  <c r="B1078" i="16"/>
  <c r="G70" i="5"/>
  <c r="G40" i="5"/>
  <c r="A107" i="1"/>
  <c r="F35" i="5"/>
  <c r="D25" i="1"/>
  <c r="H130" i="2"/>
  <c r="A1702" i="20"/>
  <c r="H80" i="13"/>
  <c r="B1614" i="16"/>
  <c r="G66" i="7"/>
  <c r="A71" i="1"/>
  <c r="B37" i="17"/>
  <c r="H40" i="4"/>
  <c r="E4" i="7"/>
  <c r="A3857" i="20"/>
  <c r="B27" i="18"/>
  <c r="A1501" i="16"/>
  <c r="H129" i="6"/>
  <c r="B76" i="8"/>
  <c r="B114" i="2"/>
  <c r="B2427" i="20"/>
  <c r="A1" i="11"/>
  <c r="B136" i="8"/>
  <c r="B1150" i="16"/>
  <c r="A300" i="16"/>
  <c r="B1098" i="16"/>
  <c r="B53" i="10"/>
  <c r="B123" i="2"/>
  <c r="A1500" i="16"/>
  <c r="B20" i="18"/>
  <c r="B99" i="7"/>
  <c r="G123" i="9"/>
  <c r="A122" i="13"/>
  <c r="H14" i="7"/>
  <c r="G122" i="8"/>
  <c r="F113" i="8"/>
  <c r="H114" i="2"/>
  <c r="B7" i="15"/>
  <c r="G38" i="10"/>
  <c r="E78" i="10"/>
  <c r="A1851" i="16"/>
  <c r="A60" i="16"/>
  <c r="A2534" i="20"/>
  <c r="A1496" i="16"/>
  <c r="B1822" i="16"/>
  <c r="G51" i="8"/>
  <c r="H15" i="8"/>
  <c r="H128" i="4"/>
  <c r="A9" i="8"/>
  <c r="G87" i="2"/>
  <c r="G46" i="4"/>
  <c r="A4040" i="20"/>
  <c r="B85" i="9"/>
  <c r="B1012" i="20"/>
  <c r="G39" i="10"/>
  <c r="E10" i="2"/>
  <c r="A514" i="16"/>
  <c r="F34" i="2"/>
  <c r="H93" i="5"/>
  <c r="B45" i="19"/>
  <c r="A5071" i="20"/>
  <c r="B26" i="18"/>
  <c r="B558" i="20"/>
  <c r="B68" i="8"/>
  <c r="A24" i="4"/>
  <c r="B15" i="17"/>
  <c r="G30" i="11"/>
  <c r="F2" i="9"/>
  <c r="B30" i="10"/>
  <c r="A1019" i="16"/>
  <c r="A5" i="9"/>
  <c r="A939" i="16"/>
  <c r="G77" i="8"/>
  <c r="G68" i="1"/>
  <c r="H23" i="4"/>
  <c r="C8" i="18"/>
  <c r="C111" i="18"/>
  <c r="A21" i="12"/>
  <c r="A123" i="13"/>
  <c r="G24" i="1"/>
  <c r="B294" i="20"/>
  <c r="A104" i="8"/>
  <c r="F59" i="1"/>
  <c r="A108" i="13"/>
  <c r="G113" i="13"/>
  <c r="H111" i="8"/>
  <c r="A117" i="10"/>
  <c r="B125" i="18"/>
  <c r="B42" i="11"/>
  <c r="E76" i="4"/>
  <c r="B1131" i="20"/>
  <c r="A100" i="6"/>
  <c r="B1068" i="16"/>
  <c r="H8" i="13"/>
  <c r="A65" i="5"/>
  <c r="H29" i="5"/>
  <c r="H100" i="1"/>
  <c r="A93" i="10"/>
  <c r="B4175" i="20"/>
  <c r="A134" i="18"/>
  <c r="A6517" i="20"/>
  <c r="A468" i="16"/>
  <c r="B865" i="16"/>
  <c r="B1379" i="20"/>
  <c r="A60" i="10"/>
  <c r="A1242" i="16"/>
  <c r="B11" i="2"/>
  <c r="G64" i="2"/>
  <c r="B1066" i="16"/>
  <c r="G6" i="12"/>
  <c r="B2450" i="20"/>
  <c r="A1199" i="20"/>
  <c r="B73" i="6"/>
  <c r="B257" i="20"/>
  <c r="B875" i="16"/>
  <c r="A284" i="16"/>
  <c r="B28" i="11"/>
  <c r="G125" i="1"/>
  <c r="A20" i="18"/>
  <c r="A433" i="16"/>
  <c r="A1361" i="20"/>
  <c r="C44" i="18"/>
  <c r="B427" i="20"/>
  <c r="A1834" i="20"/>
  <c r="A133" i="18"/>
  <c r="H106" i="4"/>
  <c r="E67" i="11"/>
  <c r="A1742" i="16"/>
  <c r="B52" i="11"/>
  <c r="A96" i="7"/>
  <c r="B37" i="8"/>
  <c r="A1054" i="16"/>
  <c r="F108" i="12"/>
  <c r="A90" i="11"/>
  <c r="F25" i="2"/>
  <c r="H61" i="1"/>
  <c r="H62" i="1"/>
  <c r="H28" i="8"/>
  <c r="H102" i="6"/>
  <c r="G102" i="4"/>
  <c r="A31" i="10"/>
  <c r="A6" i="4"/>
  <c r="B2609" i="20"/>
  <c r="G84" i="10"/>
  <c r="A1136" i="20"/>
  <c r="A1682" i="16"/>
  <c r="A8" i="15"/>
  <c r="B11" i="10"/>
  <c r="G110" i="6"/>
  <c r="A94" i="6"/>
  <c r="B548" i="16"/>
  <c r="B928" i="20"/>
  <c r="A1398" i="16"/>
  <c r="B128" i="9"/>
  <c r="B1796" i="16"/>
  <c r="A56" i="12"/>
  <c r="B3481" i="20"/>
  <c r="A95" i="10"/>
  <c r="A128" i="11"/>
  <c r="A52" i="16"/>
  <c r="B428" i="16"/>
  <c r="A106" i="9"/>
  <c r="A1730" i="16"/>
  <c r="H102" i="9"/>
  <c r="G102" i="11"/>
  <c r="A52" i="2"/>
  <c r="B81" i="10"/>
  <c r="A9" i="10"/>
  <c r="G91" i="10"/>
  <c r="B106" i="2"/>
  <c r="A1386" i="16"/>
  <c r="A2258" i="20"/>
  <c r="B74" i="10"/>
  <c r="B4" i="15"/>
  <c r="C108" i="12"/>
  <c r="G1" i="6"/>
  <c r="A90" i="4"/>
  <c r="B74" i="18"/>
  <c r="B64" i="7"/>
  <c r="B23" i="7"/>
  <c r="B532" i="16"/>
  <c r="A965" i="20"/>
  <c r="B627" i="20"/>
  <c r="F140" i="4"/>
  <c r="A1267" i="16"/>
  <c r="G63" i="5"/>
  <c r="B23" i="11"/>
  <c r="G138" i="4"/>
  <c r="A45" i="7"/>
  <c r="B94" i="5"/>
  <c r="A129" i="18"/>
  <c r="G58" i="7"/>
  <c r="B137" i="18"/>
  <c r="B2375" i="20"/>
  <c r="A435" i="16"/>
  <c r="B91" i="2"/>
  <c r="A72" i="1"/>
  <c r="B426" i="16"/>
  <c r="E10" i="8"/>
  <c r="B1895" i="20"/>
  <c r="B121" i="13"/>
  <c r="A129" i="12"/>
  <c r="G94" i="5"/>
  <c r="B697" i="16"/>
  <c r="B1225" i="16"/>
  <c r="C58" i="18"/>
  <c r="B494" i="20"/>
  <c r="H6" i="4"/>
  <c r="B4509" i="20"/>
  <c r="A2169" i="20"/>
  <c r="A400" i="20"/>
  <c r="B36" i="4"/>
  <c r="B1785" i="16"/>
  <c r="H24" i="5"/>
  <c r="A1578" i="16"/>
  <c r="H111" i="1"/>
  <c r="A110" i="6"/>
  <c r="H95" i="1"/>
  <c r="E151" i="8"/>
  <c r="A948" i="16"/>
  <c r="H106" i="10"/>
  <c r="B26" i="9"/>
  <c r="F7" i="1"/>
  <c r="F2" i="12"/>
  <c r="G82" i="5"/>
  <c r="E76" i="1"/>
  <c r="F120" i="1"/>
  <c r="B129" i="4"/>
  <c r="A1006" i="16"/>
  <c r="B102" i="2"/>
  <c r="A477" i="16"/>
  <c r="B1545" i="20"/>
  <c r="A1580" i="16"/>
  <c r="D10" i="1"/>
  <c r="B84" i="2"/>
  <c r="B108" i="6"/>
  <c r="B116" i="10"/>
  <c r="B94" i="8"/>
  <c r="B882" i="20"/>
  <c r="A134" i="12"/>
  <c r="A146" i="9"/>
  <c r="B1800" i="20"/>
  <c r="F140" i="8"/>
  <c r="A72" i="16"/>
  <c r="H82" i="12"/>
  <c r="F9" i="8"/>
  <c r="H63" i="1"/>
  <c r="B98" i="10"/>
  <c r="B3183" i="20"/>
  <c r="A45" i="8"/>
  <c r="F131" i="6"/>
  <c r="G70" i="10"/>
  <c r="H8" i="2"/>
  <c r="A454" i="16"/>
  <c r="B90" i="10"/>
  <c r="A1664" i="16"/>
  <c r="B421" i="16"/>
  <c r="H137" i="1"/>
  <c r="H153" i="4"/>
  <c r="A138" i="18"/>
  <c r="G39" i="11"/>
  <c r="A40" i="11"/>
  <c r="A63" i="13"/>
  <c r="A958" i="16"/>
  <c r="E1" i="10"/>
  <c r="B124" i="5"/>
  <c r="B73" i="12"/>
  <c r="B15" i="5"/>
  <c r="A1668" i="16"/>
  <c r="H21" i="7"/>
  <c r="A117" i="19"/>
  <c r="D36" i="6"/>
  <c r="B1486" i="16"/>
  <c r="B685" i="20"/>
  <c r="G18" i="12"/>
  <c r="A14" i="16"/>
  <c r="A103" i="8"/>
  <c r="C36" i="1"/>
  <c r="B134" i="10"/>
  <c r="A129" i="11"/>
  <c r="A755" i="16"/>
  <c r="A2625" i="20"/>
  <c r="A97" i="4"/>
  <c r="G77" i="5"/>
  <c r="H14" i="6"/>
  <c r="H94" i="5"/>
  <c r="A232" i="16"/>
  <c r="A118" i="13"/>
  <c r="B2147" i="20"/>
  <c r="B1997" i="20"/>
  <c r="A154" i="1"/>
  <c r="A94" i="20"/>
  <c r="F85" i="1"/>
  <c r="B79" i="6"/>
  <c r="G115" i="9"/>
  <c r="A54" i="18"/>
  <c r="G8" i="1"/>
  <c r="A1575" i="16"/>
  <c r="H99" i="2"/>
  <c r="B19" i="9"/>
  <c r="B43" i="2"/>
  <c r="B44" i="16"/>
  <c r="G14" i="4"/>
  <c r="A101" i="4"/>
  <c r="F134" i="10"/>
  <c r="H54" i="10"/>
  <c r="B242" i="19"/>
  <c r="A129" i="4"/>
  <c r="B20" i="5"/>
  <c r="B41" i="17"/>
  <c r="A926" i="16"/>
  <c r="A32" i="5"/>
  <c r="B42" i="10"/>
  <c r="B756" i="16"/>
  <c r="B74" i="16"/>
  <c r="B11" i="17"/>
  <c r="A92" i="13"/>
  <c r="F86" i="1"/>
  <c r="A85" i="5"/>
  <c r="E12" i="1"/>
  <c r="B1446" i="16"/>
  <c r="A3" i="5"/>
  <c r="B71" i="8"/>
  <c r="B810" i="16"/>
  <c r="G56" i="10"/>
  <c r="A9" i="7"/>
  <c r="F76" i="4"/>
  <c r="B128" i="7"/>
  <c r="B1212" i="16"/>
  <c r="A13" i="1"/>
  <c r="A113" i="4"/>
  <c r="A1462" i="16"/>
  <c r="B994" i="20"/>
  <c r="B144" i="10"/>
  <c r="G46" i="10"/>
  <c r="A4074" i="20"/>
  <c r="B13" i="7"/>
  <c r="B95" i="7"/>
  <c r="F152" i="1"/>
  <c r="B3161" i="20"/>
  <c r="A1182" i="16"/>
  <c r="A1646" i="16"/>
  <c r="B105" i="5"/>
  <c r="H37" i="8"/>
  <c r="B2" i="10"/>
  <c r="H123" i="4"/>
  <c r="A166" i="20"/>
  <c r="A1429" i="16"/>
  <c r="B35" i="6"/>
  <c r="G31" i="10"/>
  <c r="A22" i="19"/>
  <c r="A64" i="6"/>
  <c r="A22" i="11"/>
  <c r="B4167" i="20"/>
  <c r="A81" i="18"/>
  <c r="B1364" i="16"/>
  <c r="H94" i="9"/>
  <c r="A1255" i="16"/>
  <c r="B103" i="12"/>
  <c r="H155" i="8"/>
  <c r="B146" i="8"/>
  <c r="B71" i="20"/>
  <c r="A1085" i="16"/>
  <c r="D65" i="6"/>
  <c r="A1293" i="16"/>
  <c r="B608" i="20"/>
  <c r="B92" i="12"/>
  <c r="A116" i="19"/>
  <c r="B2377" i="20"/>
  <c r="A802" i="16"/>
  <c r="B863" i="20"/>
  <c r="B115" i="11"/>
  <c r="L96" i="9" l="1"/>
  <c r="L133" i="4"/>
  <c r="M38" i="8"/>
  <c r="V37" i="10"/>
  <c r="AF37" i="10"/>
  <c r="AD38" i="10"/>
  <c r="L13" i="4"/>
  <c r="N99" i="2"/>
  <c r="N114" i="9"/>
  <c r="M14" i="6"/>
  <c r="Q13" i="12"/>
  <c r="T14" i="7"/>
  <c r="W29" i="11"/>
  <c r="AT37" i="10"/>
  <c r="N82" i="12"/>
  <c r="S116" i="1"/>
  <c r="L82" i="5"/>
  <c r="N103" i="10"/>
  <c r="V14" i="5"/>
  <c r="K95" i="5"/>
  <c r="AH37" i="7"/>
  <c r="Y132" i="4"/>
  <c r="L100" i="11"/>
  <c r="T96" i="9"/>
  <c r="S113" i="6"/>
  <c r="S95" i="4"/>
  <c r="S96" i="6"/>
  <c r="M102" i="4"/>
  <c r="O132" i="1"/>
  <c r="M109" i="8"/>
  <c r="T115" i="13"/>
  <c r="AH37" i="1"/>
  <c r="V14" i="1"/>
  <c r="U14" i="4"/>
  <c r="AQ38" i="1"/>
  <c r="N29" i="11"/>
  <c r="M90" i="5"/>
  <c r="O37" i="10"/>
  <c r="U37" i="4"/>
  <c r="O84" i="2"/>
  <c r="Q133" i="4"/>
  <c r="N14" i="8"/>
  <c r="AA37" i="8"/>
  <c r="N37" i="10"/>
  <c r="T116" i="2"/>
  <c r="L132" i="8"/>
  <c r="M14" i="7"/>
  <c r="M132" i="9"/>
  <c r="S104" i="6"/>
  <c r="O38" i="4"/>
  <c r="Q107" i="2"/>
  <c r="O37" i="5"/>
  <c r="AG38" i="6"/>
  <c r="N122" i="9"/>
  <c r="O37" i="13"/>
  <c r="K95" i="4"/>
  <c r="P82" i="5"/>
  <c r="U96" i="8"/>
  <c r="W38" i="2"/>
  <c r="N38" i="2"/>
  <c r="P119" i="12"/>
  <c r="S37" i="9"/>
  <c r="P97" i="7"/>
  <c r="K1" i="2"/>
  <c r="M87" i="12"/>
  <c r="N116" i="7"/>
  <c r="P14" i="5"/>
  <c r="S88" i="11"/>
  <c r="L102" i="10"/>
  <c r="Q14" i="8"/>
  <c r="W36" i="9"/>
  <c r="S118" i="12"/>
  <c r="U38" i="10"/>
  <c r="M114" i="6"/>
  <c r="S95" i="10"/>
  <c r="AB37" i="5"/>
  <c r="U96" i="1"/>
  <c r="O13" i="1"/>
  <c r="AO37" i="10"/>
  <c r="L94" i="9"/>
  <c r="L96" i="10"/>
  <c r="U37" i="12"/>
  <c r="O97" i="13"/>
  <c r="AP38" i="9"/>
  <c r="N123" i="1"/>
  <c r="V13" i="4"/>
  <c r="P132" i="9"/>
  <c r="Y38" i="13"/>
  <c r="O95" i="1"/>
  <c r="AM37" i="9"/>
  <c r="W14" i="12"/>
  <c r="AA37" i="12"/>
  <c r="T81" i="12"/>
  <c r="V14" i="7"/>
  <c r="L14" i="8"/>
  <c r="T126" i="10"/>
  <c r="S104" i="5"/>
  <c r="AC38" i="7"/>
  <c r="P13" i="4"/>
  <c r="Z132" i="1"/>
  <c r="AP37" i="10"/>
  <c r="M101" i="4"/>
  <c r="AM37" i="8"/>
  <c r="L38" i="1"/>
  <c r="AK37" i="10"/>
  <c r="O96" i="4"/>
  <c r="N115" i="4"/>
  <c r="AJ38" i="8"/>
  <c r="N116" i="1"/>
  <c r="L36" i="6"/>
  <c r="M106" i="11"/>
  <c r="X131" i="1"/>
  <c r="U119" i="12"/>
  <c r="M96" i="1"/>
  <c r="W126" i="10"/>
  <c r="W113" i="6"/>
  <c r="S106" i="13"/>
  <c r="R38" i="7"/>
  <c r="AG37" i="6"/>
  <c r="AA38" i="2"/>
  <c r="R13" i="1"/>
  <c r="AI38" i="8"/>
  <c r="Z132" i="8"/>
  <c r="L83" i="6"/>
  <c r="T116" i="1"/>
  <c r="V13" i="5"/>
  <c r="P133" i="8"/>
  <c r="P95" i="4"/>
  <c r="T30" i="11"/>
  <c r="M83" i="5"/>
  <c r="L92" i="11"/>
  <c r="U132" i="8"/>
  <c r="N13" i="9"/>
  <c r="Q87" i="11"/>
  <c r="O102" i="1"/>
  <c r="N38" i="9"/>
  <c r="L13" i="5"/>
  <c r="AG38" i="7"/>
  <c r="N101" i="8"/>
  <c r="M122" i="1"/>
  <c r="N133" i="8"/>
  <c r="S84" i="13"/>
  <c r="Q85" i="7"/>
  <c r="S98" i="13"/>
  <c r="P102" i="9"/>
  <c r="O85" i="7"/>
  <c r="M101" i="8"/>
  <c r="L37" i="6"/>
  <c r="W36" i="6"/>
  <c r="N115" i="9"/>
  <c r="M116" i="7"/>
  <c r="S97" i="13"/>
  <c r="U38" i="4"/>
  <c r="AT37" i="1"/>
  <c r="N113" i="5"/>
  <c r="Z38" i="8"/>
  <c r="AF37" i="1"/>
  <c r="R97" i="7"/>
  <c r="W116" i="2"/>
  <c r="S38" i="4"/>
  <c r="AL38" i="4"/>
  <c r="Y116" i="7"/>
  <c r="AH38" i="4"/>
  <c r="R123" i="8"/>
  <c r="AA1" i="5"/>
  <c r="U84" i="7"/>
  <c r="W114" i="6"/>
  <c r="R84" i="2"/>
  <c r="R115" i="11"/>
  <c r="T38" i="4"/>
  <c r="AG37" i="5"/>
  <c r="AA115" i="7"/>
  <c r="AN37" i="9"/>
  <c r="W37" i="13"/>
  <c r="R114" i="4"/>
  <c r="M98" i="7"/>
  <c r="V37" i="12"/>
  <c r="T97" i="7"/>
  <c r="W13" i="9"/>
  <c r="P37" i="1"/>
  <c r="AM38" i="4"/>
  <c r="Q123" i="4"/>
  <c r="Y38" i="5"/>
  <c r="L99" i="11"/>
  <c r="M13" i="7"/>
  <c r="P133" i="4"/>
  <c r="AK38" i="1"/>
  <c r="S132" i="1"/>
  <c r="W14" i="11"/>
  <c r="AQ38" i="10"/>
  <c r="AF37" i="8"/>
  <c r="P103" i="6"/>
  <c r="P13" i="5"/>
  <c r="P107" i="9"/>
  <c r="L132" i="9"/>
  <c r="AD37" i="10"/>
  <c r="R105" i="7"/>
  <c r="AT38" i="8"/>
  <c r="P109" i="10"/>
  <c r="AN38" i="4"/>
  <c r="U115" i="11"/>
  <c r="M13" i="12"/>
  <c r="AG37" i="2"/>
  <c r="Y114" i="5"/>
  <c r="S38" i="13"/>
  <c r="AK37" i="2"/>
  <c r="Z38" i="4"/>
  <c r="AG37" i="4"/>
  <c r="L85" i="7"/>
  <c r="W13" i="6"/>
  <c r="L84" i="13"/>
  <c r="Q117" i="1"/>
  <c r="M96" i="10"/>
  <c r="V13" i="10"/>
  <c r="Z115" i="7"/>
  <c r="AL37" i="4"/>
  <c r="Z131" i="1"/>
  <c r="AL37" i="7"/>
  <c r="M116" i="1"/>
  <c r="U113" i="5"/>
  <c r="AC37" i="5"/>
  <c r="K89" i="5"/>
  <c r="N84" i="7"/>
  <c r="R116" i="1"/>
  <c r="AQ37" i="10"/>
  <c r="R37" i="4"/>
  <c r="M122" i="8"/>
  <c r="M13" i="9"/>
  <c r="S14" i="6"/>
  <c r="T95" i="1"/>
  <c r="X38" i="10"/>
  <c r="O132" i="9"/>
  <c r="N38" i="5"/>
  <c r="O13" i="4"/>
  <c r="AU37" i="9"/>
  <c r="Y116" i="2"/>
  <c r="Z114" i="5"/>
  <c r="O89" i="5"/>
  <c r="M131" i="1"/>
  <c r="R106" i="11"/>
  <c r="AC38" i="13"/>
  <c r="L102" i="8"/>
  <c r="V38" i="7"/>
  <c r="AA115" i="11"/>
  <c r="U96" i="10"/>
  <c r="M116" i="10"/>
  <c r="T37" i="9"/>
  <c r="N84" i="13"/>
  <c r="AD30" i="11"/>
  <c r="Q119" i="12"/>
  <c r="AT38" i="9"/>
  <c r="Q103" i="1"/>
  <c r="O99" i="2"/>
  <c r="AB1" i="8"/>
  <c r="S37" i="6"/>
  <c r="O108" i="4"/>
  <c r="O13" i="10"/>
  <c r="M37" i="1"/>
  <c r="V14" i="4"/>
  <c r="T133" i="8"/>
  <c r="M95" i="1"/>
  <c r="P84" i="7"/>
  <c r="N96" i="1"/>
  <c r="W38" i="10"/>
  <c r="V38" i="10"/>
  <c r="U37" i="9"/>
  <c r="Q115" i="9"/>
  <c r="L115" i="9"/>
  <c r="S13" i="1"/>
  <c r="AG38" i="5"/>
  <c r="L92" i="2"/>
  <c r="AP37" i="4"/>
  <c r="L103" i="1"/>
  <c r="AH38" i="1"/>
  <c r="T105" i="13"/>
  <c r="N30" i="11"/>
  <c r="Q114" i="9"/>
  <c r="P90" i="13"/>
  <c r="Y127" i="10"/>
  <c r="R123" i="4"/>
  <c r="P115" i="11"/>
  <c r="Q127" i="10"/>
  <c r="O103" i="1"/>
  <c r="S37" i="8"/>
  <c r="R96" i="4"/>
  <c r="AA29" i="11"/>
  <c r="AL38" i="1"/>
  <c r="O103" i="5"/>
  <c r="K14" i="4"/>
  <c r="P14" i="4"/>
  <c r="M133" i="4"/>
  <c r="L90" i="7"/>
  <c r="Q85" i="2"/>
  <c r="S14" i="1"/>
  <c r="X119" i="12"/>
  <c r="P85" i="2"/>
  <c r="N108" i="9"/>
  <c r="AV38" i="8"/>
  <c r="X38" i="12"/>
  <c r="L80" i="12"/>
  <c r="AB1" i="11"/>
  <c r="AF29" i="11"/>
  <c r="T13" i="1"/>
  <c r="Q14" i="9"/>
  <c r="AH37" i="13"/>
  <c r="AR38" i="1"/>
  <c r="S82" i="6"/>
  <c r="M116" i="2"/>
  <c r="R115" i="7"/>
  <c r="S14" i="10"/>
  <c r="U37" i="7"/>
  <c r="X38" i="2"/>
  <c r="Q37" i="9"/>
  <c r="S37" i="12"/>
  <c r="N102" i="4"/>
  <c r="V13" i="9"/>
  <c r="AG38" i="2"/>
  <c r="AJ37" i="2"/>
  <c r="P113" i="6"/>
  <c r="Q13" i="10"/>
  <c r="U37" i="5"/>
  <c r="Q115" i="8"/>
  <c r="T114" i="5"/>
  <c r="Y132" i="8"/>
  <c r="V36" i="5"/>
  <c r="P114" i="6"/>
  <c r="AE38" i="13"/>
  <c r="P38" i="1"/>
  <c r="AU37" i="8"/>
  <c r="L114" i="7"/>
  <c r="T104" i="6"/>
  <c r="S38" i="1"/>
  <c r="L132" i="4"/>
  <c r="AC38" i="9"/>
  <c r="K1" i="4"/>
  <c r="O38" i="13"/>
  <c r="M37" i="10"/>
  <c r="Y115" i="11"/>
  <c r="L13" i="13"/>
  <c r="O14" i="4"/>
  <c r="Y37" i="2"/>
  <c r="N13" i="11"/>
  <c r="Q122" i="1"/>
  <c r="M123" i="9"/>
  <c r="Q106" i="2"/>
  <c r="M119" i="12"/>
  <c r="R132" i="9"/>
  <c r="P38" i="7"/>
  <c r="T37" i="6"/>
  <c r="L38" i="9"/>
  <c r="P14" i="12"/>
  <c r="X38" i="8"/>
  <c r="P96" i="1"/>
  <c r="O113" i="5"/>
  <c r="L37" i="1"/>
  <c r="AF38" i="13"/>
  <c r="R82" i="12"/>
  <c r="K1" i="1"/>
  <c r="L96" i="6"/>
  <c r="S115" i="7"/>
  <c r="M91" i="2"/>
  <c r="L98" i="7"/>
  <c r="N96" i="10"/>
  <c r="N37" i="8"/>
  <c r="K90" i="5"/>
  <c r="AB38" i="2"/>
  <c r="Q98" i="2"/>
  <c r="AE37" i="7"/>
  <c r="M29" i="11"/>
  <c r="Q96" i="1"/>
  <c r="P102" i="6"/>
  <c r="AM38" i="8"/>
  <c r="S107" i="2"/>
  <c r="AD38" i="1"/>
  <c r="N114" i="11"/>
  <c r="L14" i="7"/>
  <c r="P124" i="4"/>
  <c r="M104" i="5"/>
  <c r="N95" i="8"/>
  <c r="T38" i="9"/>
  <c r="AW29" i="11"/>
  <c r="AA38" i="1"/>
  <c r="Q100" i="12"/>
  <c r="L108" i="9"/>
  <c r="P123" i="9"/>
  <c r="N123" i="9"/>
  <c r="M107" i="2"/>
  <c r="Q84" i="7"/>
  <c r="AL38" i="9"/>
  <c r="AV38" i="9"/>
  <c r="AR38" i="8"/>
  <c r="AP38" i="4"/>
  <c r="N101" i="9"/>
  <c r="Z38" i="2"/>
  <c r="N132" i="9"/>
  <c r="AJ29" i="11"/>
  <c r="AE38" i="9"/>
  <c r="X133" i="8"/>
  <c r="R83" i="6"/>
  <c r="O29" i="11"/>
  <c r="AI37" i="2"/>
  <c r="U133" i="9"/>
  <c r="W14" i="9"/>
  <c r="Q114" i="5"/>
  <c r="K38" i="2"/>
  <c r="S13" i="8"/>
  <c r="Q101" i="9"/>
  <c r="U126" i="10"/>
  <c r="AT37" i="4"/>
  <c r="R85" i="2"/>
  <c r="AK38" i="10"/>
  <c r="N37" i="6"/>
  <c r="N83" i="5"/>
  <c r="R96" i="6"/>
  <c r="S114" i="9"/>
  <c r="L98" i="2"/>
  <c r="P91" i="7"/>
  <c r="K14" i="2"/>
  <c r="R85" i="7"/>
  <c r="O114" i="5"/>
  <c r="S114" i="8"/>
  <c r="S124" i="4"/>
  <c r="P101" i="8"/>
  <c r="U30" i="11"/>
  <c r="P105" i="7"/>
  <c r="L89" i="6"/>
  <c r="AR38" i="10"/>
  <c r="X38" i="9"/>
  <c r="S127" i="10"/>
  <c r="M124" i="4"/>
  <c r="W38" i="7"/>
  <c r="O14" i="13"/>
  <c r="AO38" i="10"/>
  <c r="O95" i="5"/>
  <c r="U82" i="6"/>
  <c r="O107" i="4"/>
  <c r="AD37" i="8"/>
  <c r="S119" i="12"/>
  <c r="T14" i="13"/>
  <c r="W37" i="12"/>
  <c r="AH37" i="10"/>
  <c r="M91" i="13"/>
  <c r="T123" i="1"/>
  <c r="L107" i="2"/>
  <c r="L116" i="2"/>
  <c r="T115" i="2"/>
  <c r="L133" i="9"/>
  <c r="T115" i="9"/>
  <c r="Q13" i="4"/>
  <c r="AC38" i="1"/>
  <c r="V30" i="11"/>
  <c r="AJ37" i="10"/>
  <c r="S115" i="9"/>
  <c r="L95" i="4"/>
  <c r="O95" i="8"/>
  <c r="P116" i="7"/>
  <c r="O98" i="2"/>
  <c r="R96" i="10"/>
  <c r="V36" i="4"/>
  <c r="O114" i="4"/>
  <c r="V116" i="2"/>
  <c r="R37" i="1"/>
  <c r="T13" i="11"/>
  <c r="M91" i="7"/>
  <c r="N96" i="9"/>
  <c r="P102" i="1"/>
  <c r="P14" i="2"/>
  <c r="AO38" i="1"/>
  <c r="AT37" i="8"/>
  <c r="L12" i="6"/>
  <c r="P115" i="2"/>
  <c r="AK37" i="9"/>
  <c r="L96" i="1"/>
  <c r="U95" i="10"/>
  <c r="N95" i="1"/>
  <c r="AK37" i="7"/>
  <c r="P93" i="12"/>
  <c r="U82" i="12"/>
  <c r="N37" i="4"/>
  <c r="L102" i="9"/>
  <c r="W132" i="9"/>
  <c r="X126" i="10"/>
  <c r="N97" i="13"/>
  <c r="N107" i="11"/>
  <c r="L89" i="5"/>
  <c r="M96" i="5"/>
  <c r="M103" i="5"/>
  <c r="AV37" i="1"/>
  <c r="P113" i="5"/>
  <c r="N14" i="5"/>
  <c r="T122" i="1"/>
  <c r="R14" i="4"/>
  <c r="N133" i="9"/>
  <c r="U115" i="13"/>
  <c r="Q116" i="7"/>
  <c r="Q88" i="11"/>
  <c r="S97" i="7"/>
  <c r="O113" i="6"/>
  <c r="S123" i="4"/>
  <c r="N14" i="10"/>
  <c r="R14" i="10"/>
  <c r="AJ37" i="7"/>
  <c r="R37" i="5"/>
  <c r="S14" i="2"/>
  <c r="AE37" i="2"/>
  <c r="L108" i="4"/>
  <c r="N109" i="1"/>
  <c r="R38" i="12"/>
  <c r="AN38" i="8"/>
  <c r="R122" i="1"/>
  <c r="V38" i="1"/>
  <c r="L12" i="9"/>
  <c r="O14" i="11"/>
  <c r="V29" i="11"/>
  <c r="AI38" i="1"/>
  <c r="S96" i="1"/>
  <c r="S37" i="4"/>
  <c r="S14" i="8"/>
  <c r="L126" i="10"/>
  <c r="Y133" i="9"/>
  <c r="AH37" i="8"/>
  <c r="AO37" i="1"/>
  <c r="M13" i="10"/>
  <c r="R115" i="13"/>
  <c r="Q114" i="8"/>
  <c r="AD38" i="6"/>
  <c r="T114" i="8"/>
  <c r="AA38" i="10"/>
  <c r="O85" i="2"/>
  <c r="S133" i="8"/>
  <c r="M37" i="7"/>
  <c r="L101" i="11"/>
  <c r="L14" i="5"/>
  <c r="M95" i="6"/>
  <c r="M14" i="4"/>
  <c r="M98" i="13"/>
  <c r="O82" i="5"/>
  <c r="W113" i="5"/>
  <c r="T37" i="10"/>
  <c r="O38" i="8"/>
  <c r="Q104" i="6"/>
  <c r="Z38" i="10"/>
  <c r="W38" i="8"/>
  <c r="Q122" i="8"/>
  <c r="Y37" i="1"/>
  <c r="K96" i="4"/>
  <c r="O96" i="9"/>
  <c r="L12" i="11"/>
  <c r="X37" i="8"/>
  <c r="L99" i="12"/>
  <c r="L109" i="1"/>
  <c r="AG38" i="1"/>
  <c r="K82" i="5"/>
  <c r="U37" i="10"/>
  <c r="N126" i="10"/>
  <c r="K91" i="2"/>
  <c r="AN30" i="11"/>
  <c r="L116" i="7"/>
  <c r="T98" i="7"/>
  <c r="N103" i="1"/>
  <c r="L95" i="5"/>
  <c r="L14" i="11"/>
  <c r="V38" i="13"/>
  <c r="N37" i="5"/>
  <c r="S107" i="11"/>
  <c r="S123" i="8"/>
  <c r="N119" i="12"/>
  <c r="Y131" i="1"/>
  <c r="K112" i="5"/>
  <c r="M13" i="4"/>
  <c r="L115" i="2"/>
  <c r="T109" i="10"/>
  <c r="L127" i="10"/>
  <c r="N87" i="12"/>
  <c r="V113" i="5"/>
  <c r="S37" i="10"/>
  <c r="AJ38" i="9"/>
  <c r="AE37" i="6"/>
  <c r="N82" i="6"/>
  <c r="M107" i="11"/>
  <c r="P117" i="1"/>
  <c r="Q116" i="1"/>
  <c r="X132" i="1"/>
  <c r="U14" i="11"/>
  <c r="Q131" i="1"/>
  <c r="K92" i="2"/>
  <c r="L12" i="10"/>
  <c r="AL29" i="11"/>
  <c r="O87" i="12"/>
  <c r="M89" i="6"/>
  <c r="Q98" i="7"/>
  <c r="P105" i="13"/>
  <c r="R13" i="5"/>
  <c r="M38" i="13"/>
  <c r="L114" i="8"/>
  <c r="M132" i="8"/>
  <c r="AE38" i="8"/>
  <c r="P106" i="7"/>
  <c r="N106" i="7"/>
  <c r="L86" i="12"/>
  <c r="M115" i="11"/>
  <c r="S122" i="1"/>
  <c r="AB1" i="10"/>
  <c r="L38" i="4"/>
  <c r="K100" i="4"/>
  <c r="K131" i="4"/>
  <c r="S98" i="7"/>
  <c r="O90" i="2"/>
  <c r="P38" i="6"/>
  <c r="N115" i="2"/>
  <c r="M95" i="4"/>
  <c r="S96" i="4"/>
  <c r="Q101" i="8"/>
  <c r="R38" i="2"/>
  <c r="K38" i="5"/>
  <c r="T116" i="7"/>
  <c r="K115" i="4"/>
  <c r="Y132" i="9"/>
  <c r="O37" i="1"/>
  <c r="M37" i="5"/>
  <c r="AF38" i="5"/>
  <c r="AL38" i="13"/>
  <c r="Q14" i="2"/>
  <c r="V13" i="8"/>
  <c r="AA38" i="4"/>
  <c r="O115" i="4"/>
  <c r="S133" i="9"/>
  <c r="R116" i="13"/>
  <c r="P127" i="10"/>
  <c r="T127" i="10"/>
  <c r="L38" i="12"/>
  <c r="L119" i="12"/>
  <c r="T101" i="12"/>
  <c r="M109" i="9"/>
  <c r="M102" i="8"/>
  <c r="AQ38" i="4"/>
  <c r="R131" i="1"/>
  <c r="M97" i="7"/>
  <c r="Q113" i="5"/>
  <c r="AS38" i="8"/>
  <c r="O84" i="7"/>
  <c r="L108" i="8"/>
  <c r="AL37" i="8"/>
  <c r="W13" i="13"/>
  <c r="L125" i="10"/>
  <c r="L102" i="4"/>
  <c r="R13" i="6"/>
  <c r="O116" i="2"/>
  <c r="AA37" i="6"/>
  <c r="R14" i="5"/>
  <c r="L38" i="8"/>
  <c r="L1" i="11"/>
  <c r="R38" i="4"/>
  <c r="R95" i="1"/>
  <c r="AB37" i="1"/>
  <c r="O95" i="4"/>
  <c r="O37" i="6"/>
  <c r="P132" i="8"/>
  <c r="N116" i="13"/>
  <c r="AE37" i="5"/>
  <c r="L105" i="2"/>
  <c r="AA37" i="9"/>
  <c r="Q115" i="11"/>
  <c r="X133" i="4"/>
  <c r="K102" i="4"/>
  <c r="L102" i="5"/>
  <c r="R132" i="4"/>
  <c r="R14" i="2"/>
  <c r="AB37" i="13"/>
  <c r="K37" i="1"/>
  <c r="AA113" i="6"/>
  <c r="AI37" i="6"/>
  <c r="N13" i="2"/>
  <c r="M13" i="1"/>
  <c r="K114" i="2"/>
  <c r="L36" i="12"/>
  <c r="P37" i="10"/>
  <c r="AM37" i="10"/>
  <c r="O14" i="12"/>
  <c r="X37" i="10"/>
  <c r="N97" i="7"/>
  <c r="AI38" i="4"/>
  <c r="P115" i="9"/>
  <c r="AW38" i="8"/>
  <c r="M38" i="9"/>
  <c r="W133" i="4"/>
  <c r="S37" i="1"/>
  <c r="K38" i="4"/>
  <c r="Q95" i="6"/>
  <c r="AA38" i="8"/>
  <c r="N92" i="7"/>
  <c r="N13" i="7"/>
  <c r="N14" i="1"/>
  <c r="AF37" i="7"/>
  <c r="O93" i="11"/>
  <c r="L81" i="6"/>
  <c r="L14" i="10"/>
  <c r="N94" i="11"/>
  <c r="L12" i="7"/>
  <c r="X115" i="2"/>
  <c r="T14" i="6"/>
  <c r="O101" i="4"/>
  <c r="R13" i="10"/>
  <c r="M114" i="5"/>
  <c r="AQ37" i="1"/>
  <c r="AD37" i="5"/>
  <c r="N115" i="11"/>
  <c r="AS38" i="10"/>
  <c r="N14" i="7"/>
  <c r="L109" i="9"/>
  <c r="AP38" i="1"/>
  <c r="N14" i="4"/>
  <c r="R132" i="1"/>
  <c r="W36" i="12"/>
  <c r="Q116" i="10"/>
  <c r="L14" i="9"/>
  <c r="AN38" i="9"/>
  <c r="Q13" i="5"/>
  <c r="U116" i="2"/>
  <c r="W30" i="11"/>
  <c r="W38" i="4"/>
  <c r="Z37" i="2"/>
  <c r="Q106" i="11"/>
  <c r="AH38" i="6"/>
  <c r="N114" i="4"/>
  <c r="P131" i="1"/>
  <c r="R123" i="9"/>
  <c r="P106" i="2"/>
  <c r="O98" i="7"/>
  <c r="V13" i="1"/>
  <c r="AQ38" i="8"/>
  <c r="M13" i="13"/>
  <c r="AE37" i="4"/>
  <c r="N98" i="7"/>
  <c r="N93" i="11"/>
  <c r="Z132" i="9"/>
  <c r="T106" i="11"/>
  <c r="L1" i="10"/>
  <c r="Z113" i="5"/>
  <c r="Y37" i="8"/>
  <c r="S13" i="2"/>
  <c r="AH38" i="13"/>
  <c r="N96" i="6"/>
  <c r="L37" i="8"/>
  <c r="U13" i="8"/>
  <c r="AM38" i="1"/>
  <c r="N13" i="6"/>
  <c r="W36" i="10"/>
  <c r="M97" i="13"/>
  <c r="N102" i="10"/>
  <c r="M37" i="8"/>
  <c r="R106" i="7"/>
  <c r="Q96" i="10"/>
  <c r="M82" i="5"/>
  <c r="M106" i="2"/>
  <c r="K88" i="5"/>
  <c r="M13" i="5"/>
  <c r="U14" i="5"/>
  <c r="T114" i="6"/>
  <c r="L37" i="10"/>
  <c r="AJ38" i="1"/>
  <c r="L122" i="4"/>
  <c r="U38" i="9"/>
  <c r="Q126" i="10"/>
  <c r="S132" i="9"/>
  <c r="M109" i="1"/>
  <c r="T38" i="5"/>
  <c r="R113" i="5"/>
  <c r="AR37" i="4"/>
  <c r="K36" i="4"/>
  <c r="L109" i="4"/>
  <c r="P115" i="4"/>
  <c r="Q14" i="7"/>
  <c r="P30" i="11"/>
  <c r="N109" i="8"/>
  <c r="V126" i="10"/>
  <c r="T132" i="1"/>
  <c r="K116" i="2"/>
  <c r="R117" i="10"/>
  <c r="P101" i="4"/>
  <c r="K107" i="4"/>
  <c r="T38" i="7"/>
  <c r="S81" i="12"/>
  <c r="N37" i="7"/>
  <c r="L109" i="8"/>
  <c r="AJ30" i="11"/>
  <c r="W38" i="13"/>
  <c r="L82" i="12"/>
  <c r="P107" i="11"/>
  <c r="M85" i="2"/>
  <c r="V37" i="9"/>
  <c r="P99" i="2"/>
  <c r="R37" i="7"/>
  <c r="AU38" i="9"/>
  <c r="R37" i="6"/>
  <c r="T122" i="9"/>
  <c r="Y37" i="12"/>
  <c r="Z37" i="7"/>
  <c r="X132" i="9"/>
  <c r="Z133" i="8"/>
  <c r="Q115" i="2"/>
  <c r="AC38" i="4"/>
  <c r="AJ36" i="4"/>
  <c r="AV38" i="10"/>
  <c r="M13" i="8"/>
  <c r="L115" i="1"/>
  <c r="Y38" i="9"/>
  <c r="N37" i="2"/>
  <c r="M88" i="12"/>
  <c r="U87" i="11"/>
  <c r="M104" i="13"/>
  <c r="N109" i="10"/>
  <c r="L94" i="6"/>
  <c r="U37" i="2"/>
  <c r="K109" i="4"/>
  <c r="AG38" i="12"/>
  <c r="R100" i="12"/>
  <c r="U13" i="12"/>
  <c r="L115" i="13"/>
  <c r="L13" i="7"/>
  <c r="W37" i="6"/>
  <c r="W37" i="8"/>
  <c r="S108" i="10"/>
  <c r="S114" i="6"/>
  <c r="U116" i="13"/>
  <c r="M117" i="1"/>
  <c r="AI37" i="9"/>
  <c r="L91" i="7"/>
  <c r="Y37" i="4"/>
  <c r="R115" i="9"/>
  <c r="T114" i="9"/>
  <c r="L115" i="8"/>
  <c r="T38" i="6"/>
  <c r="AR38" i="4"/>
  <c r="U127" i="10"/>
  <c r="K84" i="2"/>
  <c r="L106" i="2"/>
  <c r="V37" i="2"/>
  <c r="O102" i="5"/>
  <c r="T14" i="9"/>
  <c r="S115" i="11"/>
  <c r="AR37" i="1"/>
  <c r="L81" i="12"/>
  <c r="AA132" i="8"/>
  <c r="P13" i="12"/>
  <c r="S123" i="9"/>
  <c r="T37" i="13"/>
  <c r="P103" i="1"/>
  <c r="P38" i="4"/>
  <c r="R108" i="10"/>
  <c r="U118" i="12"/>
  <c r="AA133" i="8"/>
  <c r="N95" i="6"/>
  <c r="N98" i="13"/>
  <c r="Q87" i="12"/>
  <c r="M99" i="2"/>
  <c r="N84" i="2"/>
  <c r="X38" i="1"/>
  <c r="R14" i="8"/>
  <c r="AJ38" i="10"/>
  <c r="AI38" i="10"/>
  <c r="M108" i="9"/>
  <c r="L113" i="5"/>
  <c r="Q106" i="13"/>
  <c r="P37" i="9"/>
  <c r="R109" i="12"/>
  <c r="O38" i="7"/>
  <c r="P91" i="13"/>
  <c r="K81" i="5"/>
  <c r="S95" i="9"/>
  <c r="O97" i="7"/>
  <c r="M103" i="10"/>
  <c r="O102" i="8"/>
  <c r="M92" i="7"/>
  <c r="O108" i="10"/>
  <c r="AA37" i="7"/>
  <c r="R38" i="1"/>
  <c r="AE38" i="10"/>
  <c r="U13" i="11"/>
  <c r="K97" i="2"/>
  <c r="Q29" i="11"/>
  <c r="S96" i="10"/>
  <c r="N38" i="12"/>
  <c r="N13" i="4"/>
  <c r="Q132" i="1"/>
  <c r="R103" i="6"/>
  <c r="T133" i="4"/>
  <c r="R88" i="11"/>
  <c r="AJ38" i="13"/>
  <c r="AA37" i="10"/>
  <c r="N105" i="13"/>
  <c r="Q84" i="2"/>
  <c r="M114" i="4"/>
  <c r="P96" i="4"/>
  <c r="S115" i="2"/>
  <c r="Q13" i="7"/>
  <c r="AB1" i="6"/>
  <c r="R114" i="5"/>
  <c r="Q96" i="9"/>
  <c r="Z126" i="10"/>
  <c r="AF38" i="6"/>
  <c r="P122" i="9"/>
  <c r="P102" i="8"/>
  <c r="AI38" i="12"/>
  <c r="T13" i="2"/>
  <c r="S13" i="9"/>
  <c r="R13" i="2"/>
  <c r="N101" i="12"/>
  <c r="X37" i="6"/>
  <c r="L102" i="1"/>
  <c r="AR37" i="9"/>
  <c r="M82" i="6"/>
  <c r="R96" i="5"/>
  <c r="O123" i="4"/>
  <c r="N95" i="12"/>
  <c r="AH37" i="2"/>
  <c r="AD37" i="13"/>
  <c r="K108" i="4"/>
  <c r="Z113" i="6"/>
  <c r="T38" i="1"/>
  <c r="P104" i="7"/>
  <c r="X116" i="7"/>
  <c r="AR37" i="8"/>
  <c r="P95" i="1"/>
  <c r="Q96" i="5"/>
  <c r="M123" i="1"/>
  <c r="P114" i="5"/>
  <c r="M13" i="11"/>
  <c r="L113" i="8"/>
  <c r="U37" i="6"/>
  <c r="O37" i="9"/>
  <c r="N113" i="6"/>
  <c r="W132" i="4"/>
  <c r="AG37" i="7"/>
  <c r="M114" i="11"/>
  <c r="Q38" i="12"/>
  <c r="AF37" i="13"/>
  <c r="AS37" i="8"/>
  <c r="AW37" i="8"/>
  <c r="M107" i="12"/>
  <c r="AA131" i="1"/>
  <c r="V38" i="8"/>
  <c r="AQ37" i="8"/>
  <c r="AW37" i="9"/>
  <c r="S14" i="5"/>
  <c r="R108" i="12"/>
  <c r="AH37" i="5"/>
  <c r="Q114" i="4"/>
  <c r="T133" i="9"/>
  <c r="M115" i="7"/>
  <c r="V113" i="6"/>
  <c r="R84" i="7"/>
  <c r="P37" i="8"/>
  <c r="L13" i="1"/>
  <c r="P87" i="12"/>
  <c r="L117" i="12"/>
  <c r="U13" i="6"/>
  <c r="U13" i="9"/>
  <c r="U133" i="8"/>
  <c r="N85" i="2"/>
  <c r="AB38" i="7"/>
  <c r="W133" i="8"/>
  <c r="W38" i="12"/>
  <c r="O95" i="10"/>
  <c r="V14" i="10"/>
  <c r="W37" i="2"/>
  <c r="L38" i="2"/>
  <c r="AF37" i="4"/>
  <c r="N102" i="9"/>
  <c r="S114" i="11"/>
  <c r="O14" i="7"/>
  <c r="AA127" i="10"/>
  <c r="V127" i="10"/>
  <c r="M96" i="6"/>
  <c r="T96" i="8"/>
  <c r="W13" i="8"/>
  <c r="Q133" i="9"/>
  <c r="W13" i="7"/>
  <c r="U13" i="10"/>
  <c r="Q102" i="8"/>
  <c r="X37" i="5"/>
  <c r="S117" i="1"/>
  <c r="AG37" i="1"/>
  <c r="AC37" i="2"/>
  <c r="Q108" i="12"/>
  <c r="L101" i="10"/>
  <c r="S103" i="5"/>
  <c r="L14" i="6"/>
  <c r="Q83" i="5"/>
  <c r="AB37" i="8"/>
  <c r="M108" i="8"/>
  <c r="AF37" i="2"/>
  <c r="T123" i="9"/>
  <c r="O13" i="8"/>
  <c r="M121" i="9"/>
  <c r="AS37" i="4"/>
  <c r="O83" i="5"/>
  <c r="K115" i="2"/>
  <c r="R122" i="9"/>
  <c r="V132" i="1"/>
  <c r="P37" i="5"/>
  <c r="AA1" i="1"/>
  <c r="P122" i="1"/>
  <c r="K83" i="5"/>
  <c r="T115" i="8"/>
  <c r="L133" i="8"/>
  <c r="M37" i="9"/>
  <c r="M14" i="5"/>
  <c r="M105" i="7"/>
  <c r="S114" i="5"/>
  <c r="AG38" i="9"/>
  <c r="S95" i="8"/>
  <c r="X38" i="5"/>
  <c r="X127" i="10"/>
  <c r="T85" i="7"/>
  <c r="S38" i="5"/>
  <c r="P96" i="5"/>
  <c r="AH38" i="2"/>
  <c r="AL38" i="7"/>
  <c r="L38" i="6"/>
  <c r="L1" i="12"/>
  <c r="AA116" i="7"/>
  <c r="T117" i="1"/>
  <c r="AD38" i="2"/>
  <c r="AF37" i="12"/>
  <c r="W114" i="5"/>
  <c r="K13" i="4"/>
  <c r="U115" i="2"/>
  <c r="AD38" i="5"/>
  <c r="O13" i="2"/>
  <c r="AA133" i="9"/>
  <c r="M95" i="12"/>
  <c r="P85" i="7"/>
  <c r="L96" i="5"/>
  <c r="R87" i="11"/>
  <c r="T38" i="8"/>
  <c r="AE37" i="8"/>
  <c r="R123" i="1"/>
  <c r="AD37" i="2"/>
  <c r="AI37" i="7"/>
  <c r="R116" i="2"/>
  <c r="M38" i="6"/>
  <c r="AC37" i="4"/>
  <c r="AL37" i="9"/>
  <c r="L36" i="10"/>
  <c r="S84" i="7"/>
  <c r="AB38" i="1"/>
  <c r="Q95" i="1"/>
  <c r="AW38" i="9"/>
  <c r="M102" i="10"/>
  <c r="M121" i="1"/>
  <c r="S38" i="2"/>
  <c r="M30" i="11"/>
  <c r="AG37" i="8"/>
  <c r="L13" i="9"/>
  <c r="T13" i="13"/>
  <c r="L85" i="13"/>
  <c r="Q82" i="5"/>
  <c r="AU37" i="10"/>
  <c r="R29" i="11"/>
  <c r="S116" i="10"/>
  <c r="P106" i="13"/>
  <c r="N106" i="13"/>
  <c r="W115" i="2"/>
  <c r="S96" i="9"/>
  <c r="AF38" i="4"/>
  <c r="AC38" i="2"/>
  <c r="R38" i="6"/>
  <c r="P14" i="7"/>
  <c r="AQ37" i="9"/>
  <c r="L112" i="6"/>
  <c r="Q132" i="4"/>
  <c r="O37" i="7"/>
  <c r="P96" i="9"/>
  <c r="N98" i="2"/>
  <c r="AU38" i="4"/>
  <c r="O124" i="4"/>
  <c r="AO38" i="8"/>
  <c r="Q104" i="5"/>
  <c r="V37" i="7"/>
  <c r="O122" i="4"/>
  <c r="K114" i="5"/>
  <c r="S96" i="5"/>
  <c r="AJ38" i="4"/>
  <c r="N105" i="7"/>
  <c r="O13" i="9"/>
  <c r="X37" i="7"/>
  <c r="Q105" i="13"/>
  <c r="W132" i="1"/>
  <c r="N88" i="12"/>
  <c r="Q85" i="13"/>
  <c r="O95" i="6"/>
  <c r="L95" i="1"/>
  <c r="S14" i="9"/>
  <c r="AE38" i="6"/>
  <c r="M37" i="12"/>
  <c r="K94" i="5"/>
  <c r="V13" i="6"/>
  <c r="T14" i="2"/>
  <c r="P84" i="13"/>
  <c r="K37" i="2"/>
  <c r="AT29" i="11"/>
  <c r="N83" i="6"/>
  <c r="S103" i="6"/>
  <c r="Q122" i="9"/>
  <c r="S116" i="7"/>
  <c r="AD37" i="6"/>
  <c r="N13" i="10"/>
  <c r="N38" i="6"/>
  <c r="V36" i="1"/>
  <c r="O94" i="11"/>
  <c r="P14" i="8"/>
  <c r="R114" i="6"/>
  <c r="K14" i="1"/>
  <c r="L95" i="12"/>
  <c r="U38" i="5"/>
  <c r="S38" i="12"/>
  <c r="R115" i="2"/>
  <c r="O88" i="11"/>
  <c r="O132" i="8"/>
  <c r="T37" i="4"/>
  <c r="U37" i="1"/>
  <c r="AI37" i="10"/>
  <c r="R98" i="7"/>
  <c r="AR29" i="11"/>
  <c r="R104" i="5"/>
  <c r="AU38" i="10"/>
  <c r="Y133" i="4"/>
  <c r="M123" i="4"/>
  <c r="P37" i="4"/>
  <c r="P123" i="4"/>
  <c r="Y38" i="1"/>
  <c r="M83" i="6"/>
  <c r="P115" i="8"/>
  <c r="U38" i="6"/>
  <c r="M89" i="5"/>
  <c r="K90" i="2"/>
  <c r="AB38" i="6"/>
  <c r="T95" i="9"/>
  <c r="O96" i="5"/>
  <c r="AD37" i="1"/>
  <c r="T105" i="7"/>
  <c r="AB1" i="9"/>
  <c r="L100" i="12"/>
  <c r="L109" i="10"/>
  <c r="K99" i="2"/>
  <c r="AJ38" i="2"/>
  <c r="O95" i="9"/>
  <c r="W115" i="13"/>
  <c r="L107" i="8"/>
  <c r="L131" i="1"/>
  <c r="P117" i="10"/>
  <c r="N117" i="10"/>
  <c r="T13" i="8"/>
  <c r="AA38" i="13"/>
  <c r="R124" i="4"/>
  <c r="U38" i="2"/>
  <c r="AI37" i="4"/>
  <c r="AG38" i="4"/>
  <c r="P13" i="8"/>
  <c r="Z36" i="7"/>
  <c r="V37" i="6"/>
  <c r="W38" i="6"/>
  <c r="AK38" i="9"/>
  <c r="L82" i="6"/>
  <c r="O96" i="1"/>
  <c r="M132" i="4"/>
  <c r="Q14" i="1"/>
  <c r="R13" i="13"/>
  <c r="Q37" i="1"/>
  <c r="W37" i="10"/>
  <c r="L90" i="6"/>
  <c r="M37" i="2"/>
  <c r="M113" i="5"/>
  <c r="W13" i="11"/>
  <c r="Y38" i="4"/>
  <c r="N96" i="8"/>
  <c r="L12" i="12"/>
  <c r="X38" i="6"/>
  <c r="AG37" i="12"/>
  <c r="O37" i="2"/>
  <c r="L116" i="1"/>
  <c r="T85" i="13"/>
  <c r="AS37" i="9"/>
  <c r="R127" i="10"/>
  <c r="K13" i="1"/>
  <c r="O127" i="10"/>
  <c r="AE30" i="11"/>
  <c r="S13" i="5"/>
  <c r="L107" i="10"/>
  <c r="M96" i="9"/>
  <c r="AG38" i="13"/>
  <c r="S95" i="6"/>
  <c r="Q38" i="9"/>
  <c r="L99" i="2"/>
  <c r="AL37" i="13"/>
  <c r="U114" i="11"/>
  <c r="L13" i="2"/>
  <c r="K36" i="2"/>
  <c r="L107" i="11"/>
  <c r="Q95" i="5"/>
  <c r="R13" i="12"/>
  <c r="T113" i="5"/>
  <c r="N101" i="11"/>
  <c r="O14" i="1"/>
  <c r="T100" i="12"/>
  <c r="R98" i="2"/>
  <c r="X37" i="12"/>
  <c r="P95" i="9"/>
  <c r="W115" i="7"/>
  <c r="O96" i="10"/>
  <c r="L13" i="8"/>
  <c r="P13" i="7"/>
  <c r="AE37" i="1"/>
  <c r="L95" i="6"/>
  <c r="Z132" i="4"/>
  <c r="T29" i="11"/>
  <c r="S84" i="2"/>
  <c r="AK38" i="4"/>
  <c r="X132" i="8"/>
  <c r="R37" i="9"/>
  <c r="N115" i="7"/>
  <c r="K38" i="1"/>
  <c r="AB38" i="9"/>
  <c r="R116" i="7"/>
  <c r="R37" i="10"/>
  <c r="W37" i="4"/>
  <c r="N38" i="10"/>
  <c r="M102" i="1"/>
  <c r="S13" i="6"/>
  <c r="Q133" i="8"/>
  <c r="O13" i="5"/>
  <c r="U14" i="6"/>
  <c r="AK37" i="4"/>
  <c r="L14" i="4"/>
  <c r="L130" i="1"/>
  <c r="Q99" i="2"/>
  <c r="U13" i="5"/>
  <c r="AA114" i="6"/>
  <c r="L101" i="1"/>
  <c r="S38" i="8"/>
  <c r="O106" i="11"/>
  <c r="AE29" i="11"/>
  <c r="M101" i="12"/>
  <c r="N38" i="4"/>
  <c r="O131" i="1"/>
  <c r="L105" i="11"/>
  <c r="M127" i="10"/>
  <c r="P13" i="2"/>
  <c r="K114" i="4"/>
  <c r="AP37" i="1"/>
  <c r="N127" i="10"/>
  <c r="Z38" i="6"/>
  <c r="S13" i="4"/>
  <c r="V37" i="1"/>
  <c r="T106" i="13"/>
  <c r="AA37" i="1"/>
  <c r="N37" i="1"/>
  <c r="T96" i="10"/>
  <c r="P126" i="10"/>
  <c r="M133" i="9"/>
  <c r="L36" i="8"/>
  <c r="N115" i="8"/>
  <c r="P101" i="12"/>
  <c r="AL38" i="8"/>
  <c r="U116" i="7"/>
  <c r="Q115" i="4"/>
  <c r="T82" i="12"/>
  <c r="S108" i="12"/>
  <c r="Y37" i="7"/>
  <c r="L114" i="13"/>
  <c r="AC37" i="10"/>
  <c r="O82" i="6"/>
  <c r="AS37" i="10"/>
  <c r="Z37" i="8"/>
  <c r="N114" i="5"/>
  <c r="AJ37" i="8"/>
  <c r="K132" i="4"/>
  <c r="T131" i="1"/>
  <c r="AH37" i="9"/>
  <c r="O96" i="8"/>
  <c r="AK37" i="13"/>
  <c r="O38" i="6"/>
  <c r="AA119" i="12"/>
  <c r="U81" i="12"/>
  <c r="L114" i="9"/>
  <c r="Z119" i="12"/>
  <c r="O115" i="9"/>
  <c r="AH38" i="10"/>
  <c r="N14" i="9"/>
  <c r="Z37" i="4"/>
  <c r="S95" i="1"/>
  <c r="R13" i="11"/>
  <c r="T96" i="1"/>
  <c r="AF38" i="9"/>
  <c r="T83" i="5"/>
  <c r="U14" i="9"/>
  <c r="N116" i="2"/>
  <c r="L87" i="12"/>
  <c r="M115" i="4"/>
  <c r="N101" i="4"/>
  <c r="R133" i="4"/>
  <c r="Q116" i="2"/>
  <c r="AQ30" i="11"/>
  <c r="V38" i="2"/>
  <c r="R38" i="5"/>
  <c r="R95" i="5"/>
  <c r="S87" i="11"/>
  <c r="P38" i="8"/>
  <c r="M14" i="10"/>
  <c r="P96" i="8"/>
  <c r="AB38" i="8"/>
  <c r="K36" i="5"/>
  <c r="O115" i="2"/>
  <c r="R95" i="8"/>
  <c r="P87" i="11"/>
  <c r="W132" i="8"/>
  <c r="N37" i="12"/>
  <c r="T115" i="7"/>
  <c r="O118" i="12"/>
  <c r="L115" i="7"/>
  <c r="U96" i="9"/>
  <c r="N114" i="8"/>
  <c r="AV29" i="11"/>
  <c r="M106" i="7"/>
  <c r="Q14" i="12"/>
  <c r="P122" i="8"/>
  <c r="T13" i="4"/>
  <c r="O83" i="6"/>
  <c r="V132" i="4"/>
  <c r="Q114" i="11"/>
  <c r="T37" i="2"/>
  <c r="M95" i="5"/>
  <c r="K96" i="5"/>
  <c r="AA37" i="13"/>
  <c r="Y36" i="2"/>
  <c r="N102" i="1"/>
  <c r="P38" i="10"/>
  <c r="AR37" i="10"/>
  <c r="O101" i="8"/>
  <c r="T13" i="7"/>
  <c r="P108" i="10"/>
  <c r="T108" i="10"/>
  <c r="N115" i="13"/>
  <c r="AH38" i="8"/>
  <c r="R38" i="8"/>
  <c r="W14" i="7"/>
  <c r="S38" i="7"/>
  <c r="Q82" i="6"/>
  <c r="M104" i="6"/>
  <c r="U14" i="1"/>
  <c r="S85" i="7"/>
  <c r="AC38" i="5"/>
  <c r="S82" i="5"/>
  <c r="M101" i="11"/>
  <c r="L1" i="13"/>
  <c r="N122" i="1"/>
  <c r="N82" i="5"/>
  <c r="Z36" i="13"/>
  <c r="N91" i="13"/>
  <c r="AK36" i="10"/>
  <c r="Q115" i="13"/>
  <c r="S14" i="7"/>
  <c r="O82" i="12"/>
  <c r="P14" i="13"/>
  <c r="L85" i="2"/>
  <c r="Q14" i="5"/>
  <c r="U132" i="4"/>
  <c r="V131" i="1"/>
  <c r="P100" i="12"/>
  <c r="R82" i="6"/>
  <c r="U14" i="7"/>
  <c r="R106" i="2"/>
  <c r="T37" i="8"/>
  <c r="AQ38" i="9"/>
  <c r="AU38" i="8"/>
  <c r="Q14" i="10"/>
  <c r="P38" i="2"/>
  <c r="W37" i="1"/>
  <c r="O133" i="8"/>
  <c r="S96" i="8"/>
  <c r="X37" i="9"/>
  <c r="T113" i="6"/>
  <c r="M38" i="10"/>
  <c r="U132" i="9"/>
  <c r="O38" i="1"/>
  <c r="U38" i="1"/>
  <c r="Q124" i="4"/>
  <c r="W38" i="5"/>
  <c r="Y118" i="12"/>
  <c r="M133" i="8"/>
  <c r="Q13" i="9"/>
  <c r="T37" i="12"/>
  <c r="L88" i="6"/>
  <c r="Q102" i="9"/>
  <c r="AB38" i="13"/>
  <c r="AV37" i="10"/>
  <c r="AO37" i="8"/>
  <c r="L36" i="7"/>
  <c r="Q38" i="2"/>
  <c r="V115" i="7"/>
  <c r="P104" i="6"/>
  <c r="N104" i="6"/>
  <c r="U95" i="1"/>
  <c r="V116" i="7"/>
  <c r="M90" i="6"/>
  <c r="AG38" i="8"/>
  <c r="AV37" i="8"/>
  <c r="L37" i="9"/>
  <c r="S99" i="2"/>
  <c r="Q13" i="11"/>
  <c r="Q38" i="13"/>
  <c r="Q93" i="11"/>
  <c r="AD38" i="9"/>
  <c r="AH38" i="9"/>
  <c r="L13" i="12"/>
  <c r="Q115" i="7"/>
  <c r="W127" i="10"/>
  <c r="X116" i="2"/>
  <c r="Z38" i="1"/>
  <c r="W38" i="1"/>
  <c r="O13" i="6"/>
  <c r="AR38" i="9"/>
  <c r="R37" i="2"/>
  <c r="T83" i="6"/>
  <c r="V38" i="12"/>
  <c r="AF37" i="5"/>
  <c r="R13" i="9"/>
  <c r="V118" i="12"/>
  <c r="T82" i="5"/>
  <c r="V133" i="8"/>
  <c r="AB37" i="2"/>
  <c r="V13" i="7"/>
  <c r="M103" i="6"/>
  <c r="M96" i="4"/>
  <c r="N38" i="1"/>
  <c r="N95" i="4"/>
  <c r="M81" i="12"/>
  <c r="R132" i="8"/>
  <c r="O107" i="2"/>
  <c r="M115" i="13"/>
  <c r="S115" i="4"/>
  <c r="K133" i="4"/>
  <c r="K36" i="1"/>
  <c r="AH38" i="5"/>
  <c r="S13" i="12"/>
  <c r="S14" i="11"/>
  <c r="O37" i="8"/>
  <c r="S38" i="9"/>
  <c r="K12" i="4"/>
  <c r="R96" i="1"/>
  <c r="T14" i="4"/>
  <c r="Y113" i="6"/>
  <c r="O132" i="4"/>
  <c r="W28" i="11"/>
  <c r="S13" i="13"/>
  <c r="X118" i="12"/>
  <c r="L114" i="5"/>
  <c r="Q13" i="13"/>
  <c r="S30" i="11"/>
  <c r="L113" i="11"/>
  <c r="Y38" i="8"/>
  <c r="AC38" i="8"/>
  <c r="AG37" i="13"/>
  <c r="M115" i="9"/>
  <c r="R114" i="9"/>
  <c r="M117" i="10"/>
  <c r="O38" i="10"/>
  <c r="N132" i="8"/>
  <c r="P90" i="7"/>
  <c r="T95" i="8"/>
  <c r="AO37" i="4"/>
  <c r="R95" i="6"/>
  <c r="U113" i="6"/>
  <c r="AW38" i="10"/>
  <c r="X114" i="11"/>
  <c r="AB37" i="7"/>
  <c r="X132" i="4"/>
  <c r="P38" i="9"/>
  <c r="AP37" i="8"/>
  <c r="AS38" i="1"/>
  <c r="M94" i="12"/>
  <c r="AB37" i="6"/>
  <c r="AB1" i="12"/>
  <c r="M114" i="8"/>
  <c r="L95" i="9"/>
  <c r="M37" i="13"/>
  <c r="R14" i="12"/>
  <c r="L13" i="10"/>
  <c r="Y116" i="13"/>
  <c r="L83" i="7"/>
  <c r="P13" i="10"/>
  <c r="AC30" i="11"/>
  <c r="AP38" i="8"/>
  <c r="L115" i="11"/>
  <c r="T107" i="11"/>
  <c r="Y115" i="13"/>
  <c r="AF38" i="12"/>
  <c r="M38" i="5"/>
  <c r="T117" i="10"/>
  <c r="M84" i="13"/>
  <c r="R37" i="13"/>
  <c r="AM37" i="4"/>
  <c r="O88" i="5"/>
  <c r="V14" i="2"/>
  <c r="P83" i="5"/>
  <c r="M84" i="7"/>
  <c r="Q13" i="8"/>
  <c r="R133" i="8"/>
  <c r="T14" i="11"/>
  <c r="L92" i="13"/>
  <c r="V115" i="13"/>
  <c r="Z30" i="11"/>
  <c r="AH30" i="11"/>
  <c r="Y132" i="1"/>
  <c r="S85" i="2"/>
  <c r="Z38" i="7"/>
  <c r="AI37" i="5"/>
  <c r="AJ36" i="1"/>
  <c r="O114" i="6"/>
  <c r="L1" i="9"/>
  <c r="T132" i="8"/>
  <c r="V13" i="2"/>
  <c r="AA38" i="6"/>
  <c r="O38" i="2"/>
  <c r="AB38" i="5"/>
  <c r="Q13" i="6"/>
  <c r="O116" i="1"/>
  <c r="R96" i="9"/>
  <c r="L131" i="9"/>
  <c r="V37" i="5"/>
  <c r="W116" i="7"/>
  <c r="AN37" i="10"/>
  <c r="M108" i="4"/>
  <c r="P96" i="10"/>
  <c r="Q37" i="2"/>
  <c r="AJ38" i="6"/>
  <c r="R13" i="7"/>
  <c r="AT37" i="9"/>
  <c r="T37" i="1"/>
  <c r="AA37" i="2"/>
  <c r="O114" i="9"/>
  <c r="N38" i="7"/>
  <c r="AH37" i="6"/>
  <c r="V14" i="13"/>
  <c r="M109" i="4"/>
  <c r="V133" i="4"/>
  <c r="P115" i="7"/>
  <c r="R103" i="5"/>
  <c r="M113" i="6"/>
  <c r="Q123" i="8"/>
  <c r="T115" i="11"/>
  <c r="L13" i="6"/>
  <c r="S131" i="1"/>
  <c r="L124" i="4"/>
  <c r="S123" i="1"/>
  <c r="S105" i="7"/>
  <c r="Q98" i="13"/>
  <c r="AP29" i="11"/>
  <c r="AD37" i="4"/>
  <c r="U38" i="7"/>
  <c r="AC37" i="1"/>
  <c r="V132" i="8"/>
  <c r="M37" i="4"/>
  <c r="AU38" i="1"/>
  <c r="X37" i="1"/>
  <c r="S37" i="5"/>
  <c r="Y37" i="5"/>
  <c r="AE38" i="7"/>
  <c r="AB38" i="4"/>
  <c r="V132" i="9"/>
  <c r="N122" i="8"/>
  <c r="L29" i="11"/>
  <c r="Q30" i="11"/>
  <c r="O37" i="12"/>
  <c r="T38" i="10"/>
  <c r="M108" i="10"/>
  <c r="S116" i="2"/>
  <c r="L84" i="7"/>
  <c r="X115" i="7"/>
  <c r="T13" i="10"/>
  <c r="O105" i="2"/>
  <c r="Z37" i="5"/>
  <c r="Y38" i="2"/>
  <c r="AA38" i="5"/>
  <c r="AA37" i="5"/>
  <c r="X37" i="2"/>
  <c r="S109" i="10"/>
  <c r="L114" i="6"/>
  <c r="T96" i="6"/>
  <c r="L94" i="10"/>
  <c r="T13" i="5"/>
  <c r="O133" i="4"/>
  <c r="M95" i="10"/>
  <c r="P108" i="9"/>
  <c r="AE38" i="1"/>
  <c r="S83" i="6"/>
  <c r="M85" i="13"/>
  <c r="Y119" i="12"/>
  <c r="AO38" i="9"/>
  <c r="N96" i="5"/>
  <c r="P14" i="9"/>
  <c r="AB37" i="9"/>
  <c r="S14" i="12"/>
  <c r="N110" i="1"/>
  <c r="P13" i="6"/>
  <c r="Q38" i="8"/>
  <c r="N108" i="8"/>
  <c r="K85" i="2"/>
  <c r="AK37" i="1"/>
  <c r="AV38" i="4"/>
  <c r="V38" i="5"/>
  <c r="Z38" i="5"/>
  <c r="L116" i="13"/>
  <c r="T98" i="13"/>
  <c r="R14" i="11"/>
  <c r="O14" i="2"/>
  <c r="K113" i="4"/>
  <c r="L114" i="4"/>
  <c r="L91" i="2"/>
  <c r="S106" i="2"/>
  <c r="AP37" i="9"/>
  <c r="S83" i="5"/>
  <c r="Q123" i="1"/>
  <c r="AO37" i="9"/>
  <c r="P38" i="5"/>
  <c r="P114" i="9"/>
  <c r="Q95" i="10"/>
  <c r="S38" i="10"/>
  <c r="T122" i="8"/>
  <c r="U13" i="13"/>
  <c r="T108" i="12"/>
  <c r="AP30" i="11"/>
  <c r="P104" i="13"/>
  <c r="AF37" i="6"/>
  <c r="U37" i="13"/>
  <c r="AJ37" i="6"/>
  <c r="W14" i="6"/>
  <c r="AJ38" i="7"/>
  <c r="L100" i="8"/>
  <c r="T95" i="4"/>
  <c r="O117" i="1"/>
  <c r="AN38" i="1"/>
  <c r="R115" i="8"/>
  <c r="U13" i="4"/>
  <c r="X37" i="4"/>
  <c r="P94" i="12"/>
  <c r="L12" i="8"/>
  <c r="R118" i="12"/>
  <c r="AC37" i="12"/>
  <c r="R109" i="10"/>
  <c r="L101" i="9"/>
  <c r="P109" i="12"/>
  <c r="N109" i="12"/>
  <c r="M126" i="10"/>
  <c r="AC38" i="6"/>
  <c r="AF38" i="1"/>
  <c r="P95" i="10"/>
  <c r="N123" i="8"/>
  <c r="P123" i="8"/>
  <c r="L94" i="1"/>
  <c r="S82" i="12"/>
  <c r="AK29" i="11"/>
  <c r="T84" i="13"/>
  <c r="O13" i="13"/>
  <c r="O13" i="7"/>
  <c r="S13" i="7"/>
  <c r="W116" i="13"/>
  <c r="AB1" i="13"/>
  <c r="N106" i="11"/>
  <c r="O126" i="10"/>
  <c r="S126" i="10"/>
  <c r="P133" i="9"/>
  <c r="AA132" i="9"/>
  <c r="U95" i="9"/>
  <c r="P121" i="9"/>
  <c r="T95" i="10"/>
  <c r="M96" i="8"/>
  <c r="M95" i="9"/>
  <c r="X115" i="13"/>
  <c r="U133" i="4"/>
  <c r="O116" i="13"/>
  <c r="X30" i="11"/>
  <c r="AE37" i="12"/>
  <c r="AD38" i="7"/>
  <c r="AH38" i="7"/>
  <c r="S106" i="7"/>
  <c r="M106" i="13"/>
  <c r="L87" i="11"/>
  <c r="L96" i="8"/>
  <c r="P95" i="8"/>
  <c r="N100" i="12"/>
  <c r="M14" i="9"/>
  <c r="O38" i="9"/>
  <c r="AN37" i="1"/>
  <c r="L98" i="13"/>
  <c r="AM37" i="1"/>
  <c r="P121" i="1"/>
  <c r="AK38" i="8"/>
  <c r="V37" i="8"/>
  <c r="Q37" i="10"/>
  <c r="L96" i="7"/>
  <c r="P107" i="12"/>
  <c r="AI30" i="11"/>
  <c r="T114" i="11"/>
  <c r="Q97" i="13"/>
  <c r="R14" i="9"/>
  <c r="U14" i="12"/>
  <c r="V14" i="9"/>
  <c r="M104" i="7"/>
  <c r="U13" i="1"/>
  <c r="N116" i="10"/>
  <c r="Q37" i="12"/>
  <c r="AO29" i="11"/>
  <c r="M13" i="2"/>
  <c r="R113" i="6"/>
  <c r="Q101" i="12"/>
  <c r="P85" i="13"/>
  <c r="N102" i="8"/>
  <c r="R97" i="13"/>
  <c r="P115" i="13"/>
  <c r="R95" i="10"/>
  <c r="P82" i="6"/>
  <c r="R13" i="4"/>
  <c r="L113" i="6"/>
  <c r="P101" i="9"/>
  <c r="AO38" i="4"/>
  <c r="M115" i="10"/>
  <c r="Q38" i="5"/>
  <c r="V13" i="13"/>
  <c r="M98" i="2"/>
  <c r="K13" i="5"/>
  <c r="O114" i="8"/>
  <c r="AS38" i="9"/>
  <c r="L37" i="7"/>
  <c r="U85" i="7"/>
  <c r="N91" i="7"/>
  <c r="V119" i="12"/>
  <c r="O115" i="8"/>
  <c r="S115" i="8"/>
  <c r="AF30" i="11"/>
  <c r="O14" i="8"/>
  <c r="U13" i="7"/>
  <c r="Q37" i="7"/>
  <c r="M38" i="4"/>
  <c r="T84" i="2"/>
  <c r="AE37" i="10"/>
  <c r="T82" i="6"/>
  <c r="M109" i="10"/>
  <c r="M116" i="13"/>
  <c r="L108" i="10"/>
  <c r="L108" i="1"/>
  <c r="U38" i="8"/>
  <c r="R117" i="1"/>
  <c r="Q14" i="6"/>
  <c r="O81" i="12"/>
  <c r="R122" i="8"/>
  <c r="S14" i="4"/>
  <c r="N96" i="4"/>
  <c r="Q102" i="1"/>
  <c r="AK38" i="13"/>
  <c r="AF38" i="10"/>
  <c r="L103" i="5"/>
  <c r="L12" i="13"/>
  <c r="L123" i="4"/>
  <c r="P123" i="1"/>
  <c r="Y38" i="6"/>
  <c r="AI38" i="6"/>
  <c r="Q38" i="6"/>
  <c r="L38" i="5"/>
  <c r="N13" i="8"/>
  <c r="R101" i="12"/>
  <c r="X133" i="9"/>
  <c r="T116" i="10"/>
  <c r="O84" i="13"/>
  <c r="Q38" i="7"/>
  <c r="Y38" i="7"/>
  <c r="AK30" i="11"/>
  <c r="X37" i="13"/>
  <c r="Q13" i="2"/>
  <c r="N37" i="13"/>
  <c r="AL37" i="1"/>
  <c r="Q95" i="8"/>
  <c r="Z133" i="9"/>
  <c r="Q118" i="12"/>
  <c r="Z116" i="13"/>
  <c r="W131" i="1"/>
  <c r="M38" i="2"/>
  <c r="S37" i="7"/>
  <c r="AM30" i="11"/>
  <c r="Q107" i="11"/>
  <c r="AA38" i="12"/>
  <c r="O30" i="11"/>
  <c r="S37" i="13"/>
  <c r="L110" i="1"/>
  <c r="S113" i="5"/>
  <c r="K12" i="2"/>
  <c r="AS29" i="11"/>
  <c r="Z37" i="1"/>
  <c r="AI37" i="1"/>
  <c r="M92" i="2"/>
  <c r="M14" i="8"/>
  <c r="L1" i="6"/>
  <c r="P132" i="4"/>
  <c r="AL38" i="10"/>
  <c r="AJ37" i="4"/>
  <c r="Q105" i="7"/>
  <c r="R37" i="12"/>
  <c r="L36" i="9"/>
  <c r="M38" i="12"/>
  <c r="Q96" i="6"/>
  <c r="X114" i="5"/>
  <c r="AV37" i="9"/>
  <c r="P13" i="11"/>
  <c r="AV30" i="11"/>
  <c r="V114" i="6"/>
  <c r="V114" i="11"/>
  <c r="U14" i="2"/>
  <c r="Z133" i="4"/>
  <c r="K98" i="2"/>
  <c r="L132" i="1"/>
  <c r="R95" i="9"/>
  <c r="K101" i="4"/>
  <c r="AS30" i="11"/>
  <c r="S106" i="11"/>
  <c r="T14" i="10"/>
  <c r="P83" i="6"/>
  <c r="M110" i="1"/>
  <c r="R95" i="4"/>
  <c r="P38" i="12"/>
  <c r="Q14" i="4"/>
  <c r="V37" i="4"/>
  <c r="Q38" i="1"/>
  <c r="R96" i="8"/>
  <c r="AB1" i="7"/>
  <c r="S116" i="13"/>
  <c r="T118" i="12"/>
  <c r="V116" i="13"/>
  <c r="M103" i="1"/>
  <c r="T38" i="2"/>
  <c r="M108" i="12"/>
  <c r="L1" i="8"/>
  <c r="Q37" i="8"/>
  <c r="L14" i="1"/>
  <c r="O91" i="2"/>
  <c r="O109" i="10"/>
  <c r="AG38" i="10"/>
  <c r="AL37" i="10"/>
  <c r="Q117" i="10"/>
  <c r="AD38" i="12"/>
  <c r="Q132" i="8"/>
  <c r="P108" i="1"/>
  <c r="V38" i="6"/>
  <c r="W118" i="12"/>
  <c r="R106" i="13"/>
  <c r="U88" i="11"/>
  <c r="AA37" i="4"/>
  <c r="P96" i="6"/>
  <c r="O37" i="4"/>
  <c r="P108" i="12"/>
  <c r="L38" i="10"/>
  <c r="S101" i="12"/>
  <c r="N13" i="13"/>
  <c r="AD38" i="8"/>
  <c r="L94" i="12"/>
  <c r="M123" i="8"/>
  <c r="Q109" i="12"/>
  <c r="AI29" i="11"/>
  <c r="N88" i="11"/>
  <c r="W13" i="12"/>
  <c r="T37" i="5"/>
  <c r="S98" i="2"/>
  <c r="T14" i="8"/>
  <c r="P116" i="1"/>
  <c r="Q13" i="1"/>
  <c r="AK38" i="2"/>
  <c r="M95" i="8"/>
  <c r="T95" i="6"/>
  <c r="K83" i="2"/>
  <c r="V38" i="4"/>
  <c r="R38" i="9"/>
  <c r="Q109" i="10"/>
  <c r="AA126" i="10"/>
  <c r="Y30" i="11"/>
  <c r="Q14" i="11"/>
  <c r="O14" i="6"/>
  <c r="M109" i="12"/>
  <c r="L94" i="8"/>
  <c r="AA118" i="12"/>
  <c r="Q95" i="4"/>
  <c r="Q113" i="6"/>
  <c r="T132" i="4"/>
  <c r="T84" i="7"/>
  <c r="Q106" i="7"/>
  <c r="M85" i="7"/>
  <c r="AO30" i="11"/>
  <c r="L90" i="13"/>
  <c r="R98" i="13"/>
  <c r="O98" i="13"/>
  <c r="Q116" i="13"/>
  <c r="AJ37" i="13"/>
  <c r="Z115" i="13"/>
  <c r="O114" i="11"/>
  <c r="AD37" i="12"/>
  <c r="AG29" i="11"/>
  <c r="AE38" i="5"/>
  <c r="O101" i="12"/>
  <c r="AI38" i="5"/>
  <c r="L90" i="5"/>
  <c r="P104" i="5"/>
  <c r="O38" i="5"/>
  <c r="AJ37" i="1"/>
  <c r="Z38" i="12"/>
  <c r="Q96" i="4"/>
  <c r="M88" i="11"/>
  <c r="K12" i="1"/>
  <c r="T13" i="6"/>
  <c r="L37" i="2"/>
  <c r="AG37" i="9"/>
  <c r="P116" i="10"/>
  <c r="P93" i="11"/>
  <c r="N108" i="12"/>
  <c r="Z118" i="12"/>
  <c r="Q83" i="6"/>
  <c r="U83" i="6"/>
  <c r="L37" i="13"/>
  <c r="AH37" i="12"/>
  <c r="AF37" i="9"/>
  <c r="AJ37" i="9"/>
  <c r="O85" i="13"/>
  <c r="T132" i="9"/>
  <c r="Z37" i="13"/>
  <c r="L118" i="12"/>
  <c r="M102" i="9"/>
  <c r="N89" i="6"/>
  <c r="M122" i="9"/>
  <c r="M38" i="1"/>
  <c r="S95" i="5"/>
  <c r="T14" i="5"/>
  <c r="K113" i="5"/>
  <c r="R13" i="8"/>
  <c r="AD38" i="4"/>
  <c r="R30" i="11"/>
  <c r="N87" i="11"/>
  <c r="X29" i="11"/>
  <c r="L96" i="4"/>
  <c r="AW37" i="10"/>
  <c r="M87" i="11"/>
  <c r="Z127" i="10"/>
  <c r="N14" i="13"/>
  <c r="T14" i="1"/>
  <c r="U132" i="1"/>
  <c r="K37" i="5"/>
  <c r="L95" i="8"/>
  <c r="P114" i="8"/>
  <c r="O101" i="9"/>
  <c r="AE37" i="13"/>
  <c r="Q103" i="5"/>
  <c r="M14" i="2"/>
  <c r="R119" i="12"/>
  <c r="N100" i="11"/>
  <c r="AB37" i="10"/>
  <c r="Q37" i="6"/>
  <c r="M132" i="1"/>
  <c r="AI38" i="2"/>
  <c r="R104" i="6"/>
  <c r="R14" i="1"/>
  <c r="O102" i="4"/>
  <c r="L101" i="4"/>
  <c r="Y38" i="12"/>
  <c r="T109" i="12"/>
  <c r="X115" i="11"/>
  <c r="N85" i="7"/>
  <c r="S29" i="11"/>
  <c r="K13" i="2"/>
  <c r="AV37" i="4"/>
  <c r="V133" i="9"/>
  <c r="Q108" i="10"/>
  <c r="AV38" i="1"/>
  <c r="M38" i="7"/>
  <c r="S100" i="12"/>
  <c r="AD38" i="13"/>
  <c r="P14" i="11"/>
  <c r="M14" i="1"/>
  <c r="R14" i="7"/>
  <c r="N95" i="9"/>
  <c r="AK37" i="8"/>
  <c r="P132" i="1"/>
  <c r="AD37" i="7"/>
  <c r="Y115" i="2"/>
  <c r="P98" i="7"/>
  <c r="U13" i="2"/>
  <c r="Z37" i="9"/>
  <c r="L100" i="9"/>
  <c r="V14" i="8"/>
  <c r="AI37" i="8"/>
  <c r="R107" i="2"/>
  <c r="R99" i="2"/>
  <c r="N114" i="6"/>
  <c r="AN38" i="10"/>
  <c r="W37" i="5"/>
  <c r="N117" i="1"/>
  <c r="AE38" i="2"/>
  <c r="Q114" i="6"/>
  <c r="Y114" i="6"/>
  <c r="L97" i="7"/>
  <c r="AC38" i="10"/>
  <c r="T119" i="12"/>
  <c r="K94" i="4"/>
  <c r="L86" i="11"/>
  <c r="O107" i="11"/>
  <c r="V115" i="11"/>
  <c r="N95" i="5"/>
  <c r="AA1" i="4"/>
  <c r="Z115" i="11"/>
  <c r="P14" i="1"/>
  <c r="Q38" i="4"/>
  <c r="U84" i="13"/>
  <c r="P102" i="4"/>
  <c r="AB37" i="12"/>
  <c r="S133" i="4"/>
  <c r="W36" i="8"/>
  <c r="U14" i="10"/>
  <c r="AG37" i="10"/>
  <c r="P37" i="2"/>
  <c r="AD29" i="11"/>
  <c r="R81" i="12"/>
  <c r="N118" i="12"/>
  <c r="K1" i="5"/>
  <c r="R83" i="5"/>
  <c r="AH37" i="4"/>
  <c r="AS38" i="4"/>
  <c r="L117" i="1"/>
  <c r="O100" i="12"/>
  <c r="Z37" i="6"/>
  <c r="L115" i="4"/>
  <c r="AU37" i="1"/>
  <c r="N13" i="1"/>
  <c r="Z38" i="9"/>
  <c r="Z37" i="12"/>
  <c r="X113" i="6"/>
  <c r="M102" i="6"/>
  <c r="AD37" i="9"/>
  <c r="AI37" i="12"/>
  <c r="O14" i="10"/>
  <c r="T123" i="8"/>
  <c r="Y115" i="7"/>
  <c r="N132" i="4"/>
  <c r="AE37" i="9"/>
  <c r="O116" i="7"/>
  <c r="M115" i="2"/>
  <c r="AU30" i="11"/>
  <c r="P116" i="2"/>
  <c r="L84" i="2"/>
  <c r="O88" i="12"/>
  <c r="N14" i="2"/>
  <c r="W14" i="8"/>
  <c r="L101" i="12"/>
  <c r="N13" i="5"/>
  <c r="O104" i="5"/>
  <c r="AF38" i="2"/>
  <c r="AE38" i="4"/>
  <c r="T85" i="2"/>
  <c r="R107" i="11"/>
  <c r="N14" i="12"/>
  <c r="AM38" i="9"/>
  <c r="M121" i="8"/>
  <c r="U114" i="6"/>
  <c r="P13" i="13"/>
  <c r="U115" i="7"/>
  <c r="AI38" i="7"/>
  <c r="AT38" i="4"/>
  <c r="Q37" i="4"/>
  <c r="M13" i="6"/>
  <c r="V114" i="5"/>
  <c r="W37" i="9"/>
  <c r="P84" i="2"/>
  <c r="K14" i="5"/>
  <c r="L104" i="5"/>
  <c r="Y114" i="11"/>
  <c r="Y29" i="11"/>
  <c r="Z38" i="13"/>
  <c r="AP38" i="10"/>
  <c r="AT38" i="10"/>
  <c r="AA115" i="13"/>
  <c r="P88" i="11"/>
  <c r="AM29" i="11"/>
  <c r="AT38" i="1"/>
  <c r="S132" i="4"/>
  <c r="O106" i="2"/>
  <c r="AI38" i="9"/>
  <c r="AN37" i="4"/>
  <c r="Q95" i="9"/>
  <c r="AI37" i="13"/>
  <c r="L101" i="8"/>
  <c r="AF38" i="8"/>
  <c r="L37" i="4"/>
  <c r="Y113" i="5"/>
  <c r="Y126" i="10"/>
  <c r="V13" i="11"/>
  <c r="Y38" i="10"/>
  <c r="M84" i="2"/>
  <c r="P107" i="2"/>
  <c r="AN29" i="11"/>
  <c r="V38" i="9"/>
  <c r="Q94" i="11"/>
  <c r="X38" i="4"/>
  <c r="Q37" i="13"/>
  <c r="P81" i="12"/>
  <c r="AQ29" i="11"/>
  <c r="R38" i="10"/>
  <c r="L14" i="2"/>
  <c r="N14" i="11"/>
  <c r="P108" i="8"/>
  <c r="R14" i="6"/>
  <c r="V14" i="6"/>
  <c r="R85" i="13"/>
  <c r="AC37" i="7"/>
  <c r="L97" i="13"/>
  <c r="AC37" i="8"/>
  <c r="AK36" i="8"/>
  <c r="P118" i="12"/>
  <c r="Z29" i="11"/>
  <c r="AH29" i="11"/>
  <c r="AG30" i="11"/>
  <c r="Q103" i="6"/>
  <c r="W133" i="9"/>
  <c r="P29" i="11"/>
  <c r="AF38" i="7"/>
  <c r="P109" i="1"/>
  <c r="N131" i="1"/>
  <c r="S109" i="12"/>
  <c r="X38" i="7"/>
  <c r="AK38" i="7"/>
  <c r="AA114" i="11"/>
  <c r="N133" i="4"/>
  <c r="N13" i="12"/>
  <c r="P82" i="12"/>
  <c r="U37" i="8"/>
  <c r="M82" i="12"/>
  <c r="O102" i="9"/>
  <c r="W14" i="10"/>
  <c r="P103" i="5"/>
  <c r="U131" i="1"/>
  <c r="P37" i="12"/>
  <c r="M101" i="9"/>
  <c r="R114" i="8"/>
  <c r="O14" i="9"/>
  <c r="T106" i="7"/>
  <c r="Q81" i="12"/>
  <c r="M118" i="12"/>
  <c r="L36" i="13"/>
  <c r="L106" i="11"/>
  <c r="P116" i="13"/>
  <c r="L113" i="9"/>
  <c r="N108" i="10"/>
  <c r="AA38" i="7"/>
  <c r="K12" i="5"/>
  <c r="O14" i="5"/>
  <c r="Y133" i="8"/>
  <c r="Y37" i="9"/>
  <c r="L14" i="12"/>
  <c r="N81" i="12"/>
  <c r="X113" i="5"/>
  <c r="AC37" i="9"/>
  <c r="P13" i="1"/>
  <c r="T13" i="9"/>
  <c r="Q38" i="10"/>
  <c r="P95" i="6"/>
  <c r="P14" i="10"/>
  <c r="Z115" i="2"/>
  <c r="P37" i="6"/>
  <c r="P107" i="8"/>
  <c r="R115" i="4"/>
  <c r="AS37" i="1"/>
  <c r="W14" i="13"/>
  <c r="M92" i="13"/>
  <c r="Z37" i="10"/>
  <c r="N85" i="13"/>
  <c r="AL30" i="11"/>
  <c r="M115" i="8"/>
  <c r="L103" i="10"/>
  <c r="L131" i="8"/>
  <c r="O115" i="13"/>
  <c r="U38" i="13"/>
  <c r="S122" i="9"/>
  <c r="S13" i="11"/>
  <c r="L91" i="13"/>
  <c r="AR30" i="11"/>
  <c r="L114" i="11"/>
  <c r="AW30" i="11"/>
  <c r="U85" i="13"/>
  <c r="L1" i="7"/>
  <c r="L96" i="13"/>
  <c r="P38" i="13"/>
  <c r="S13" i="10"/>
  <c r="S105" i="13"/>
  <c r="W13" i="10"/>
  <c r="N95" i="10"/>
  <c r="L95" i="10"/>
  <c r="W114" i="11"/>
  <c r="AH38" i="12"/>
  <c r="AE38" i="12"/>
  <c r="O13" i="11"/>
  <c r="R37" i="8"/>
  <c r="AC38" i="12"/>
  <c r="M105" i="13"/>
  <c r="N90" i="6"/>
  <c r="AI38" i="13"/>
  <c r="Z116" i="2"/>
  <c r="T96" i="4"/>
  <c r="AU29" i="11"/>
  <c r="M114" i="9"/>
  <c r="AA30" i="11"/>
  <c r="AA1" i="2"/>
  <c r="S132" i="8"/>
  <c r="P14" i="6"/>
  <c r="L92" i="7"/>
  <c r="R126" i="10"/>
  <c r="Q132" i="9"/>
  <c r="AA116" i="13"/>
  <c r="S38" i="6"/>
  <c r="Z114" i="6"/>
  <c r="N103" i="6"/>
  <c r="L38" i="13"/>
  <c r="X38" i="13"/>
  <c r="X116" i="13"/>
  <c r="X114" i="6"/>
  <c r="L13" i="11"/>
  <c r="O87" i="11"/>
  <c r="Q84" i="13"/>
  <c r="N92" i="13"/>
  <c r="L83" i="13"/>
  <c r="AC29" i="11"/>
  <c r="P88" i="12"/>
  <c r="M14" i="12"/>
  <c r="T13" i="12"/>
  <c r="AN37" i="8"/>
  <c r="U29" i="11"/>
  <c r="T87" i="11"/>
  <c r="L38" i="7"/>
  <c r="K37" i="4"/>
  <c r="AB37" i="4"/>
  <c r="P114" i="4"/>
  <c r="AA132" i="1"/>
  <c r="Q37" i="5"/>
  <c r="M37" i="6"/>
  <c r="P98" i="2"/>
  <c r="S114" i="4"/>
  <c r="V115" i="2"/>
  <c r="L107" i="9"/>
  <c r="W37" i="7"/>
  <c r="R14" i="13"/>
  <c r="AQ37" i="4"/>
  <c r="AU37" i="4"/>
  <c r="S122" i="8"/>
  <c r="L28" i="11"/>
  <c r="L94" i="11"/>
  <c r="L37" i="5"/>
  <c r="U14" i="8"/>
  <c r="AM38" i="10"/>
  <c r="P13" i="9"/>
  <c r="Q97" i="7"/>
  <c r="O115" i="7"/>
  <c r="L37" i="12"/>
  <c r="S115" i="13"/>
  <c r="P37" i="13"/>
  <c r="V37" i="13"/>
  <c r="P115" i="10"/>
  <c r="T14" i="12"/>
  <c r="W119" i="12"/>
  <c r="Y37" i="6"/>
  <c r="AC37" i="6"/>
  <c r="O13" i="12"/>
  <c r="O38" i="12"/>
  <c r="T38" i="12"/>
  <c r="Q14" i="13"/>
  <c r="R133" i="9"/>
  <c r="M14" i="13"/>
  <c r="Y37" i="10"/>
  <c r="Q123" i="9"/>
  <c r="P121" i="8"/>
  <c r="L83" i="5"/>
  <c r="N132" i="1"/>
  <c r="R82" i="5"/>
  <c r="U114" i="5"/>
  <c r="N14" i="6"/>
  <c r="L93" i="12"/>
  <c r="Z116" i="7"/>
  <c r="S37" i="2"/>
  <c r="AK36" i="9"/>
  <c r="AB38" i="10"/>
  <c r="S14" i="13"/>
  <c r="AT30" i="11"/>
  <c r="P94" i="11"/>
  <c r="P106" i="11"/>
  <c r="P37" i="7"/>
  <c r="T37" i="7"/>
  <c r="Y37" i="13"/>
  <c r="W38" i="9"/>
  <c r="N38" i="8"/>
  <c r="AA38" i="9"/>
  <c r="O133" i="9"/>
  <c r="R116" i="10"/>
  <c r="P97" i="13"/>
  <c r="L14" i="13"/>
  <c r="R84" i="13"/>
  <c r="R38" i="13"/>
  <c r="V14" i="12"/>
  <c r="M100" i="11"/>
  <c r="N38" i="13"/>
  <c r="O119" i="12"/>
  <c r="V13" i="12"/>
  <c r="O115" i="11"/>
  <c r="AB38" i="12"/>
  <c r="P95" i="5"/>
  <c r="N37" i="9"/>
  <c r="T88" i="11"/>
  <c r="O96" i="6"/>
  <c r="N109" i="9"/>
  <c r="T116" i="13"/>
  <c r="M93" i="11"/>
  <c r="Q88" i="12"/>
  <c r="T103" i="6"/>
  <c r="S117" i="10"/>
  <c r="Q96" i="8"/>
  <c r="U95" i="8"/>
  <c r="P98" i="13"/>
  <c r="S85" i="13"/>
  <c r="N94" i="12"/>
  <c r="U14" i="13"/>
  <c r="AC37" i="13"/>
  <c r="Z114" i="11"/>
  <c r="AB30" i="11"/>
  <c r="P114" i="11"/>
  <c r="R114" i="11"/>
  <c r="U38" i="12"/>
  <c r="W115" i="11"/>
  <c r="L88" i="12"/>
  <c r="Q82" i="12"/>
  <c r="M100" i="12"/>
  <c r="L30" i="11"/>
  <c r="L93" i="11"/>
  <c r="R105" i="13"/>
  <c r="L88" i="11"/>
  <c r="AB29" i="11"/>
  <c r="M14" i="11"/>
  <c r="V14" i="11"/>
  <c r="T38" i="13"/>
  <c r="AK28" i="11"/>
  <c r="T97" i="13"/>
  <c r="M94" i="11"/>
</calcChain>
</file>

<file path=xl/comments1.xml><?xml version="1.0" encoding="utf-8"?>
<comments xmlns="http://schemas.openxmlformats.org/spreadsheetml/2006/main">
  <authors>
    <author/>
  </authors>
  <commentList>
    <comment ref="C1" authorId="0" shapeId="0">
      <text>
        <r>
          <rPr>
            <sz val="10"/>
            <color rgb="FF000000"/>
            <rFont val="Arial"/>
            <family val="2"/>
          </rPr>
          <t>1= Compulsory
0:1= chance to fulfill the field
0:N= Chance to fulfill one or more fields
1:N= Compulsory to fulfill at least one</t>
        </r>
      </text>
    </comment>
    <comment ref="E1" authorId="0" shapeId="0">
      <text>
        <r>
          <rPr>
            <sz val="10"/>
            <color rgb="FF000000"/>
            <rFont val="Arial"/>
            <family val="2"/>
          </rPr>
          <t>1= Compulsory
0:1= chance to fulfill the field
0:N= Chance to fulfill one or more fields
1:N= Compulsory to fulfill at least one</t>
        </r>
      </text>
    </comment>
    <comment ref="G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Data types are shown in the following link:
https://docs.google.com/spreadsheets/d/1C6N4-YWX9OMmNStd2rYlSUaVys-aiJGLj00cD44aVc8/edit#gid=1894320575</t>
        </r>
      </text>
    </comment>
    <comment ref="K1" authorId="0" shapeId="0">
      <text>
        <r>
          <rPr>
            <sz val="10"/>
            <color rgb="FF000000"/>
            <rFont val="Arial"/>
            <family val="2"/>
          </rPr>
          <t xml:space="preserve">The person responsible for creating the model file in the present form or the person responsible for creating the data file in the present form </t>
        </r>
      </text>
    </comment>
    <comment ref="AA1" authorId="0" shapeId="0">
      <text>
        <r>
          <rPr>
            <sz val="10"/>
            <color rgb="FF000000"/>
            <rFont val="Arial"/>
            <family val="2"/>
          </rPr>
          <t>Person who generated the model code or generated the data set originally</t>
        </r>
      </text>
    </comment>
    <comment ref="D2" authorId="0" shapeId="0">
      <text>
        <r>
          <rPr>
            <sz val="10"/>
            <color rgb="FF000000"/>
            <rFont val="Arial"/>
            <family val="2"/>
          </rPr>
          <t>A name given to the model or data</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D3" authorId="0" shapeId="0">
      <text>
        <r>
          <rPr>
            <sz val="10"/>
            <color rgb="FF000000"/>
            <rFont val="Arial"/>
            <family val="2"/>
          </rPr>
          <t>A related resource from which the described resource is derived</t>
        </r>
      </text>
    </comment>
    <comment ref="D4" authorId="0" shapeId="0">
      <text>
        <r>
          <rPr>
            <sz val="10"/>
            <color rgb="FF000000"/>
            <rFont val="Arial"/>
            <family val="2"/>
          </rPr>
          <t>An unambiguous ID given to the model or data(e.g. URI)</t>
        </r>
      </text>
    </comment>
    <comment ref="D5" authorId="0" shapeId="0">
      <text>
        <r>
          <rPr>
            <sz val="10"/>
            <color rgb="FF000000"/>
            <rFont val="Arial"/>
            <family val="2"/>
          </rPr>
          <t>Person who generated the model code or generated the data set originally</t>
        </r>
      </text>
    </comment>
    <comment ref="D6" authorId="0" shapeId="0">
      <text>
        <r>
          <rPr>
            <sz val="10"/>
            <color rgb="FF000000"/>
            <rFont val="Arial"/>
            <family val="2"/>
          </rPr>
          <t xml:space="preserve">The person responsible for creating the model file in the present form or the person responsible for creating the data file in the present form </t>
        </r>
      </text>
    </comment>
    <comment ref="F7" authorId="0" shapeId="0">
      <text>
        <r>
          <rPr>
            <sz val="10"/>
            <color rgb="FF000000"/>
            <rFont val="Arial"/>
            <family val="2"/>
          </rPr>
          <t>Temporal information on the model creation date</t>
        </r>
      </text>
    </comment>
    <comment ref="F8" authorId="0" shapeId="0">
      <text>
        <r>
          <rPr>
            <sz val="10"/>
            <color rgb="FF000000"/>
            <rFont val="Arial"/>
            <family val="2"/>
          </rPr>
          <t>Temporal information on the last modification of the model</t>
        </r>
      </text>
    </comment>
    <comment ref="F9" authorId="0" shapeId="0">
      <text>
        <r>
          <rPr>
            <sz val="10"/>
            <color rgb="FF000000"/>
            <rFont val="Arial"/>
            <family val="2"/>
          </rPr>
          <t>Information on rights held in an over the resource</t>
        </r>
      </text>
    </comment>
    <comment ref="D10" authorId="0" shapeId="0">
      <text>
        <r>
          <rPr>
            <sz val="10"/>
            <color rgb="FF000000"/>
            <rFont val="Arial"/>
            <family val="2"/>
          </rPr>
          <t>Availability of data or model</t>
        </r>
      </text>
    </comment>
    <comment ref="D11" authorId="0" shapeId="0">
      <text>
        <r>
          <rPr>
            <sz val="10"/>
            <color rgb="FF000000"/>
            <rFont val="Arial"/>
            <family val="2"/>
          </rPr>
          <t>Web address referencing the resource location (data for example)</t>
        </r>
      </text>
    </comment>
    <comment ref="D12" authorId="0" shapeId="0">
      <text>
        <r>
          <rPr>
            <sz val="10"/>
            <color rgb="FF000000"/>
            <rFont val="Arial"/>
            <family val="2"/>
          </rPr>
          <t>Form of model or data (file extension)</t>
        </r>
      </text>
    </comment>
    <comment ref="F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F14" authorId="0" shapeId="0">
      <text>
        <r>
          <rPr>
            <sz val="10"/>
            <color rgb="FF000000"/>
            <rFont val="Arial"/>
            <family val="2"/>
          </rPr>
          <t>The type of publication, e.g. Report, Journal article, Book, Online database, ...</t>
        </r>
      </text>
    </comment>
    <comment ref="F15" authorId="0" shapeId="0">
      <text>
        <r>
          <rPr>
            <sz val="10"/>
            <color rgb="FF000000"/>
            <rFont val="Arial"/>
            <family val="2"/>
          </rPr>
          <t>Temporal information on the publication date</t>
        </r>
      </text>
    </comment>
    <comment ref="F16" authorId="0" shapeId="0">
      <text>
        <r>
          <rPr>
            <sz val="10"/>
            <color rgb="FF000000"/>
            <rFont val="Arial"/>
            <family val="2"/>
          </rPr>
          <t>The PubMed ID related to this publication</t>
        </r>
      </text>
    </comment>
    <comment ref="F17" authorId="0" shapeId="0">
      <text>
        <r>
          <rPr>
            <sz val="10"/>
            <color rgb="FF000000"/>
            <rFont val="Arial"/>
            <family val="2"/>
          </rPr>
          <t>The DOI related to this publication</t>
        </r>
      </text>
    </comment>
    <comment ref="F18" authorId="0" shapeId="0">
      <text>
        <r>
          <rPr>
            <sz val="10"/>
            <color rgb="FF000000"/>
            <rFont val="Arial"/>
            <family val="2"/>
          </rPr>
          <t>Name and surname of the authors who contributed to this publication</t>
        </r>
      </text>
    </comment>
    <comment ref="F19" authorId="0" shapeId="0">
      <text>
        <r>
          <rPr>
            <sz val="10"/>
            <color rgb="FF000000"/>
            <rFont val="Arial"/>
            <family val="2"/>
          </rPr>
          <t>Title of the publication in which the model has been described</t>
        </r>
      </text>
    </comment>
    <comment ref="F20" authorId="0" shapeId="0">
      <text>
        <r>
          <rPr>
            <sz val="10"/>
            <color rgb="FF000000"/>
            <rFont val="Arial"/>
            <family val="2"/>
          </rPr>
          <t>Abstract of the publication in which the model has been described</t>
        </r>
      </text>
    </comment>
    <comment ref="F21" authorId="0" shapeId="0">
      <text>
        <r>
          <rPr>
            <sz val="10"/>
            <color rgb="FF000000"/>
            <rFont val="Arial"/>
            <family val="2"/>
          </rPr>
          <t>Data on the details of the journal in which the model has been described</t>
        </r>
      </text>
    </comment>
    <comment ref="F22" authorId="0" shapeId="0">
      <text>
        <r>
          <rPr>
            <sz val="10"/>
            <color rgb="FF000000"/>
            <rFont val="Arial"/>
            <family val="2"/>
          </rPr>
          <t>The status of this publication, e.g. Published, Submitted, etc.</t>
        </r>
      </text>
    </comment>
    <comment ref="F23" authorId="0" shapeId="0">
      <text>
        <r>
          <rPr>
            <sz val="10"/>
            <color rgb="FF000000"/>
            <rFont val="Arial"/>
            <family val="2"/>
          </rPr>
          <t>A link to the publication description</t>
        </r>
      </text>
    </comment>
    <comment ref="F24" authorId="0" shapeId="0">
      <text>
        <r>
          <rPr>
            <sz val="10"/>
            <color rgb="FF000000"/>
            <rFont val="Arial"/>
            <family val="2"/>
          </rPr>
          <t>Further comments related to the reference description</t>
        </r>
      </text>
    </comment>
    <comment ref="D25" authorId="0" shapeId="0">
      <text>
        <r>
          <rPr>
            <sz val="10"/>
            <color rgb="FF000000"/>
            <rFont val="Arial"/>
            <family val="2"/>
          </rPr>
          <t>A language of the resource (some data or reports can be available in French language for example)</t>
        </r>
      </text>
    </comment>
    <comment ref="D26" authorId="0" shapeId="0">
      <text>
        <r>
          <rPr>
            <sz val="10"/>
            <color rgb="FF000000"/>
            <rFont val="Arial"/>
            <family val="2"/>
          </rPr>
          <t>The program in which the model has been implemented.</t>
        </r>
      </text>
    </comment>
    <comment ref="D27" authorId="0" shapeId="0">
      <text>
        <r>
          <rPr>
            <sz val="10"/>
            <color rgb="FF000000"/>
            <rFont val="Arial"/>
            <family val="2"/>
          </rPr>
          <t>Language used to write the model, e.g. R or MatLab</t>
        </r>
      </text>
    </comment>
    <comment ref="F28" authorId="0" shapeId="0">
      <text>
        <r>
          <rPr>
            <sz val="10"/>
            <color rgb="FF000000"/>
            <rFont val="Arial"/>
            <family val="2"/>
          </rPr>
          <t>Type of model used to build-up the risk assessment structure.</t>
        </r>
      </text>
    </comment>
    <comment ref="F29" authorId="0" shapeId="0">
      <text>
        <r>
          <rPr>
            <sz val="10"/>
            <color rgb="FF000000"/>
            <rFont val="Arial"/>
            <family val="2"/>
          </rPr>
          <t>Sub-cassification of the model given the Model Class</t>
        </r>
      </text>
    </comment>
    <comment ref="F31" authorId="0" shapeId="0">
      <text>
        <r>
          <rPr>
            <sz val="10"/>
            <color rgb="FF000000"/>
            <rFont val="Arial"/>
            <family val="2"/>
          </rPr>
          <t>Defines the impact of the specific process on the hazard</t>
        </r>
      </text>
    </comment>
    <comment ref="D33" authorId="0" shapeId="0">
      <text>
        <r>
          <rPr>
            <sz val="10"/>
            <color rgb="FF000000"/>
            <rFont val="Arial"/>
            <family val="2"/>
          </rPr>
          <t>The curation status of the model</t>
        </r>
      </text>
    </comment>
    <comment ref="D34" authorId="0" shapeId="0">
      <text>
        <r>
          <rPr>
            <sz val="10"/>
            <color rgb="FF000000"/>
            <rFont val="Arial"/>
            <family val="2"/>
          </rPr>
          <t xml:space="preserve">Objective of the model </t>
        </r>
      </text>
    </comment>
    <comment ref="D35" authorId="0" shapeId="0">
      <text>
        <r>
          <rPr>
            <sz val="10"/>
            <color rgb="FF000000"/>
            <rFont val="Arial"/>
            <family val="2"/>
          </rPr>
          <t>General description of the study,  model</t>
        </r>
      </text>
    </comment>
    <comment ref="F36" authorId="0" shapeId="0">
      <text>
        <r>
          <rPr>
            <sz val="10"/>
            <color rgb="FF000000"/>
            <rFont val="Arial"/>
            <family val="2"/>
          </rPr>
          <t>The product-matrix (animal, food product, matrix, lab media, etc.) for which the model applies</t>
        </r>
      </text>
    </comment>
    <comment ref="F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AJ37" authorId="0" shapeId="0">
      <text>
        <r>
          <rPr>
            <sz val="10"/>
            <color rgb="FF000000"/>
            <rFont val="Arial"/>
            <family val="2"/>
          </rPr>
          <t>Name of the population for which the model or data applies</t>
        </r>
      </text>
    </comment>
    <comment ref="AK37" authorId="0" shapeId="0">
      <text>
        <r>
          <rPr>
            <sz val="10"/>
            <color rgb="FF000000"/>
            <rFont val="Arial"/>
            <family val="2"/>
          </rPr>
          <t>population of individual that we are interested in describing and making statistical inferences about</t>
        </r>
      </text>
    </comment>
    <comment ref="AL37" authorId="0" shapeId="0">
      <text>
        <r>
          <rPr>
            <sz val="10"/>
            <color rgb="FF000000"/>
            <rFont val="Arial"/>
            <family val="2"/>
          </rPr>
          <t>Temporal information on the exposure duration</t>
        </r>
      </text>
    </comment>
    <comment ref="AM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family val="2"/>
          </rPr>
          <t>describe the range of age or group of age</t>
        </r>
      </text>
    </comment>
    <comment ref="AO37" authorId="0" shapeId="0">
      <text>
        <r>
          <rPr>
            <sz val="10"/>
            <color rgb="FF000000"/>
            <rFont val="Arial"/>
            <family val="2"/>
          </rPr>
          <t>describe the percentage of gender</t>
        </r>
      </text>
    </comment>
    <comment ref="AP37" authorId="0" shapeId="0">
      <text>
        <r>
          <rPr>
            <sz val="10"/>
            <color rgb="FF000000"/>
            <rFont val="Arial"/>
            <family val="2"/>
          </rPr>
          <t>describe the range of BMI or class of BMI or BMI mean</t>
        </r>
      </text>
    </comment>
    <comment ref="AQ37" authorId="0" shapeId="0">
      <text>
        <r>
          <rPr>
            <sz val="10"/>
            <color rgb="FF000000"/>
            <rFont val="Arial"/>
            <family val="2"/>
          </rPr>
          <t>sub-population with special diets (vegetarians, diabetics, group following special ethnic diets)</t>
        </r>
      </text>
    </comment>
    <comment ref="AR37" authorId="0" shapeId="0">
      <text>
        <r>
          <rPr>
            <sz val="10"/>
            <color rgb="FF000000"/>
            <rFont val="Arial"/>
            <family val="2"/>
          </rPr>
          <t>describe the consumption of different food items: frequency, portion size</t>
        </r>
      </text>
    </comment>
    <comment ref="AS37" authorId="0" shapeId="0">
      <text>
        <r>
          <rPr>
            <sz val="10"/>
            <color rgb="FF000000"/>
            <rFont val="Arial"/>
            <family val="2"/>
          </rPr>
          <t>Spatial information (area) on which the population group of the model or data applies</t>
        </r>
      </text>
    </comment>
    <comment ref="AT37" authorId="0" shapeId="0">
      <text>
        <r>
          <rPr>
            <sz val="10"/>
            <color rgb="FF000000"/>
            <rFont val="Arial"/>
            <family val="2"/>
          </rPr>
          <t>Country on which the population group of the model or data applies</t>
        </r>
      </text>
    </comment>
    <comment ref="AU37" authorId="0" shapeId="0">
      <text>
        <r>
          <rPr>
            <sz val="10"/>
            <color rgb="FF000000"/>
            <rFont val="Arial"/>
            <family val="2"/>
          </rPr>
          <t>distribution of surveyed people according to the season (influence consumption pattern)</t>
        </r>
      </text>
    </comment>
    <comment ref="AV37" authorId="0" shapeId="0">
      <text>
        <r>
          <rPr>
            <sz val="10"/>
            <color rgb="FF000000"/>
            <rFont val="Arial"/>
            <family val="2"/>
          </rPr>
          <t>distribution of surveyed people according to the season (influence consumption pattern)</t>
        </r>
      </text>
    </comment>
    <comment ref="F38" authorId="0" shapeId="0">
      <text>
        <r>
          <rPr>
            <sz val="10"/>
            <color rgb="FF000000"/>
            <rFont val="Arial"/>
            <family val="2"/>
          </rPr>
          <t>Units of the product-matrix for which the model applies</t>
        </r>
      </text>
    </comment>
    <comment ref="F39" authorId="0" shapeId="0">
      <text>
        <r>
          <rPr>
            <sz val="10"/>
            <color rgb="FF000000"/>
            <rFont val="Arial"/>
            <family val="2"/>
          </rPr>
          <t>Type of production for the product/ matrix</t>
        </r>
      </text>
    </comment>
    <comment ref="F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family val="2"/>
          </rPr>
          <t>Used to characterise a product/matrix based on the treatment or processes applied to the product or any indexed ingredient.</t>
        </r>
      </text>
    </comment>
    <comment ref="F42" authorId="0" shapeId="0">
      <text>
        <r>
          <rPr>
            <sz val="10"/>
            <color rgb="FF000000"/>
            <rFont val="Arial"/>
            <family val="2"/>
          </rPr>
          <t>Country of origin of the food/product (ISO 3166-1-alpha-2 country code).</t>
        </r>
      </text>
    </comment>
    <comment ref="F43" authorId="0" shapeId="0">
      <text>
        <r>
          <rPr>
            <sz val="10"/>
            <color rgb="FF000000"/>
            <rFont val="Arial"/>
            <family val="2"/>
          </rPr>
          <t>Area of origin of the food/product (Nomenclature of territorial units for statistics – NUTS – coding system valid only for EEA and Switzerland).</t>
        </r>
      </text>
    </comment>
    <comment ref="F44" authorId="0" shapeId="0">
      <text>
        <r>
          <rPr>
            <sz val="10"/>
            <color rgb="FF000000"/>
            <rFont val="Arial"/>
            <family val="2"/>
          </rPr>
          <t>Fisheries or aquaculture area specifying the origin of the sample (FAO Fisheries areas).</t>
        </r>
      </text>
    </comment>
    <comment ref="F45" authorId="0" shapeId="0">
      <text>
        <r>
          <rPr>
            <sz val="10"/>
            <color rgb="FF000000"/>
            <rFont val="Arial"/>
            <family val="2"/>
          </rPr>
          <t>date of production of food/product</t>
        </r>
      </text>
    </comment>
    <comment ref="F46" authorId="0" shapeId="0">
      <text>
        <r>
          <rPr>
            <sz val="10"/>
            <color rgb="FF000000"/>
            <rFont val="Arial"/>
            <family val="2"/>
          </rPr>
          <t>date of expiry of food/product</t>
        </r>
      </text>
    </comment>
    <comment ref="F47" authorId="0" shapeId="0">
      <text>
        <r>
          <rPr>
            <sz val="10"/>
            <color rgb="FF000000"/>
            <rFont val="Arial"/>
            <family val="2"/>
          </rPr>
          <t>General classification of the hazard for which the model or data applies</t>
        </r>
      </text>
    </comment>
    <comment ref="F48" authorId="0" shapeId="0">
      <text>
        <r>
          <rPr>
            <sz val="10"/>
            <color rgb="FF000000"/>
            <rFont val="Arial"/>
            <family val="2"/>
          </rPr>
          <t>Name of the hazard for which the model or data applies</t>
        </r>
      </text>
    </comment>
    <comment ref="F49" authorId="0" shapeId="0">
      <text>
        <r>
          <rPr>
            <sz val="10"/>
            <color rgb="FF000000"/>
            <rFont val="Arial"/>
            <family val="2"/>
          </rPr>
          <t>Description of the hazard for which the model or data applies</t>
        </r>
      </text>
    </comment>
    <comment ref="F50" authorId="0" shapeId="0">
      <text>
        <r>
          <rPr>
            <sz val="10"/>
            <color rgb="FF000000"/>
            <rFont val="Arial"/>
            <family val="2"/>
          </rPr>
          <t>Unit of the hazard for which the model applies</t>
        </r>
      </text>
    </comment>
    <comment ref="F51" authorId="0" shapeId="0">
      <text>
        <r>
          <rPr>
            <sz val="10"/>
            <color rgb="FF000000"/>
            <rFont val="Arial"/>
            <family val="2"/>
          </rPr>
          <t>morbidity, mortality, effect</t>
        </r>
      </text>
    </comment>
    <comment ref="F52" authorId="0" shapeId="0">
      <text>
        <r>
          <rPr>
            <sz val="10"/>
            <color rgb="FF000000"/>
            <rFont val="Arial"/>
            <family val="2"/>
          </rPr>
          <t>source of contamination, origin</t>
        </r>
      </text>
    </comment>
    <comment ref="F53" authorId="0" shapeId="0">
      <text>
        <r>
          <rPr>
            <sz val="10"/>
            <color rgb="FF000000"/>
            <rFont val="Arial"/>
            <family val="2"/>
          </rPr>
          <t>A dose or concentration that produces a predetermined change in response rate of an adverse effect (called the bench response or BMR) compared to background.</t>
        </r>
      </text>
    </comment>
    <comment ref="F54" authorId="0" shapeId="0">
      <text>
        <r>
          <rPr>
            <sz val="10"/>
            <color rgb="FF000000"/>
            <rFont val="Arial"/>
            <family val="2"/>
          </rPr>
          <t>International regulations and permissible maximum residue levels in food and drinking water</t>
        </r>
      </text>
    </comment>
    <comment ref="F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F60" authorId="0" shapeId="0">
      <text>
        <r>
          <rPr>
            <sz val="10"/>
            <color rgb="FF000000"/>
            <rFont val="Arial"/>
            <family val="2"/>
          </rPr>
          <t>Define if the parameter reported is an individual residue/analyte, a summed residue definition or part of a sum a summed residue definition.</t>
        </r>
      </text>
    </comment>
    <comment ref="F61" authorId="0" shapeId="0">
      <text>
        <r>
          <rPr>
            <sz val="10"/>
            <color rgb="FF000000"/>
            <rFont val="Arial"/>
            <family val="2"/>
          </rPr>
          <t>Name of the population for which the model or data applies</t>
        </r>
      </text>
    </comment>
    <comment ref="F62" authorId="0" shapeId="0">
      <text>
        <r>
          <rPr>
            <sz val="10"/>
            <color rgb="FF000000"/>
            <rFont val="Arial"/>
            <family val="2"/>
          </rPr>
          <t>population of individual that we are interested in describing and making statistical inferences about</t>
        </r>
      </text>
    </comment>
    <comment ref="F63" authorId="0" shapeId="0">
      <text>
        <r>
          <rPr>
            <sz val="10"/>
            <color rgb="FF000000"/>
            <rFont val="Arial"/>
            <family val="2"/>
          </rPr>
          <t>Temporal information on the exposure duration</t>
        </r>
      </text>
    </comment>
    <comment ref="F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family val="2"/>
          </rPr>
          <t>describe the range of age or group of age</t>
        </r>
      </text>
    </comment>
    <comment ref="F66" authorId="0" shapeId="0">
      <text>
        <r>
          <rPr>
            <sz val="10"/>
            <color rgb="FF000000"/>
            <rFont val="Arial"/>
            <family val="2"/>
          </rPr>
          <t>describe the percentage of gender</t>
        </r>
      </text>
    </comment>
    <comment ref="F67" authorId="0" shapeId="0">
      <text>
        <r>
          <rPr>
            <sz val="10"/>
            <color rgb="FF000000"/>
            <rFont val="Arial"/>
            <family val="2"/>
          </rPr>
          <t>describe the range of BMI or class of BMI or BMI mean</t>
        </r>
      </text>
    </comment>
    <comment ref="F68" authorId="0" shapeId="0">
      <text>
        <r>
          <rPr>
            <sz val="10"/>
            <color rgb="FF000000"/>
            <rFont val="Arial"/>
            <family val="2"/>
          </rPr>
          <t>sub-population with special diets (vegetarians, diabetics, group following special ethnic diets)</t>
        </r>
      </text>
    </comment>
    <comment ref="F69" authorId="0" shapeId="0">
      <text>
        <r>
          <rPr>
            <sz val="10"/>
            <color rgb="FF000000"/>
            <rFont val="Arial"/>
            <family val="2"/>
          </rPr>
          <t>describe the consumption of different food items: frequency, portion size</t>
        </r>
      </text>
    </comment>
    <comment ref="F70" authorId="0" shapeId="0">
      <text>
        <r>
          <rPr>
            <sz val="10"/>
            <color rgb="FF000000"/>
            <rFont val="Arial"/>
            <family val="2"/>
          </rPr>
          <t>Spatial information (area) on which the population group of the model or data applies</t>
        </r>
      </text>
    </comment>
    <comment ref="F71" authorId="0" shapeId="0">
      <text>
        <r>
          <rPr>
            <sz val="10"/>
            <color rgb="FF000000"/>
            <rFont val="Arial"/>
            <family val="2"/>
          </rPr>
          <t>Country on which the population group of the model or data applies</t>
        </r>
      </text>
    </comment>
    <comment ref="F72" authorId="0" shapeId="0">
      <text>
        <r>
          <rPr>
            <sz val="10"/>
            <color rgb="FF000000"/>
            <rFont val="Arial"/>
            <family val="2"/>
          </rPr>
          <t>distribution of surveyed people according to the season (influence consumption pattern)</t>
        </r>
      </text>
    </comment>
    <comment ref="F73" authorId="0" shapeId="0">
      <text>
        <r>
          <rPr>
            <sz val="10"/>
            <color rgb="FF000000"/>
            <rFont val="Arial"/>
            <family val="2"/>
          </rPr>
          <t>distribution of surveyed people according to the season (influence consumption pattern)</t>
        </r>
      </text>
    </comment>
    <comment ref="D74" authorId="0" shapeId="0">
      <text>
        <r>
          <rPr>
            <sz val="10"/>
            <color rgb="FF000000"/>
            <rFont val="Arial"/>
            <family val="2"/>
          </rPr>
          <t>General comments on the scope of the model</t>
        </r>
      </text>
    </comment>
    <comment ref="F75" authorId="0" shapeId="0">
      <text>
        <r>
          <rPr>
            <sz val="10"/>
            <color rgb="FF000000"/>
            <rFont val="Arial"/>
            <family val="2"/>
          </rPr>
          <t>Temporal information on which the model applies / An interval of time that is named or defined by its start and end dates (period of study)</t>
        </r>
      </text>
    </comment>
    <comment ref="F76" authorId="0" shapeId="0">
      <text>
        <r>
          <rPr>
            <sz val="10"/>
            <color rgb="FF000000"/>
            <rFont val="Arial"/>
            <family val="2"/>
          </rPr>
          <t>Spatial information (area) on which the model applies</t>
        </r>
      </text>
    </comment>
    <comment ref="F77" authorId="0" shapeId="0">
      <text>
        <r>
          <rPr>
            <sz val="10"/>
            <color rgb="FF000000"/>
            <rFont val="Arial"/>
            <family val="2"/>
          </rPr>
          <t>Country on which the model applies</t>
        </r>
      </text>
    </comment>
    <comment ref="F78" authorId="0" shapeId="0">
      <text>
        <r>
          <rPr>
            <sz val="10"/>
            <color rgb="FF000000"/>
            <rFont val="Arial"/>
            <family val="2"/>
          </rPr>
          <t>A user defined identifier for the study</t>
        </r>
      </text>
    </comment>
    <comment ref="F79" authorId="0" shapeId="0">
      <text>
        <r>
          <rPr>
            <sz val="10"/>
            <color rgb="FF000000"/>
            <rFont val="Arial"/>
            <family val="2"/>
          </rPr>
          <t>A title for the Study.</t>
        </r>
      </text>
    </comment>
    <comment ref="F80" authorId="0" shapeId="0">
      <text>
        <r>
          <rPr>
            <sz val="10"/>
            <color rgb="FF000000"/>
            <rFont val="Arial"/>
            <family val="2"/>
          </rPr>
          <t>A brief description of the study aims.</t>
        </r>
      </text>
    </comment>
    <comment ref="F81" authorId="0" shapeId="0">
      <text>
        <r>
          <rPr>
            <sz val="10"/>
            <color rgb="FF000000"/>
            <rFont val="Arial"/>
            <family val="2"/>
          </rPr>
          <t>The type of study design being employed</t>
        </r>
      </text>
    </comment>
    <comment ref="F82" authorId="0" shapeId="0">
      <text>
        <r>
          <rPr>
            <sz val="10"/>
            <color rgb="FF000000"/>
            <rFont val="Arial"/>
            <family val="2"/>
          </rPr>
          <t>The measurement being observed in this assay</t>
        </r>
      </text>
    </comment>
    <comment ref="F83" authorId="0" shapeId="0">
      <text>
        <r>
          <rPr>
            <sz val="10"/>
            <color rgb="FF000000"/>
            <rFont val="Arial"/>
            <family val="2"/>
          </rPr>
          <t>The technology being employed to observe this measurement</t>
        </r>
      </text>
    </comment>
    <comment ref="F84" authorId="0" shapeId="0">
      <text>
        <r>
          <rPr>
            <sz val="10"/>
            <color rgb="FF000000"/>
            <rFont val="Arial"/>
            <family val="2"/>
          </rPr>
          <t>The technology platform used</t>
        </r>
      </text>
    </comment>
    <comment ref="F85" authorId="0" shapeId="0">
      <text>
        <r>
          <rPr>
            <sz val="10"/>
            <color rgb="FF000000"/>
            <rFont val="Arial"/>
            <family val="2"/>
          </rPr>
          <t>Accreditation procedure for the analytical method used</t>
        </r>
      </text>
    </comment>
    <comment ref="F86" authorId="0" shapeId="0">
      <text>
        <r>
          <rPr>
            <sz val="10"/>
            <color rgb="FF000000"/>
            <rFont val="Arial"/>
            <family val="2"/>
          </rPr>
          <t>The name of the protocol, e.g.Extraction Protocol</t>
        </r>
      </text>
    </comment>
    <comment ref="F87" authorId="0" shapeId="0">
      <text>
        <r>
          <rPr>
            <sz val="10"/>
            <color rgb="FF000000"/>
            <rFont val="Arial"/>
            <family val="2"/>
          </rPr>
          <t>The type of the protocol, preferably coming from an Ontology, e.g. Extraction Protocol</t>
        </r>
      </text>
    </comment>
    <comment ref="F88" authorId="0" shapeId="0">
      <text>
        <r>
          <rPr>
            <sz val="10"/>
            <color rgb="FF000000"/>
            <rFont val="Arial"/>
            <family val="2"/>
          </rPr>
          <t>A description of the Protocol.</t>
        </r>
      </text>
    </comment>
    <comment ref="F89" authorId="0" shapeId="0">
      <text>
        <r>
          <rPr>
            <sz val="10"/>
            <color rgb="FF000000"/>
            <rFont val="Arial"/>
            <family val="2"/>
          </rPr>
          <t>A URI to link out to a publication, web page, etc. describing the protocol.</t>
        </r>
      </text>
    </comment>
    <comment ref="F90" authorId="0" shapeId="0">
      <text>
        <r>
          <rPr>
            <sz val="10"/>
            <color rgb="FF000000"/>
            <rFont val="Arial"/>
            <family val="2"/>
          </rPr>
          <t>The version of the protocol used, where applicable.</t>
        </r>
      </text>
    </comment>
    <comment ref="F91" authorId="0" shapeId="0">
      <text>
        <r>
          <rPr>
            <sz val="10"/>
            <color rgb="FF000000"/>
            <rFont val="Arial"/>
            <family val="2"/>
          </rPr>
          <t>The parameters used when executing this protocol.</t>
        </r>
      </text>
    </comment>
    <comment ref="F92" authorId="0" shapeId="0">
      <text>
        <r>
          <rPr>
            <sz val="10"/>
            <color rgb="FF000000"/>
            <rFont val="Arial"/>
            <family val="2"/>
          </rPr>
          <t>The components used when carrying out this protocol.</t>
        </r>
      </text>
    </comment>
    <comment ref="F94" authorId="0" shapeId="0">
      <text>
        <r>
          <rPr>
            <sz val="10"/>
            <color rgb="FF000000"/>
            <rFont val="Arial"/>
            <family val="2"/>
          </rPr>
          <t>An unambiguous ID given to the samples used in the assay</t>
        </r>
      </text>
    </comment>
    <comment ref="F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F96" authorId="0" shapeId="0">
      <text>
        <r>
          <rPr>
            <sz val="10"/>
            <color rgb="FF000000"/>
            <rFont val="Arial"/>
            <family val="2"/>
          </rPr>
          <t>Sampling strategy (ref. EUROSTAT - Typology of sampling strategy, version of July 2009)</t>
        </r>
      </text>
    </comment>
    <comment ref="F97" authorId="0" shapeId="0">
      <text>
        <r>
          <rPr>
            <sz val="10"/>
            <color rgb="FF000000"/>
            <rFont val="Arial"/>
            <family val="2"/>
          </rPr>
          <t>Indicate the type programme for which the samples have been collected.</t>
        </r>
      </text>
    </comment>
    <comment ref="F98" authorId="0" shapeId="0">
      <text>
        <r>
          <rPr>
            <sz val="10"/>
            <color rgb="FF000000"/>
            <rFont val="Arial"/>
            <family val="2"/>
          </rPr>
          <t>Sampling method used to take the sample</t>
        </r>
      </text>
    </comment>
    <comment ref="F99" authorId="0" shapeId="0">
      <text>
        <r>
          <rPr>
            <sz val="10"/>
            <color rgb="FF000000"/>
            <rFont val="Arial"/>
            <family val="2"/>
          </rPr>
          <t>description of data collection technique: stratified or complex sampling (several stages)</t>
        </r>
      </text>
    </comment>
    <comment ref="F100" authorId="0" shapeId="0">
      <text>
        <r>
          <rPr>
            <sz val="10"/>
            <color rgb="FF000000"/>
            <rFont val="Arial"/>
            <family val="2"/>
          </rPr>
          <t>description of the method employed to compute sampling weight (nonresponse-adjusted weight)</t>
        </r>
      </text>
    </comment>
    <comment ref="F101" authorId="0" shapeId="0">
      <text>
        <r>
          <rPr>
            <sz val="10"/>
            <color rgb="FF000000"/>
            <rFont val="Arial"/>
            <family val="2"/>
          </rPr>
          <t>number of units, full participants, partial participants, eligibles, not eligible, unresolved (eligibility status not resolved)…</t>
        </r>
      </text>
    </comment>
    <comment ref="F102" authorId="0" shapeId="0">
      <text>
        <r>
          <rPr>
            <sz val="10"/>
            <color rgb="FF000000"/>
            <rFont val="Arial"/>
            <family val="2"/>
          </rPr>
          <t>Unit in which the lot size is expressed.</t>
        </r>
      </text>
    </comment>
    <comment ref="L102" authorId="0" shapeId="0">
      <text>
        <r>
          <rPr>
            <sz val="10"/>
            <color rgb="FF000000"/>
            <rFont val="Arial"/>
            <family val="2"/>
          </rPr>
          <t>food diaries, interview, 24-hour recall interview, food propensy questionnaire, portion size measurement aids, eating outside questionnaire</t>
        </r>
      </text>
    </comment>
    <comment ref="P102" authorId="0" shapeId="0">
      <text>
        <r>
          <rPr>
            <sz val="10"/>
            <color rgb="FF000000"/>
            <rFont val="Arial"/>
            <family val="2"/>
          </rPr>
          <t>consumption occasion, mean of consumption, quantified and described as eaten, recipes for self-made</t>
        </r>
      </text>
    </comment>
    <comment ref="Q102" authorId="0" shapeId="0">
      <text>
        <r>
          <rPr>
            <sz val="10"/>
            <color rgb="FF000000"/>
            <rFont val="Arial"/>
            <family val="2"/>
          </rPr>
          <t>use foodex2 facets</t>
        </r>
      </text>
    </comment>
    <comment ref="F103" authorId="0" shapeId="0">
      <text>
        <r>
          <rPr>
            <sz val="10"/>
            <color rgb="FF000000"/>
            <rFont val="Arial"/>
            <family val="2"/>
          </rPr>
          <t>Point in the food chain where the sample was taken. (Doc. ESTAT/F5/ES/155 “Data dictionary of activities of the establishments”).</t>
        </r>
      </text>
    </comment>
    <comment ref="F104" authorId="0" shapeId="0">
      <text>
        <r>
          <rPr>
            <sz val="10"/>
            <color rgb="FF000000"/>
            <rFont val="Arial"/>
            <family val="2"/>
          </rPr>
          <t>food diaries, interview, 24-hour recall interview, food propensy questionnaire, portion size measurement aids, eating outside questionnaire</t>
        </r>
      </text>
    </comment>
    <comment ref="F108" authorId="0" shapeId="0">
      <text>
        <r>
          <rPr>
            <sz val="10"/>
            <color rgb="FF000000"/>
            <rFont val="Arial"/>
            <family val="2"/>
          </rPr>
          <t>consumption occasion, mean of consumption, quantified and described as eaten, recipes for self-made</t>
        </r>
      </text>
    </comment>
    <comment ref="P108" authorId="0" shapeId="0">
      <text>
        <r>
          <rPr>
            <sz val="10"/>
            <color rgb="FF000000"/>
            <rFont val="Arial"/>
            <family val="2"/>
          </rPr>
          <t>Definition of time-dependent parameter changes</t>
        </r>
      </text>
    </comment>
    <comment ref="F109" authorId="0" shapeId="0">
      <text>
        <r>
          <rPr>
            <sz val="10"/>
            <color rgb="FF000000"/>
            <rFont val="Arial"/>
            <family val="2"/>
          </rPr>
          <t>use foodex2 facets</t>
        </r>
      </text>
    </comment>
    <comment ref="L109" authorId="0" shapeId="0">
      <text>
        <r>
          <rPr>
            <sz val="10"/>
            <color rgb="FF000000"/>
            <rFont val="Arial"/>
            <family val="2"/>
          </rPr>
          <t>The laboratory accreditation to ISO/IEC 17025.</t>
        </r>
      </text>
    </comment>
    <comment ref="M109" authorId="0" shapeId="0">
      <text>
        <r>
          <rPr>
            <sz val="10"/>
            <color rgb="FF000000"/>
            <rFont val="Arial"/>
            <family val="2"/>
          </rPr>
          <t>Laboratory code (National laboratory code if available) or Laboratory name</t>
        </r>
      </text>
    </comment>
    <comment ref="N109" authorId="0" shapeId="0">
      <text>
        <r>
          <rPr>
            <sz val="10"/>
            <color rgb="FF000000"/>
            <rFont val="Arial"/>
            <family val="2"/>
          </rPr>
          <t>Country where the laboratory is placed. (ISO 3166-1-alpha-2).</t>
        </r>
      </text>
    </comment>
    <comment ref="F110" authorId="0" shapeId="0">
      <text>
        <r>
          <rPr>
            <sz val="10"/>
            <color rgb="FF000000"/>
            <rFont val="Arial"/>
            <family val="2"/>
          </rPr>
          <t>The laboratory accreditation to ISO/IEC 17025.</t>
        </r>
      </text>
    </comment>
    <comment ref="F111" authorId="0" shapeId="0">
      <text>
        <r>
          <rPr>
            <sz val="10"/>
            <color rgb="FF000000"/>
            <rFont val="Arial"/>
            <family val="2"/>
          </rPr>
          <t>Laboratory code (National laboratory code if available) or Laboratory name</t>
        </r>
      </text>
    </comment>
    <comment ref="F112" authorId="0" shapeId="0">
      <text>
        <r>
          <rPr>
            <sz val="10"/>
            <color rgb="FF000000"/>
            <rFont val="Arial"/>
            <family val="2"/>
          </rPr>
          <t>Country where the laboratory is placed. (ISO 3166-1-alpha-2).</t>
        </r>
      </text>
    </comment>
    <comment ref="F113" authorId="0" shapeId="0">
      <text>
        <r>
          <rPr>
            <sz val="10"/>
            <color rgb="FF000000"/>
            <rFont val="Arial"/>
            <family val="2"/>
          </rPr>
          <t>A name given to the assay</t>
        </r>
      </text>
    </comment>
    <comment ref="F114" authorId="0" shapeId="0">
      <text>
        <r>
          <rPr>
            <sz val="10"/>
            <color rgb="FF000000"/>
            <rFont val="Arial"/>
            <family val="2"/>
          </rPr>
          <t>General description of the assay. Corresponds to the Protocol REF in ISA</t>
        </r>
      </text>
    </comment>
    <comment ref="F115" authorId="0" shapeId="0">
      <text>
        <r>
          <rPr>
            <sz val="10"/>
            <color rgb="FF000000"/>
            <rFont val="Arial"/>
            <family val="2"/>
          </rPr>
          <t>Percentage of moisture in the original sample</t>
        </r>
      </text>
    </comment>
    <comment ref="F116" authorId="0" shapeId="0">
      <text>
        <r>
          <rPr>
            <sz val="10"/>
            <color rgb="FF000000"/>
            <rFont val="Arial"/>
            <family val="2"/>
          </rPr>
          <t>Percentage of fat in the original sample</t>
        </r>
      </text>
    </comment>
    <comment ref="L116" authorId="0" shapeId="0">
      <text>
        <r>
          <rPr>
            <sz val="10"/>
            <color rgb="FF000000"/>
            <rFont val="Arial"/>
            <family val="2"/>
          </rPr>
          <t>A name given to the assay</t>
        </r>
      </text>
    </comment>
    <comment ref="M116" authorId="0" shapeId="0">
      <text>
        <r>
          <rPr>
            <sz val="10"/>
            <color rgb="FF000000"/>
            <rFont val="Arial"/>
            <family val="2"/>
          </rPr>
          <t>General description of the assay. Corresponds to the Protocol REF in ISA</t>
        </r>
      </text>
    </comment>
    <comment ref="N116" authorId="0" shapeId="0">
      <text>
        <r>
          <rPr>
            <sz val="10"/>
            <color rgb="FF000000"/>
            <rFont val="Arial"/>
            <family val="2"/>
          </rPr>
          <t>Percentage of moisture in the original sample</t>
        </r>
      </text>
    </comment>
    <comment ref="O116" authorId="0" shapeId="0">
      <text>
        <r>
          <rPr>
            <sz val="10"/>
            <color rgb="FF000000"/>
            <rFont val="Arial"/>
            <family val="2"/>
          </rPr>
          <t>Percentage of fat in the original sample</t>
        </r>
      </text>
    </comment>
    <comment ref="P116" authorId="0" shapeId="0">
      <text>
        <r>
          <rPr>
            <sz val="10"/>
            <color rgb="FF000000"/>
            <rFont val="Arial"/>
            <family val="2"/>
          </rPr>
          <t>Limit of detection reported in the unit specified by the variable “Hazard unit”.</t>
        </r>
      </text>
    </comment>
    <comment ref="Q116" authorId="0" shapeId="0">
      <text>
        <r>
          <rPr>
            <sz val="10"/>
            <color rgb="FF000000"/>
            <rFont val="Arial"/>
            <family val="2"/>
          </rPr>
          <t>Limit of quantification reported in the unit specified by the variable “Hazard unit”</t>
        </r>
      </text>
    </comment>
    <comment ref="R116" authorId="0" shapeId="0">
      <text>
        <r>
          <rPr>
            <sz val="10"/>
            <color rgb="FF000000"/>
            <rFont val="Arial"/>
            <family val="2"/>
          </rPr>
          <t>percentage of measures equal to LOQ and/or LOD</t>
        </r>
      </text>
    </comment>
    <comment ref="S116" authorId="0" shapeId="0">
      <text>
        <r>
          <rPr>
            <sz val="10"/>
            <color rgb="FF000000"/>
            <rFont val="Arial"/>
            <family val="2"/>
          </rPr>
          <t>Range of result of the analytical measure reported in the unit specified by the variable “Hazard unit”</t>
        </r>
      </text>
    </comment>
    <comment ref="T116" authorId="0" shapeId="0">
      <text>
        <r>
          <rPr>
            <sz val="10"/>
            <color rgb="FF000000"/>
            <rFont val="Arial"/>
            <family val="2"/>
          </rPr>
          <t>Indicate the expanded uncertainty (usually 95% confidence interval) value associated with the measurement expressed in the unit reported in the field “Hazard unit”.</t>
        </r>
      </text>
    </comment>
    <comment ref="F117" authorId="0" shapeId="0">
      <text>
        <r>
          <rPr>
            <sz val="10"/>
            <color rgb="FF000000"/>
            <rFont val="Arial"/>
            <family val="2"/>
          </rPr>
          <t>Limit of detection reported in the unit specified by the variable “Hazard unit”.</t>
        </r>
      </text>
    </comment>
    <comment ref="F118" authorId="0" shapeId="0">
      <text>
        <r>
          <rPr>
            <sz val="10"/>
            <color rgb="FF000000"/>
            <rFont val="Arial"/>
            <family val="2"/>
          </rPr>
          <t>Limit of quantification reported in the unit specified by the variable “Hazard unit”</t>
        </r>
      </text>
    </comment>
    <comment ref="F119" authorId="0" shapeId="0">
      <text>
        <r>
          <rPr>
            <sz val="10"/>
            <color rgb="FF000000"/>
            <rFont val="Arial"/>
            <family val="2"/>
          </rPr>
          <t>percentage of measures equal to LOQ and/or LOD</t>
        </r>
      </text>
    </comment>
    <comment ref="F120" authorId="0" shapeId="0">
      <text>
        <r>
          <rPr>
            <sz val="10"/>
            <color rgb="FF000000"/>
            <rFont val="Arial"/>
            <family val="2"/>
          </rPr>
          <t>Range of result of the analytical measure reported in the unit specified by the variable “Hazard unit”</t>
        </r>
      </text>
    </comment>
    <comment ref="F121" authorId="0" shapeId="0">
      <text>
        <r>
          <rPr>
            <sz val="10"/>
            <color rgb="FF000000"/>
            <rFont val="Arial"/>
            <family val="2"/>
          </rPr>
          <t>Indicate the expanded uncertainty (usually 95% confidence interval) value associated with the measurement expressed in the unit reported in the field “Hazard unit”.</t>
        </r>
      </text>
    </comment>
    <comment ref="F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F123" authorId="0" shapeId="0">
      <text>
        <r>
          <rPr>
            <sz val="10"/>
            <color rgb="FF000000"/>
            <rFont val="Arial"/>
            <family val="2"/>
          </rPr>
          <t>General classification of the parameter (e.g. Input, Constant, Output...)</t>
        </r>
      </text>
    </comment>
    <comment ref="F124" authorId="0" shapeId="0">
      <text>
        <r>
          <rPr>
            <sz val="10"/>
            <color rgb="FF000000"/>
            <rFont val="Arial"/>
            <family val="2"/>
          </rPr>
          <t>A name given to the parameter</t>
        </r>
      </text>
    </comment>
    <comment ref="F125" authorId="0" shapeId="0">
      <text>
        <r>
          <rPr>
            <sz val="10"/>
            <color rgb="FF000000"/>
            <rFont val="Arial"/>
            <family val="2"/>
          </rPr>
          <t>General description of the parameter</t>
        </r>
      </text>
    </comment>
    <comment ref="F126" authorId="0" shapeId="0">
      <text>
        <r>
          <rPr>
            <sz val="10"/>
            <color rgb="FF000000"/>
            <rFont val="Arial"/>
            <family val="2"/>
          </rPr>
          <t>Unit of the parameter</t>
        </r>
      </text>
    </comment>
    <comment ref="F127" authorId="0" shapeId="0">
      <text>
        <r>
          <rPr>
            <sz val="10"/>
            <color rgb="FF000000"/>
            <rFont val="Arial"/>
            <family val="2"/>
          </rPr>
          <t>General classification of the parameter unit</t>
        </r>
      </text>
    </comment>
    <comment ref="F128" authorId="0" shapeId="0">
      <text>
        <r>
          <rPr>
            <sz val="10"/>
            <color rgb="FF000000"/>
            <rFont val="Arial"/>
            <family val="2"/>
          </rPr>
          <t>Information on the data format of the parameter, e.g. if it is a categorial variable, int, double, array of size x,y,z</t>
        </r>
      </text>
    </comment>
    <comment ref="F129" authorId="0" shapeId="0">
      <text>
        <r>
          <rPr>
            <sz val="10"/>
            <color rgb="FF000000"/>
            <rFont val="Arial"/>
            <family val="2"/>
          </rPr>
          <t>Information on the type of knowledge used to define the parameter value</t>
        </r>
      </text>
    </comment>
    <comment ref="F130" authorId="0" shapeId="0">
      <text>
        <r>
          <rPr>
            <sz val="10"/>
            <color rgb="FF000000"/>
            <rFont val="Arial"/>
            <family val="2"/>
          </rPr>
          <t>Scope of the parameter, e.g. if it refers to an animal, a batch of animals, a batch of products, a carcass, a carcass skin etc</t>
        </r>
      </text>
    </comment>
    <comment ref="K130"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F131" authorId="0" shapeId="0">
      <text>
        <r>
          <rPr>
            <sz val="10"/>
            <color rgb="FF000000"/>
            <rFont val="Arial"/>
            <family val="2"/>
          </rPr>
          <t xml:space="preserve">Information on the distribution describing the parameter (e.g. variability, uncertainty, point estimate...) </t>
        </r>
      </text>
    </comment>
    <comment ref="L131" authorId="0" shapeId="0">
      <text>
        <r>
          <rPr>
            <sz val="10"/>
            <color rgb="FF000000"/>
            <rFont val="Arial"/>
            <family val="2"/>
          </rPr>
          <t>An unambiguous and sequential ID given to the parameter. To be compatible with SBML, only letters from A to Z, numbers and "_" are acepted for ID creation.</t>
        </r>
      </text>
    </comment>
    <comment ref="M131" authorId="0" shapeId="0">
      <text>
        <r>
          <rPr>
            <sz val="10"/>
            <color rgb="FF000000"/>
            <rFont val="Arial"/>
            <family val="2"/>
          </rPr>
          <t>General classification of the parameter (e.g. Input, Constant, Output...)</t>
        </r>
      </text>
    </comment>
    <comment ref="N131" authorId="0" shapeId="0">
      <text>
        <r>
          <rPr>
            <sz val="10"/>
            <color rgb="FF000000"/>
            <rFont val="Arial"/>
            <family val="2"/>
          </rPr>
          <t>A name given to the parameter</t>
        </r>
      </text>
    </comment>
    <comment ref="O131" authorId="0" shapeId="0">
      <text>
        <r>
          <rPr>
            <sz val="10"/>
            <color rgb="FF000000"/>
            <rFont val="Arial"/>
            <family val="2"/>
          </rPr>
          <t>General description of the parameter</t>
        </r>
      </text>
    </comment>
    <comment ref="P131" authorId="0" shapeId="0">
      <text>
        <r>
          <rPr>
            <sz val="10"/>
            <color rgb="FF000000"/>
            <rFont val="Arial"/>
            <family val="2"/>
          </rPr>
          <t>Unit of the parameter</t>
        </r>
      </text>
    </comment>
    <comment ref="Q131" authorId="0" shapeId="0">
      <text>
        <r>
          <rPr>
            <sz val="10"/>
            <color rgb="FF000000"/>
            <rFont val="Arial"/>
            <family val="2"/>
          </rPr>
          <t>General classification of the parameter unit</t>
        </r>
      </text>
    </comment>
    <comment ref="R131" authorId="0" shapeId="0">
      <text>
        <r>
          <rPr>
            <sz val="10"/>
            <color rgb="FF000000"/>
            <rFont val="Arial"/>
            <family val="2"/>
          </rPr>
          <t>Information on the data format of the parameter, e.g. if it is a categorial variable, int, double, array of size x,y,z</t>
        </r>
      </text>
    </comment>
    <comment ref="S131" authorId="0" shapeId="0">
      <text>
        <r>
          <rPr>
            <sz val="10"/>
            <color rgb="FF000000"/>
            <rFont val="Arial"/>
            <family val="2"/>
          </rPr>
          <t>Information on the type of knowledge used to define the parameter value</t>
        </r>
      </text>
    </comment>
    <comment ref="T131" authorId="0" shapeId="0">
      <text>
        <r>
          <rPr>
            <sz val="10"/>
            <color rgb="FF000000"/>
            <rFont val="Arial"/>
            <family val="2"/>
          </rPr>
          <t>Scope of the parameter, e.g. if it refers to an animal, a batch of animals, a batch of products, a carcass, a carcass skin etc</t>
        </r>
      </text>
    </comment>
    <comment ref="U131"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family val="2"/>
          </rPr>
          <t>Numerical values of the maximum limit of the parameter that determine the range of applicability for which the model applies</t>
        </r>
      </text>
    </comment>
    <comment ref="Z131" authorId="0" shapeId="0">
      <text>
        <r>
          <rPr>
            <sz val="10"/>
            <color rgb="FF000000"/>
            <rFont val="Arial"/>
            <family val="2"/>
          </rPr>
          <t xml:space="preserve">
minimum limit of the parameter that determine the range of applicability for which the model applies</t>
        </r>
      </text>
    </comment>
    <comment ref="AA131" authorId="0" shapeId="0">
      <text>
        <r>
          <rPr>
            <sz val="10"/>
            <color rgb="FF000000"/>
            <rFont val="Arial"/>
            <family val="2"/>
          </rPr>
          <t>Error of the parameter value</t>
        </r>
      </text>
    </comment>
    <comment ref="F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family val="2"/>
          </rPr>
          <t>Numerical value of the  minimum limits of the parameter that determine the range of applicability for which the model applies</t>
        </r>
      </text>
    </comment>
    <comment ref="F138" authorId="0" shapeId="0">
      <text>
        <r>
          <rPr>
            <sz val="10"/>
            <color rgb="FF000000"/>
            <rFont val="Arial"/>
            <family val="2"/>
          </rPr>
          <t>Numerical value of the minimum limit of the parameter that determine the range of applicability for which the model applies</t>
        </r>
      </text>
    </comment>
    <comment ref="F139" authorId="0" shapeId="0">
      <text>
        <r>
          <rPr>
            <sz val="10"/>
            <color rgb="FF000000"/>
            <rFont val="Arial"/>
            <family val="2"/>
          </rPr>
          <t>Error of the parameter value</t>
        </r>
      </text>
    </comment>
    <comment ref="F140" authorId="0" shapeId="0">
      <text>
        <r>
          <rPr>
            <sz val="10"/>
            <color rgb="FF000000"/>
            <rFont val="Arial"/>
            <family val="2"/>
          </rPr>
          <t>Statistical values calculated to describe the performance of the model fitting procedure</t>
        </r>
      </text>
    </comment>
    <comment ref="F142" authorId="0" shapeId="0">
      <text>
        <r>
          <rPr>
            <sz val="10"/>
            <color rgb="FF000000"/>
            <rFont val="Arial"/>
            <family val="2"/>
          </rPr>
          <t>A name given to the model equation</t>
        </r>
      </text>
    </comment>
    <comment ref="F143" authorId="0" shapeId="0">
      <text>
        <r>
          <rPr>
            <sz val="10"/>
            <color rgb="FF000000"/>
            <rFont val="Arial"/>
            <family val="2"/>
          </rPr>
          <t>Information on that helps to categorize model equations</t>
        </r>
      </text>
    </comment>
    <comment ref="F147" authorId="0" shapeId="0">
      <text>
        <r>
          <rPr>
            <sz val="10"/>
            <color rgb="FF000000"/>
            <rFont val="Arial"/>
            <family val="2"/>
          </rPr>
          <t xml:space="preserve">Procedure used to fit the data to the model equation </t>
        </r>
      </text>
    </comment>
    <comment ref="F148" authorId="0" shapeId="0">
      <text>
        <r>
          <rPr>
            <sz val="10"/>
            <color rgb="FF000000"/>
            <rFont val="Arial"/>
            <family val="2"/>
          </rPr>
          <t>The pointer to the file that holds the software code (e.g. R-script)</t>
        </r>
      </text>
    </comment>
    <comment ref="D150" authorId="0" shapeId="0">
      <text>
        <r>
          <rPr>
            <sz val="10"/>
            <color rgb="FF000000"/>
            <rFont val="Arial"/>
            <family val="2"/>
          </rPr>
          <t xml:space="preserve">Procedure used to fit the data to the model equation </t>
        </r>
      </text>
    </comment>
    <comment ref="F151" authorId="0" shapeId="0">
      <text>
        <r>
          <rPr>
            <sz val="10"/>
            <color rgb="FF000000"/>
            <rFont val="Arial"/>
            <family val="2"/>
          </rPr>
          <t>describe the mathematical method to replace left-censored data: recommandation of WHO (2013), distribution or ohters</t>
        </r>
      </text>
    </comment>
    <comment ref="F152" authorId="0" shapeId="0">
      <text>
        <r>
          <rPr>
            <sz val="10"/>
            <color rgb="FF000000"/>
            <rFont val="Arial"/>
            <family val="2"/>
          </rPr>
          <t>describe the range of of the level of contamination after left censored data treatment</t>
        </r>
      </text>
    </comment>
    <comment ref="F154" authorId="0" shapeId="0">
      <text>
        <r>
          <rPr>
            <sz val="10"/>
            <color rgb="FF000000"/>
            <rFont val="Arial"/>
            <family val="2"/>
          </rPr>
          <t>describe the different scenari of exposure assessment</t>
        </r>
      </text>
    </comment>
    <comment ref="F155" authorId="0" shapeId="0">
      <text>
        <r>
          <rPr>
            <sz val="10"/>
            <color rgb="FF000000"/>
            <rFont val="Arial"/>
            <family val="2"/>
          </rPr>
          <t>Analysis to estimate uncertainty</t>
        </r>
      </text>
    </comment>
    <comment ref="D156" authorId="0" shapeId="0">
      <text>
        <r>
          <rPr>
            <sz val="10"/>
            <color rgb="FF000000"/>
            <rFont val="Arial"/>
            <family val="2"/>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K37" authorId="0" shapeId="0">
      <text>
        <r>
          <rPr>
            <sz val="10"/>
            <color rgb="FF000000"/>
            <rFont val="Arial"/>
            <family val="2"/>
          </rPr>
          <t>General classification of the hazard for which the model or data applies</t>
        </r>
      </text>
    </comment>
    <comment ref="L37" authorId="0" shapeId="0">
      <text>
        <r>
          <rPr>
            <sz val="10"/>
            <color rgb="FF000000"/>
            <rFont val="Arial"/>
            <family val="2"/>
          </rPr>
          <t>Name of the hazard for which the model or data applies</t>
        </r>
      </text>
    </comment>
    <comment ref="M37" authorId="0" shapeId="0">
      <text>
        <r>
          <rPr>
            <sz val="10"/>
            <color rgb="FF000000"/>
            <rFont val="Arial"/>
            <family val="2"/>
          </rPr>
          <t>Description of the hazard for which the model or data applies</t>
        </r>
      </text>
    </comment>
    <comment ref="N37" authorId="0" shapeId="0">
      <text>
        <r>
          <rPr>
            <sz val="10"/>
            <color rgb="FF000000"/>
            <rFont val="Arial"/>
            <family val="2"/>
          </rPr>
          <t>Unit of the hazard for which the model applies</t>
        </r>
      </text>
    </comment>
    <comment ref="O37" authorId="0" shapeId="0">
      <text>
        <r>
          <rPr>
            <sz val="10"/>
            <color rgb="FF000000"/>
            <rFont val="Arial"/>
            <family val="2"/>
          </rPr>
          <t>morbidity, mortality, effect</t>
        </r>
      </text>
    </comment>
    <comment ref="P37" authorId="0" shapeId="0">
      <text>
        <r>
          <rPr>
            <sz val="10"/>
            <color rgb="FF000000"/>
            <rFont val="Arial"/>
            <family val="2"/>
          </rPr>
          <t>source of contamination, origin</t>
        </r>
      </text>
    </comment>
    <comment ref="Q37" authorId="0" shapeId="0">
      <text>
        <r>
          <rPr>
            <sz val="10"/>
            <color rgb="FF000000"/>
            <rFont val="Arial"/>
            <family val="2"/>
          </rPr>
          <t>A dose or concentration that produces a predetermined change in response rate of an adverse effect (called the bench response or BMR) compared to background.</t>
        </r>
      </text>
    </comment>
    <comment ref="R37" authorId="0" shapeId="0">
      <text>
        <r>
          <rPr>
            <sz val="10"/>
            <color rgb="FF000000"/>
            <rFont val="Arial"/>
            <family val="2"/>
          </rPr>
          <t>International regulations and permissible maximum residue levels in food and drinking water</t>
        </r>
      </text>
    </comment>
    <comment ref="S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X37" authorId="0" shapeId="0">
      <text>
        <r>
          <rPr>
            <sz val="10"/>
            <color rgb="FF000000"/>
            <rFont val="Arial"/>
            <family val="2"/>
          </rPr>
          <t>Define if the parameter reported is an individual residue/analyte, a summed residue definition or part of a sum a summed residue definition.</t>
        </r>
      </text>
    </comment>
    <comment ref="Y37" authorId="0" shapeId="0">
      <text>
        <r>
          <rPr>
            <sz val="10"/>
            <color rgb="FF000000"/>
            <rFont val="Arial"/>
            <family val="2"/>
          </rPr>
          <t>Name of the population for which the model or data applies</t>
        </r>
      </text>
    </comment>
    <comment ref="Z37" authorId="0" shapeId="0">
      <text>
        <r>
          <rPr>
            <sz val="10"/>
            <color rgb="FF000000"/>
            <rFont val="Arial"/>
            <family val="2"/>
          </rPr>
          <t>population of individual that we are interested in describing and making statistical inferences about</t>
        </r>
      </text>
    </comment>
    <comment ref="AA37" authorId="0" shapeId="0">
      <text>
        <r>
          <rPr>
            <sz val="10"/>
            <color rgb="FF000000"/>
            <rFont val="Arial"/>
            <family val="2"/>
          </rPr>
          <t>Temporal information on the exposure duration</t>
        </r>
      </text>
    </comment>
    <comment ref="AB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family val="2"/>
          </rPr>
          <t>describe the range of age or group of age</t>
        </r>
      </text>
    </comment>
    <comment ref="AD37" authorId="0" shapeId="0">
      <text>
        <r>
          <rPr>
            <sz val="10"/>
            <color rgb="FF000000"/>
            <rFont val="Arial"/>
            <family val="2"/>
          </rPr>
          <t>describe the percentage of gender</t>
        </r>
      </text>
    </comment>
    <comment ref="AE37" authorId="0" shapeId="0">
      <text>
        <r>
          <rPr>
            <sz val="10"/>
            <color rgb="FF000000"/>
            <rFont val="Arial"/>
            <family val="2"/>
          </rPr>
          <t>describe the range of BMI or class of BMI or BMI mean</t>
        </r>
      </text>
    </comment>
    <comment ref="AF37" authorId="0" shapeId="0">
      <text>
        <r>
          <rPr>
            <sz val="10"/>
            <color rgb="FF000000"/>
            <rFont val="Arial"/>
            <family val="2"/>
          </rPr>
          <t>sub-population with special diets (vegetarians, diabetics, group following special ethnic diets)</t>
        </r>
      </text>
    </comment>
    <comment ref="AG37" authorId="0" shapeId="0">
      <text>
        <r>
          <rPr>
            <sz val="10"/>
            <color rgb="FF000000"/>
            <rFont val="Arial"/>
            <family val="2"/>
          </rPr>
          <t>describe the consumption of different food items: frequency, portion size</t>
        </r>
      </text>
    </comment>
    <comment ref="AH37" authorId="0" shapeId="0">
      <text>
        <r>
          <rPr>
            <sz val="10"/>
            <color rgb="FF000000"/>
            <rFont val="Arial"/>
            <family val="2"/>
          </rPr>
          <t>Spatial information (area) on which the population group of the model or data applies</t>
        </r>
      </text>
    </comment>
    <comment ref="AI37" authorId="0" shapeId="0">
      <text>
        <r>
          <rPr>
            <sz val="10"/>
            <color rgb="FF000000"/>
            <rFont val="Arial"/>
            <family val="2"/>
          </rPr>
          <t>Country on which the population group of the model or data applies</t>
        </r>
      </text>
    </comment>
    <comment ref="AJ37" authorId="0" shapeId="0">
      <text>
        <r>
          <rPr>
            <sz val="10"/>
            <color rgb="FF000000"/>
            <rFont val="Arial"/>
            <family val="2"/>
          </rPr>
          <t>distribution of surveyed people according to the season (influence consumption pattern)</t>
        </r>
      </text>
    </comment>
    <comment ref="AK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or data applies</t>
        </r>
      </text>
    </comment>
    <comment ref="G60" authorId="0" shapeId="0">
      <text>
        <r>
          <rPr>
            <sz val="10"/>
            <color rgb="FF000000"/>
            <rFont val="Arial"/>
            <family val="2"/>
          </rPr>
          <t>Country on which the population group of the model or data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K84" authorId="0" shapeId="0">
      <text>
        <r>
          <rPr>
            <sz val="10"/>
            <color rgb="FF000000"/>
            <rFont val="Arial"/>
            <family val="2"/>
          </rPr>
          <t>An unambiguous ID given to the samples used in the assay</t>
        </r>
      </text>
    </comment>
    <comment ref="L84" authorId="0" shapeId="0">
      <text>
        <r>
          <rPr>
            <sz val="10"/>
            <color rgb="FF000000"/>
            <rFont val="Arial"/>
            <family val="2"/>
          </rPr>
          <t>Additional protocol for sample and sample collection. Corresponds to the Protocol REF in ISA</t>
        </r>
      </text>
    </comment>
    <comment ref="M84" authorId="0" shapeId="0">
      <text>
        <r>
          <rPr>
            <sz val="10"/>
            <color rgb="FF000000"/>
            <rFont val="Arial"/>
            <family val="2"/>
          </rPr>
          <t>Sampling strategy (ref. EUROSTAT - Typology of sampling strategy, version of July 2009)</t>
        </r>
      </text>
    </comment>
    <comment ref="N84" authorId="0" shapeId="0">
      <text>
        <r>
          <rPr>
            <sz val="10"/>
            <color rgb="FF000000"/>
            <rFont val="Arial"/>
            <family val="2"/>
          </rPr>
          <t>Indicate the type programme for which the samples have been collected.</t>
        </r>
      </text>
    </comment>
    <comment ref="O84" authorId="0" shapeId="0">
      <text>
        <r>
          <rPr>
            <sz val="10"/>
            <color rgb="FF000000"/>
            <rFont val="Arial"/>
            <family val="2"/>
          </rPr>
          <t>Sampling method used to take the sample</t>
        </r>
      </text>
    </comment>
    <comment ref="P84" authorId="0" shapeId="0">
      <text>
        <r>
          <rPr>
            <sz val="10"/>
            <color rgb="FF000000"/>
            <rFont val="Arial"/>
            <family val="2"/>
          </rPr>
          <t>description of data collection technique: stratified or complex sampling (several stages)</t>
        </r>
      </text>
    </comment>
    <comment ref="Q84" authorId="0" shapeId="0">
      <text>
        <r>
          <rPr>
            <sz val="10"/>
            <color rgb="FF000000"/>
            <rFont val="Arial"/>
            <family val="2"/>
          </rPr>
          <t>description of the method employed to compute sampling weight (nonresponse-adjusted weight)</t>
        </r>
      </text>
    </comment>
    <comment ref="R84" authorId="0" shapeId="0">
      <text>
        <r>
          <rPr>
            <sz val="10"/>
            <color rgb="FF000000"/>
            <rFont val="Arial"/>
            <family val="2"/>
          </rPr>
          <t>number of units, full participants, partial participants, eligibles, not eligible, unresolved (eligibility status not resolved)…</t>
        </r>
      </text>
    </comment>
    <comment ref="S84" authorId="0" shapeId="0">
      <text>
        <r>
          <rPr>
            <sz val="10"/>
            <color rgb="FF000000"/>
            <rFont val="Arial"/>
            <family val="2"/>
          </rPr>
          <t>Unit in which the lot size is expressed.</t>
        </r>
      </text>
    </comment>
    <comment ref="T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O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K91" authorId="0" shapeId="0">
      <text>
        <r>
          <rPr>
            <sz val="10"/>
            <color rgb="FF000000"/>
            <rFont val="Arial"/>
            <family val="2"/>
          </rPr>
          <t>The laboratory accreditation to ISO/IEC 17025.</t>
        </r>
      </text>
    </comment>
    <comment ref="L91" authorId="0" shapeId="0">
      <text>
        <r>
          <rPr>
            <sz val="10"/>
            <color rgb="FF000000"/>
            <rFont val="Arial"/>
            <family val="2"/>
          </rPr>
          <t>Laboratory code (National laboratory code if available) or Laboratory name</t>
        </r>
      </text>
    </comment>
    <comment ref="M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G106" authorId="0" shapeId="0">
      <text>
        <r>
          <rPr>
            <sz val="10"/>
            <color rgb="FF000000"/>
            <rFont val="Arial"/>
            <family val="2"/>
          </rPr>
          <t>General classification of the parameter (e.g. Input, Constant, Output...)</t>
        </r>
      </text>
    </comment>
    <comment ref="L106" authorId="0" shapeId="0">
      <text>
        <r>
          <rPr>
            <sz val="10"/>
            <color rgb="FF000000"/>
            <rFont val="Arial"/>
            <family val="2"/>
          </rPr>
          <t>Statistical values calculated to describe the performance of the model fitting procedure</t>
        </r>
      </text>
    </comment>
    <comment ref="O106" authorId="0" shapeId="0">
      <text>
        <r>
          <rPr>
            <sz val="10"/>
            <color rgb="FF000000"/>
            <rFont val="Arial"/>
            <family val="2"/>
          </rPr>
          <t>A name given to the model equation</t>
        </r>
      </text>
    </comment>
    <comment ref="P106" authorId="0" shapeId="0">
      <text>
        <r>
          <rPr>
            <sz val="10"/>
            <color rgb="FF000000"/>
            <rFont val="Arial"/>
            <family val="2"/>
          </rPr>
          <t>Information on that helps to categorize model equations</t>
        </r>
      </text>
    </comment>
    <comment ref="Q106" authorId="0" shapeId="0">
      <text>
        <r>
          <rPr>
            <sz val="10"/>
            <color rgb="FF000000"/>
            <rFont val="Arial"/>
            <family val="2"/>
          </rPr>
          <t xml:space="preserve">Procedure used to fit the data to the model equation </t>
        </r>
      </text>
    </comment>
    <comment ref="R106" authorId="0" shapeId="0">
      <text>
        <r>
          <rPr>
            <sz val="10"/>
            <color rgb="FF000000"/>
            <rFont val="Arial"/>
            <family val="2"/>
          </rPr>
          <t>The pointer to the file that holds the software code (e.g. R-script)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J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15" authorId="0" shapeId="0">
      <text>
        <r>
          <rPr>
            <sz val="10"/>
            <color rgb="FF000000"/>
            <rFont val="Arial"/>
            <family val="2"/>
          </rPr>
          <t>An unambiguous and sequential ID given to the parameter. To be compatible with SBML, only letters from A to Z, numbers and "_" are acepted for ID creation.</t>
        </r>
      </text>
    </comment>
    <comment ref="L115" authorId="0" shapeId="0">
      <text>
        <r>
          <rPr>
            <sz val="10"/>
            <color rgb="FF000000"/>
            <rFont val="Arial"/>
            <family val="2"/>
          </rPr>
          <t>General classification of the parameter (e.g. Input, Constant, Output...)</t>
        </r>
      </text>
    </comment>
    <comment ref="M115" authorId="0" shapeId="0">
      <text>
        <r>
          <rPr>
            <sz val="10"/>
            <color rgb="FF000000"/>
            <rFont val="Arial"/>
            <family val="2"/>
          </rPr>
          <t>A name given to the parameter</t>
        </r>
      </text>
    </comment>
    <comment ref="N115" authorId="0" shapeId="0">
      <text>
        <r>
          <rPr>
            <sz val="10"/>
            <color rgb="FF000000"/>
            <rFont val="Arial"/>
            <family val="2"/>
          </rPr>
          <t>General description of the parameter</t>
        </r>
      </text>
    </comment>
    <comment ref="O115" authorId="0" shapeId="0">
      <text>
        <r>
          <rPr>
            <sz val="10"/>
            <color rgb="FF000000"/>
            <rFont val="Arial"/>
            <family val="2"/>
          </rPr>
          <t>Unit of the parameter</t>
        </r>
      </text>
    </comment>
    <comment ref="P115" authorId="0" shapeId="0">
      <text>
        <r>
          <rPr>
            <sz val="10"/>
            <color rgb="FF000000"/>
            <rFont val="Arial"/>
            <family val="2"/>
          </rPr>
          <t>General classification of the parameter unit</t>
        </r>
      </text>
    </comment>
    <comment ref="Q115" authorId="0" shapeId="0">
      <text>
        <r>
          <rPr>
            <sz val="10"/>
            <color rgb="FF000000"/>
            <rFont val="Arial"/>
            <family val="2"/>
          </rPr>
          <t>Information on the data format of the parameter, e.g. if it is a categorial variable, int, double, array of size x,y,z</t>
        </r>
      </text>
    </comment>
    <comment ref="R115" authorId="0" shapeId="0">
      <text>
        <r>
          <rPr>
            <sz val="10"/>
            <color rgb="FF000000"/>
            <rFont val="Arial"/>
            <family val="2"/>
          </rPr>
          <t>Information on the type of knowledge used to define the parameter value</t>
        </r>
      </text>
    </comment>
    <comment ref="S115" authorId="0" shapeId="0">
      <text>
        <r>
          <rPr>
            <sz val="10"/>
            <color rgb="FF000000"/>
            <rFont val="Arial"/>
            <family val="2"/>
          </rPr>
          <t>Scope of the parameter, e.g. if it refers to an animal, a batch of animals, a batch of products, a carcass, a carcass skin etc</t>
        </r>
      </text>
    </comment>
    <comment ref="T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family val="2"/>
          </rPr>
          <t>Numerical values of the maximum limit of the parameter that determine the range of applicability for which the model applies</t>
        </r>
      </text>
    </comment>
    <comment ref="Y115" authorId="0" shapeId="0">
      <text>
        <r>
          <rPr>
            <sz val="10"/>
            <color rgb="FF000000"/>
            <rFont val="Arial"/>
            <family val="2"/>
          </rPr>
          <t>Numerical values of the minimum limit of the parameter that determine the range of applicability for which the model applies</t>
        </r>
      </text>
    </comment>
    <comment ref="Z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values of the maximum limit of the parameter that determine the range of applicability for which the model applies</t>
        </r>
      </text>
    </comment>
    <comment ref="G121" authorId="0" shapeId="0">
      <text>
        <r>
          <rPr>
            <sz val="10"/>
            <color rgb="FF000000"/>
            <rFont val="Arial"/>
            <family val="2"/>
          </rPr>
          <t>Numerical values of the minimum limit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 xml:space="preserve">Objective of the model </t>
        </r>
      </text>
    </comment>
    <comment ref="E35" authorId="0" shapeId="0">
      <text>
        <r>
          <rPr>
            <sz val="10"/>
            <color rgb="FF000000"/>
            <rFont val="Arial"/>
            <family val="2"/>
          </rPr>
          <t>General description of the model - What is the difference to "Objective?"</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AJ37" authorId="0" shapeId="0">
      <text>
        <r>
          <rPr>
            <sz val="10"/>
            <color rgb="FF000000"/>
            <rFont val="Arial"/>
            <family val="2"/>
          </rPr>
          <t>Name of the population for which the model or data applies</t>
        </r>
      </text>
    </comment>
    <comment ref="AK37" authorId="0" shapeId="0">
      <text>
        <r>
          <rPr>
            <sz val="10"/>
            <color rgb="FF000000"/>
            <rFont val="Arial"/>
            <family val="2"/>
          </rPr>
          <t>population of individual that we are interested in describing and making statistical inferences about</t>
        </r>
      </text>
    </comment>
    <comment ref="AL37" authorId="0" shapeId="0">
      <text>
        <r>
          <rPr>
            <sz val="10"/>
            <color rgb="FF000000"/>
            <rFont val="Arial"/>
            <family val="2"/>
          </rPr>
          <t>Temporal information on the exposure duration</t>
        </r>
      </text>
    </comment>
    <comment ref="AM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family val="2"/>
          </rPr>
          <t>describe the range of age or group of age</t>
        </r>
      </text>
    </comment>
    <comment ref="AO37" authorId="0" shapeId="0">
      <text>
        <r>
          <rPr>
            <sz val="10"/>
            <color rgb="FF000000"/>
            <rFont val="Arial"/>
            <family val="2"/>
          </rPr>
          <t>describe the percentage of gender</t>
        </r>
      </text>
    </comment>
    <comment ref="AP37" authorId="0" shapeId="0">
      <text>
        <r>
          <rPr>
            <sz val="10"/>
            <color rgb="FF000000"/>
            <rFont val="Arial"/>
            <family val="2"/>
          </rPr>
          <t>describe the range of BMI or class of BMI or BMI mean</t>
        </r>
      </text>
    </comment>
    <comment ref="AQ37" authorId="0" shapeId="0">
      <text>
        <r>
          <rPr>
            <sz val="10"/>
            <color rgb="FF000000"/>
            <rFont val="Arial"/>
            <family val="2"/>
          </rPr>
          <t>sub-population with special diets (vegetarians, diabetics, group following special ethnic diets)</t>
        </r>
      </text>
    </comment>
    <comment ref="AR37" authorId="0" shapeId="0">
      <text>
        <r>
          <rPr>
            <sz val="10"/>
            <color rgb="FF000000"/>
            <rFont val="Arial"/>
            <family val="2"/>
          </rPr>
          <t>describe the consumption of different food items: frequency, portion size</t>
        </r>
      </text>
    </comment>
    <comment ref="AS37" authorId="0" shapeId="0">
      <text>
        <r>
          <rPr>
            <sz val="10"/>
            <color rgb="FF000000"/>
            <rFont val="Arial"/>
            <family val="2"/>
          </rPr>
          <t>Spatial information (area) on which the population group of the model or data applies</t>
        </r>
      </text>
    </comment>
    <comment ref="AT37" authorId="0" shapeId="0">
      <text>
        <r>
          <rPr>
            <sz val="10"/>
            <color rgb="FF000000"/>
            <rFont val="Arial"/>
            <family val="2"/>
          </rPr>
          <t>Country on which the population group of the model or data applies</t>
        </r>
      </text>
    </comment>
    <comment ref="AU37" authorId="0" shapeId="0">
      <text>
        <r>
          <rPr>
            <sz val="10"/>
            <color rgb="FF000000"/>
            <rFont val="Arial"/>
            <family val="2"/>
          </rPr>
          <t>distribution of surveyed people according to the season (influence consumption pattern)</t>
        </r>
      </text>
    </comment>
    <comment ref="AV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or data applies</t>
        </r>
      </text>
    </comment>
    <comment ref="G49" authorId="0" shapeId="0">
      <text>
        <r>
          <rPr>
            <sz val="10"/>
            <color rgb="FF000000"/>
            <rFont val="Arial"/>
            <family val="2"/>
          </rPr>
          <t>Description of the hazard for which the model or data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or data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K95" authorId="0" shapeId="0">
      <text>
        <r>
          <rPr>
            <sz val="10"/>
            <color rgb="FF000000"/>
            <rFont val="Arial"/>
            <family val="2"/>
          </rPr>
          <t>An unambiguous ID given to the samples used in the assay</t>
        </r>
      </text>
    </comment>
    <comment ref="L95" authorId="0" shapeId="0">
      <text>
        <r>
          <rPr>
            <sz val="10"/>
            <color rgb="FF000000"/>
            <rFont val="Arial"/>
            <family val="2"/>
          </rPr>
          <t>Additional protocol for sample and sample collection. Corresponds to the Protocol REF in ISA</t>
        </r>
      </text>
    </comment>
    <comment ref="M95" authorId="0" shapeId="0">
      <text>
        <r>
          <rPr>
            <sz val="10"/>
            <color rgb="FF000000"/>
            <rFont val="Arial"/>
            <family val="2"/>
          </rPr>
          <t>Sampling strategy (ref. EUROSTAT - Typology of sampling strategy, version of July 2009)</t>
        </r>
      </text>
    </comment>
    <comment ref="N95" authorId="0" shapeId="0">
      <text>
        <r>
          <rPr>
            <sz val="10"/>
            <color rgb="FF000000"/>
            <rFont val="Arial"/>
            <family val="2"/>
          </rPr>
          <t>Indicate the type programme for which the samples have been collected.</t>
        </r>
      </text>
    </comment>
    <comment ref="O95" authorId="0" shapeId="0">
      <text>
        <r>
          <rPr>
            <sz val="10"/>
            <color rgb="FF000000"/>
            <rFont val="Arial"/>
            <family val="2"/>
          </rPr>
          <t>Sampling method used to take the sample</t>
        </r>
      </text>
    </comment>
    <comment ref="P95" authorId="0" shapeId="0">
      <text>
        <r>
          <rPr>
            <sz val="10"/>
            <color rgb="FF000000"/>
            <rFont val="Arial"/>
            <family val="2"/>
          </rPr>
          <t>description of data collection technique: stratified or complex sampling (several stages)</t>
        </r>
      </text>
    </comment>
    <comment ref="Q95" authorId="0" shapeId="0">
      <text>
        <r>
          <rPr>
            <sz val="10"/>
            <color rgb="FF000000"/>
            <rFont val="Arial"/>
            <family val="2"/>
          </rPr>
          <t>description of the method employed to compute sampling weight (nonresponse-adjusted weight)</t>
        </r>
      </text>
    </comment>
    <comment ref="R95" authorId="0" shapeId="0">
      <text>
        <r>
          <rPr>
            <sz val="10"/>
            <color rgb="FF000000"/>
            <rFont val="Arial"/>
            <family val="2"/>
          </rPr>
          <t>number of units, full participants, partial participants, eligibles, not eligible, unresolved (eligibility status not resolved)…</t>
        </r>
      </text>
    </comment>
    <comment ref="S95" authorId="0" shapeId="0">
      <text>
        <r>
          <rPr>
            <sz val="10"/>
            <color rgb="FF000000"/>
            <rFont val="Arial"/>
            <family val="2"/>
          </rPr>
          <t>Unit in which the lot size is expressed.</t>
        </r>
      </text>
    </comment>
    <comment ref="T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K101" authorId="0" shapeId="0">
      <text>
        <r>
          <rPr>
            <sz val="10"/>
            <color rgb="FF000000"/>
            <rFont val="Arial"/>
            <family val="2"/>
          </rPr>
          <t>food diaries, interview, 24-hour recall interview, food propensy questionnaire, portion size measurement aids, eating outside questionnaire</t>
        </r>
      </text>
    </comment>
    <comment ref="O101" authorId="0" shapeId="0">
      <text>
        <r>
          <rPr>
            <sz val="10"/>
            <color rgb="FF000000"/>
            <rFont val="Arial"/>
            <family val="2"/>
          </rPr>
          <t>consumption occasion, mean of consumption, quantified and described as eaten, recipes for self-made</t>
        </r>
      </text>
    </comment>
    <comment ref="P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O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K108" authorId="0" shapeId="0">
      <text>
        <r>
          <rPr>
            <sz val="10"/>
            <color rgb="FF000000"/>
            <rFont val="Arial"/>
            <family val="2"/>
          </rPr>
          <t>The laboratory accreditation to ISO/IEC 17025.</t>
        </r>
      </text>
    </comment>
    <comment ref="L108" authorId="0" shapeId="0">
      <text>
        <r>
          <rPr>
            <sz val="10"/>
            <color rgb="FF000000"/>
            <rFont val="Arial"/>
            <family val="2"/>
          </rPr>
          <t>Laboratory code (National laboratory code if available) or Laboratory name</t>
        </r>
      </text>
    </comment>
    <comment ref="M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G123" authorId="0" shapeId="0">
      <text>
        <r>
          <rPr>
            <sz val="10"/>
            <color rgb="FF000000"/>
            <rFont val="Arial"/>
            <family val="2"/>
          </rPr>
          <t>General classification of the parameter (e.g. Input, Constant, Output...)</t>
        </r>
      </text>
    </comment>
    <comment ref="L123" authorId="0" shapeId="0">
      <text>
        <r>
          <rPr>
            <sz val="10"/>
            <color rgb="FF000000"/>
            <rFont val="Arial"/>
            <family val="2"/>
          </rPr>
          <t>Statistical values calculated to describe the performance of the model fitting procedure</t>
        </r>
      </text>
    </comment>
    <comment ref="O123" authorId="0" shapeId="0">
      <text>
        <r>
          <rPr>
            <sz val="10"/>
            <color rgb="FF000000"/>
            <rFont val="Arial"/>
            <family val="2"/>
          </rPr>
          <t>A name given to the model equation</t>
        </r>
      </text>
    </comment>
    <comment ref="P123" authorId="0" shapeId="0">
      <text>
        <r>
          <rPr>
            <sz val="10"/>
            <color rgb="FF000000"/>
            <rFont val="Arial"/>
            <family val="2"/>
          </rPr>
          <t>Information on that helps to categorize model equations</t>
        </r>
      </text>
    </comment>
    <comment ref="Q123" authorId="0" shapeId="0">
      <text>
        <r>
          <rPr>
            <sz val="10"/>
            <color rgb="FF000000"/>
            <rFont val="Arial"/>
            <family val="2"/>
          </rPr>
          <t xml:space="preserve">Procedure used to fit the data to the model equation </t>
        </r>
      </text>
    </comment>
    <comment ref="R123" authorId="0" shapeId="0">
      <text>
        <r>
          <rPr>
            <sz val="10"/>
            <color rgb="FF000000"/>
            <rFont val="Arial"/>
            <family val="2"/>
          </rPr>
          <t>The pointer to the file that holds the software code (e.g. R-script)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J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32" authorId="0" shapeId="0">
      <text>
        <r>
          <rPr>
            <sz val="10"/>
            <color rgb="FF000000"/>
            <rFont val="Arial"/>
            <family val="2"/>
          </rPr>
          <t>An unambiguous and sequential ID given to the parameter. To be compatible with SBML, only letters from A to Z, numbers and "_" are acepted for ID creation.</t>
        </r>
      </text>
    </comment>
    <comment ref="L132" authorId="0" shapeId="0">
      <text>
        <r>
          <rPr>
            <sz val="10"/>
            <color rgb="FF000000"/>
            <rFont val="Arial"/>
            <family val="2"/>
          </rPr>
          <t>General classification of the parameter (e.g. Input, Constant, Output...)</t>
        </r>
      </text>
    </comment>
    <comment ref="M132" authorId="0" shapeId="0">
      <text>
        <r>
          <rPr>
            <sz val="10"/>
            <color rgb="FF000000"/>
            <rFont val="Arial"/>
            <family val="2"/>
          </rPr>
          <t>A name given to the parameter</t>
        </r>
      </text>
    </comment>
    <comment ref="N132" authorId="0" shapeId="0">
      <text>
        <r>
          <rPr>
            <sz val="10"/>
            <color rgb="FF000000"/>
            <rFont val="Arial"/>
            <family val="2"/>
          </rPr>
          <t>General description of the parameter</t>
        </r>
      </text>
    </comment>
    <comment ref="O132" authorId="0" shapeId="0">
      <text>
        <r>
          <rPr>
            <sz val="10"/>
            <color rgb="FF000000"/>
            <rFont val="Arial"/>
            <family val="2"/>
          </rPr>
          <t>Unit of the parameter</t>
        </r>
      </text>
    </comment>
    <comment ref="P132" authorId="0" shapeId="0">
      <text>
        <r>
          <rPr>
            <sz val="10"/>
            <color rgb="FF000000"/>
            <rFont val="Arial"/>
            <family val="2"/>
          </rPr>
          <t>General classification of the parameter unit</t>
        </r>
      </text>
    </comment>
    <comment ref="Q132" authorId="0" shapeId="0">
      <text>
        <r>
          <rPr>
            <sz val="10"/>
            <color rgb="FF000000"/>
            <rFont val="Arial"/>
            <family val="2"/>
          </rPr>
          <t>Information on the data format of the parameter, e.g. if it is a categorial variable, int, double, array of size x,y,z</t>
        </r>
      </text>
    </comment>
    <comment ref="R132" authorId="0" shapeId="0">
      <text>
        <r>
          <rPr>
            <sz val="10"/>
            <color rgb="FF000000"/>
            <rFont val="Arial"/>
            <family val="2"/>
          </rPr>
          <t>Information on the type of knowledge used to define the parameter value</t>
        </r>
      </text>
    </comment>
    <comment ref="S132" authorId="0" shapeId="0">
      <text>
        <r>
          <rPr>
            <sz val="10"/>
            <color rgb="FF000000"/>
            <rFont val="Arial"/>
            <family val="2"/>
          </rPr>
          <t>Scope of the parameter, e.g. if it refers to an animal, a batch of animals, a batch of products, a carcass, a carcass skin etc</t>
        </r>
      </text>
    </comment>
    <comment ref="T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family val="2"/>
          </rPr>
          <t>Numerical values of the maximum  limit of the parameter that determine the range of applicability for which the model applies</t>
        </r>
      </text>
    </comment>
    <comment ref="Y132" authorId="0" shapeId="0">
      <text>
        <r>
          <rPr>
            <sz val="10"/>
            <color rgb="FF000000"/>
            <rFont val="Arial"/>
            <family val="2"/>
          </rPr>
          <t>Numerical values of the minimum limit of the parameter that determine the range of applicability for which the model applies</t>
        </r>
      </text>
    </comment>
    <comment ref="Z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minimum limit of the parameter that determine the range of applicability for which the model applies</t>
        </r>
      </text>
    </comment>
    <comment ref="G138" authorId="0" shapeId="0">
      <text>
        <r>
          <rPr>
            <sz val="10"/>
            <color rgb="FF000000"/>
            <rFont val="Arial"/>
            <family val="2"/>
          </rPr>
          <t>Numerical value of the maximum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of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or data applies</t>
        </r>
      </text>
    </comment>
    <comment ref="G49" authorId="0" shapeId="0">
      <text>
        <r>
          <rPr>
            <sz val="10"/>
            <color rgb="FF000000"/>
            <rFont val="Arial"/>
            <family val="2"/>
          </rPr>
          <t>Description of the hazard for which the model or data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E61" authorId="0" shapeId="0">
      <text>
        <r>
          <rPr>
            <sz val="10"/>
            <color rgb="FF000000"/>
            <rFont val="Arial"/>
            <family val="2"/>
          </rPr>
          <t>General comments on the scope of the model</t>
        </r>
      </text>
    </comment>
    <comment ref="G62" authorId="0" shapeId="0">
      <text>
        <r>
          <rPr>
            <sz val="10"/>
            <color rgb="FF000000"/>
            <rFont val="Arial"/>
            <family val="2"/>
          </rPr>
          <t>Temporal information on which the model applies / An interval of time that is named or defined by its start and end dates (period of study)</t>
        </r>
      </text>
    </comment>
    <comment ref="G63" authorId="0" shapeId="0">
      <text>
        <r>
          <rPr>
            <sz val="10"/>
            <color rgb="FF000000"/>
            <rFont val="Arial"/>
            <family val="2"/>
          </rPr>
          <t>Spatial information (area) on which the model applies</t>
        </r>
      </text>
    </comment>
    <comment ref="G64" authorId="0" shapeId="0">
      <text>
        <r>
          <rPr>
            <sz val="10"/>
            <color rgb="FF000000"/>
            <rFont val="Arial"/>
            <family val="2"/>
          </rPr>
          <t>Country on which the model applies</t>
        </r>
      </text>
    </comment>
    <comment ref="G65" authorId="0" shapeId="0">
      <text>
        <r>
          <rPr>
            <sz val="10"/>
            <color rgb="FF000000"/>
            <rFont val="Arial"/>
            <family val="2"/>
          </rPr>
          <t>A user defined identifier for the study</t>
        </r>
      </text>
    </comment>
    <comment ref="G66" authorId="0" shapeId="0">
      <text>
        <r>
          <rPr>
            <sz val="10"/>
            <color rgb="FF000000"/>
            <rFont val="Arial"/>
            <family val="2"/>
          </rPr>
          <t>A title for the Study.</t>
        </r>
      </text>
    </comment>
    <comment ref="G67" authorId="0" shapeId="0">
      <text>
        <r>
          <rPr>
            <sz val="10"/>
            <color rgb="FF000000"/>
            <rFont val="Arial"/>
            <family val="2"/>
          </rPr>
          <t>A brief description of the study aims.</t>
        </r>
      </text>
    </comment>
    <comment ref="G68" authorId="0" shapeId="0">
      <text>
        <r>
          <rPr>
            <sz val="10"/>
            <color rgb="FF000000"/>
            <rFont val="Arial"/>
            <family val="2"/>
          </rPr>
          <t>The type of study design being employed</t>
        </r>
      </text>
    </comment>
    <comment ref="G69" authorId="0" shapeId="0">
      <text>
        <r>
          <rPr>
            <sz val="10"/>
            <color rgb="FF000000"/>
            <rFont val="Arial"/>
            <family val="2"/>
          </rPr>
          <t>The measurement being observed in this assay</t>
        </r>
      </text>
    </comment>
    <comment ref="G70" authorId="0" shapeId="0">
      <text>
        <r>
          <rPr>
            <sz val="10"/>
            <color rgb="FF000000"/>
            <rFont val="Arial"/>
            <family val="2"/>
          </rPr>
          <t>The technology being employed to observe this measurement</t>
        </r>
      </text>
    </comment>
    <comment ref="G71" authorId="0" shapeId="0">
      <text>
        <r>
          <rPr>
            <sz val="10"/>
            <color rgb="FF000000"/>
            <rFont val="Arial"/>
            <family val="2"/>
          </rPr>
          <t>The technology platform used</t>
        </r>
      </text>
    </comment>
    <comment ref="G72" authorId="0" shapeId="0">
      <text>
        <r>
          <rPr>
            <sz val="10"/>
            <color rgb="FF000000"/>
            <rFont val="Arial"/>
            <family val="2"/>
          </rPr>
          <t>Accreditation procedure for the analytical method used</t>
        </r>
      </text>
    </comment>
    <comment ref="G73" authorId="0" shapeId="0">
      <text>
        <r>
          <rPr>
            <sz val="10"/>
            <color rgb="FF000000"/>
            <rFont val="Arial"/>
            <family val="2"/>
          </rPr>
          <t>The name of the protocol, e.g.Extraction Protocol</t>
        </r>
      </text>
    </comment>
    <comment ref="G74" authorId="0" shapeId="0">
      <text>
        <r>
          <rPr>
            <sz val="10"/>
            <color rgb="FF000000"/>
            <rFont val="Arial"/>
            <family val="2"/>
          </rPr>
          <t>The type of the protocol, preferably coming from an Ontology, e.g. Extraction Protocol</t>
        </r>
      </text>
    </comment>
    <comment ref="G75" authorId="0" shapeId="0">
      <text>
        <r>
          <rPr>
            <sz val="10"/>
            <color rgb="FF000000"/>
            <rFont val="Arial"/>
            <family val="2"/>
          </rPr>
          <t>A description of the Protocol.</t>
        </r>
      </text>
    </comment>
    <comment ref="G76" authorId="0" shapeId="0">
      <text>
        <r>
          <rPr>
            <sz val="10"/>
            <color rgb="FF000000"/>
            <rFont val="Arial"/>
            <family val="2"/>
          </rPr>
          <t>A URI to link out to a publication, web page, etc. describing the protocol.</t>
        </r>
      </text>
    </comment>
    <comment ref="G77" authorId="0" shapeId="0">
      <text>
        <r>
          <rPr>
            <sz val="10"/>
            <color rgb="FF000000"/>
            <rFont val="Arial"/>
            <family val="2"/>
          </rPr>
          <t>The version of the protocol used, where applicable.</t>
        </r>
      </text>
    </comment>
    <comment ref="G78" authorId="0" shapeId="0">
      <text>
        <r>
          <rPr>
            <sz val="10"/>
            <color rgb="FF000000"/>
            <rFont val="Arial"/>
            <family val="2"/>
          </rPr>
          <t>The parameters used when executing this protocol.</t>
        </r>
      </text>
    </comment>
    <comment ref="G79" authorId="0" shapeId="0">
      <text>
        <r>
          <rPr>
            <sz val="10"/>
            <color rgb="FF000000"/>
            <rFont val="Arial"/>
            <family val="2"/>
          </rPr>
          <t>The components used when carrying out this protocol.</t>
        </r>
      </text>
    </comment>
    <comment ref="G81" authorId="0" shapeId="0">
      <text>
        <r>
          <rPr>
            <sz val="10"/>
            <color rgb="FF000000"/>
            <rFont val="Arial"/>
            <family val="2"/>
          </rPr>
          <t>An unambiguous ID given to the samples used in the assay</t>
        </r>
      </text>
    </comment>
    <comment ref="G82" authorId="0" shapeId="0">
      <text>
        <r>
          <rPr>
            <sz val="10"/>
            <color rgb="FF000000"/>
            <rFont val="Arial"/>
            <family val="2"/>
          </rPr>
          <t>Additional protocol for sample and sample collection. Corresponds to the Protocol REF in ISA</t>
        </r>
      </text>
    </comment>
    <comment ref="K82" authorId="0" shapeId="0">
      <text>
        <r>
          <rPr>
            <sz val="10"/>
            <color rgb="FF000000"/>
            <rFont val="Arial"/>
            <family val="2"/>
          </rPr>
          <t>An unambiguous ID given to the samples used in the assay</t>
        </r>
      </text>
    </comment>
    <comment ref="L82" authorId="0" shapeId="0">
      <text>
        <r>
          <rPr>
            <sz val="10"/>
            <color rgb="FF000000"/>
            <rFont val="Arial"/>
            <family val="2"/>
          </rPr>
          <t>Additional protocol for sample and sample collection. Corresponds to the Protocol REF in ISA</t>
        </r>
      </text>
    </comment>
    <comment ref="M82" authorId="0" shapeId="0">
      <text>
        <r>
          <rPr>
            <sz val="10"/>
            <color rgb="FF000000"/>
            <rFont val="Arial"/>
            <family val="2"/>
          </rPr>
          <t>Sampling strategy (ref. EUROSTAT - Typology of sampling strategy, version of July 2009)</t>
        </r>
      </text>
    </comment>
    <comment ref="N82" authorId="0" shapeId="0">
      <text>
        <r>
          <rPr>
            <sz val="10"/>
            <color rgb="FF000000"/>
            <rFont val="Arial"/>
            <family val="2"/>
          </rPr>
          <t>Indicate the type programme for which the samples have been collected.</t>
        </r>
      </text>
    </comment>
    <comment ref="O82" authorId="0" shapeId="0">
      <text>
        <r>
          <rPr>
            <sz val="10"/>
            <color rgb="FF000000"/>
            <rFont val="Arial"/>
            <family val="2"/>
          </rPr>
          <t>Sampling method used to take the sample</t>
        </r>
      </text>
    </comment>
    <comment ref="P82" authorId="0" shapeId="0">
      <text>
        <r>
          <rPr>
            <sz val="10"/>
            <color rgb="FF000000"/>
            <rFont val="Arial"/>
            <family val="2"/>
          </rPr>
          <t>description of data collection technique: stratified or complex sampling (several stages)</t>
        </r>
      </text>
    </comment>
    <comment ref="Q82" authorId="0" shapeId="0">
      <text>
        <r>
          <rPr>
            <sz val="10"/>
            <color rgb="FF000000"/>
            <rFont val="Arial"/>
            <family val="2"/>
          </rPr>
          <t>description of the method employed to compute sampling weight (nonresponse-adjusted weight)</t>
        </r>
      </text>
    </comment>
    <comment ref="R82" authorId="0" shapeId="0">
      <text>
        <r>
          <rPr>
            <sz val="10"/>
            <color rgb="FF000000"/>
            <rFont val="Arial"/>
            <family val="2"/>
          </rPr>
          <t>number of units, full participants, partial participants, eligibles, not eligible, unresolved (eligibility status not resolved)…</t>
        </r>
      </text>
    </comment>
    <comment ref="S82" authorId="0" shapeId="0">
      <text>
        <r>
          <rPr>
            <sz val="10"/>
            <color rgb="FF000000"/>
            <rFont val="Arial"/>
            <family val="2"/>
          </rPr>
          <t>Unit in which the lot size is expressed.</t>
        </r>
      </text>
    </comment>
    <comment ref="T82" authorId="0" shapeId="0">
      <text>
        <r>
          <rPr>
            <sz val="10"/>
            <color rgb="FF000000"/>
            <rFont val="Arial"/>
            <family val="2"/>
          </rPr>
          <t>Point in the food chain where the sample was taken. (Doc. ESTAT/F5/ES/155 “Data dictionary of activities of the establishments”).</t>
        </r>
      </text>
    </comment>
    <comment ref="G83" authorId="0" shapeId="0">
      <text>
        <r>
          <rPr>
            <sz val="10"/>
            <color rgb="FF000000"/>
            <rFont val="Arial"/>
            <family val="2"/>
          </rPr>
          <t>Sampling strategy (ref. EUROSTAT - Typology of sampling strategy, version of July 2009)</t>
        </r>
      </text>
    </comment>
    <comment ref="G84" authorId="0" shapeId="0">
      <text>
        <r>
          <rPr>
            <sz val="10"/>
            <color rgb="FF000000"/>
            <rFont val="Arial"/>
            <family val="2"/>
          </rPr>
          <t>Indicate the type programme for which the samples have been collected.</t>
        </r>
      </text>
    </comment>
    <comment ref="G85" authorId="0" shapeId="0">
      <text>
        <r>
          <rPr>
            <sz val="10"/>
            <color rgb="FF000000"/>
            <rFont val="Arial"/>
            <family val="2"/>
          </rPr>
          <t>Sampling method used to take the sample</t>
        </r>
      </text>
    </comment>
    <comment ref="G86" authorId="0" shapeId="0">
      <text>
        <r>
          <rPr>
            <sz val="10"/>
            <color rgb="FF000000"/>
            <rFont val="Arial"/>
            <family val="2"/>
          </rPr>
          <t>description of data collection technique: stratified or complex sampling (several stages)</t>
        </r>
      </text>
    </comment>
    <comment ref="G87" authorId="0" shapeId="0">
      <text>
        <r>
          <rPr>
            <sz val="10"/>
            <color rgb="FF000000"/>
            <rFont val="Arial"/>
            <family val="2"/>
          </rPr>
          <t>description of the method employed to compute sampling weight (nonresponse-adjusted weight)</t>
        </r>
      </text>
    </comment>
    <comment ref="G88" authorId="0" shapeId="0">
      <text>
        <r>
          <rPr>
            <sz val="10"/>
            <color rgb="FF000000"/>
            <rFont val="Arial"/>
            <family val="2"/>
          </rPr>
          <t>number of units, full participants, partial participants, eligibles, not eligible, unresolved (eligibility status not resolved)…</t>
        </r>
      </text>
    </comment>
    <comment ref="O88" authorId="0" shapeId="0">
      <text>
        <r>
          <rPr>
            <sz val="10"/>
            <color rgb="FF000000"/>
            <rFont val="Arial"/>
            <family val="2"/>
          </rPr>
          <t>Definition of time-dependent parameter changes</t>
        </r>
      </text>
    </comment>
    <comment ref="G89" authorId="0" shapeId="0">
      <text>
        <r>
          <rPr>
            <sz val="10"/>
            <color rgb="FF000000"/>
            <rFont val="Arial"/>
            <family val="2"/>
          </rPr>
          <t>Unit in which the lot size is expressed.</t>
        </r>
      </text>
    </comment>
    <comment ref="K89" authorId="0" shapeId="0">
      <text>
        <r>
          <rPr>
            <sz val="10"/>
            <color rgb="FF000000"/>
            <rFont val="Arial"/>
            <family val="2"/>
          </rPr>
          <t>The laboratory accreditation to ISO/IEC 17025.</t>
        </r>
      </text>
    </comment>
    <comment ref="L89" authorId="0" shapeId="0">
      <text>
        <r>
          <rPr>
            <sz val="10"/>
            <color rgb="FF000000"/>
            <rFont val="Arial"/>
            <family val="2"/>
          </rPr>
          <t>Laboratory code (National laboratory code if available) or Laboratory name</t>
        </r>
      </text>
    </comment>
    <comment ref="M89" authorId="0" shapeId="0">
      <text>
        <r>
          <rPr>
            <sz val="10"/>
            <color rgb="FF000000"/>
            <rFont val="Arial"/>
            <family val="2"/>
          </rPr>
          <t>Country where the laboratory is placed. (ISO 3166-1-alpha-2).</t>
        </r>
      </text>
    </comment>
    <comment ref="G90" authorId="0" shapeId="0">
      <text>
        <r>
          <rPr>
            <sz val="10"/>
            <color rgb="FF000000"/>
            <rFont val="Arial"/>
            <family val="2"/>
          </rPr>
          <t>Point in the food chain where the sample was taken. (Doc. ESTAT/F5/ES/155 “Data dictionary of activities of the establishments”).</t>
        </r>
      </text>
    </comment>
    <comment ref="G91" authorId="0" shapeId="0">
      <text>
        <r>
          <rPr>
            <sz val="10"/>
            <color rgb="FF000000"/>
            <rFont val="Arial"/>
            <family val="2"/>
          </rPr>
          <t>The laboratory accreditation to ISO/IEC 17025.</t>
        </r>
      </text>
    </comment>
    <comment ref="G92" authorId="0" shapeId="0">
      <text>
        <r>
          <rPr>
            <sz val="10"/>
            <color rgb="FF000000"/>
            <rFont val="Arial"/>
            <family val="2"/>
          </rPr>
          <t>Laboratory code (National laboratory code if available) or Laboratory name</t>
        </r>
      </text>
    </comment>
    <comment ref="G93" authorId="0" shapeId="0">
      <text>
        <r>
          <rPr>
            <sz val="10"/>
            <color rgb="FF000000"/>
            <rFont val="Arial"/>
            <family val="2"/>
          </rPr>
          <t>Country where the laboratory is placed. (ISO 3166-1-alpha-2).</t>
        </r>
      </text>
    </comment>
    <comment ref="G94" authorId="0" shapeId="0">
      <text>
        <r>
          <rPr>
            <sz val="10"/>
            <color rgb="FF000000"/>
            <rFont val="Arial"/>
            <family val="2"/>
          </rPr>
          <t>A name given to the assay</t>
        </r>
      </text>
    </comment>
    <comment ref="G95" authorId="0" shapeId="0">
      <text>
        <r>
          <rPr>
            <sz val="10"/>
            <color rgb="FF000000"/>
            <rFont val="Arial"/>
            <family val="2"/>
          </rPr>
          <t>General description of the assay. Corresponds to the Protocol REF in ISA</t>
        </r>
      </text>
    </comment>
    <comment ref="G96" authorId="0" shapeId="0">
      <text>
        <r>
          <rPr>
            <sz val="10"/>
            <color rgb="FF000000"/>
            <rFont val="Arial"/>
            <family val="2"/>
          </rPr>
          <t>Percentage of moisture in the original sample</t>
        </r>
      </text>
    </comment>
    <comment ref="G97" authorId="0" shapeId="0">
      <text>
        <r>
          <rPr>
            <sz val="10"/>
            <color rgb="FF000000"/>
            <rFont val="Arial"/>
            <family val="2"/>
          </rPr>
          <t>Percentage of fat in the original sample</t>
        </r>
      </text>
    </comment>
    <comment ref="G98" authorId="0" shapeId="0">
      <text>
        <r>
          <rPr>
            <sz val="10"/>
            <color rgb="FF000000"/>
            <rFont val="Arial"/>
            <family val="2"/>
          </rPr>
          <t>Limit of detection reported in the unit specified by the variable “Hazard unit”.</t>
        </r>
      </text>
    </comment>
    <comment ref="G99" authorId="0" shapeId="0">
      <text>
        <r>
          <rPr>
            <sz val="10"/>
            <color rgb="FF000000"/>
            <rFont val="Arial"/>
            <family val="2"/>
          </rPr>
          <t>Limit of quantification reported in the unit specified by the variable “Hazard unit”</t>
        </r>
      </text>
    </comment>
    <comment ref="G100" authorId="0" shapeId="0">
      <text>
        <r>
          <rPr>
            <sz val="10"/>
            <color rgb="FF000000"/>
            <rFont val="Arial"/>
            <family val="2"/>
          </rPr>
          <t>percentage of measures equal to LOQ and/or LOD</t>
        </r>
      </text>
    </comment>
    <comment ref="G101" authorId="0" shapeId="0">
      <text>
        <r>
          <rPr>
            <sz val="10"/>
            <color rgb="FF000000"/>
            <rFont val="Arial"/>
            <family val="2"/>
          </rPr>
          <t>Range of result of the analytical measure reported in the unit specified by the variable “Hazard unit”</t>
        </r>
      </text>
    </comment>
    <comment ref="G102" authorId="0" shapeId="0">
      <text>
        <r>
          <rPr>
            <sz val="10"/>
            <color rgb="FF000000"/>
            <rFont val="Arial"/>
            <family val="2"/>
          </rPr>
          <t>Indicate the expanded uncertainty (usually 95% confidence interval) value associated with the measurement expressed in the unit reported in the field “Hazard unit”.</t>
        </r>
      </text>
    </comment>
    <comment ref="G103" authorId="0" shapeId="0">
      <text>
        <r>
          <rPr>
            <sz val="10"/>
            <color rgb="FF000000"/>
            <rFont val="Arial"/>
            <family val="2"/>
          </rPr>
          <t>An unambiguous and sequential ID given to the parameter. To be compatible with SBML, only letters from A to Z, numbers and "_" are acepted for ID creation.</t>
        </r>
      </text>
    </comment>
    <comment ref="L103" authorId="0" shapeId="0">
      <text>
        <r>
          <rPr>
            <sz val="10"/>
            <color rgb="FF000000"/>
            <rFont val="Arial"/>
            <family val="2"/>
          </rPr>
          <t>Statistical values calculated to describe the performance of the model fitting procedure</t>
        </r>
      </text>
    </comment>
    <comment ref="O103" authorId="0" shapeId="0">
      <text>
        <r>
          <rPr>
            <sz val="10"/>
            <color rgb="FF000000"/>
            <rFont val="Arial"/>
            <family val="2"/>
          </rPr>
          <t>A name given to the model equation</t>
        </r>
      </text>
    </comment>
    <comment ref="P103" authorId="0" shapeId="0">
      <text>
        <r>
          <rPr>
            <sz val="10"/>
            <color rgb="FF000000"/>
            <rFont val="Arial"/>
            <family val="2"/>
          </rPr>
          <t>Information on that helps to categorize model equations</t>
        </r>
      </text>
    </comment>
    <comment ref="Q103" authorId="0" shapeId="0">
      <text>
        <r>
          <rPr>
            <sz val="10"/>
            <color rgb="FF000000"/>
            <rFont val="Arial"/>
            <family val="2"/>
          </rPr>
          <t xml:space="preserve">Procedure used to fit the data to the model equation </t>
        </r>
      </text>
    </comment>
    <comment ref="R103" authorId="0" shapeId="0">
      <text>
        <r>
          <rPr>
            <sz val="10"/>
            <color rgb="FF000000"/>
            <rFont val="Arial"/>
            <family val="2"/>
          </rPr>
          <t>The pointer to the file that holds the software code (e.g. R-script)</t>
        </r>
      </text>
    </comment>
    <comment ref="G104" authorId="0" shapeId="0">
      <text>
        <r>
          <rPr>
            <sz val="10"/>
            <color rgb="FF000000"/>
            <rFont val="Arial"/>
            <family val="2"/>
          </rPr>
          <t>General classification of the parameter (e.g. Input, Constant, Output...)</t>
        </r>
      </text>
    </comment>
    <comment ref="G105" authorId="0" shapeId="0">
      <text>
        <r>
          <rPr>
            <sz val="10"/>
            <color rgb="FF000000"/>
            <rFont val="Arial"/>
            <family val="2"/>
          </rPr>
          <t>A name given to the parameter</t>
        </r>
      </text>
    </comment>
    <comment ref="G106" authorId="0" shapeId="0">
      <text>
        <r>
          <rPr>
            <sz val="10"/>
            <color rgb="FF000000"/>
            <rFont val="Arial"/>
            <family val="2"/>
          </rPr>
          <t>General description of the parameter</t>
        </r>
      </text>
    </comment>
    <comment ref="G107" authorId="0" shapeId="0">
      <text>
        <r>
          <rPr>
            <sz val="10"/>
            <color rgb="FF000000"/>
            <rFont val="Arial"/>
            <family val="2"/>
          </rPr>
          <t>Unit of the parameter</t>
        </r>
      </text>
    </comment>
    <comment ref="G108" authorId="0" shapeId="0">
      <text>
        <r>
          <rPr>
            <sz val="10"/>
            <color rgb="FF000000"/>
            <rFont val="Arial"/>
            <family val="2"/>
          </rPr>
          <t>General classification of the parameter unit</t>
        </r>
      </text>
    </comment>
    <comment ref="G109" authorId="0" shapeId="0">
      <text>
        <r>
          <rPr>
            <sz val="10"/>
            <color rgb="FF000000"/>
            <rFont val="Arial"/>
            <family val="2"/>
          </rPr>
          <t>Information on the data format of the parameter, e.g. if it is a categorial variable, int, double, array of size x,y,z</t>
        </r>
      </text>
    </comment>
    <comment ref="G110" authorId="0" shapeId="0">
      <text>
        <r>
          <rPr>
            <sz val="10"/>
            <color rgb="FF000000"/>
            <rFont val="Arial"/>
            <family val="2"/>
          </rPr>
          <t>Information on the type of knowledge used to define the parameter value</t>
        </r>
      </text>
    </comment>
    <comment ref="G111" authorId="0" shapeId="0">
      <text>
        <r>
          <rPr>
            <sz val="10"/>
            <color rgb="FF000000"/>
            <rFont val="Arial"/>
            <family val="2"/>
          </rPr>
          <t>Scope of the parameter, e.g. if it refers to an animal, a batch of animals, a batch of products, a carcass, a carcass skin etc</t>
        </r>
      </text>
    </comment>
    <comment ref="G112" authorId="0" shapeId="0">
      <text>
        <r>
          <rPr>
            <sz val="10"/>
            <color rgb="FF000000"/>
            <rFont val="Arial"/>
            <family val="2"/>
          </rPr>
          <t xml:space="preserve">Information on the distribution describing the parameter (e.g. variability, uncertainty, point estimate...) </t>
        </r>
      </text>
    </comment>
    <comment ref="J112"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13" authorId="0" shapeId="0">
      <text>
        <r>
          <rPr>
            <sz val="10"/>
            <color rgb="FF000000"/>
            <rFont val="Arial"/>
            <family val="2"/>
          </rPr>
          <t>An unambiguous and sequential ID given to the parameter. To be compatible with SBML, only letters from A to Z, numbers and "_" are acepted for ID creation.</t>
        </r>
      </text>
    </comment>
    <comment ref="L113" authorId="0" shapeId="0">
      <text>
        <r>
          <rPr>
            <sz val="10"/>
            <color rgb="FF000000"/>
            <rFont val="Arial"/>
            <family val="2"/>
          </rPr>
          <t>General classification of the parameter (e.g. Input, Constant, Output...)</t>
        </r>
      </text>
    </comment>
    <comment ref="M113" authorId="0" shapeId="0">
      <text>
        <r>
          <rPr>
            <sz val="10"/>
            <color rgb="FF000000"/>
            <rFont val="Arial"/>
            <family val="2"/>
          </rPr>
          <t>A name given to the parameter</t>
        </r>
      </text>
    </comment>
    <comment ref="N113" authorId="0" shapeId="0">
      <text>
        <r>
          <rPr>
            <sz val="10"/>
            <color rgb="FF000000"/>
            <rFont val="Arial"/>
            <family val="2"/>
          </rPr>
          <t>General description of the parameter</t>
        </r>
      </text>
    </comment>
    <comment ref="O113" authorId="0" shapeId="0">
      <text>
        <r>
          <rPr>
            <sz val="10"/>
            <color rgb="FF000000"/>
            <rFont val="Arial"/>
            <family val="2"/>
          </rPr>
          <t>Unit of the parameter</t>
        </r>
      </text>
    </comment>
    <comment ref="P113" authorId="0" shapeId="0">
      <text>
        <r>
          <rPr>
            <sz val="10"/>
            <color rgb="FF000000"/>
            <rFont val="Arial"/>
            <family val="2"/>
          </rPr>
          <t>General classification of the parameter unit</t>
        </r>
      </text>
    </comment>
    <comment ref="Q113" authorId="0" shapeId="0">
      <text>
        <r>
          <rPr>
            <sz val="10"/>
            <color rgb="FF000000"/>
            <rFont val="Arial"/>
            <family val="2"/>
          </rPr>
          <t>Information on the data format of the parameter, e.g. if it is a categorial variable, int, double, array of size x,y,z</t>
        </r>
      </text>
    </comment>
    <comment ref="R113" authorId="0" shapeId="0">
      <text>
        <r>
          <rPr>
            <sz val="10"/>
            <color rgb="FF000000"/>
            <rFont val="Arial"/>
            <family val="2"/>
          </rPr>
          <t>Information on the type of knowledge used to define the parameter value</t>
        </r>
      </text>
    </comment>
    <comment ref="S113" authorId="0" shapeId="0">
      <text>
        <r>
          <rPr>
            <sz val="10"/>
            <color rgb="FF000000"/>
            <rFont val="Arial"/>
            <family val="2"/>
          </rPr>
          <t>Scope of the parameter, e.g. if it refers to an animal, a batch of animals, a batch of products, a carcass, a carcass skin etc</t>
        </r>
      </text>
    </comment>
    <comment ref="T113"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family val="2"/>
          </rPr>
          <t>Numerical values of the maximum  limit of the parameter that determine the range of applicability for which the model applies</t>
        </r>
      </text>
    </comment>
    <comment ref="Y113" authorId="0" shapeId="0">
      <text>
        <r>
          <rPr>
            <sz val="10"/>
            <color rgb="FF000000"/>
            <rFont val="Arial"/>
            <family val="2"/>
          </rPr>
          <t>Numerical values of the minimum limit of the parameter that determine the range of applicability for which the model applies</t>
        </r>
      </text>
    </comment>
    <comment ref="Z113" authorId="0" shapeId="0">
      <text>
        <r>
          <rPr>
            <sz val="10"/>
            <color rgb="FF000000"/>
            <rFont val="Arial"/>
            <family val="2"/>
          </rPr>
          <t>Error of the parameter value</t>
        </r>
      </text>
    </comment>
    <comment ref="G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family val="2"/>
          </rPr>
          <t>Numerical value of the maximum limit of the parameter that determine the range of applicability for which the model applies</t>
        </r>
      </text>
    </comment>
    <comment ref="G119" authorId="0" shapeId="0">
      <text>
        <r>
          <rPr>
            <sz val="10"/>
            <color rgb="FF000000"/>
            <rFont val="Arial"/>
            <family val="2"/>
          </rPr>
          <t>Numerical value of the minimum limit of the parameter that determine the range of applicability for which the model applies</t>
        </r>
      </text>
    </comment>
    <comment ref="G120" authorId="0" shapeId="0">
      <text>
        <r>
          <rPr>
            <sz val="10"/>
            <color rgb="FF000000"/>
            <rFont val="Arial"/>
            <family val="2"/>
          </rPr>
          <t>Error of the parameter value</t>
        </r>
      </text>
    </comment>
    <comment ref="G121" authorId="0" shapeId="0">
      <text>
        <r>
          <rPr>
            <sz val="10"/>
            <color rgb="FF000000"/>
            <rFont val="Arial"/>
            <family val="2"/>
          </rPr>
          <t>Statistical values calculated to describe the performance of the model fitting procedure</t>
        </r>
      </text>
    </comment>
    <comment ref="G123" authorId="0" shapeId="0">
      <text>
        <r>
          <rPr>
            <sz val="10"/>
            <color rgb="FF000000"/>
            <rFont val="Arial"/>
            <family val="2"/>
          </rPr>
          <t>A name given to the model equation</t>
        </r>
      </text>
    </comment>
    <comment ref="G124" authorId="0" shapeId="0">
      <text>
        <r>
          <rPr>
            <sz val="10"/>
            <color rgb="FF000000"/>
            <rFont val="Arial"/>
            <family val="2"/>
          </rPr>
          <t>Information on that helps to categorize model equations</t>
        </r>
      </text>
    </comment>
    <comment ref="G128" authorId="0" shapeId="0">
      <text>
        <r>
          <rPr>
            <sz val="10"/>
            <color rgb="FF000000"/>
            <rFont val="Arial"/>
            <family val="2"/>
          </rPr>
          <t xml:space="preserve">Procedure used to fit the data to the model equation </t>
        </r>
      </text>
    </comment>
    <comment ref="G129" authorId="0" shapeId="0">
      <text>
        <r>
          <rPr>
            <sz val="10"/>
            <color rgb="FF000000"/>
            <rFont val="Arial"/>
            <family val="2"/>
          </rPr>
          <t>The pointer to the file that holds the software code (e.g. R-script)</t>
        </r>
      </text>
    </comment>
    <comment ref="E131" authorId="0" shapeId="0">
      <text>
        <r>
          <rPr>
            <sz val="10"/>
            <color rgb="FF000000"/>
            <rFont val="Arial"/>
            <family val="2"/>
          </rPr>
          <t xml:space="preserve">Procedure used to fit the data to the model equation </t>
        </r>
      </text>
    </comment>
    <comment ref="E132" authorId="0" shapeId="0">
      <text>
        <r>
          <rPr>
            <sz val="10"/>
            <color rgb="FF000000"/>
            <rFont val="Arial"/>
            <family val="2"/>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E61" authorId="0" shapeId="0">
      <text>
        <r>
          <rPr>
            <sz val="10"/>
            <color rgb="FF000000"/>
            <rFont val="Arial"/>
            <family val="2"/>
          </rPr>
          <t>General comments on the scope of the model</t>
        </r>
      </text>
    </comment>
    <comment ref="G62" authorId="0" shapeId="0">
      <text>
        <r>
          <rPr>
            <sz val="10"/>
            <color rgb="FF000000"/>
            <rFont val="Arial"/>
            <family val="2"/>
          </rPr>
          <t>Temporal information on which the model applies / An interval of time that is named or defined by its start and end dates (period of study)</t>
        </r>
      </text>
    </comment>
    <comment ref="G63" authorId="0" shapeId="0">
      <text>
        <r>
          <rPr>
            <sz val="10"/>
            <color rgb="FF000000"/>
            <rFont val="Arial"/>
            <family val="2"/>
          </rPr>
          <t>Spatial information (area) on which the model applies</t>
        </r>
      </text>
    </comment>
    <comment ref="G64" authorId="0" shapeId="0">
      <text>
        <r>
          <rPr>
            <sz val="10"/>
            <color rgb="FF000000"/>
            <rFont val="Arial"/>
            <family val="2"/>
          </rPr>
          <t>Country on which the model applies</t>
        </r>
      </text>
    </comment>
    <comment ref="G65" authorId="0" shapeId="0">
      <text>
        <r>
          <rPr>
            <sz val="10"/>
            <color rgb="FF000000"/>
            <rFont val="Arial"/>
            <family val="2"/>
          </rPr>
          <t>A user defined identifier for the study</t>
        </r>
      </text>
    </comment>
    <comment ref="G66" authorId="0" shapeId="0">
      <text>
        <r>
          <rPr>
            <sz val="10"/>
            <color rgb="FF000000"/>
            <rFont val="Arial"/>
            <family val="2"/>
          </rPr>
          <t>A title for the Study.</t>
        </r>
      </text>
    </comment>
    <comment ref="G67" authorId="0" shapeId="0">
      <text>
        <r>
          <rPr>
            <sz val="10"/>
            <color rgb="FF000000"/>
            <rFont val="Arial"/>
            <family val="2"/>
          </rPr>
          <t>A brief description of the study aims.</t>
        </r>
      </text>
    </comment>
    <comment ref="G68" authorId="0" shapeId="0">
      <text>
        <r>
          <rPr>
            <sz val="10"/>
            <color rgb="FF000000"/>
            <rFont val="Arial"/>
            <family val="2"/>
          </rPr>
          <t>The type of study design being employed</t>
        </r>
      </text>
    </comment>
    <comment ref="G69" authorId="0" shapeId="0">
      <text>
        <r>
          <rPr>
            <sz val="10"/>
            <color rgb="FF000000"/>
            <rFont val="Arial"/>
            <family val="2"/>
          </rPr>
          <t>The measurement being observed in this assay</t>
        </r>
      </text>
    </comment>
    <comment ref="G70" authorId="0" shapeId="0">
      <text>
        <r>
          <rPr>
            <sz val="10"/>
            <color rgb="FF000000"/>
            <rFont val="Arial"/>
            <family val="2"/>
          </rPr>
          <t>The technology being employed to observe this measurement</t>
        </r>
      </text>
    </comment>
    <comment ref="G71" authorId="0" shapeId="0">
      <text>
        <r>
          <rPr>
            <sz val="10"/>
            <color rgb="FF000000"/>
            <rFont val="Arial"/>
            <family val="2"/>
          </rPr>
          <t>The technology platform used</t>
        </r>
      </text>
    </comment>
    <comment ref="G72" authorId="0" shapeId="0">
      <text>
        <r>
          <rPr>
            <sz val="10"/>
            <color rgb="FF000000"/>
            <rFont val="Arial"/>
            <family val="2"/>
          </rPr>
          <t>Accreditation procedure for the analytical method used</t>
        </r>
      </text>
    </comment>
    <comment ref="G73" authorId="0" shapeId="0">
      <text>
        <r>
          <rPr>
            <sz val="10"/>
            <color rgb="FF000000"/>
            <rFont val="Arial"/>
            <family val="2"/>
          </rPr>
          <t>The name of the protocol, e.g.Extraction Protocol</t>
        </r>
      </text>
    </comment>
    <comment ref="G74" authorId="0" shapeId="0">
      <text>
        <r>
          <rPr>
            <sz val="10"/>
            <color rgb="FF000000"/>
            <rFont val="Arial"/>
            <family val="2"/>
          </rPr>
          <t>The type of the protocol, preferably coming from an Ontology, e.g. Extraction Protocol</t>
        </r>
      </text>
    </comment>
    <comment ref="G75" authorId="0" shapeId="0">
      <text>
        <r>
          <rPr>
            <sz val="10"/>
            <color rgb="FF000000"/>
            <rFont val="Arial"/>
            <family val="2"/>
          </rPr>
          <t>A description of the Protocol.</t>
        </r>
      </text>
    </comment>
    <comment ref="G76" authorId="0" shapeId="0">
      <text>
        <r>
          <rPr>
            <sz val="10"/>
            <color rgb="FF000000"/>
            <rFont val="Arial"/>
            <family val="2"/>
          </rPr>
          <t>A URI to link out to a publication, web page, etc. describing the protocol.</t>
        </r>
      </text>
    </comment>
    <comment ref="G77" authorId="0" shapeId="0">
      <text>
        <r>
          <rPr>
            <sz val="10"/>
            <color rgb="FF000000"/>
            <rFont val="Arial"/>
            <family val="2"/>
          </rPr>
          <t>The version of the protocol used, where applicable.</t>
        </r>
      </text>
    </comment>
    <comment ref="G78" authorId="0" shapeId="0">
      <text>
        <r>
          <rPr>
            <sz val="10"/>
            <color rgb="FF000000"/>
            <rFont val="Arial"/>
            <family val="2"/>
          </rPr>
          <t>The parameters used when executing this protocol.</t>
        </r>
      </text>
    </comment>
    <comment ref="G79" authorId="0" shapeId="0">
      <text>
        <r>
          <rPr>
            <sz val="10"/>
            <color rgb="FF000000"/>
            <rFont val="Arial"/>
            <family val="2"/>
          </rPr>
          <t>The components used when carrying out this protocol.</t>
        </r>
      </text>
    </comment>
    <comment ref="G81" authorId="0" shapeId="0">
      <text>
        <r>
          <rPr>
            <sz val="10"/>
            <color rgb="FF000000"/>
            <rFont val="Arial"/>
            <family val="2"/>
          </rPr>
          <t>An unambiguous ID given to the samples used in the assay</t>
        </r>
      </text>
    </comment>
    <comment ref="G82" authorId="0" shapeId="0">
      <text>
        <r>
          <rPr>
            <sz val="10"/>
            <color rgb="FF000000"/>
            <rFont val="Arial"/>
            <family val="2"/>
          </rPr>
          <t>Additional protocol for sample and sample collection. Corresponds to the Protocol REF in ISA</t>
        </r>
      </text>
    </comment>
    <comment ref="L82" authorId="0" shapeId="0">
      <text>
        <r>
          <rPr>
            <sz val="10"/>
            <color rgb="FF000000"/>
            <rFont val="Arial"/>
            <family val="2"/>
          </rPr>
          <t>An unambiguous ID given to the samples used in the assay</t>
        </r>
      </text>
    </comment>
    <comment ref="M82" authorId="0" shapeId="0">
      <text>
        <r>
          <rPr>
            <sz val="10"/>
            <color rgb="FF000000"/>
            <rFont val="Arial"/>
            <family val="2"/>
          </rPr>
          <t>Additional protocol for sample and sample collection. Corresponds to the Protocol REF in ISA</t>
        </r>
      </text>
    </comment>
    <comment ref="N82" authorId="0" shapeId="0">
      <text>
        <r>
          <rPr>
            <sz val="10"/>
            <color rgb="FF000000"/>
            <rFont val="Arial"/>
            <family val="2"/>
          </rPr>
          <t>Sampling strategy (ref. EUROSTAT - Typology of sampling strategy, version of July 2009)</t>
        </r>
      </text>
    </comment>
    <comment ref="O82" authorId="0" shapeId="0">
      <text>
        <r>
          <rPr>
            <sz val="10"/>
            <color rgb="FF000000"/>
            <rFont val="Arial"/>
            <family val="2"/>
          </rPr>
          <t>Indicate the type programme for which the samples have been collected.</t>
        </r>
      </text>
    </comment>
    <comment ref="P82" authorId="0" shapeId="0">
      <text>
        <r>
          <rPr>
            <sz val="10"/>
            <color rgb="FF000000"/>
            <rFont val="Arial"/>
            <family val="2"/>
          </rPr>
          <t>Sampling method used to take the sample</t>
        </r>
      </text>
    </comment>
    <comment ref="Q82" authorId="0" shapeId="0">
      <text>
        <r>
          <rPr>
            <sz val="10"/>
            <color rgb="FF000000"/>
            <rFont val="Arial"/>
            <family val="2"/>
          </rPr>
          <t>description of data collection technique: stratified or complex sampling (several stages)</t>
        </r>
      </text>
    </comment>
    <comment ref="R82" authorId="0" shapeId="0">
      <text>
        <r>
          <rPr>
            <sz val="10"/>
            <color rgb="FF000000"/>
            <rFont val="Arial"/>
            <family val="2"/>
          </rPr>
          <t>description of the method employed to compute sampling weight (nonresponse-adjusted weight)</t>
        </r>
      </text>
    </comment>
    <comment ref="S82" authorId="0" shapeId="0">
      <text>
        <r>
          <rPr>
            <sz val="10"/>
            <color rgb="FF000000"/>
            <rFont val="Arial"/>
            <family val="2"/>
          </rPr>
          <t>number of units, full participants, partial participants, eligibles, not eligible, unresolved (eligibility status not resolved)…</t>
        </r>
      </text>
    </comment>
    <comment ref="T82" authorId="0" shapeId="0">
      <text>
        <r>
          <rPr>
            <sz val="10"/>
            <color rgb="FF000000"/>
            <rFont val="Arial"/>
            <family val="2"/>
          </rPr>
          <t>Unit in which the lot size is expressed.</t>
        </r>
      </text>
    </comment>
    <comment ref="U82" authorId="0" shapeId="0">
      <text>
        <r>
          <rPr>
            <sz val="10"/>
            <color rgb="FF000000"/>
            <rFont val="Arial"/>
            <family val="2"/>
          </rPr>
          <t>Point in the food chain where the sample was taken. (Doc. ESTAT/F5/ES/155 “Data dictionary of activities of the establishments”).</t>
        </r>
      </text>
    </comment>
    <comment ref="G83" authorId="0" shapeId="0">
      <text>
        <r>
          <rPr>
            <sz val="10"/>
            <color rgb="FF000000"/>
            <rFont val="Arial"/>
            <family val="2"/>
          </rPr>
          <t>Sampling strategy (ref. EUROSTAT - Typology of sampling strategy, version of July 2009)</t>
        </r>
      </text>
    </comment>
    <comment ref="G84" authorId="0" shapeId="0">
      <text>
        <r>
          <rPr>
            <sz val="10"/>
            <color rgb="FF000000"/>
            <rFont val="Arial"/>
            <family val="2"/>
          </rPr>
          <t>Indicate the type programme for which the samples have been collected.</t>
        </r>
      </text>
    </comment>
    <comment ref="G85" authorId="0" shapeId="0">
      <text>
        <r>
          <rPr>
            <sz val="10"/>
            <color rgb="FF000000"/>
            <rFont val="Arial"/>
            <family val="2"/>
          </rPr>
          <t>Sampling method used to take the sample</t>
        </r>
      </text>
    </comment>
    <comment ref="G86" authorId="0" shapeId="0">
      <text>
        <r>
          <rPr>
            <sz val="10"/>
            <color rgb="FF000000"/>
            <rFont val="Arial"/>
            <family val="2"/>
          </rPr>
          <t>description of data collection technique: stratified or complex sampling (several stages)</t>
        </r>
      </text>
    </comment>
    <comment ref="G87" authorId="0" shapeId="0">
      <text>
        <r>
          <rPr>
            <sz val="10"/>
            <color rgb="FF000000"/>
            <rFont val="Arial"/>
            <family val="2"/>
          </rPr>
          <t>description of the method employed to compute sampling weight (nonresponse-adjusted weight)</t>
        </r>
      </text>
    </comment>
    <comment ref="G88" authorId="0" shapeId="0">
      <text>
        <r>
          <rPr>
            <sz val="10"/>
            <color rgb="FF000000"/>
            <rFont val="Arial"/>
            <family val="2"/>
          </rPr>
          <t>number of units, full participants, partial participants, eligibles, not eligible, unresolved (eligibility status not resolved)…</t>
        </r>
      </text>
    </comment>
    <comment ref="G89" authorId="0" shapeId="0">
      <text>
        <r>
          <rPr>
            <sz val="10"/>
            <color rgb="FF000000"/>
            <rFont val="Arial"/>
            <family val="2"/>
          </rPr>
          <t>Unit in which the lot size is expressed.</t>
        </r>
      </text>
    </comment>
    <comment ref="L89" authorId="0" shapeId="0">
      <text>
        <r>
          <rPr>
            <sz val="10"/>
            <color rgb="FF000000"/>
            <rFont val="Arial"/>
            <family val="2"/>
          </rPr>
          <t>The laboratory accreditation to ISO/IEC 17025.</t>
        </r>
      </text>
    </comment>
    <comment ref="M89" authorId="0" shapeId="0">
      <text>
        <r>
          <rPr>
            <sz val="10"/>
            <color rgb="FF000000"/>
            <rFont val="Arial"/>
            <family val="2"/>
          </rPr>
          <t>Laboratory code (National laboratory code if available) or Laboratory name</t>
        </r>
      </text>
    </comment>
    <comment ref="N89" authorId="0" shapeId="0">
      <text>
        <r>
          <rPr>
            <sz val="10"/>
            <color rgb="FF000000"/>
            <rFont val="Arial"/>
            <family val="2"/>
          </rPr>
          <t>Country where the laboratory is placed. (ISO 3166-1-alpha-2).</t>
        </r>
      </text>
    </comment>
    <comment ref="G90" authorId="0" shapeId="0">
      <text>
        <r>
          <rPr>
            <sz val="10"/>
            <color rgb="FF000000"/>
            <rFont val="Arial"/>
            <family val="2"/>
          </rPr>
          <t>Point in the food chain where the sample was taken. (Doc. ESTAT/F5/ES/155 “Data dictionary of activities of the establishments”).</t>
        </r>
      </text>
    </comment>
    <comment ref="G91" authorId="0" shapeId="0">
      <text>
        <r>
          <rPr>
            <sz val="10"/>
            <color rgb="FF000000"/>
            <rFont val="Arial"/>
            <family val="2"/>
          </rPr>
          <t>The laboratory accreditation to ISO/IEC 17025.</t>
        </r>
      </text>
    </comment>
    <comment ref="G92" authorId="0" shapeId="0">
      <text>
        <r>
          <rPr>
            <sz val="10"/>
            <color rgb="FF000000"/>
            <rFont val="Arial"/>
            <family val="2"/>
          </rPr>
          <t>Laboratory code (National laboratory code if available) or Laboratory name</t>
        </r>
      </text>
    </comment>
    <comment ref="G93" authorId="0" shapeId="0">
      <text>
        <r>
          <rPr>
            <sz val="10"/>
            <color rgb="FF000000"/>
            <rFont val="Arial"/>
            <family val="2"/>
          </rPr>
          <t>Country where the laboratory is placed. (ISO 3166-1-alpha-2).</t>
        </r>
      </text>
    </comment>
    <comment ref="G94" authorId="0" shapeId="0">
      <text>
        <r>
          <rPr>
            <sz val="10"/>
            <color rgb="FF000000"/>
            <rFont val="Arial"/>
            <family val="2"/>
          </rPr>
          <t>A name given to the assay</t>
        </r>
      </text>
    </comment>
    <comment ref="G95" authorId="0" shapeId="0">
      <text>
        <r>
          <rPr>
            <sz val="10"/>
            <color rgb="FF000000"/>
            <rFont val="Arial"/>
            <family val="2"/>
          </rPr>
          <t>General description of the assay. Corresponds to the Protocol REF in ISA</t>
        </r>
      </text>
    </comment>
    <comment ref="G96" authorId="0" shapeId="0">
      <text>
        <r>
          <rPr>
            <sz val="10"/>
            <color rgb="FF000000"/>
            <rFont val="Arial"/>
            <family val="2"/>
          </rPr>
          <t>Percentage of moisture in the original sample</t>
        </r>
      </text>
    </comment>
    <comment ref="G97" authorId="0" shapeId="0">
      <text>
        <r>
          <rPr>
            <sz val="10"/>
            <color rgb="FF000000"/>
            <rFont val="Arial"/>
            <family val="2"/>
          </rPr>
          <t>Percentage of fat in the original sample</t>
        </r>
      </text>
    </comment>
    <comment ref="G98" authorId="0" shapeId="0">
      <text>
        <r>
          <rPr>
            <sz val="10"/>
            <color rgb="FF000000"/>
            <rFont val="Arial"/>
            <family val="2"/>
          </rPr>
          <t>Limit of detection reported in the unit specified by the variable “Hazard unit”.</t>
        </r>
      </text>
    </comment>
    <comment ref="G99" authorId="0" shapeId="0">
      <text>
        <r>
          <rPr>
            <sz val="10"/>
            <color rgb="FF000000"/>
            <rFont val="Arial"/>
            <family val="2"/>
          </rPr>
          <t>Limit of quantification reported in the unit specified by the variable “Hazard unit”</t>
        </r>
      </text>
    </comment>
    <comment ref="G100" authorId="0" shapeId="0">
      <text>
        <r>
          <rPr>
            <sz val="10"/>
            <color rgb="FF000000"/>
            <rFont val="Arial"/>
            <family val="2"/>
          </rPr>
          <t>percentage of measures equal to LOQ and/or LOD</t>
        </r>
      </text>
    </comment>
    <comment ref="G101" authorId="0" shapeId="0">
      <text>
        <r>
          <rPr>
            <sz val="10"/>
            <color rgb="FF000000"/>
            <rFont val="Arial"/>
            <family val="2"/>
          </rPr>
          <t>Range of result of the analytical measure reported in the unit specified by the variable “Hazard unit”</t>
        </r>
      </text>
    </comment>
    <comment ref="G102" authorId="0" shapeId="0">
      <text>
        <r>
          <rPr>
            <sz val="10"/>
            <color rgb="FF000000"/>
            <rFont val="Arial"/>
            <family val="2"/>
          </rPr>
          <t>Indicate the expanded uncertainty (usually 95% confidence interval) value associated with the measurement expressed in the unit reported in the field “Hazard unit”.</t>
        </r>
      </text>
    </comment>
    <comment ref="G103" authorId="0" shapeId="0">
      <text>
        <r>
          <rPr>
            <sz val="10"/>
            <color rgb="FF000000"/>
            <rFont val="Arial"/>
            <family val="2"/>
          </rPr>
          <t>An unambiguous and sequential ID given to the parameter. To be compatible with SBML, only letters from A to Z, numbers and "_" are acepted for ID creation.</t>
        </r>
      </text>
    </comment>
    <comment ref="M103" authorId="0" shapeId="0">
      <text>
        <r>
          <rPr>
            <sz val="10"/>
            <color rgb="FF000000"/>
            <rFont val="Arial"/>
            <family val="2"/>
          </rPr>
          <t>Statistical values calculated to describe the performance of the model fitting procedure</t>
        </r>
      </text>
    </comment>
    <comment ref="P103" authorId="0" shapeId="0">
      <text>
        <r>
          <rPr>
            <sz val="10"/>
            <color rgb="FF000000"/>
            <rFont val="Arial"/>
            <family val="2"/>
          </rPr>
          <t>A name given to the model equation</t>
        </r>
      </text>
    </comment>
    <comment ref="Q103" authorId="0" shapeId="0">
      <text>
        <r>
          <rPr>
            <sz val="10"/>
            <color rgb="FF000000"/>
            <rFont val="Arial"/>
            <family val="2"/>
          </rPr>
          <t>Information on that helps to categorize model equations</t>
        </r>
      </text>
    </comment>
    <comment ref="R103" authorId="0" shapeId="0">
      <text>
        <r>
          <rPr>
            <sz val="10"/>
            <color rgb="FF000000"/>
            <rFont val="Arial"/>
            <family val="2"/>
          </rPr>
          <t xml:space="preserve">Procedure used to fit the data to the model equation </t>
        </r>
      </text>
    </comment>
    <comment ref="S103" authorId="0" shapeId="0">
      <text>
        <r>
          <rPr>
            <sz val="10"/>
            <color rgb="FF000000"/>
            <rFont val="Arial"/>
            <family val="2"/>
          </rPr>
          <t>The pointer to the file that holds the software code (e.g. R-script)</t>
        </r>
      </text>
    </comment>
    <comment ref="G104" authorId="0" shapeId="0">
      <text>
        <r>
          <rPr>
            <sz val="10"/>
            <color rgb="FF000000"/>
            <rFont val="Arial"/>
            <family val="2"/>
          </rPr>
          <t>General classification of the parameter (e.g. Input, Constant, Output...)</t>
        </r>
      </text>
    </comment>
    <comment ref="G105" authorId="0" shapeId="0">
      <text>
        <r>
          <rPr>
            <sz val="10"/>
            <color rgb="FF000000"/>
            <rFont val="Arial"/>
            <family val="2"/>
          </rPr>
          <t>A name given to the parameter</t>
        </r>
      </text>
    </comment>
    <comment ref="G106" authorId="0" shapeId="0">
      <text>
        <r>
          <rPr>
            <sz val="10"/>
            <color rgb="FF000000"/>
            <rFont val="Arial"/>
            <family val="2"/>
          </rPr>
          <t>General description of the parameter</t>
        </r>
      </text>
    </comment>
    <comment ref="G107" authorId="0" shapeId="0">
      <text>
        <r>
          <rPr>
            <sz val="10"/>
            <color rgb="FF000000"/>
            <rFont val="Arial"/>
            <family val="2"/>
          </rPr>
          <t>Unit of the parameter</t>
        </r>
      </text>
    </comment>
    <comment ref="G108" authorId="0" shapeId="0">
      <text>
        <r>
          <rPr>
            <sz val="10"/>
            <color rgb="FF000000"/>
            <rFont val="Arial"/>
            <family val="2"/>
          </rPr>
          <t>General classification of the parameter unit</t>
        </r>
      </text>
    </comment>
    <comment ref="G109" authorId="0" shapeId="0">
      <text>
        <r>
          <rPr>
            <sz val="10"/>
            <color rgb="FF000000"/>
            <rFont val="Arial"/>
            <family val="2"/>
          </rPr>
          <t>Information on the data format of the parameter, e.g. if it is a categorial variable, int, double, array of size x,y,z</t>
        </r>
      </text>
    </comment>
    <comment ref="G110" authorId="0" shapeId="0">
      <text>
        <r>
          <rPr>
            <sz val="10"/>
            <color rgb="FF000000"/>
            <rFont val="Arial"/>
            <family val="2"/>
          </rPr>
          <t>Information on the type of knowledge used to define the parameter value</t>
        </r>
      </text>
    </comment>
    <comment ref="G111" authorId="0" shapeId="0">
      <text>
        <r>
          <rPr>
            <sz val="10"/>
            <color rgb="FF000000"/>
            <rFont val="Arial"/>
            <family val="2"/>
          </rPr>
          <t>Scope of the parameter, e.g. if it refers to an animal, a batch of animals, a batch of products, a carcass, a carcass skin etc</t>
        </r>
      </text>
    </comment>
    <comment ref="G112" authorId="0" shapeId="0">
      <text>
        <r>
          <rPr>
            <sz val="10"/>
            <color rgb="FF000000"/>
            <rFont val="Arial"/>
            <family val="2"/>
          </rPr>
          <t xml:space="preserve">Information on the distribution describing the parameter (e.g. variability, uncertainty, point estimate...) </t>
        </r>
      </text>
    </comment>
    <comment ref="K112"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3" authorId="0" shapeId="0">
      <text>
        <r>
          <rPr>
            <sz val="10"/>
            <color rgb="FF000000"/>
            <rFont val="Arial"/>
            <family val="2"/>
          </rPr>
          <t>An unambiguous and sequential ID given to the parameter. To be compatible with SBML, only letters from A to Z, numbers and "_" are acepted for ID creation.</t>
        </r>
      </text>
    </comment>
    <comment ref="M113" authorId="0" shapeId="0">
      <text>
        <r>
          <rPr>
            <sz val="10"/>
            <color rgb="FF000000"/>
            <rFont val="Arial"/>
            <family val="2"/>
          </rPr>
          <t>General classification of the parameter (e.g. Input, Constant, Output...)</t>
        </r>
      </text>
    </comment>
    <comment ref="N113" authorId="0" shapeId="0">
      <text>
        <r>
          <rPr>
            <sz val="10"/>
            <color rgb="FF000000"/>
            <rFont val="Arial"/>
            <family val="2"/>
          </rPr>
          <t>A name given to the parameter</t>
        </r>
      </text>
    </comment>
    <comment ref="O113" authorId="0" shapeId="0">
      <text>
        <r>
          <rPr>
            <sz val="10"/>
            <color rgb="FF000000"/>
            <rFont val="Arial"/>
            <family val="2"/>
          </rPr>
          <t>General description of the parameter</t>
        </r>
      </text>
    </comment>
    <comment ref="P113" authorId="0" shapeId="0">
      <text>
        <r>
          <rPr>
            <sz val="10"/>
            <color rgb="FF000000"/>
            <rFont val="Arial"/>
            <family val="2"/>
          </rPr>
          <t>Unit of the parameter</t>
        </r>
      </text>
    </comment>
    <comment ref="Q113" authorId="0" shapeId="0">
      <text>
        <r>
          <rPr>
            <sz val="10"/>
            <color rgb="FF000000"/>
            <rFont val="Arial"/>
            <family val="2"/>
          </rPr>
          <t>General classification of the parameter unit</t>
        </r>
      </text>
    </comment>
    <comment ref="R113" authorId="0" shapeId="0">
      <text>
        <r>
          <rPr>
            <sz val="10"/>
            <color rgb="FF000000"/>
            <rFont val="Arial"/>
            <family val="2"/>
          </rPr>
          <t>Information on the data format of the parameter, e.g. if it is a categorial variable, int, double, array of size x,y,z</t>
        </r>
      </text>
    </comment>
    <comment ref="S113" authorId="0" shapeId="0">
      <text>
        <r>
          <rPr>
            <sz val="10"/>
            <color rgb="FF000000"/>
            <rFont val="Arial"/>
            <family val="2"/>
          </rPr>
          <t>Information on the type of knowledge used to define the parameter value</t>
        </r>
      </text>
    </comment>
    <comment ref="T113" authorId="0" shapeId="0">
      <text>
        <r>
          <rPr>
            <sz val="10"/>
            <color rgb="FF000000"/>
            <rFont val="Arial"/>
            <family val="2"/>
          </rPr>
          <t>Scope of the parameter, e.g. if it refers to an animal, a batch of animals, a batch of products, a carcass, a carcass skin etc</t>
        </r>
      </text>
    </comment>
    <comment ref="U113"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family val="2"/>
          </rPr>
          <t>Numerical values of the maximum limit of the parameter that determine the range of applicability for which the model applies</t>
        </r>
      </text>
    </comment>
    <comment ref="Z113" authorId="0" shapeId="0">
      <text>
        <r>
          <rPr>
            <sz val="10"/>
            <color rgb="FF000000"/>
            <rFont val="Arial"/>
            <family val="2"/>
          </rPr>
          <t>Numerical values of the minimum limit of the parameter that determine the range of applicability for which the model applies</t>
        </r>
      </text>
    </comment>
    <comment ref="AA113" authorId="0" shapeId="0">
      <text>
        <r>
          <rPr>
            <sz val="10"/>
            <color rgb="FF000000"/>
            <rFont val="Arial"/>
            <family val="2"/>
          </rPr>
          <t>Error of the parameter value</t>
        </r>
      </text>
    </comment>
    <comment ref="G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family val="2"/>
          </rPr>
          <t>Numerical value of the maximum  limit of the parameter that determine the range of applicability for which the model applies</t>
        </r>
      </text>
    </comment>
    <comment ref="G119" authorId="0" shapeId="0">
      <text>
        <r>
          <rPr>
            <sz val="10"/>
            <color rgb="FF000000"/>
            <rFont val="Arial"/>
            <family val="2"/>
          </rPr>
          <t>Numerical value of the minimum  limit of the parameter that determine the range of applicability for which the model applies</t>
        </r>
      </text>
    </comment>
    <comment ref="G120" authorId="0" shapeId="0">
      <text>
        <r>
          <rPr>
            <sz val="10"/>
            <color rgb="FF000000"/>
            <rFont val="Arial"/>
            <family val="2"/>
          </rPr>
          <t>Error of the parameter value</t>
        </r>
      </text>
    </comment>
    <comment ref="G121" authorId="0" shapeId="0">
      <text>
        <r>
          <rPr>
            <sz val="10"/>
            <color rgb="FF000000"/>
            <rFont val="Arial"/>
            <family val="2"/>
          </rPr>
          <t>Statistical values calculated to describe the performance of the model fitting procedure</t>
        </r>
      </text>
    </comment>
    <comment ref="G123" authorId="0" shapeId="0">
      <text>
        <r>
          <rPr>
            <sz val="10"/>
            <color rgb="FF000000"/>
            <rFont val="Arial"/>
            <family val="2"/>
          </rPr>
          <t>A name given to the model equation</t>
        </r>
      </text>
    </comment>
    <comment ref="G124" authorId="0" shapeId="0">
      <text>
        <r>
          <rPr>
            <sz val="10"/>
            <color rgb="FF000000"/>
            <rFont val="Arial"/>
            <family val="2"/>
          </rPr>
          <t>Information on that helps to categorize model equations</t>
        </r>
      </text>
    </comment>
    <comment ref="G128" authorId="0" shapeId="0">
      <text>
        <r>
          <rPr>
            <sz val="10"/>
            <color rgb="FF000000"/>
            <rFont val="Arial"/>
            <family val="2"/>
          </rPr>
          <t xml:space="preserve">Procedure used to fit the data to the model equation </t>
        </r>
      </text>
    </comment>
    <comment ref="G129" authorId="0" shapeId="0">
      <text>
        <r>
          <rPr>
            <sz val="10"/>
            <color rgb="FF000000"/>
            <rFont val="Arial"/>
            <family val="2"/>
          </rPr>
          <t>The pointer to the file that holds the software code (e.g. R-script)</t>
        </r>
      </text>
    </comment>
    <comment ref="E131" authorId="0" shapeId="0">
      <text>
        <r>
          <rPr>
            <sz val="10"/>
            <color rgb="FF000000"/>
            <rFont val="Arial"/>
            <family val="2"/>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L37" authorId="0" shapeId="0">
      <text>
        <r>
          <rPr>
            <sz val="10"/>
            <color rgb="FF000000"/>
            <rFont val="Arial"/>
            <family val="2"/>
          </rPr>
          <t>General classification of the hazard for which the model or data applies</t>
        </r>
      </text>
    </comment>
    <comment ref="M37" authorId="0" shapeId="0">
      <text>
        <r>
          <rPr>
            <sz val="10"/>
            <color rgb="FF000000"/>
            <rFont val="Arial"/>
            <family val="2"/>
          </rPr>
          <t>Name of the hazard for which the model or data applies</t>
        </r>
      </text>
    </comment>
    <comment ref="N37" authorId="0" shapeId="0">
      <text>
        <r>
          <rPr>
            <sz val="10"/>
            <color rgb="FF000000"/>
            <rFont val="Arial"/>
            <family val="2"/>
          </rPr>
          <t>Description of the hazard for which the model or data applies</t>
        </r>
      </text>
    </comment>
    <comment ref="O37" authorId="0" shapeId="0">
      <text>
        <r>
          <rPr>
            <sz val="10"/>
            <color rgb="FF000000"/>
            <rFont val="Arial"/>
            <family val="2"/>
          </rPr>
          <t>Unit of the hazard for which the model applies</t>
        </r>
      </text>
    </comment>
    <comment ref="P37" authorId="0" shapeId="0">
      <text>
        <r>
          <rPr>
            <sz val="10"/>
            <color rgb="FF000000"/>
            <rFont val="Arial"/>
            <family val="2"/>
          </rPr>
          <t>morbidity, mortality, effect</t>
        </r>
      </text>
    </comment>
    <comment ref="Q37" authorId="0" shapeId="0">
      <text>
        <r>
          <rPr>
            <sz val="10"/>
            <color rgb="FF000000"/>
            <rFont val="Arial"/>
            <family val="2"/>
          </rPr>
          <t>source of contamination, origin</t>
        </r>
      </text>
    </comment>
    <comment ref="R37" authorId="0" shapeId="0">
      <text>
        <r>
          <rPr>
            <sz val="10"/>
            <color rgb="FF000000"/>
            <rFont val="Arial"/>
            <family val="2"/>
          </rPr>
          <t>A dose or concentration that produces a predetermined change in response rate of an adverse effect (called the bench response or BMR) compared to background.</t>
        </r>
      </text>
    </comment>
    <comment ref="S37" authorId="0" shapeId="0">
      <text>
        <r>
          <rPr>
            <sz val="10"/>
            <color rgb="FF000000"/>
            <rFont val="Arial"/>
            <family val="2"/>
          </rPr>
          <t>International regulations and permissible maximum residue levels in food and drinking water</t>
        </r>
      </text>
    </comment>
    <comment ref="T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Y37" authorId="0" shapeId="0">
      <text>
        <r>
          <rPr>
            <sz val="10"/>
            <color rgb="FF000000"/>
            <rFont val="Arial"/>
            <family val="2"/>
          </rPr>
          <t>Define if the parameter reported is an individual residue/analyte, a summed residue definition or part of a sum a summed residue definition.</t>
        </r>
      </text>
    </comment>
    <comment ref="Z37" authorId="0" shapeId="0">
      <text>
        <r>
          <rPr>
            <sz val="10"/>
            <color rgb="FF000000"/>
            <rFont val="Arial"/>
            <family val="2"/>
          </rPr>
          <t>Name of the population for which the model or data applies</t>
        </r>
      </text>
    </comment>
    <comment ref="AA37" authorId="0" shapeId="0">
      <text>
        <r>
          <rPr>
            <sz val="10"/>
            <color rgb="FF000000"/>
            <rFont val="Arial"/>
            <family val="2"/>
          </rPr>
          <t>population of individual that we are interested in describing and making statistical inferences about</t>
        </r>
      </text>
    </comment>
    <comment ref="AB37" authorId="0" shapeId="0">
      <text>
        <r>
          <rPr>
            <sz val="10"/>
            <color rgb="FF000000"/>
            <rFont val="Arial"/>
            <family val="2"/>
          </rPr>
          <t>Temporal information on the exposure duration</t>
        </r>
      </text>
    </comment>
    <comment ref="AC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family val="2"/>
          </rPr>
          <t>describe the range of age or group of age</t>
        </r>
      </text>
    </comment>
    <comment ref="AE37" authorId="0" shapeId="0">
      <text>
        <r>
          <rPr>
            <sz val="10"/>
            <color rgb="FF000000"/>
            <rFont val="Arial"/>
            <family val="2"/>
          </rPr>
          <t>describe the percentage of gender</t>
        </r>
      </text>
    </comment>
    <comment ref="AF37" authorId="0" shapeId="0">
      <text>
        <r>
          <rPr>
            <sz val="10"/>
            <color rgb="FF000000"/>
            <rFont val="Arial"/>
            <family val="2"/>
          </rPr>
          <t>describe the range of BMI or class of BMI or BMI mean</t>
        </r>
      </text>
    </comment>
    <comment ref="AG37" authorId="0" shapeId="0">
      <text>
        <r>
          <rPr>
            <sz val="10"/>
            <color rgb="FF000000"/>
            <rFont val="Arial"/>
            <family val="2"/>
          </rPr>
          <t>sub-population with special diets (vegetarians, diabetics, group following special ethnic diets)</t>
        </r>
      </text>
    </comment>
    <comment ref="AH37" authorId="0" shapeId="0">
      <text>
        <r>
          <rPr>
            <sz val="10"/>
            <color rgb="FF000000"/>
            <rFont val="Arial"/>
            <family val="2"/>
          </rPr>
          <t>describe the consumption of different food items: frequency, portion size</t>
        </r>
      </text>
    </comment>
    <comment ref="AI37" authorId="0" shapeId="0">
      <text>
        <r>
          <rPr>
            <sz val="10"/>
            <color rgb="FF000000"/>
            <rFont val="Arial"/>
            <family val="2"/>
          </rPr>
          <t>Spatial information (area) on which the population group of the model or data applies</t>
        </r>
      </text>
    </comment>
    <comment ref="AJ37" authorId="0" shapeId="0">
      <text>
        <r>
          <rPr>
            <sz val="10"/>
            <color rgb="FF000000"/>
            <rFont val="Arial"/>
            <family val="2"/>
          </rPr>
          <t>Country on which the population group of the model or data applies</t>
        </r>
      </text>
    </comment>
    <comment ref="AK37" authorId="0" shapeId="0">
      <text>
        <r>
          <rPr>
            <sz val="10"/>
            <color rgb="FF000000"/>
            <rFont val="Arial"/>
            <family val="2"/>
          </rPr>
          <t>distribution of surveyed people according to the season (influence consumption pattern)</t>
        </r>
      </text>
    </comment>
    <comment ref="AL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applies</t>
        </r>
      </text>
    </comment>
    <comment ref="G60" authorId="0" shapeId="0">
      <text>
        <r>
          <rPr>
            <sz val="10"/>
            <color rgb="FF000000"/>
            <rFont val="Arial"/>
            <family val="2"/>
          </rPr>
          <t>Country on which the population group of the model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L84" authorId="0" shapeId="0">
      <text>
        <r>
          <rPr>
            <sz val="10"/>
            <color rgb="FF000000"/>
            <rFont val="Arial"/>
            <family val="2"/>
          </rPr>
          <t>An unambiguous ID given to the samples used in the assay</t>
        </r>
      </text>
    </comment>
    <comment ref="M84" authorId="0" shapeId="0">
      <text>
        <r>
          <rPr>
            <sz val="10"/>
            <color rgb="FF000000"/>
            <rFont val="Arial"/>
            <family val="2"/>
          </rPr>
          <t>Additional protocol for sample and sample collection. Corresponds to the Protocol REF in ISA</t>
        </r>
      </text>
    </comment>
    <comment ref="N84" authorId="0" shapeId="0">
      <text>
        <r>
          <rPr>
            <sz val="10"/>
            <color rgb="FF000000"/>
            <rFont val="Arial"/>
            <family val="2"/>
          </rPr>
          <t>Sampling strategy (ref. EUROSTAT - Typology of sampling strategy, version of July 2009)</t>
        </r>
      </text>
    </comment>
    <comment ref="O84" authorId="0" shapeId="0">
      <text>
        <r>
          <rPr>
            <sz val="10"/>
            <color rgb="FF000000"/>
            <rFont val="Arial"/>
            <family val="2"/>
          </rPr>
          <t>Indicate the type programme for which the samples have been collected.</t>
        </r>
      </text>
    </comment>
    <comment ref="P84" authorId="0" shapeId="0">
      <text>
        <r>
          <rPr>
            <sz val="10"/>
            <color rgb="FF000000"/>
            <rFont val="Arial"/>
            <family val="2"/>
          </rPr>
          <t>Sampling method used to take the sample</t>
        </r>
      </text>
    </comment>
    <comment ref="Q84" authorId="0" shapeId="0">
      <text>
        <r>
          <rPr>
            <sz val="10"/>
            <color rgb="FF000000"/>
            <rFont val="Arial"/>
            <family val="2"/>
          </rPr>
          <t>description of data collection technique: stratified or complex sampling (several stages)</t>
        </r>
      </text>
    </comment>
    <comment ref="R84" authorId="0" shapeId="0">
      <text>
        <r>
          <rPr>
            <sz val="10"/>
            <color rgb="FF000000"/>
            <rFont val="Arial"/>
            <family val="2"/>
          </rPr>
          <t>description of the method employed to compute sampling weight (nonresponse-adjusted weight)</t>
        </r>
      </text>
    </comment>
    <comment ref="S84" authorId="0" shapeId="0">
      <text>
        <r>
          <rPr>
            <sz val="10"/>
            <color rgb="FF000000"/>
            <rFont val="Arial"/>
            <family val="2"/>
          </rPr>
          <t>number of units, full participants, partial participants, eligibles, not eligible, unresolved (eligibility status not resolved)…</t>
        </r>
      </text>
    </comment>
    <comment ref="T84" authorId="0" shapeId="0">
      <text>
        <r>
          <rPr>
            <sz val="10"/>
            <color rgb="FF000000"/>
            <rFont val="Arial"/>
            <family val="2"/>
          </rPr>
          <t>Unit in which the lot size is expressed.</t>
        </r>
      </text>
    </comment>
    <comment ref="U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P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L91" authorId="0" shapeId="0">
      <text>
        <r>
          <rPr>
            <sz val="10"/>
            <color rgb="FF000000"/>
            <rFont val="Arial"/>
            <family val="2"/>
          </rPr>
          <t>The laboratory accreditation to ISO/IEC 17025.</t>
        </r>
      </text>
    </comment>
    <comment ref="M91" authorId="0" shapeId="0">
      <text>
        <r>
          <rPr>
            <sz val="10"/>
            <color rgb="FF000000"/>
            <rFont val="Arial"/>
            <family val="2"/>
          </rPr>
          <t>Laboratory code (National laboratory code if available) or Laboratory name</t>
        </r>
      </text>
    </comment>
    <comment ref="N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M105" authorId="0" shapeId="0">
      <text>
        <r>
          <rPr>
            <sz val="10"/>
            <color rgb="FF000000"/>
            <rFont val="Arial"/>
            <family val="2"/>
          </rPr>
          <t>Statistical values calculated to describe the performance of the model fitting procedure</t>
        </r>
      </text>
    </comment>
    <comment ref="P105" authorId="0" shapeId="0">
      <text>
        <r>
          <rPr>
            <sz val="10"/>
            <color rgb="FF000000"/>
            <rFont val="Arial"/>
            <family val="2"/>
          </rPr>
          <t>A name given to the model equation</t>
        </r>
      </text>
    </comment>
    <comment ref="Q105" authorId="0" shapeId="0">
      <text>
        <r>
          <rPr>
            <sz val="10"/>
            <color rgb="FF000000"/>
            <rFont val="Arial"/>
            <family val="2"/>
          </rPr>
          <t>Information on that helps to categorize model equations</t>
        </r>
      </text>
    </comment>
    <comment ref="R105" authorId="0" shapeId="0">
      <text>
        <r>
          <rPr>
            <sz val="10"/>
            <color rgb="FF000000"/>
            <rFont val="Arial"/>
            <family val="2"/>
          </rPr>
          <t xml:space="preserve">Procedure used to fit the data to the model equation </t>
        </r>
      </text>
    </comment>
    <comment ref="S105" authorId="0" shapeId="0">
      <text>
        <r>
          <rPr>
            <sz val="10"/>
            <color rgb="FF000000"/>
            <rFont val="Arial"/>
            <family val="2"/>
          </rPr>
          <t>The pointer to the file that holds the software code (e.g. R-script)</t>
        </r>
      </text>
    </comment>
    <comment ref="G106" authorId="0" shapeId="0">
      <text>
        <r>
          <rPr>
            <sz val="10"/>
            <color rgb="FF000000"/>
            <rFont val="Arial"/>
            <family val="2"/>
          </rPr>
          <t>General classification of the parameter (e.g. Input, Constant, Output...)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5" authorId="0" shapeId="0">
      <text>
        <r>
          <rPr>
            <sz val="10"/>
            <color rgb="FF000000"/>
            <rFont val="Arial"/>
            <family val="2"/>
          </rPr>
          <t>An unambiguous and sequential ID given to the parameter. To be compatible with SBML, only letters from A to Z, numbers and "_" are acepted for ID creation.</t>
        </r>
      </text>
    </comment>
    <comment ref="M115" authorId="0" shapeId="0">
      <text>
        <r>
          <rPr>
            <sz val="10"/>
            <color rgb="FF000000"/>
            <rFont val="Arial"/>
            <family val="2"/>
          </rPr>
          <t>General classification of the parameter (e.g. Input, Constant, Output...)</t>
        </r>
      </text>
    </comment>
    <comment ref="N115" authorId="0" shapeId="0">
      <text>
        <r>
          <rPr>
            <sz val="10"/>
            <color rgb="FF000000"/>
            <rFont val="Arial"/>
            <family val="2"/>
          </rPr>
          <t>A name given to the parameter</t>
        </r>
      </text>
    </comment>
    <comment ref="O115" authorId="0" shapeId="0">
      <text>
        <r>
          <rPr>
            <sz val="10"/>
            <color rgb="FF000000"/>
            <rFont val="Arial"/>
            <family val="2"/>
          </rPr>
          <t>General description of the parameter</t>
        </r>
      </text>
    </comment>
    <comment ref="P115" authorId="0" shapeId="0">
      <text>
        <r>
          <rPr>
            <sz val="10"/>
            <color rgb="FF000000"/>
            <rFont val="Arial"/>
            <family val="2"/>
          </rPr>
          <t>Unit of the parameter</t>
        </r>
      </text>
    </comment>
    <comment ref="Q115" authorId="0" shapeId="0">
      <text>
        <r>
          <rPr>
            <sz val="10"/>
            <color rgb="FF000000"/>
            <rFont val="Arial"/>
            <family val="2"/>
          </rPr>
          <t>General classification of the parameter unit</t>
        </r>
      </text>
    </comment>
    <comment ref="R115" authorId="0" shapeId="0">
      <text>
        <r>
          <rPr>
            <sz val="10"/>
            <color rgb="FF000000"/>
            <rFont val="Arial"/>
            <family val="2"/>
          </rPr>
          <t>Information on the data format of the parameter, e.g. if it is a categorial variable, int, double, array of size x,y,z</t>
        </r>
      </text>
    </comment>
    <comment ref="S115" authorId="0" shapeId="0">
      <text>
        <r>
          <rPr>
            <sz val="10"/>
            <color rgb="FF000000"/>
            <rFont val="Arial"/>
            <family val="2"/>
          </rPr>
          <t>Information on the type of knowledge used to define the parameter value</t>
        </r>
      </text>
    </comment>
    <comment ref="T115" authorId="0" shapeId="0">
      <text>
        <r>
          <rPr>
            <sz val="10"/>
            <color rgb="FF000000"/>
            <rFont val="Arial"/>
            <family val="2"/>
          </rPr>
          <t>Scope of the parameter, e.g. if it refers to an animal, a batch of animals, a batch of products, a carcass, a carcass skin etc</t>
        </r>
      </text>
    </comment>
    <comment ref="U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family val="2"/>
          </rPr>
          <t>Numerical values of the maximum  limit of the parameter that determine the range of applicability for which the model applies</t>
        </r>
      </text>
    </comment>
    <comment ref="Z115" authorId="0" shapeId="0">
      <text>
        <r>
          <rPr>
            <sz val="10"/>
            <color rgb="FF000000"/>
            <rFont val="Arial"/>
            <family val="2"/>
          </rPr>
          <t>Numerical values of the minimum limit of the parameter that determine the range of applicability for which the model appliesError of the parameter value</t>
        </r>
      </text>
    </comment>
    <comment ref="AA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 of the maximum  limit of the parameter that determine the range of applicability for which the model applies</t>
        </r>
      </text>
    </comment>
    <comment ref="G121" authorId="0" shapeId="0">
      <text>
        <r>
          <rPr>
            <sz val="10"/>
            <color rgb="FF000000"/>
            <rFont val="Arial"/>
            <family val="2"/>
          </rPr>
          <t>Numerical value of the minimum  limit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L101" authorId="0" shapeId="0">
      <text>
        <r>
          <rPr>
            <sz val="10"/>
            <color rgb="FF000000"/>
            <rFont val="Arial"/>
            <family val="2"/>
          </rPr>
          <t>food diaries, interview, 24-hour recall interview, food propensy questionnaire, portion size measurement aids, eating outside questionnaire</t>
        </r>
      </text>
    </comment>
    <comment ref="P101" authorId="0" shapeId="0">
      <text>
        <r>
          <rPr>
            <sz val="10"/>
            <color rgb="FF000000"/>
            <rFont val="Arial"/>
            <family val="2"/>
          </rPr>
          <t>consumption occasion, mean of consumption, quantified and described as eaten, recipes for self-made</t>
        </r>
      </text>
    </comment>
    <comment ref="Q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P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L108" authorId="0" shapeId="0">
      <text>
        <r>
          <rPr>
            <sz val="10"/>
            <color rgb="FF000000"/>
            <rFont val="Arial"/>
            <family val="2"/>
          </rPr>
          <t>The laboratory accreditation to ISO/IEC 17025.</t>
        </r>
      </text>
    </comment>
    <comment ref="M108" authorId="0" shapeId="0">
      <text>
        <r>
          <rPr>
            <sz val="10"/>
            <color rgb="FF000000"/>
            <rFont val="Arial"/>
            <family val="2"/>
          </rPr>
          <t>Laboratory code (National laboratory code if available) or Laboratory name</t>
        </r>
      </text>
    </comment>
    <comment ref="N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G123" authorId="0" shapeId="0">
      <text>
        <r>
          <rPr>
            <sz val="10"/>
            <color rgb="FF000000"/>
            <rFont val="Arial"/>
            <family val="2"/>
          </rPr>
          <t>General classification of the parameter (e.g. Input, Constant, Output...)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K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32" authorId="0" shapeId="0">
      <text>
        <r>
          <rPr>
            <sz val="10"/>
            <color rgb="FF000000"/>
            <rFont val="Arial"/>
            <family val="2"/>
          </rPr>
          <t>An unambiguous and sequential ID given to the parameter. To be compatible with SBML, only letters from A to Z, numbers and "_" are acepted for ID creation.</t>
        </r>
      </text>
    </comment>
    <comment ref="M132" authorId="0" shapeId="0">
      <text>
        <r>
          <rPr>
            <sz val="10"/>
            <color rgb="FF000000"/>
            <rFont val="Arial"/>
            <family val="2"/>
          </rPr>
          <t>General classification of the parameter (e.g. Input, Constant, Output...)</t>
        </r>
      </text>
    </comment>
    <comment ref="N132" authorId="0" shapeId="0">
      <text>
        <r>
          <rPr>
            <sz val="10"/>
            <color rgb="FF000000"/>
            <rFont val="Arial"/>
            <family val="2"/>
          </rPr>
          <t>A name given to the parameter</t>
        </r>
      </text>
    </comment>
    <comment ref="O132" authorId="0" shapeId="0">
      <text>
        <r>
          <rPr>
            <sz val="10"/>
            <color rgb="FF000000"/>
            <rFont val="Arial"/>
            <family val="2"/>
          </rPr>
          <t>General description of the parameter</t>
        </r>
      </text>
    </comment>
    <comment ref="P132" authorId="0" shapeId="0">
      <text>
        <r>
          <rPr>
            <sz val="10"/>
            <color rgb="FF000000"/>
            <rFont val="Arial"/>
            <family val="2"/>
          </rPr>
          <t>The type of the parameter</t>
        </r>
      </text>
    </comment>
    <comment ref="Q132" authorId="0" shapeId="0">
      <text>
        <r>
          <rPr>
            <sz val="10"/>
            <color rgb="FF000000"/>
            <rFont val="Arial"/>
            <family val="2"/>
          </rPr>
          <t>General classification of the parameter unit</t>
        </r>
      </text>
    </comment>
    <comment ref="R132" authorId="0" shapeId="0">
      <text>
        <r>
          <rPr>
            <sz val="10"/>
            <color rgb="FF000000"/>
            <rFont val="Arial"/>
            <family val="2"/>
          </rPr>
          <t>Information on the data format of the parameter, e.g. if it is a categorial variable, int, double, array of size x,y,z</t>
        </r>
      </text>
    </comment>
    <comment ref="S132" authorId="0" shapeId="0">
      <text>
        <r>
          <rPr>
            <sz val="10"/>
            <color rgb="FF000000"/>
            <rFont val="Arial"/>
            <family val="2"/>
          </rPr>
          <t>Information on the type of knowledge used to define the parameter value</t>
        </r>
      </text>
    </comment>
    <comment ref="T132" authorId="0" shapeId="0">
      <text>
        <r>
          <rPr>
            <sz val="10"/>
            <color rgb="FF000000"/>
            <rFont val="Arial"/>
            <family val="2"/>
          </rPr>
          <t>Scope of the parameter, e.g. if it refers to an animal, a batch of animals, a batch of products, a carcass, a carcass skin etc</t>
        </r>
      </text>
    </comment>
    <comment ref="U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family val="2"/>
          </rPr>
          <t>Numerical values of the maximum limit of the parameter that determine the range of applicability for which the model applies</t>
        </r>
      </text>
    </comment>
    <comment ref="Z132" authorId="0" shapeId="0">
      <text>
        <r>
          <rPr>
            <sz val="10"/>
            <color rgb="FF000000"/>
            <rFont val="Arial"/>
            <family val="2"/>
          </rPr>
          <t>Numerical values of the minimum limit of the parameter that determine the range of applicability for which the model applies</t>
        </r>
      </text>
    </comment>
    <comment ref="AA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maximum limit of the parameter that determine the range of applicability for which the model applies</t>
        </r>
      </text>
    </comment>
    <comment ref="G138" authorId="0" shapeId="0">
      <text>
        <r>
          <rPr>
            <sz val="10"/>
            <color rgb="FF000000"/>
            <rFont val="Arial"/>
            <family val="2"/>
          </rPr>
          <t>Numerical value of the minimum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L101" authorId="0" shapeId="0">
      <text>
        <r>
          <rPr>
            <sz val="10"/>
            <color rgb="FF000000"/>
            <rFont val="Arial"/>
            <family val="2"/>
          </rPr>
          <t>food diaries, interview, 24-hour recall interview, food propensy questionnaire, portion size measurement aids, eating outside questionnaire</t>
        </r>
      </text>
    </comment>
    <comment ref="P101" authorId="0" shapeId="0">
      <text>
        <r>
          <rPr>
            <sz val="10"/>
            <color rgb="FF000000"/>
            <rFont val="Arial"/>
            <family val="2"/>
          </rPr>
          <t>consumption occasion, mean of consumption, quantified and described as eaten, recipes for self-made</t>
        </r>
      </text>
    </comment>
    <comment ref="Q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P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L108" authorId="0" shapeId="0">
      <text>
        <r>
          <rPr>
            <sz val="10"/>
            <color rgb="FF000000"/>
            <rFont val="Arial"/>
            <family val="2"/>
          </rPr>
          <t>The laboratory accreditation to ISO/IEC 17025.</t>
        </r>
      </text>
    </comment>
    <comment ref="M108" authorId="0" shapeId="0">
      <text>
        <r>
          <rPr>
            <sz val="10"/>
            <color rgb="FF000000"/>
            <rFont val="Arial"/>
            <family val="2"/>
          </rPr>
          <t>Laboratory code (National laboratory code if available) or Laboratory name</t>
        </r>
      </text>
    </comment>
    <comment ref="N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G123" authorId="0" shapeId="0">
      <text>
        <r>
          <rPr>
            <sz val="10"/>
            <color rgb="FF000000"/>
            <rFont val="Arial"/>
            <family val="2"/>
          </rPr>
          <t>General classification of the parameter (e.g. Input, Constant, Output...)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K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32" authorId="0" shapeId="0">
      <text>
        <r>
          <rPr>
            <sz val="10"/>
            <color rgb="FF000000"/>
            <rFont val="Arial"/>
            <family val="2"/>
          </rPr>
          <t>An unambiguous and sequential ID given to the parameter. To be compatible with SBML, only letters from A to Z, numbers and "_" are acepted for ID creation.</t>
        </r>
      </text>
    </comment>
    <comment ref="M132" authorId="0" shapeId="0">
      <text>
        <r>
          <rPr>
            <sz val="10"/>
            <color rgb="FF000000"/>
            <rFont val="Arial"/>
            <family val="2"/>
          </rPr>
          <t>General classification of the parameter (e.g. Input, Constant, Output...)</t>
        </r>
      </text>
    </comment>
    <comment ref="N132" authorId="0" shapeId="0">
      <text>
        <r>
          <rPr>
            <sz val="10"/>
            <color rgb="FF000000"/>
            <rFont val="Arial"/>
            <family val="2"/>
          </rPr>
          <t>A name given to the parameter</t>
        </r>
      </text>
    </comment>
    <comment ref="O132" authorId="0" shapeId="0">
      <text>
        <r>
          <rPr>
            <sz val="10"/>
            <color rgb="FF000000"/>
            <rFont val="Arial"/>
            <family val="2"/>
          </rPr>
          <t>General description of the parameter</t>
        </r>
      </text>
    </comment>
    <comment ref="P132" authorId="0" shapeId="0">
      <text>
        <r>
          <rPr>
            <sz val="10"/>
            <color rgb="FF000000"/>
            <rFont val="Arial"/>
            <family val="2"/>
          </rPr>
          <t>The type of the parameter</t>
        </r>
      </text>
    </comment>
    <comment ref="Q132" authorId="0" shapeId="0">
      <text>
        <r>
          <rPr>
            <sz val="10"/>
            <color rgb="FF000000"/>
            <rFont val="Arial"/>
            <family val="2"/>
          </rPr>
          <t>General classification of the parameter unit</t>
        </r>
      </text>
    </comment>
    <comment ref="R132" authorId="0" shapeId="0">
      <text>
        <r>
          <rPr>
            <sz val="10"/>
            <color rgb="FF000000"/>
            <rFont val="Arial"/>
            <family val="2"/>
          </rPr>
          <t>Information on the data format of the parameter, e.g. if it is a categorial variable, int, double, array of size x,y,z</t>
        </r>
      </text>
    </comment>
    <comment ref="S132" authorId="0" shapeId="0">
      <text>
        <r>
          <rPr>
            <sz val="10"/>
            <color rgb="FF000000"/>
            <rFont val="Arial"/>
            <family val="2"/>
          </rPr>
          <t>Information on the type of knowledge used to define the parameter value</t>
        </r>
      </text>
    </comment>
    <comment ref="T132" authorId="0" shapeId="0">
      <text>
        <r>
          <rPr>
            <sz val="10"/>
            <color rgb="FF000000"/>
            <rFont val="Arial"/>
            <family val="2"/>
          </rPr>
          <t>Scope of the parameter, e.g. if it refers to an animal, a batch of animals, a batch of products, a carcass, a carcass skin etc</t>
        </r>
      </text>
    </comment>
    <comment ref="U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family val="2"/>
          </rPr>
          <t>Numerical values of the maximum limit of the parameter that determine the range of applicability for which the model applies</t>
        </r>
      </text>
    </comment>
    <comment ref="Z132" authorId="0" shapeId="0">
      <text>
        <r>
          <rPr>
            <sz val="10"/>
            <color rgb="FF000000"/>
            <rFont val="Arial"/>
            <family val="2"/>
          </rPr>
          <t>Numerical values of the minimum limit of the parameter that determine the range of applicability for which the model applies</t>
        </r>
      </text>
    </comment>
    <comment ref="AA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maximum limit of the parameter that determine the range of applicability for which the model applies</t>
        </r>
      </text>
    </comment>
    <comment ref="G138" authorId="0" shapeId="0">
      <text>
        <r>
          <rPr>
            <sz val="10"/>
            <color rgb="FF000000"/>
            <rFont val="Arial"/>
            <family val="2"/>
          </rPr>
          <t>Numerical value of the minimum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applies</t>
        </r>
      </text>
    </comment>
    <comment ref="G71" authorId="0" shapeId="0">
      <text>
        <r>
          <rPr>
            <sz val="10"/>
            <color rgb="FF000000"/>
            <rFont val="Arial"/>
            <family val="2"/>
          </rPr>
          <t>Country on which the population group of the model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G102" authorId="0" shapeId="0">
      <text>
        <r>
          <rPr>
            <sz val="10"/>
            <color rgb="FF000000"/>
            <rFont val="Arial"/>
            <family val="2"/>
          </rPr>
          <t>Unit in which the lot size is expressed.</t>
        </r>
      </text>
    </comment>
    <comment ref="L102" authorId="0" shapeId="0">
      <text>
        <r>
          <rPr>
            <sz val="10"/>
            <color rgb="FF000000"/>
            <rFont val="Arial"/>
            <family val="2"/>
          </rPr>
          <t>The laboratory accreditation to ISO/IEC 17025.</t>
        </r>
      </text>
    </comment>
    <comment ref="M102" authorId="0" shapeId="0">
      <text>
        <r>
          <rPr>
            <sz val="10"/>
            <color rgb="FF000000"/>
            <rFont val="Arial"/>
            <family val="2"/>
          </rPr>
          <t>Laboratory code (National laboratory code if available) or Laboratory name</t>
        </r>
      </text>
    </comment>
    <comment ref="N102" authorId="0" shapeId="0">
      <text>
        <r>
          <rPr>
            <sz val="10"/>
            <color rgb="FF000000"/>
            <rFont val="Arial"/>
            <family val="2"/>
          </rPr>
          <t>Country where the laboratory is placed. (ISO 3166-1-alpha-2).</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The laboratory accreditation to ISO/IEC 17025.</t>
        </r>
      </text>
    </comment>
    <comment ref="G105" authorId="0" shapeId="0">
      <text>
        <r>
          <rPr>
            <sz val="10"/>
            <color rgb="FF000000"/>
            <rFont val="Arial"/>
            <family val="2"/>
          </rPr>
          <t>Laboratory code (National laboratory code if available) or Laboratory name</t>
        </r>
      </text>
    </comment>
    <comment ref="G106" authorId="0" shapeId="0">
      <text>
        <r>
          <rPr>
            <sz val="10"/>
            <color rgb="FF000000"/>
            <rFont val="Arial"/>
            <family val="2"/>
          </rPr>
          <t>Country where the laboratory is placed. (ISO 3166-1-alpha-2).</t>
        </r>
      </text>
    </comment>
    <comment ref="G107" authorId="0" shapeId="0">
      <text>
        <r>
          <rPr>
            <sz val="10"/>
            <color rgb="FF000000"/>
            <rFont val="Arial"/>
            <family val="2"/>
          </rPr>
          <t>A name given to the assay</t>
        </r>
      </text>
    </comment>
    <comment ref="G108" authorId="0" shapeId="0">
      <text>
        <r>
          <rPr>
            <sz val="10"/>
            <color rgb="FF000000"/>
            <rFont val="Arial"/>
            <family val="2"/>
          </rPr>
          <t>General description of the assay. Corresponds to the Protocol REF in ISA</t>
        </r>
      </text>
    </comment>
    <comment ref="G109" authorId="0" shapeId="0">
      <text>
        <r>
          <rPr>
            <sz val="10"/>
            <color rgb="FF000000"/>
            <rFont val="Arial"/>
            <family val="2"/>
          </rPr>
          <t>Percentage of moisture in the original sample</t>
        </r>
      </text>
    </comment>
    <comment ref="G110" authorId="0" shapeId="0">
      <text>
        <r>
          <rPr>
            <sz val="10"/>
            <color rgb="FF000000"/>
            <rFont val="Arial"/>
            <family val="2"/>
          </rPr>
          <t>Percentage of fat in the original sample</t>
        </r>
      </text>
    </comment>
    <comment ref="G111" authorId="0" shapeId="0">
      <text>
        <r>
          <rPr>
            <sz val="10"/>
            <color rgb="FF000000"/>
            <rFont val="Arial"/>
            <family val="2"/>
          </rPr>
          <t>Limit of detection reported in the unit specified by the variable “Hazard unit”.</t>
        </r>
      </text>
    </comment>
    <comment ref="G112" authorId="0" shapeId="0">
      <text>
        <r>
          <rPr>
            <sz val="10"/>
            <color rgb="FF000000"/>
            <rFont val="Arial"/>
            <family val="2"/>
          </rPr>
          <t>Limit of quantification reported in the unit specified by the variable “Hazard unit”</t>
        </r>
      </text>
    </comment>
    <comment ref="G113" authorId="0" shapeId="0">
      <text>
        <r>
          <rPr>
            <sz val="10"/>
            <color rgb="FF000000"/>
            <rFont val="Arial"/>
            <family val="2"/>
          </rPr>
          <t>percentage of measures equal to LOQ and/or LOD</t>
        </r>
      </text>
    </comment>
    <comment ref="G114" authorId="0" shapeId="0">
      <text>
        <r>
          <rPr>
            <sz val="10"/>
            <color rgb="FF000000"/>
            <rFont val="Arial"/>
            <family val="2"/>
          </rPr>
          <t>Range of result of the analytical measure reported in the unit specified by the variable “Hazard unit”</t>
        </r>
      </text>
    </comment>
    <comment ref="G115" authorId="0" shapeId="0">
      <text>
        <r>
          <rPr>
            <sz val="10"/>
            <color rgb="FF000000"/>
            <rFont val="Arial"/>
            <family val="2"/>
          </rPr>
          <t>Indicate the expanded uncertainty (usually 95% confidence interval) value associated with the measurement expressed in the unit reported in the field “Hazard unit”.</t>
        </r>
      </text>
    </comment>
    <comment ref="G116" authorId="0" shapeId="0">
      <text>
        <r>
          <rPr>
            <sz val="10"/>
            <color rgb="FF000000"/>
            <rFont val="Arial"/>
            <family val="2"/>
          </rPr>
          <t>An unambiguous and sequential ID given to the parameter. To be compatible with SBML, only letters from A to Z, numbers and "_" are acepted for ID creation.</t>
        </r>
      </text>
    </comment>
    <comment ref="M116" authorId="0" shapeId="0">
      <text>
        <r>
          <rPr>
            <sz val="10"/>
            <color rgb="FF000000"/>
            <rFont val="Arial"/>
            <family val="2"/>
          </rPr>
          <t>Statistical values calculated to describe the performance of the model fitting procedure</t>
        </r>
      </text>
    </comment>
    <comment ref="P116" authorId="0" shapeId="0">
      <text>
        <r>
          <rPr>
            <sz val="10"/>
            <color rgb="FF000000"/>
            <rFont val="Arial"/>
            <family val="2"/>
          </rPr>
          <t>A name given to the model equation</t>
        </r>
      </text>
    </comment>
    <comment ref="Q116" authorId="0" shapeId="0">
      <text>
        <r>
          <rPr>
            <sz val="10"/>
            <color rgb="FF000000"/>
            <rFont val="Arial"/>
            <family val="2"/>
          </rPr>
          <t>Information on that helps to categorize model equations</t>
        </r>
      </text>
    </comment>
    <comment ref="R116" authorId="0" shapeId="0">
      <text>
        <r>
          <rPr>
            <sz val="10"/>
            <color rgb="FF000000"/>
            <rFont val="Arial"/>
            <family val="2"/>
          </rPr>
          <t xml:space="preserve">Procedure used to fit the data to the model equation </t>
        </r>
      </text>
    </comment>
    <comment ref="S116" authorId="0" shapeId="0">
      <text>
        <r>
          <rPr>
            <sz val="10"/>
            <color rgb="FF000000"/>
            <rFont val="Arial"/>
            <family val="2"/>
          </rPr>
          <t>The pointer to the file that holds the software code (e.g. R-script)</t>
        </r>
      </text>
    </comment>
    <comment ref="G117" authorId="0" shapeId="0">
      <text>
        <r>
          <rPr>
            <sz val="10"/>
            <color rgb="FF000000"/>
            <rFont val="Arial"/>
            <family val="2"/>
          </rPr>
          <t>General classification of the parameter (e.g. Input, Constant, Output...)</t>
        </r>
      </text>
    </comment>
    <comment ref="G118" authorId="0" shapeId="0">
      <text>
        <r>
          <rPr>
            <sz val="10"/>
            <color rgb="FF000000"/>
            <rFont val="Arial"/>
            <family val="2"/>
          </rPr>
          <t>A name given to the parameter</t>
        </r>
      </text>
    </comment>
    <comment ref="G119" authorId="0" shapeId="0">
      <text>
        <r>
          <rPr>
            <sz val="10"/>
            <color rgb="FF000000"/>
            <rFont val="Arial"/>
            <family val="2"/>
          </rPr>
          <t>General description of the parameter</t>
        </r>
      </text>
    </comment>
    <comment ref="G120" authorId="0" shapeId="0">
      <text>
        <r>
          <rPr>
            <sz val="10"/>
            <color rgb="FF000000"/>
            <rFont val="Arial"/>
            <family val="2"/>
          </rPr>
          <t>Unit of the parameter</t>
        </r>
      </text>
    </comment>
    <comment ref="G121" authorId="0" shapeId="0">
      <text>
        <r>
          <rPr>
            <sz val="10"/>
            <color rgb="FF000000"/>
            <rFont val="Arial"/>
            <family val="2"/>
          </rPr>
          <t>General classification of the parameter unit</t>
        </r>
      </text>
    </comment>
    <comment ref="G122" authorId="0" shapeId="0">
      <text>
        <r>
          <rPr>
            <sz val="10"/>
            <color rgb="FF000000"/>
            <rFont val="Arial"/>
            <family val="2"/>
          </rPr>
          <t>Information on the data format of the parameter, e.g. if it is a categorial variable, int, double, array of size x,y,z</t>
        </r>
      </text>
    </comment>
    <comment ref="G123" authorId="0" shapeId="0">
      <text>
        <r>
          <rPr>
            <sz val="10"/>
            <color rgb="FF000000"/>
            <rFont val="Arial"/>
            <family val="2"/>
          </rPr>
          <t>Information on the type of knowledge used to define the parameter value</t>
        </r>
      </text>
    </comment>
    <comment ref="G124" authorId="0" shapeId="0">
      <text>
        <r>
          <rPr>
            <sz val="10"/>
            <color rgb="FF000000"/>
            <rFont val="Arial"/>
            <family val="2"/>
          </rPr>
          <t>Scope of the parameter, e.g. if it refers to an animal, a batch of animals, a batch of products, a carcass, a carcass skin etc</t>
        </r>
      </text>
    </comment>
    <comment ref="G125" authorId="0" shapeId="0">
      <text>
        <r>
          <rPr>
            <sz val="10"/>
            <color rgb="FF000000"/>
            <rFont val="Arial"/>
            <family val="2"/>
          </rPr>
          <t xml:space="preserve">Information on the distribution describing the parameter (e.g. variability, uncertainty, point estimate...) </t>
        </r>
      </text>
    </comment>
    <comment ref="K125"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26" authorId="0" shapeId="0">
      <text>
        <r>
          <rPr>
            <sz val="10"/>
            <color rgb="FF000000"/>
            <rFont val="Arial"/>
            <family val="2"/>
          </rPr>
          <t>An unambiguous and sequential ID given to the parameter. To be compatible with SBML, only letters from A to Z, numbers and "_" are acepted for ID creation.</t>
        </r>
      </text>
    </comment>
    <comment ref="M126" authorId="0" shapeId="0">
      <text>
        <r>
          <rPr>
            <sz val="10"/>
            <color rgb="FF000000"/>
            <rFont val="Arial"/>
            <family val="2"/>
          </rPr>
          <t>General classification of the parameter (e.g. Input, Constant, Output...)</t>
        </r>
      </text>
    </comment>
    <comment ref="N126" authorId="0" shapeId="0">
      <text>
        <r>
          <rPr>
            <sz val="10"/>
            <color rgb="FF000000"/>
            <rFont val="Arial"/>
            <family val="2"/>
          </rPr>
          <t>A name given to the parameter</t>
        </r>
      </text>
    </comment>
    <comment ref="O126" authorId="0" shapeId="0">
      <text>
        <r>
          <rPr>
            <sz val="10"/>
            <color rgb="FF000000"/>
            <rFont val="Arial"/>
            <family val="2"/>
          </rPr>
          <t>General description of the parameter</t>
        </r>
      </text>
    </comment>
    <comment ref="P126" authorId="0" shapeId="0">
      <text>
        <r>
          <rPr>
            <sz val="10"/>
            <color rgb="FF000000"/>
            <rFont val="Arial"/>
            <family val="2"/>
          </rPr>
          <t>Unit of the parameter</t>
        </r>
      </text>
    </comment>
    <comment ref="Q126" authorId="0" shapeId="0">
      <text>
        <r>
          <rPr>
            <sz val="10"/>
            <color rgb="FF000000"/>
            <rFont val="Arial"/>
            <family val="2"/>
          </rPr>
          <t>General classification of the parameter unit</t>
        </r>
      </text>
    </comment>
    <comment ref="R126" authorId="0" shapeId="0">
      <text>
        <r>
          <rPr>
            <sz val="10"/>
            <color rgb="FF000000"/>
            <rFont val="Arial"/>
            <family val="2"/>
          </rPr>
          <t>Information on the data format of the parameter, e.g. if it is a categorial variable, int, double, array of size x,y,z</t>
        </r>
      </text>
    </comment>
    <comment ref="S126" authorId="0" shapeId="0">
      <text>
        <r>
          <rPr>
            <sz val="10"/>
            <color rgb="FF000000"/>
            <rFont val="Arial"/>
            <family val="2"/>
          </rPr>
          <t>Information on the type of knowledge used to define the parameter value</t>
        </r>
      </text>
    </comment>
    <comment ref="T126" authorId="0" shapeId="0">
      <text>
        <r>
          <rPr>
            <sz val="10"/>
            <color rgb="FF000000"/>
            <rFont val="Arial"/>
            <family val="2"/>
          </rPr>
          <t>Scope of the parameter, e.g. if it refers to an animal, a batch of animals, a batch of products, a carcass, a carcass skin etc</t>
        </r>
      </text>
    </comment>
    <comment ref="U126"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family val="2"/>
          </rPr>
          <t>Numerical values of the minimum limit of the parameter that determine the range of applicability for which the model applies</t>
        </r>
      </text>
    </comment>
    <comment ref="Z126" authorId="0" shapeId="0">
      <text>
        <r>
          <rPr>
            <sz val="10"/>
            <color rgb="FF000000"/>
            <rFont val="Arial"/>
            <family val="2"/>
          </rPr>
          <t>Numerical values of the minimum limit of the parameter that determine the range of applicability for which the model applies</t>
        </r>
      </text>
    </comment>
    <comment ref="AA126" authorId="0" shapeId="0">
      <text>
        <r>
          <rPr>
            <sz val="10"/>
            <color rgb="FF000000"/>
            <rFont val="Arial"/>
            <family val="2"/>
          </rPr>
          <t>Error of the parameter value</t>
        </r>
      </text>
    </comment>
    <comment ref="G128"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family val="2"/>
          </rPr>
          <t>Numerical value of the maximum limit of the parameter that determine the range of applicability for which the model applies</t>
        </r>
      </text>
    </comment>
    <comment ref="G132" authorId="0" shapeId="0">
      <text>
        <r>
          <rPr>
            <sz val="10"/>
            <color rgb="FF000000"/>
            <rFont val="Arial"/>
            <family val="2"/>
          </rPr>
          <t>Numerical value of the minimum limit of the parameter that determine the range of applicability for which the model applies</t>
        </r>
      </text>
    </comment>
    <comment ref="G133" authorId="0" shapeId="0">
      <text>
        <r>
          <rPr>
            <sz val="10"/>
            <color rgb="FF000000"/>
            <rFont val="Arial"/>
            <family val="2"/>
          </rPr>
          <t>Error of the parameter value</t>
        </r>
      </text>
    </comment>
    <comment ref="G134" authorId="0" shapeId="0">
      <text>
        <r>
          <rPr>
            <sz val="10"/>
            <color rgb="FF000000"/>
            <rFont val="Arial"/>
            <family val="2"/>
          </rPr>
          <t>Statistical values calculated to describe the performance of the model fitting procedure</t>
        </r>
      </text>
    </comment>
    <comment ref="G136" authorId="0" shapeId="0">
      <text>
        <r>
          <rPr>
            <sz val="10"/>
            <color rgb="FF000000"/>
            <rFont val="Arial"/>
            <family val="2"/>
          </rPr>
          <t>A name given to the model equation</t>
        </r>
      </text>
    </comment>
    <comment ref="G137" authorId="0" shapeId="0">
      <text>
        <r>
          <rPr>
            <sz val="10"/>
            <color rgb="FF000000"/>
            <rFont val="Arial"/>
            <family val="2"/>
          </rPr>
          <t>Information on that helps to categorize model equations</t>
        </r>
      </text>
    </comment>
    <comment ref="G141" authorId="0" shapeId="0">
      <text>
        <r>
          <rPr>
            <sz val="10"/>
            <color rgb="FF000000"/>
            <rFont val="Arial"/>
            <family val="2"/>
          </rPr>
          <t xml:space="preserve">Procedure used to fit the data to the model equation </t>
        </r>
      </text>
    </comment>
    <comment ref="G142" authorId="0" shapeId="0">
      <text>
        <r>
          <rPr>
            <sz val="10"/>
            <color rgb="FF000000"/>
            <rFont val="Arial"/>
            <family val="2"/>
          </rPr>
          <t>The pointer to the file that holds the software code (e.g. R-script)</t>
        </r>
      </text>
    </comment>
    <comment ref="E144" authorId="0" shapeId="0">
      <text>
        <r>
          <rPr>
            <sz val="10"/>
            <color rgb="FF000000"/>
            <rFont val="Arial"/>
            <family val="2"/>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 xml:space="preserve">The person responsible for creating the data file in the present form </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data</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data(e.g. URI)</t>
        </r>
      </text>
    </comment>
    <comment ref="E5" authorId="0" shapeId="0">
      <text>
        <r>
          <rPr>
            <sz val="10"/>
            <color rgb="FF000000"/>
            <rFont val="Arial"/>
            <family val="2"/>
          </rPr>
          <t>Person who generated the data set originally</t>
        </r>
      </text>
    </comment>
    <comment ref="E6" authorId="0" shapeId="0">
      <text>
        <r>
          <rPr>
            <sz val="10"/>
            <color rgb="FF000000"/>
            <rFont val="Arial"/>
            <family val="2"/>
          </rPr>
          <t xml:space="preserve">The person responsible for creating the data file in the present form </t>
        </r>
      </text>
    </comment>
    <comment ref="G9" authorId="0" shapeId="0">
      <text>
        <r>
          <rPr>
            <sz val="10"/>
            <color rgb="FF000000"/>
            <rFont val="Arial"/>
            <family val="2"/>
          </rPr>
          <t>Temporal information on the model creation date</t>
        </r>
      </text>
    </comment>
    <comment ref="E10" authorId="0" shapeId="0">
      <text>
        <r>
          <rPr>
            <sz val="10"/>
            <color rgb="FF000000"/>
            <rFont val="Arial"/>
            <family val="2"/>
          </rPr>
          <t>Availability of data</t>
        </r>
      </text>
    </comment>
    <comment ref="E11" authorId="0" shapeId="0">
      <text>
        <r>
          <rPr>
            <sz val="10"/>
            <color rgb="FF000000"/>
            <rFont val="Arial"/>
            <family val="2"/>
          </rPr>
          <t>Web address referencing the resource location (data for example)</t>
        </r>
      </text>
    </comment>
    <comment ref="E12" authorId="0" shapeId="0">
      <text>
        <r>
          <rPr>
            <sz val="10"/>
            <color rgb="FF000000"/>
            <rFont val="Arial"/>
            <family val="2"/>
          </rPr>
          <t>Form of  data (file extension)</t>
        </r>
      </text>
    </comment>
    <comment ref="G13" authorId="0" shapeId="0">
      <text>
        <r>
          <rPr>
            <sz val="10"/>
            <color rgb="FF000000"/>
            <rFont val="Arial"/>
            <family val="2"/>
          </rPr>
          <t>Indicates whether the publication serves as the reference description for the data</t>
        </r>
      </text>
    </comment>
    <comment ref="L13" authorId="0" shapeId="0">
      <text>
        <r>
          <rPr>
            <sz val="10"/>
            <color rgb="FF000000"/>
            <rFont val="Arial"/>
            <family val="2"/>
          </rPr>
          <t>Indicates whether the publication serves as the reference description for the data</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data has been described</t>
        </r>
      </text>
    </comment>
    <comment ref="S13" authorId="0" shapeId="0">
      <text>
        <r>
          <rPr>
            <sz val="10"/>
            <color rgb="FF000000"/>
            <rFont val="Arial"/>
            <family val="2"/>
          </rPr>
          <t>Abstract of the publication in which the data has been described</t>
        </r>
      </text>
    </comment>
    <comment ref="T13" authorId="0" shapeId="0">
      <text>
        <r>
          <rPr>
            <sz val="10"/>
            <color rgb="FF000000"/>
            <rFont val="Arial"/>
            <family val="2"/>
          </rPr>
          <t>Data on the details of the journal in which the data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data has been described</t>
        </r>
      </text>
    </comment>
    <comment ref="G20" authorId="0" shapeId="0">
      <text>
        <r>
          <rPr>
            <sz val="10"/>
            <color rgb="FF000000"/>
            <rFont val="Arial"/>
            <family val="2"/>
          </rPr>
          <t>Abstract of the publication in which the data has been described</t>
        </r>
      </text>
    </comment>
    <comment ref="G21" authorId="0" shapeId="0">
      <text>
        <r>
          <rPr>
            <sz val="10"/>
            <color rgb="FF000000"/>
            <rFont val="Arial"/>
            <family val="2"/>
          </rPr>
          <t>Data on the details of the journal in which the data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Objective of the data</t>
        </r>
      </text>
    </comment>
    <comment ref="E27" authorId="0" shapeId="0">
      <text>
        <r>
          <rPr>
            <sz val="10"/>
            <color rgb="FF000000"/>
            <rFont val="Arial"/>
            <family val="2"/>
          </rPr>
          <t xml:space="preserve">General description of the study, data </t>
        </r>
      </text>
    </comment>
    <comment ref="G28" authorId="0" shapeId="0">
      <text>
        <r>
          <rPr>
            <sz val="10"/>
            <color rgb="FF000000"/>
            <rFont val="Arial"/>
            <family val="2"/>
          </rPr>
          <t>The product-matrix (animal, food product, matrix, lab media, etc.) for which the data applies</t>
        </r>
      </text>
    </comment>
    <comment ref="G29" authorId="0" shapeId="0">
      <text>
        <r>
          <rPr>
            <sz val="10"/>
            <color rgb="FF000000"/>
            <rFont val="Arial"/>
            <family val="2"/>
          </rPr>
          <t>Description of the product-matrix (animal, food product, matrix, lab media, etc.) for which the data applies</t>
        </r>
      </text>
    </comment>
    <comment ref="L29" authorId="0" shapeId="0">
      <text>
        <r>
          <rPr>
            <sz val="10"/>
            <color rgb="FF000000"/>
            <rFont val="Arial"/>
            <family val="2"/>
          </rPr>
          <t>The product-matrix (animal, food product, matrix, lab media, etc.) for which the model applies</t>
        </r>
      </text>
    </comment>
    <comment ref="M29" authorId="0" shapeId="0">
      <text>
        <r>
          <rPr>
            <sz val="10"/>
            <color rgb="FF000000"/>
            <rFont val="Arial"/>
            <family val="2"/>
          </rPr>
          <t>Description of the product-matrix (animal, food product, matrix, lab media, etc.) for which the model applies</t>
        </r>
      </text>
    </comment>
    <comment ref="N29" authorId="0" shapeId="0">
      <text>
        <r>
          <rPr>
            <sz val="10"/>
            <color rgb="FF000000"/>
            <rFont val="Arial"/>
            <family val="2"/>
          </rPr>
          <t>Units of the product-matrix for which the model applies</t>
        </r>
      </text>
    </comment>
    <comment ref="O29" authorId="0" shapeId="0">
      <text>
        <r>
          <rPr>
            <sz val="10"/>
            <color rgb="FF000000"/>
            <rFont val="Arial"/>
            <family val="2"/>
          </rPr>
          <t>Type of production for the product/ matrix</t>
        </r>
      </text>
    </comment>
    <comment ref="P29"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family val="2"/>
          </rPr>
          <t>Used to characterise a product/matrix based on the treatment or processes applied to the product or any indexed ingredient.</t>
        </r>
      </text>
    </comment>
    <comment ref="R29" authorId="0" shapeId="0">
      <text>
        <r>
          <rPr>
            <sz val="10"/>
            <color rgb="FF000000"/>
            <rFont val="Arial"/>
            <family val="2"/>
          </rPr>
          <t>Country of origin of the food/product (ISO 3166-1-alpha-2 country code).</t>
        </r>
      </text>
    </comment>
    <comment ref="S29" authorId="0" shapeId="0">
      <text>
        <r>
          <rPr>
            <sz val="10"/>
            <color rgb="FF000000"/>
            <rFont val="Arial"/>
            <family val="2"/>
          </rPr>
          <t>Area of origin of the food/product (Nomenclature of territorial units for statistics – NUTS – coding system valid only for EEA and Switzerland).</t>
        </r>
      </text>
    </comment>
    <comment ref="T29" authorId="0" shapeId="0">
      <text>
        <r>
          <rPr>
            <sz val="10"/>
            <color rgb="FF000000"/>
            <rFont val="Arial"/>
            <family val="2"/>
          </rPr>
          <t>Fisheries or aquaculture area specifying the origin of the sample (FAO Fisheries areas).</t>
        </r>
      </text>
    </comment>
    <comment ref="U29" authorId="0" shapeId="0">
      <text>
        <r>
          <rPr>
            <sz val="10"/>
            <color rgb="FF000000"/>
            <rFont val="Arial"/>
            <family val="2"/>
          </rPr>
          <t>date of production of food/product</t>
        </r>
      </text>
    </comment>
    <comment ref="V29" authorId="0" shapeId="0">
      <text>
        <r>
          <rPr>
            <sz val="10"/>
            <color rgb="FF000000"/>
            <rFont val="Arial"/>
            <family val="2"/>
          </rPr>
          <t>date of expiry of food/product</t>
        </r>
      </text>
    </comment>
    <comment ref="W29" authorId="0" shapeId="0">
      <text>
        <r>
          <rPr>
            <sz val="10"/>
            <color rgb="FF000000"/>
            <rFont val="Arial"/>
            <family val="2"/>
          </rPr>
          <t>General classification of the hazard for which the model or data applies</t>
        </r>
      </text>
    </comment>
    <comment ref="X29" authorId="0" shapeId="0">
      <text>
        <r>
          <rPr>
            <sz val="10"/>
            <color rgb="FF000000"/>
            <rFont val="Arial"/>
            <family val="2"/>
          </rPr>
          <t>Name of the hazard for which the model or data applies</t>
        </r>
      </text>
    </comment>
    <comment ref="Y29" authorId="0" shapeId="0">
      <text>
        <r>
          <rPr>
            <sz val="10"/>
            <color rgb="FF000000"/>
            <rFont val="Arial"/>
            <family val="2"/>
          </rPr>
          <t>Description of the hazard for which the model or data applies</t>
        </r>
      </text>
    </comment>
    <comment ref="Z29" authorId="0" shapeId="0">
      <text>
        <r>
          <rPr>
            <sz val="10"/>
            <color rgb="FF000000"/>
            <rFont val="Arial"/>
            <family val="2"/>
          </rPr>
          <t>Unit of the hazard for which the model applies</t>
        </r>
      </text>
    </comment>
    <comment ref="AA29" authorId="0" shapeId="0">
      <text>
        <r>
          <rPr>
            <sz val="10"/>
            <color rgb="FF000000"/>
            <rFont val="Arial"/>
            <family val="2"/>
          </rPr>
          <t>morbidity, mortality, effect</t>
        </r>
      </text>
    </comment>
    <comment ref="AB29" authorId="0" shapeId="0">
      <text>
        <r>
          <rPr>
            <sz val="10"/>
            <color rgb="FF000000"/>
            <rFont val="Arial"/>
            <family val="2"/>
          </rPr>
          <t>source of contamination, origin</t>
        </r>
      </text>
    </comment>
    <comment ref="AC29" authorId="0" shapeId="0">
      <text>
        <r>
          <rPr>
            <sz val="10"/>
            <color rgb="FF000000"/>
            <rFont val="Arial"/>
            <family val="2"/>
          </rPr>
          <t>A dose or concentration that produces a predetermined change in response rate of an adverse effect (called the bench response or BMR) compared to background.</t>
        </r>
      </text>
    </comment>
    <comment ref="AD29" authorId="0" shapeId="0">
      <text>
        <r>
          <rPr>
            <sz val="10"/>
            <color rgb="FF000000"/>
            <rFont val="Arial"/>
            <family val="2"/>
          </rPr>
          <t>International regulations and permissible maximum residue levels in food and drinking water</t>
        </r>
      </text>
    </comment>
    <comment ref="AE29"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29" authorId="0" shapeId="0">
      <text>
        <r>
          <rPr>
            <sz val="10"/>
            <color rgb="FF000000"/>
            <rFont val="Arial"/>
            <family val="2"/>
          </rPr>
          <t>Define if the parameter reported is an individual residue/analyte, a summed residue definition or part of a sum a summed residue definition.</t>
        </r>
      </text>
    </comment>
    <comment ref="AK29" authorId="0" shapeId="0">
      <text>
        <r>
          <rPr>
            <sz val="10"/>
            <color rgb="FF000000"/>
            <rFont val="Arial"/>
            <family val="2"/>
          </rPr>
          <t>Name of the population for which the model or data applies</t>
        </r>
      </text>
    </comment>
    <comment ref="AL29" authorId="0" shapeId="0">
      <text>
        <r>
          <rPr>
            <sz val="10"/>
            <color rgb="FF000000"/>
            <rFont val="Arial"/>
            <family val="2"/>
          </rPr>
          <t>population of individual that we are interested in describing and making statistical inferences about</t>
        </r>
      </text>
    </comment>
    <comment ref="AM29" authorId="0" shapeId="0">
      <text>
        <r>
          <rPr>
            <sz val="10"/>
            <color rgb="FF000000"/>
            <rFont val="Arial"/>
            <family val="2"/>
          </rPr>
          <t>Temporal information on the exposure duration</t>
        </r>
      </text>
    </comment>
    <comment ref="AN29"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family val="2"/>
          </rPr>
          <t>describe the range of age or group of age</t>
        </r>
      </text>
    </comment>
    <comment ref="AP29" authorId="0" shapeId="0">
      <text>
        <r>
          <rPr>
            <sz val="10"/>
            <color rgb="FF000000"/>
            <rFont val="Arial"/>
            <family val="2"/>
          </rPr>
          <t>describe the percentage of gender</t>
        </r>
      </text>
    </comment>
    <comment ref="AQ29" authorId="0" shapeId="0">
      <text>
        <r>
          <rPr>
            <sz val="10"/>
            <color rgb="FF000000"/>
            <rFont val="Arial"/>
            <family val="2"/>
          </rPr>
          <t>describe the range of BMI or class of BMI or BMI mean</t>
        </r>
      </text>
    </comment>
    <comment ref="AR29" authorId="0" shapeId="0">
      <text>
        <r>
          <rPr>
            <sz val="10"/>
            <color rgb="FF000000"/>
            <rFont val="Arial"/>
            <family val="2"/>
          </rPr>
          <t>sub-population with special diets (vegetarians, diabetics, group following special ethnic diets)</t>
        </r>
      </text>
    </comment>
    <comment ref="AS29" authorId="0" shapeId="0">
      <text>
        <r>
          <rPr>
            <sz val="10"/>
            <color rgb="FF000000"/>
            <rFont val="Arial"/>
            <family val="2"/>
          </rPr>
          <t>describe the consumption of different food items: frequency, portion size</t>
        </r>
      </text>
    </comment>
    <comment ref="AT29" authorId="0" shapeId="0">
      <text>
        <r>
          <rPr>
            <sz val="10"/>
            <color rgb="FF000000"/>
            <rFont val="Arial"/>
            <family val="2"/>
          </rPr>
          <t>Spatial information (area) on which the population group of the model or data applies</t>
        </r>
      </text>
    </comment>
    <comment ref="AU29" authorId="0" shapeId="0">
      <text>
        <r>
          <rPr>
            <sz val="10"/>
            <color rgb="FF000000"/>
            <rFont val="Arial"/>
            <family val="2"/>
          </rPr>
          <t>Country on which the population group of the model or data applies</t>
        </r>
      </text>
    </comment>
    <comment ref="AV29" authorId="0" shapeId="0">
      <text>
        <r>
          <rPr>
            <sz val="10"/>
            <color rgb="FF000000"/>
            <rFont val="Arial"/>
            <family val="2"/>
          </rPr>
          <t>distribution of surveyed people according to the season (influence consumption pattern)</t>
        </r>
      </text>
    </comment>
    <comment ref="AW29" authorId="0" shapeId="0">
      <text>
        <r>
          <rPr>
            <sz val="10"/>
            <color rgb="FF000000"/>
            <rFont val="Arial"/>
            <family val="2"/>
          </rPr>
          <t>distribution of surveyed people according to the season (influence consumption pattern)</t>
        </r>
      </text>
    </comment>
    <comment ref="G30" authorId="0" shapeId="0">
      <text>
        <r>
          <rPr>
            <sz val="10"/>
            <color rgb="FF000000"/>
            <rFont val="Arial"/>
            <family val="2"/>
          </rPr>
          <t>Units of the product-matrix for which the data applies</t>
        </r>
      </text>
    </comment>
    <comment ref="G31" authorId="0" shapeId="0">
      <text>
        <r>
          <rPr>
            <sz val="10"/>
            <color rgb="FF000000"/>
            <rFont val="Arial"/>
            <family val="2"/>
          </rPr>
          <t>Type of production for the product/ matrix</t>
        </r>
      </text>
    </comment>
    <comment ref="G32"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family val="2"/>
          </rPr>
          <t>Used to characterise a product/matrix based on the treatment or processes applied to the product or any indexed ingredient.</t>
        </r>
      </text>
    </comment>
    <comment ref="G34" authorId="0" shapeId="0">
      <text>
        <r>
          <rPr>
            <sz val="10"/>
            <color rgb="FF000000"/>
            <rFont val="Arial"/>
            <family val="2"/>
          </rPr>
          <t>Country of origin of the food/product (ISO 3166-1-alpha-2 country code).</t>
        </r>
      </text>
    </comment>
    <comment ref="G35" authorId="0" shapeId="0">
      <text>
        <r>
          <rPr>
            <sz val="10"/>
            <color rgb="FF000000"/>
            <rFont val="Arial"/>
            <family val="2"/>
          </rPr>
          <t>Area of origin of the food/product (Nomenclature of territorial units for statistics – NUTS – coding system valid only for EEA and Switzerland).</t>
        </r>
      </text>
    </comment>
    <comment ref="G36" authorId="0" shapeId="0">
      <text>
        <r>
          <rPr>
            <sz val="10"/>
            <color rgb="FF000000"/>
            <rFont val="Arial"/>
            <family val="2"/>
          </rPr>
          <t>Fisheries or aquaculture area specifying the origin of the sample (FAO Fisheries areas).</t>
        </r>
      </text>
    </comment>
    <comment ref="G37" authorId="0" shapeId="0">
      <text>
        <r>
          <rPr>
            <sz val="10"/>
            <color rgb="FF000000"/>
            <rFont val="Arial"/>
            <family val="2"/>
          </rPr>
          <t>date of production of food/product</t>
        </r>
      </text>
    </comment>
    <comment ref="G38" authorId="0" shapeId="0">
      <text>
        <r>
          <rPr>
            <sz val="10"/>
            <color rgb="FF000000"/>
            <rFont val="Arial"/>
            <family val="2"/>
          </rPr>
          <t>date of expiry of food/product</t>
        </r>
      </text>
    </comment>
    <comment ref="G39" authorId="0" shapeId="0">
      <text>
        <r>
          <rPr>
            <sz val="10"/>
            <color rgb="FF000000"/>
            <rFont val="Arial"/>
            <family val="2"/>
          </rPr>
          <t>General classification of the hazard for which the data applies</t>
        </r>
      </text>
    </comment>
    <comment ref="G40" authorId="0" shapeId="0">
      <text>
        <r>
          <rPr>
            <sz val="10"/>
            <color rgb="FF000000"/>
            <rFont val="Arial"/>
            <family val="2"/>
          </rPr>
          <t>Name of the hazard for which the data applies</t>
        </r>
      </text>
    </comment>
    <comment ref="G41" authorId="0" shapeId="0">
      <text>
        <r>
          <rPr>
            <sz val="10"/>
            <color rgb="FF000000"/>
            <rFont val="Arial"/>
            <family val="2"/>
          </rPr>
          <t>Description of the hazard for which the data applies</t>
        </r>
      </text>
    </comment>
    <comment ref="G42" authorId="0" shapeId="0">
      <text>
        <r>
          <rPr>
            <sz val="10"/>
            <color rgb="FF000000"/>
            <rFont val="Arial"/>
            <family val="2"/>
          </rPr>
          <t>Unit of the hazard for which the data applies</t>
        </r>
      </text>
    </comment>
    <comment ref="G43" authorId="0" shapeId="0">
      <text>
        <r>
          <rPr>
            <sz val="10"/>
            <color rgb="FF000000"/>
            <rFont val="Arial"/>
            <family val="2"/>
          </rPr>
          <t>morbidity, mortality, effect</t>
        </r>
      </text>
    </comment>
    <comment ref="G44" authorId="0" shapeId="0">
      <text>
        <r>
          <rPr>
            <sz val="10"/>
            <color rgb="FF000000"/>
            <rFont val="Arial"/>
            <family val="2"/>
          </rPr>
          <t>source of contamination, origin</t>
        </r>
      </text>
    </comment>
    <comment ref="G45" authorId="0" shapeId="0">
      <text>
        <r>
          <rPr>
            <sz val="10"/>
            <color rgb="FF000000"/>
            <rFont val="Arial"/>
            <family val="2"/>
          </rPr>
          <t>A dose or concentration that produces a predetermined change in response rate of an adverse effect (called the bench response or BMR) compared to background.</t>
        </r>
      </text>
    </comment>
    <comment ref="G46" authorId="0" shapeId="0">
      <text>
        <r>
          <rPr>
            <sz val="10"/>
            <color rgb="FF000000"/>
            <rFont val="Arial"/>
            <family val="2"/>
          </rPr>
          <t>International regulations and permissible maximum residue levels in food and drinking water</t>
        </r>
      </text>
    </comment>
    <comment ref="G4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52" authorId="0" shapeId="0">
      <text>
        <r>
          <rPr>
            <sz val="10"/>
            <color rgb="FF000000"/>
            <rFont val="Arial"/>
            <family val="2"/>
          </rPr>
          <t>Define if the parameter reported is an individual residue/analyte, a summed residue definition or part of a sum a summed residue definition.</t>
        </r>
      </text>
    </comment>
    <comment ref="G53" authorId="0" shapeId="0">
      <text>
        <r>
          <rPr>
            <sz val="10"/>
            <color rgb="FF000000"/>
            <rFont val="Arial"/>
            <family val="2"/>
          </rPr>
          <t>Name of the population for which the data applies</t>
        </r>
      </text>
    </comment>
    <comment ref="G54" authorId="0" shapeId="0">
      <text>
        <r>
          <rPr>
            <sz val="10"/>
            <color rgb="FF000000"/>
            <rFont val="Arial"/>
            <family val="2"/>
          </rPr>
          <t>population of individual that we are interested in describing and making statistical inferences about</t>
        </r>
      </text>
    </comment>
    <comment ref="G55" authorId="0" shapeId="0">
      <text>
        <r>
          <rPr>
            <sz val="10"/>
            <color rgb="FF000000"/>
            <rFont val="Arial"/>
            <family val="2"/>
          </rPr>
          <t>Temporal information on the exposure duration</t>
        </r>
      </text>
    </comment>
    <comment ref="G56"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family val="2"/>
          </rPr>
          <t>describe the range of age or group of age</t>
        </r>
      </text>
    </comment>
    <comment ref="G58" authorId="0" shapeId="0">
      <text>
        <r>
          <rPr>
            <sz val="10"/>
            <color rgb="FF000000"/>
            <rFont val="Arial"/>
            <family val="2"/>
          </rPr>
          <t>describe the percentage of gender</t>
        </r>
      </text>
    </comment>
    <comment ref="G59" authorId="0" shapeId="0">
      <text>
        <r>
          <rPr>
            <sz val="10"/>
            <color rgb="FF000000"/>
            <rFont val="Arial"/>
            <family val="2"/>
          </rPr>
          <t>describe the range of BMI or class of BMI or BMI mean</t>
        </r>
      </text>
    </comment>
    <comment ref="G60" authorId="0" shapeId="0">
      <text>
        <r>
          <rPr>
            <sz val="10"/>
            <color rgb="FF000000"/>
            <rFont val="Arial"/>
            <family val="2"/>
          </rPr>
          <t>sub-population with special diets (vegetarians, diabetics, group following special ethnic diets)</t>
        </r>
      </text>
    </comment>
    <comment ref="G61" authorId="0" shapeId="0">
      <text>
        <r>
          <rPr>
            <sz val="10"/>
            <color rgb="FF000000"/>
            <rFont val="Arial"/>
            <family val="2"/>
          </rPr>
          <t>describe the consumption of different food items: frequency, portion size</t>
        </r>
      </text>
    </comment>
    <comment ref="G62" authorId="0" shapeId="0">
      <text>
        <r>
          <rPr>
            <sz val="10"/>
            <color rgb="FF000000"/>
            <rFont val="Arial"/>
            <family val="2"/>
          </rPr>
          <t>Spatial information (area) on which the population group of the  data applies</t>
        </r>
      </text>
    </comment>
    <comment ref="G63" authorId="0" shapeId="0">
      <text>
        <r>
          <rPr>
            <sz val="10"/>
            <color rgb="FF000000"/>
            <rFont val="Arial"/>
            <family val="2"/>
          </rPr>
          <t>Country on which the population group of the  data applies</t>
        </r>
      </text>
    </comment>
    <comment ref="G64" authorId="0" shapeId="0">
      <text>
        <r>
          <rPr>
            <sz val="10"/>
            <color rgb="FF000000"/>
            <rFont val="Arial"/>
            <family val="2"/>
          </rPr>
          <t>distribution of surveyed people according to the season (influence consumption pattern)</t>
        </r>
      </text>
    </comment>
    <comment ref="G65" authorId="0" shapeId="0">
      <text>
        <r>
          <rPr>
            <sz val="10"/>
            <color rgb="FF000000"/>
            <rFont val="Arial"/>
            <family val="2"/>
          </rPr>
          <t>distribution of surveyed people according to the season (influence consumption pattern)</t>
        </r>
      </text>
    </comment>
    <comment ref="E66" authorId="0" shapeId="0">
      <text>
        <r>
          <rPr>
            <sz val="10"/>
            <color rgb="FF000000"/>
            <rFont val="Arial"/>
            <family val="2"/>
          </rPr>
          <t xml:space="preserve">General comments on the scope of the data </t>
        </r>
      </text>
    </comment>
    <comment ref="G67" authorId="0" shapeId="0">
      <text>
        <r>
          <rPr>
            <sz val="10"/>
            <color rgb="FF000000"/>
            <rFont val="Arial"/>
            <family val="2"/>
          </rPr>
          <t>Temporal information on which the data applies / An interval of time that is named or defined by its start and end dates (period of study)</t>
        </r>
      </text>
    </comment>
    <comment ref="G68" authorId="0" shapeId="0">
      <text>
        <r>
          <rPr>
            <sz val="10"/>
            <color rgb="FF000000"/>
            <rFont val="Arial"/>
            <family val="2"/>
          </rPr>
          <t>Spatial information (area) on which the data applies</t>
        </r>
      </text>
    </comment>
    <comment ref="G69" authorId="0" shapeId="0">
      <text>
        <r>
          <rPr>
            <sz val="10"/>
            <color rgb="FF000000"/>
            <rFont val="Arial"/>
            <family val="2"/>
          </rPr>
          <t>Country on which the data applies</t>
        </r>
      </text>
    </comment>
    <comment ref="G70" authorId="0" shapeId="0">
      <text>
        <r>
          <rPr>
            <sz val="10"/>
            <color rgb="FF000000"/>
            <rFont val="Arial"/>
            <family val="2"/>
          </rPr>
          <t>A user defined identifier for the study</t>
        </r>
      </text>
    </comment>
    <comment ref="G71" authorId="0" shapeId="0">
      <text>
        <r>
          <rPr>
            <sz val="10"/>
            <color rgb="FF000000"/>
            <rFont val="Arial"/>
            <family val="2"/>
          </rPr>
          <t>A title for the Study.</t>
        </r>
      </text>
    </comment>
    <comment ref="G72" authorId="0" shapeId="0">
      <text>
        <r>
          <rPr>
            <sz val="10"/>
            <color rgb="FF000000"/>
            <rFont val="Arial"/>
            <family val="2"/>
          </rPr>
          <t>A brief description of the study aims.</t>
        </r>
      </text>
    </comment>
    <comment ref="G73" authorId="0" shapeId="0">
      <text>
        <r>
          <rPr>
            <sz val="10"/>
            <color rgb="FF000000"/>
            <rFont val="Arial"/>
            <family val="2"/>
          </rPr>
          <t>The type of study design being employed</t>
        </r>
      </text>
    </comment>
    <comment ref="G74" authorId="0" shapeId="0">
      <text>
        <r>
          <rPr>
            <sz val="10"/>
            <color rgb="FF000000"/>
            <rFont val="Arial"/>
            <family val="2"/>
          </rPr>
          <t>The measurement being observed in this assay</t>
        </r>
      </text>
    </comment>
    <comment ref="G75" authorId="0" shapeId="0">
      <text>
        <r>
          <rPr>
            <sz val="10"/>
            <color rgb="FF000000"/>
            <rFont val="Arial"/>
            <family val="2"/>
          </rPr>
          <t>The technology being employed to observe this measurement</t>
        </r>
      </text>
    </comment>
    <comment ref="G76" authorId="0" shapeId="0">
      <text>
        <r>
          <rPr>
            <sz val="10"/>
            <color rgb="FF000000"/>
            <rFont val="Arial"/>
            <family val="2"/>
          </rPr>
          <t>The technology platform used</t>
        </r>
      </text>
    </comment>
    <comment ref="G77" authorId="0" shapeId="0">
      <text>
        <r>
          <rPr>
            <sz val="10"/>
            <color rgb="FF000000"/>
            <rFont val="Arial"/>
            <family val="2"/>
          </rPr>
          <t>Accreditation procedure for the analytical method used</t>
        </r>
      </text>
    </comment>
    <comment ref="G78" authorId="0" shapeId="0">
      <text>
        <r>
          <rPr>
            <sz val="10"/>
            <color rgb="FF000000"/>
            <rFont val="Arial"/>
            <family val="2"/>
          </rPr>
          <t>The name of the protocol, e.g.Extraction Protocol</t>
        </r>
      </text>
    </comment>
    <comment ref="G79" authorId="0" shapeId="0">
      <text>
        <r>
          <rPr>
            <sz val="10"/>
            <color rgb="FF000000"/>
            <rFont val="Arial"/>
            <family val="2"/>
          </rPr>
          <t>The type of the protocol, preferably coming from an Ontology, e.g. Extraction Protocol</t>
        </r>
      </text>
    </comment>
    <comment ref="G80" authorId="0" shapeId="0">
      <text>
        <r>
          <rPr>
            <sz val="10"/>
            <color rgb="FF000000"/>
            <rFont val="Arial"/>
            <family val="2"/>
          </rPr>
          <t>A description of the Protocol.</t>
        </r>
      </text>
    </comment>
    <comment ref="G81" authorId="0" shapeId="0">
      <text>
        <r>
          <rPr>
            <sz val="10"/>
            <color rgb="FF000000"/>
            <rFont val="Arial"/>
            <family val="2"/>
          </rPr>
          <t>A URI to link out to a publication, web page, etc. describing the protocol.</t>
        </r>
      </text>
    </comment>
    <comment ref="G82" authorId="0" shapeId="0">
      <text>
        <r>
          <rPr>
            <sz val="10"/>
            <color rgb="FF000000"/>
            <rFont val="Arial"/>
            <family val="2"/>
          </rPr>
          <t>The version of the protocol used, where applicable.</t>
        </r>
      </text>
    </comment>
    <comment ref="G83" authorId="0" shapeId="0">
      <text>
        <r>
          <rPr>
            <sz val="10"/>
            <color rgb="FF000000"/>
            <rFont val="Arial"/>
            <family val="2"/>
          </rPr>
          <t>The parameters used when executing this protocol.</t>
        </r>
      </text>
    </comment>
    <comment ref="G84" authorId="0" shapeId="0">
      <text>
        <r>
          <rPr>
            <sz val="10"/>
            <color rgb="FF000000"/>
            <rFont val="Arial"/>
            <family val="2"/>
          </rPr>
          <t>The components used when carrying out this protocol.</t>
        </r>
      </text>
    </comment>
    <comment ref="G86" authorId="0" shapeId="0">
      <text>
        <r>
          <rPr>
            <sz val="10"/>
            <color rgb="FF000000"/>
            <rFont val="Arial"/>
            <family val="2"/>
          </rPr>
          <t>An unambiguous ID given to the samples used in the assay</t>
        </r>
      </text>
    </comment>
    <comment ref="G87" authorId="0" shapeId="0">
      <text>
        <r>
          <rPr>
            <sz val="10"/>
            <color rgb="FF000000"/>
            <rFont val="Arial"/>
            <family val="2"/>
          </rPr>
          <t>Additional protocol for sample and sample collection. Corresponds to the Protocol REF in ISA</t>
        </r>
      </text>
    </comment>
    <comment ref="L87" authorId="0" shapeId="0">
      <text>
        <r>
          <rPr>
            <sz val="10"/>
            <color rgb="FF000000"/>
            <rFont val="Arial"/>
            <family val="2"/>
          </rPr>
          <t>An unambiguous ID given to the samples used in the assay</t>
        </r>
      </text>
    </comment>
    <comment ref="M87" authorId="0" shapeId="0">
      <text>
        <r>
          <rPr>
            <sz val="10"/>
            <color rgb="FF000000"/>
            <rFont val="Arial"/>
            <family val="2"/>
          </rPr>
          <t>Additional protocol for sample and sample collection. Corresponds to the Protocol REF in ISA</t>
        </r>
      </text>
    </comment>
    <comment ref="N87" authorId="0" shapeId="0">
      <text>
        <r>
          <rPr>
            <sz val="10"/>
            <color rgb="FF000000"/>
            <rFont val="Arial"/>
            <family val="2"/>
          </rPr>
          <t>Sampling strategy (ref. EUROSTAT - Typology of sampling strategy, version of July 2009)</t>
        </r>
      </text>
    </comment>
    <comment ref="O87" authorId="0" shapeId="0">
      <text>
        <r>
          <rPr>
            <sz val="10"/>
            <color rgb="FF000000"/>
            <rFont val="Arial"/>
            <family val="2"/>
          </rPr>
          <t>Indicate the type programme for which the samples have been collected.</t>
        </r>
      </text>
    </comment>
    <comment ref="P87" authorId="0" shapeId="0">
      <text>
        <r>
          <rPr>
            <sz val="10"/>
            <color rgb="FF000000"/>
            <rFont val="Arial"/>
            <family val="2"/>
          </rPr>
          <t>Sampling method used to take the sample</t>
        </r>
      </text>
    </comment>
    <comment ref="Q87" authorId="0" shapeId="0">
      <text>
        <r>
          <rPr>
            <sz val="10"/>
            <color rgb="FF000000"/>
            <rFont val="Arial"/>
            <family val="2"/>
          </rPr>
          <t>description of data collection technique: stratified or complex sampling (several stages)</t>
        </r>
      </text>
    </comment>
    <comment ref="R87" authorId="0" shapeId="0">
      <text>
        <r>
          <rPr>
            <sz val="10"/>
            <color rgb="FF000000"/>
            <rFont val="Arial"/>
            <family val="2"/>
          </rPr>
          <t>description of the method employed to compute sampling weight (nonresponse-adjusted weight)</t>
        </r>
      </text>
    </comment>
    <comment ref="S87" authorId="0" shapeId="0">
      <text>
        <r>
          <rPr>
            <sz val="10"/>
            <color rgb="FF000000"/>
            <rFont val="Arial"/>
            <family val="2"/>
          </rPr>
          <t>number of units, full participants, partial participants, eligibles, not eligible, unresolved (eligibility status not resolved)…</t>
        </r>
      </text>
    </comment>
    <comment ref="T87" authorId="0" shapeId="0">
      <text>
        <r>
          <rPr>
            <sz val="10"/>
            <color rgb="FF000000"/>
            <rFont val="Arial"/>
            <family val="2"/>
          </rPr>
          <t>Unit in which the lot size is expressed.</t>
        </r>
      </text>
    </comment>
    <comment ref="U87" authorId="0" shapeId="0">
      <text>
        <r>
          <rPr>
            <sz val="10"/>
            <color rgb="FF000000"/>
            <rFont val="Arial"/>
            <family val="2"/>
          </rPr>
          <t>Point in the food chain where the sample was taken. (Doc. ESTAT/F5/ES/155 “Data dictionary of activities of the establishments”).</t>
        </r>
      </text>
    </comment>
    <comment ref="G88" authorId="0" shapeId="0">
      <text>
        <r>
          <rPr>
            <sz val="10"/>
            <color rgb="FF000000"/>
            <rFont val="Arial"/>
            <family val="2"/>
          </rPr>
          <t>Sampling strategy (ref. EUROSTAT - Typology of sampling strategy, version of July 2009)</t>
        </r>
      </text>
    </comment>
    <comment ref="G89" authorId="0" shapeId="0">
      <text>
        <r>
          <rPr>
            <sz val="10"/>
            <color rgb="FF000000"/>
            <rFont val="Arial"/>
            <family val="2"/>
          </rPr>
          <t>Indicate the type programme for which the samples have been collected.</t>
        </r>
      </text>
    </comment>
    <comment ref="G90" authorId="0" shapeId="0">
      <text>
        <r>
          <rPr>
            <sz val="10"/>
            <color rgb="FF000000"/>
            <rFont val="Arial"/>
            <family val="2"/>
          </rPr>
          <t>Sampling method used to take the sample</t>
        </r>
      </text>
    </comment>
    <comment ref="G91" authorId="0" shapeId="0">
      <text>
        <r>
          <rPr>
            <sz val="10"/>
            <color rgb="FF000000"/>
            <rFont val="Arial"/>
            <family val="2"/>
          </rPr>
          <t>description of data collection technique: stratified or complex sampling (several stages)</t>
        </r>
      </text>
    </comment>
    <comment ref="G92" authorId="0" shapeId="0">
      <text>
        <r>
          <rPr>
            <sz val="10"/>
            <color rgb="FF000000"/>
            <rFont val="Arial"/>
            <family val="2"/>
          </rPr>
          <t>description of the method employed to compute sampling weight (nonresponse-adjusted weight)</t>
        </r>
      </text>
    </comment>
    <comment ref="G93" authorId="0" shapeId="0">
      <text>
        <r>
          <rPr>
            <sz val="10"/>
            <color rgb="FF000000"/>
            <rFont val="Arial"/>
            <family val="2"/>
          </rPr>
          <t>number of units, full participants, partial participants, eligibles, not eligible, unresolved (eligibility status not resolved)…</t>
        </r>
      </text>
    </comment>
    <comment ref="L93" authorId="0" shapeId="0">
      <text>
        <r>
          <rPr>
            <sz val="10"/>
            <color rgb="FF000000"/>
            <rFont val="Arial"/>
            <family val="2"/>
          </rPr>
          <t>food diaries, interview, 24-hour recall interview, food propensy questionnaire, portion size measurement aids, eating outside questionnaire</t>
        </r>
      </text>
    </comment>
    <comment ref="P93" authorId="0" shapeId="0">
      <text>
        <r>
          <rPr>
            <sz val="10"/>
            <color rgb="FF000000"/>
            <rFont val="Arial"/>
            <family val="2"/>
          </rPr>
          <t>consumption occasion, mean of consumption, quantified and described as eaten, recipes for self-made</t>
        </r>
      </text>
    </comment>
    <comment ref="Q93" authorId="0" shapeId="0">
      <text>
        <r>
          <rPr>
            <sz val="10"/>
            <color rgb="FF000000"/>
            <rFont val="Arial"/>
            <family val="2"/>
          </rPr>
          <t>use foodex2 facets</t>
        </r>
      </text>
    </comment>
    <comment ref="G94" authorId="0" shapeId="0">
      <text>
        <r>
          <rPr>
            <sz val="10"/>
            <color rgb="FF000000"/>
            <rFont val="Arial"/>
            <family val="2"/>
          </rPr>
          <t>Unit in which the lot size is expressed.</t>
        </r>
      </text>
    </comment>
    <comment ref="G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food diaries, interview, 24-hour recall interview, food propensy questionnaire, portion size measurement aids, eating outside questionnaire</t>
        </r>
      </text>
    </comment>
    <comment ref="G100" authorId="0" shapeId="0">
      <text>
        <r>
          <rPr>
            <sz val="10"/>
            <color rgb="FF000000"/>
            <rFont val="Arial"/>
            <family val="2"/>
          </rPr>
          <t>consumption occasion, mean of consumption, quantified and described as eaten, recipes for self-made</t>
        </r>
      </text>
    </comment>
    <comment ref="L100" authorId="0" shapeId="0">
      <text>
        <r>
          <rPr>
            <sz val="10"/>
            <color rgb="FF000000"/>
            <rFont val="Arial"/>
            <family val="2"/>
          </rPr>
          <t>The laboratory accreditation to ISO/IEC 17025.</t>
        </r>
      </text>
    </comment>
    <comment ref="M100" authorId="0" shapeId="0">
      <text>
        <r>
          <rPr>
            <sz val="10"/>
            <color rgb="FF000000"/>
            <rFont val="Arial"/>
            <family val="2"/>
          </rPr>
          <t>Laboratory code (National laboratory code if available) or Laboratory name</t>
        </r>
      </text>
    </comment>
    <comment ref="N100" authorId="0" shapeId="0">
      <text>
        <r>
          <rPr>
            <sz val="10"/>
            <color rgb="FF000000"/>
            <rFont val="Arial"/>
            <family val="2"/>
          </rPr>
          <t>Country where the laboratory is placed. (ISO 3166-1-alpha-2).</t>
        </r>
      </text>
    </comment>
    <comment ref="G101" authorId="0" shapeId="0">
      <text>
        <r>
          <rPr>
            <sz val="10"/>
            <color rgb="FF000000"/>
            <rFont val="Arial"/>
            <family val="2"/>
          </rPr>
          <t>use foodex2 facets</t>
        </r>
      </text>
    </comment>
    <comment ref="G102" authorId="0" shapeId="0">
      <text>
        <r>
          <rPr>
            <sz val="10"/>
            <color rgb="FF000000"/>
            <rFont val="Arial"/>
            <family val="2"/>
          </rPr>
          <t>The laboratory accreditation to ISO/IEC 17025.</t>
        </r>
      </text>
    </comment>
    <comment ref="G103" authorId="0" shapeId="0">
      <text>
        <r>
          <rPr>
            <sz val="10"/>
            <color rgb="FF000000"/>
            <rFont val="Arial"/>
            <family val="2"/>
          </rPr>
          <t>Laboratory code (National laboratory code if available) or Laboratory name</t>
        </r>
      </text>
    </comment>
    <comment ref="G104" authorId="0" shapeId="0">
      <text>
        <r>
          <rPr>
            <sz val="10"/>
            <color rgb="FF000000"/>
            <rFont val="Arial"/>
            <family val="2"/>
          </rPr>
          <t>Country where the laboratory is placed. (ISO 3166-1-alpha-2).</t>
        </r>
      </text>
    </comment>
    <comment ref="G105" authorId="0" shapeId="0">
      <text>
        <r>
          <rPr>
            <sz val="10"/>
            <color rgb="FF000000"/>
            <rFont val="Arial"/>
            <family val="2"/>
          </rPr>
          <t>A name given to the assay</t>
        </r>
      </text>
    </comment>
    <comment ref="G106" authorId="0" shapeId="0">
      <text>
        <r>
          <rPr>
            <sz val="10"/>
            <color rgb="FF000000"/>
            <rFont val="Arial"/>
            <family val="2"/>
          </rPr>
          <t>General description of the assay. Corresponds to the Protocol REF in ISA</t>
        </r>
      </text>
    </comment>
    <comment ref="G107" authorId="0" shapeId="0">
      <text>
        <r>
          <rPr>
            <sz val="10"/>
            <color rgb="FF000000"/>
            <rFont val="Arial"/>
            <family val="2"/>
          </rPr>
          <t>Percentage of moisture in the original sample</t>
        </r>
      </text>
    </comment>
    <comment ref="G108" authorId="0" shapeId="0">
      <text>
        <r>
          <rPr>
            <sz val="10"/>
            <color rgb="FF000000"/>
            <rFont val="Arial"/>
            <family val="2"/>
          </rPr>
          <t>Percentage of fat in the original sample</t>
        </r>
      </text>
    </comment>
    <comment ref="G109" authorId="0" shapeId="0">
      <text>
        <r>
          <rPr>
            <sz val="10"/>
            <color rgb="FF000000"/>
            <rFont val="Arial"/>
            <family val="2"/>
          </rPr>
          <t>Limit of detection reported in the unit specified by the variable “Hazard unit”.</t>
        </r>
      </text>
    </comment>
    <comment ref="G110" authorId="0" shapeId="0">
      <text>
        <r>
          <rPr>
            <sz val="10"/>
            <color rgb="FF000000"/>
            <rFont val="Arial"/>
            <family val="2"/>
          </rPr>
          <t>Limit of quantification reported in the unit specified by the variable “Hazard unit”</t>
        </r>
      </text>
    </comment>
    <comment ref="G111" authorId="0" shapeId="0">
      <text>
        <r>
          <rPr>
            <sz val="10"/>
            <color rgb="FF000000"/>
            <rFont val="Arial"/>
            <family val="2"/>
          </rPr>
          <t>percentage of measures equal to LOQ and/or LOD</t>
        </r>
      </text>
    </comment>
    <comment ref="G112" authorId="0" shapeId="0">
      <text>
        <r>
          <rPr>
            <sz val="10"/>
            <color rgb="FF000000"/>
            <rFont val="Arial"/>
            <family val="2"/>
          </rPr>
          <t>Range of result of the analytical measure reported in the unit specified by the variable “Hazard unit”</t>
        </r>
      </text>
    </comment>
    <comment ref="G113" authorId="0" shapeId="0">
      <text>
        <r>
          <rPr>
            <sz val="10"/>
            <color rgb="FF000000"/>
            <rFont val="Arial"/>
            <family val="2"/>
          </rPr>
          <t>Indicate the expanded uncertainty (usually 95% confidence interval) value associated with the measurement expressed in the unit reported in the field “Hazard unit”.</t>
        </r>
      </text>
    </comment>
    <comment ref="G114" authorId="0" shapeId="0">
      <text>
        <r>
          <rPr>
            <sz val="10"/>
            <color rgb="FF000000"/>
            <rFont val="Arial"/>
            <family val="2"/>
          </rPr>
          <t>An unambiguous and sequential ID given to the parameter. To be compatible with SBML, only letters from A to Z, numbers and "_" are acepted for ID creation.</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4" authorId="0" shapeId="0">
      <text>
        <r>
          <rPr>
            <sz val="10"/>
            <color rgb="FF000000"/>
            <rFont val="Arial"/>
            <family val="2"/>
          </rPr>
          <t>An unambiguous and sequential ID given to the parameter. To be compatible with SBML, only letters from A to Z, numbers and "_" are acepted for ID creation.</t>
        </r>
      </text>
    </comment>
    <comment ref="M114" authorId="0" shapeId="0">
      <text>
        <r>
          <rPr>
            <sz val="10"/>
            <color rgb="FF000000"/>
            <rFont val="Arial"/>
            <family val="2"/>
          </rPr>
          <t>General classification of the parameter (e.g. Input, Constant, Output...)</t>
        </r>
      </text>
    </comment>
    <comment ref="N114" authorId="0" shapeId="0">
      <text>
        <r>
          <rPr>
            <sz val="10"/>
            <color rgb="FF000000"/>
            <rFont val="Arial"/>
            <family val="2"/>
          </rPr>
          <t>A name given to the parameter</t>
        </r>
      </text>
    </comment>
    <comment ref="O114" authorId="0" shapeId="0">
      <text>
        <r>
          <rPr>
            <sz val="10"/>
            <color rgb="FF000000"/>
            <rFont val="Arial"/>
            <family val="2"/>
          </rPr>
          <t>General description of the parameter</t>
        </r>
      </text>
    </comment>
    <comment ref="P114" authorId="0" shapeId="0">
      <text>
        <r>
          <rPr>
            <sz val="10"/>
            <color rgb="FF000000"/>
            <rFont val="Arial"/>
            <family val="2"/>
          </rPr>
          <t>Unit of the parameter</t>
        </r>
      </text>
    </comment>
    <comment ref="Q114" authorId="0" shapeId="0">
      <text>
        <r>
          <rPr>
            <sz val="10"/>
            <color rgb="FF000000"/>
            <rFont val="Arial"/>
            <family val="2"/>
          </rPr>
          <t>General classification of the parameter unit</t>
        </r>
      </text>
    </comment>
    <comment ref="R114" authorId="0" shapeId="0">
      <text>
        <r>
          <rPr>
            <sz val="10"/>
            <color rgb="FF000000"/>
            <rFont val="Arial"/>
            <family val="2"/>
          </rPr>
          <t>Information on the data format of the parameter, e.g. if it is a categorial variable, int, double, array of size x,y,z</t>
        </r>
      </text>
    </comment>
    <comment ref="S114" authorId="0" shapeId="0">
      <text>
        <r>
          <rPr>
            <sz val="10"/>
            <color rgb="FF000000"/>
            <rFont val="Arial"/>
            <family val="2"/>
          </rPr>
          <t>Information on the type of knowledge used to define the parameter value</t>
        </r>
      </text>
    </comment>
    <comment ref="T114" authorId="0" shapeId="0">
      <text>
        <r>
          <rPr>
            <sz val="10"/>
            <color rgb="FF000000"/>
            <rFont val="Arial"/>
            <family val="2"/>
          </rPr>
          <t>Scope of the parameter, e.g. if it refers to an animal, a batch of animals, a batch of products, a carcass, a carcass skin etc</t>
        </r>
      </text>
    </comment>
    <comment ref="U114"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family val="2"/>
          </rPr>
          <t>Error of the parameter value</t>
        </r>
      </text>
    </comment>
    <comment ref="G115" authorId="0" shapeId="0">
      <text>
        <r>
          <rPr>
            <sz val="10"/>
            <color rgb="FF000000"/>
            <rFont val="Arial"/>
            <family val="2"/>
          </rPr>
          <t>General classification of the parameter (e.g. Input, Constant, Output...)</t>
        </r>
      </text>
    </comment>
    <comment ref="G116" authorId="0" shapeId="0">
      <text>
        <r>
          <rPr>
            <sz val="10"/>
            <color rgb="FF000000"/>
            <rFont val="Arial"/>
            <family val="2"/>
          </rPr>
          <t>A name given to the parameter</t>
        </r>
      </text>
    </comment>
    <comment ref="G117" authorId="0" shapeId="0">
      <text>
        <r>
          <rPr>
            <sz val="10"/>
            <color rgb="FF000000"/>
            <rFont val="Arial"/>
            <family val="2"/>
          </rPr>
          <t>General description of the parameter</t>
        </r>
      </text>
    </comment>
    <comment ref="G118" authorId="0" shapeId="0">
      <text>
        <r>
          <rPr>
            <sz val="10"/>
            <color rgb="FF000000"/>
            <rFont val="Arial"/>
            <family val="2"/>
          </rPr>
          <t>Unit of the parameter</t>
        </r>
      </text>
    </comment>
    <comment ref="G119" authorId="0" shapeId="0">
      <text>
        <r>
          <rPr>
            <sz val="10"/>
            <color rgb="FF000000"/>
            <rFont val="Arial"/>
            <family val="2"/>
          </rPr>
          <t>General classification of the parameter unit</t>
        </r>
      </text>
    </comment>
    <comment ref="G120" authorId="0" shapeId="0">
      <text>
        <r>
          <rPr>
            <sz val="10"/>
            <color rgb="FF000000"/>
            <rFont val="Arial"/>
            <family val="2"/>
          </rPr>
          <t>Information on the data format of the parameter, e.g. if it is a categorial variable, int, double, array of size x,y,z</t>
        </r>
      </text>
    </comment>
    <comment ref="G121" authorId="0" shapeId="0">
      <text>
        <r>
          <rPr>
            <sz val="10"/>
            <color rgb="FF000000"/>
            <rFont val="Arial"/>
            <family val="2"/>
          </rPr>
          <t>Information on the type of knowledge used to define the parameter value</t>
        </r>
      </text>
    </comment>
    <comment ref="G122" authorId="0" shapeId="0">
      <text>
        <r>
          <rPr>
            <sz val="10"/>
            <color rgb="FF000000"/>
            <rFont val="Arial"/>
            <family val="2"/>
          </rPr>
          <t>Scope of the parameter, e.g. if it refers to an animal, a batch of animals, a batch of products, a carcass, a carcass skin etc</t>
        </r>
      </text>
    </comment>
    <comment ref="G123" authorId="0" shapeId="0">
      <text>
        <r>
          <rPr>
            <sz val="10"/>
            <color rgb="FF000000"/>
            <rFont val="Arial"/>
            <family val="2"/>
          </rPr>
          <t xml:space="preserve">Information on the distribution describing the parameter (e.g. variability, uncertainty, point estimate...) </t>
        </r>
      </text>
    </comment>
    <comment ref="G126"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family val="2"/>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 xml:space="preserve">Objective of the model </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Name of the population for which the model or data applies</t>
        </r>
      </text>
    </comment>
    <comment ref="X37" authorId="0" shapeId="0">
      <text>
        <r>
          <rPr>
            <sz val="10"/>
            <color rgb="FF000000"/>
            <rFont val="Arial"/>
            <family val="2"/>
          </rPr>
          <t>population of individual that we are interested in describing and making statistical inferences about</t>
        </r>
      </text>
    </comment>
    <comment ref="Y37" authorId="0" shapeId="0">
      <text>
        <r>
          <rPr>
            <sz val="10"/>
            <color rgb="FF000000"/>
            <rFont val="Arial"/>
            <family val="2"/>
          </rPr>
          <t>Temporal information on the exposure duration</t>
        </r>
      </text>
    </comment>
    <comment ref="Z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family val="2"/>
          </rPr>
          <t>describe the range of age or group of age</t>
        </r>
      </text>
    </comment>
    <comment ref="AB37" authorId="0" shapeId="0">
      <text>
        <r>
          <rPr>
            <sz val="10"/>
            <color rgb="FF000000"/>
            <rFont val="Arial"/>
            <family val="2"/>
          </rPr>
          <t>describe the percentage of gender</t>
        </r>
      </text>
    </comment>
    <comment ref="AC37" authorId="0" shapeId="0">
      <text>
        <r>
          <rPr>
            <sz val="10"/>
            <color rgb="FF000000"/>
            <rFont val="Arial"/>
            <family val="2"/>
          </rPr>
          <t>describe the range of BMI or class of BMI or BMI mean</t>
        </r>
      </text>
    </comment>
    <comment ref="AD37" authorId="0" shapeId="0">
      <text>
        <r>
          <rPr>
            <sz val="10"/>
            <color rgb="FF000000"/>
            <rFont val="Arial"/>
            <family val="2"/>
          </rPr>
          <t>sub-population with special diets (vegetarians, diabetics, group following special ethnic diets)</t>
        </r>
      </text>
    </comment>
    <comment ref="AE37" authorId="0" shapeId="0">
      <text>
        <r>
          <rPr>
            <sz val="10"/>
            <color rgb="FF000000"/>
            <rFont val="Arial"/>
            <family val="2"/>
          </rPr>
          <t>describe the consumption of different food items: frequency, portion size</t>
        </r>
      </text>
    </comment>
    <comment ref="AF37" authorId="0" shapeId="0">
      <text>
        <r>
          <rPr>
            <sz val="10"/>
            <color rgb="FF000000"/>
            <rFont val="Arial"/>
            <family val="2"/>
          </rPr>
          <t>Spatial information (area) on which the population group of the model or data applies</t>
        </r>
      </text>
    </comment>
    <comment ref="AG37" authorId="0" shapeId="0">
      <text>
        <r>
          <rPr>
            <sz val="10"/>
            <color rgb="FF000000"/>
            <rFont val="Arial"/>
            <family val="2"/>
          </rPr>
          <t>Country on which the population group of the model or data applies</t>
        </r>
      </text>
    </comment>
    <comment ref="AH37" authorId="0" shapeId="0">
      <text>
        <r>
          <rPr>
            <sz val="10"/>
            <color rgb="FF000000"/>
            <rFont val="Arial"/>
            <family val="2"/>
          </rPr>
          <t>distribution of surveyed people according to the season (influence consumption pattern)</t>
        </r>
      </text>
    </comment>
    <comment ref="AI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Name of the population for which the model applies</t>
        </r>
      </text>
    </comment>
    <comment ref="G48" authorId="0" shapeId="0">
      <text>
        <r>
          <rPr>
            <sz val="10"/>
            <color rgb="FF000000"/>
            <rFont val="Arial"/>
            <family val="2"/>
          </rPr>
          <t>population of individual that we are interested in describing and making statistical inferences about</t>
        </r>
      </text>
    </comment>
    <comment ref="G49" authorId="0" shapeId="0">
      <text>
        <r>
          <rPr>
            <sz val="10"/>
            <color rgb="FF000000"/>
            <rFont val="Arial"/>
            <family val="2"/>
          </rPr>
          <t>Temporal information on the exposure duration</t>
        </r>
      </text>
    </comment>
    <comment ref="G50"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family val="2"/>
          </rPr>
          <t>describe the range of age or group of age</t>
        </r>
      </text>
    </comment>
    <comment ref="G52" authorId="0" shapeId="0">
      <text>
        <r>
          <rPr>
            <sz val="10"/>
            <color rgb="FF000000"/>
            <rFont val="Arial"/>
            <family val="2"/>
          </rPr>
          <t>describe the percentage of gender</t>
        </r>
      </text>
    </comment>
    <comment ref="G53" authorId="0" shapeId="0">
      <text>
        <r>
          <rPr>
            <sz val="10"/>
            <color rgb="FF000000"/>
            <rFont val="Arial"/>
            <family val="2"/>
          </rPr>
          <t>describe the range of BMI or class of BMI or BMI mean</t>
        </r>
      </text>
    </comment>
    <comment ref="G54" authorId="0" shapeId="0">
      <text>
        <r>
          <rPr>
            <sz val="10"/>
            <color rgb="FF000000"/>
            <rFont val="Arial"/>
            <family val="2"/>
          </rPr>
          <t>sub-population with special diets (vegetarians, diabetics, group following special ethnic diets)</t>
        </r>
      </text>
    </comment>
    <comment ref="G55" authorId="0" shapeId="0">
      <text>
        <r>
          <rPr>
            <sz val="10"/>
            <color rgb="FF000000"/>
            <rFont val="Arial"/>
            <family val="2"/>
          </rPr>
          <t>describe the consumption of different food items: frequency, portion size</t>
        </r>
      </text>
    </comment>
    <comment ref="G56" authorId="0" shapeId="0">
      <text>
        <r>
          <rPr>
            <sz val="10"/>
            <color rgb="FF000000"/>
            <rFont val="Arial"/>
            <family val="2"/>
          </rPr>
          <t>Spatial information (area) on which the population group of the model applies</t>
        </r>
      </text>
    </comment>
    <comment ref="G57" authorId="0" shapeId="0">
      <text>
        <r>
          <rPr>
            <sz val="10"/>
            <color rgb="FF000000"/>
            <rFont val="Arial"/>
            <family val="2"/>
          </rPr>
          <t>Country on which the population group of the model applies</t>
        </r>
      </text>
    </comment>
    <comment ref="G58" authorId="0" shapeId="0">
      <text>
        <r>
          <rPr>
            <sz val="10"/>
            <color rgb="FF000000"/>
            <rFont val="Arial"/>
            <family val="2"/>
          </rPr>
          <t>distribution of surveyed people according to the season (influence consumption pattern)</t>
        </r>
      </text>
    </comment>
    <comment ref="G59" authorId="0" shapeId="0">
      <text>
        <r>
          <rPr>
            <sz val="10"/>
            <color rgb="FF000000"/>
            <rFont val="Arial"/>
            <family val="2"/>
          </rPr>
          <t>distribution of surveyed people according to the season (influence consumption pattern)</t>
        </r>
      </text>
    </comment>
    <comment ref="E60" authorId="0" shapeId="0">
      <text>
        <r>
          <rPr>
            <sz val="10"/>
            <color rgb="FF000000"/>
            <rFont val="Arial"/>
            <family val="2"/>
          </rPr>
          <t>General comments on the scope of the model</t>
        </r>
      </text>
    </comment>
    <comment ref="G61" authorId="0" shapeId="0">
      <text>
        <r>
          <rPr>
            <sz val="10"/>
            <color rgb="FF000000"/>
            <rFont val="Arial"/>
            <family val="2"/>
          </rPr>
          <t>Temporal information on which the model applies / An interval of time that is named or defined by its start and end dates (period of study)</t>
        </r>
      </text>
    </comment>
    <comment ref="G62" authorId="0" shapeId="0">
      <text>
        <r>
          <rPr>
            <sz val="10"/>
            <color rgb="FF000000"/>
            <rFont val="Arial"/>
            <family val="2"/>
          </rPr>
          <t>Spatial information (area) on which the model applies</t>
        </r>
      </text>
    </comment>
    <comment ref="G63" authorId="0" shapeId="0">
      <text>
        <r>
          <rPr>
            <sz val="10"/>
            <color rgb="FF000000"/>
            <rFont val="Arial"/>
            <family val="2"/>
          </rPr>
          <t>Country on which the model  applies</t>
        </r>
      </text>
    </comment>
    <comment ref="G64" authorId="0" shapeId="0">
      <text>
        <r>
          <rPr>
            <sz val="10"/>
            <color rgb="FF000000"/>
            <rFont val="Arial"/>
            <family val="2"/>
          </rPr>
          <t>A user defined identifier for the study</t>
        </r>
      </text>
    </comment>
    <comment ref="G65" authorId="0" shapeId="0">
      <text>
        <r>
          <rPr>
            <sz val="10"/>
            <color rgb="FF000000"/>
            <rFont val="Arial"/>
            <family val="2"/>
          </rPr>
          <t>A title for the Study.</t>
        </r>
      </text>
    </comment>
    <comment ref="G66" authorId="0" shapeId="0">
      <text>
        <r>
          <rPr>
            <sz val="10"/>
            <color rgb="FF000000"/>
            <rFont val="Arial"/>
            <family val="2"/>
          </rPr>
          <t>A brief description of the study aims.</t>
        </r>
      </text>
    </comment>
    <comment ref="G67" authorId="0" shapeId="0">
      <text>
        <r>
          <rPr>
            <sz val="10"/>
            <color rgb="FF000000"/>
            <rFont val="Arial"/>
            <family val="2"/>
          </rPr>
          <t>The type of study design being employed</t>
        </r>
      </text>
    </comment>
    <comment ref="G68" authorId="0" shapeId="0">
      <text>
        <r>
          <rPr>
            <sz val="10"/>
            <color rgb="FF000000"/>
            <rFont val="Arial"/>
            <family val="2"/>
          </rPr>
          <t>The measurement being observed in this assay</t>
        </r>
      </text>
    </comment>
    <comment ref="G69" authorId="0" shapeId="0">
      <text>
        <r>
          <rPr>
            <sz val="10"/>
            <color rgb="FF000000"/>
            <rFont val="Arial"/>
            <family val="2"/>
          </rPr>
          <t>The technology being employed to observe this measurement</t>
        </r>
      </text>
    </comment>
    <comment ref="G70" authorId="0" shapeId="0">
      <text>
        <r>
          <rPr>
            <sz val="10"/>
            <color rgb="FF000000"/>
            <rFont val="Arial"/>
            <family val="2"/>
          </rPr>
          <t>The technology platform used</t>
        </r>
      </text>
    </comment>
    <comment ref="G71" authorId="0" shapeId="0">
      <text>
        <r>
          <rPr>
            <sz val="10"/>
            <color rgb="FF000000"/>
            <rFont val="Arial"/>
            <family val="2"/>
          </rPr>
          <t>Accreditation procedure for the analytical method used</t>
        </r>
      </text>
    </comment>
    <comment ref="G72" authorId="0" shapeId="0">
      <text>
        <r>
          <rPr>
            <sz val="10"/>
            <color rgb="FF000000"/>
            <rFont val="Arial"/>
            <family val="2"/>
          </rPr>
          <t>The name of the protocol, e.g.Extraction Protocol</t>
        </r>
      </text>
    </comment>
    <comment ref="G73" authorId="0" shapeId="0">
      <text>
        <r>
          <rPr>
            <sz val="10"/>
            <color rgb="FF000000"/>
            <rFont val="Arial"/>
            <family val="2"/>
          </rPr>
          <t>The type of the protocol, preferably coming from an Ontology, e.g. Extraction Protocol</t>
        </r>
      </text>
    </comment>
    <comment ref="G74" authorId="0" shapeId="0">
      <text>
        <r>
          <rPr>
            <sz val="10"/>
            <color rgb="FF000000"/>
            <rFont val="Arial"/>
            <family val="2"/>
          </rPr>
          <t>A description of the Protocol.</t>
        </r>
      </text>
    </comment>
    <comment ref="G75" authorId="0" shapeId="0">
      <text>
        <r>
          <rPr>
            <sz val="10"/>
            <color rgb="FF000000"/>
            <rFont val="Arial"/>
            <family val="2"/>
          </rPr>
          <t>A URI to link out to a publication, web page, etc. describing the protocol.</t>
        </r>
      </text>
    </comment>
    <comment ref="G76" authorId="0" shapeId="0">
      <text>
        <r>
          <rPr>
            <sz val="10"/>
            <color rgb="FF000000"/>
            <rFont val="Arial"/>
            <family val="2"/>
          </rPr>
          <t>The version of the protocol used, where applicable.</t>
        </r>
      </text>
    </comment>
    <comment ref="G77" authorId="0" shapeId="0">
      <text>
        <r>
          <rPr>
            <sz val="10"/>
            <color rgb="FF000000"/>
            <rFont val="Arial"/>
            <family val="2"/>
          </rPr>
          <t>The parameters used when executing this protocol.</t>
        </r>
      </text>
    </comment>
    <comment ref="G78" authorId="0" shapeId="0">
      <text>
        <r>
          <rPr>
            <sz val="10"/>
            <color rgb="FF000000"/>
            <rFont val="Arial"/>
            <family val="2"/>
          </rPr>
          <t>The components used when carrying out this protocol.</t>
        </r>
      </text>
    </comment>
    <comment ref="G80" authorId="0" shapeId="0">
      <text>
        <r>
          <rPr>
            <sz val="10"/>
            <color rgb="FF000000"/>
            <rFont val="Arial"/>
            <family val="2"/>
          </rPr>
          <t>An unambiguous ID given to the samples used in the assay</t>
        </r>
      </text>
    </comment>
    <comment ref="G81" authorId="0" shapeId="0">
      <text>
        <r>
          <rPr>
            <sz val="10"/>
            <color rgb="FF000000"/>
            <rFont val="Arial"/>
            <family val="2"/>
          </rPr>
          <t>Additional protocol for sample and sample collection. Corresponds to the Protocol REF in ISA</t>
        </r>
      </text>
    </comment>
    <comment ref="L81" authorId="0" shapeId="0">
      <text>
        <r>
          <rPr>
            <sz val="10"/>
            <color rgb="FF000000"/>
            <rFont val="Arial"/>
            <family val="2"/>
          </rPr>
          <t>An unambiguous ID given to the samples used in the assay</t>
        </r>
      </text>
    </comment>
    <comment ref="M81" authorId="0" shapeId="0">
      <text>
        <r>
          <rPr>
            <sz val="10"/>
            <color rgb="FF000000"/>
            <rFont val="Arial"/>
            <family val="2"/>
          </rPr>
          <t>Additional protocol for sample and sample collection. Corresponds to the Protocol REF in ISA</t>
        </r>
      </text>
    </comment>
    <comment ref="N81" authorId="0" shapeId="0">
      <text>
        <r>
          <rPr>
            <sz val="10"/>
            <color rgb="FF000000"/>
            <rFont val="Arial"/>
            <family val="2"/>
          </rPr>
          <t>Sampling strategy (ref. EUROSTAT - Typology of sampling strategy, version of July 2009)</t>
        </r>
      </text>
    </comment>
    <comment ref="O81" authorId="0" shapeId="0">
      <text>
        <r>
          <rPr>
            <sz val="10"/>
            <color rgb="FF000000"/>
            <rFont val="Arial"/>
            <family val="2"/>
          </rPr>
          <t>Indicate the type programme for which the samples have been collected.</t>
        </r>
      </text>
    </comment>
    <comment ref="P81" authorId="0" shapeId="0">
      <text>
        <r>
          <rPr>
            <sz val="10"/>
            <color rgb="FF000000"/>
            <rFont val="Arial"/>
            <family val="2"/>
          </rPr>
          <t>Sampling method used to take the sample</t>
        </r>
      </text>
    </comment>
    <comment ref="Q81" authorId="0" shapeId="0">
      <text>
        <r>
          <rPr>
            <sz val="10"/>
            <color rgb="FF000000"/>
            <rFont val="Arial"/>
            <family val="2"/>
          </rPr>
          <t>description of data collection technique: stratified or complex sampling (several stages)</t>
        </r>
      </text>
    </comment>
    <comment ref="R81" authorId="0" shapeId="0">
      <text>
        <r>
          <rPr>
            <sz val="10"/>
            <color rgb="FF000000"/>
            <rFont val="Arial"/>
            <family val="2"/>
          </rPr>
          <t>description of the method employed to compute sampling weight (nonresponse-adjusted weight)</t>
        </r>
      </text>
    </comment>
    <comment ref="S81" authorId="0" shapeId="0">
      <text>
        <r>
          <rPr>
            <sz val="10"/>
            <color rgb="FF000000"/>
            <rFont val="Arial"/>
            <family val="2"/>
          </rPr>
          <t>number of units, full participants, partial participants, eligibles, not eligible, unresolved (eligibility status not resolved)…</t>
        </r>
      </text>
    </comment>
    <comment ref="T81" authorId="0" shapeId="0">
      <text>
        <r>
          <rPr>
            <sz val="10"/>
            <color rgb="FF000000"/>
            <rFont val="Arial"/>
            <family val="2"/>
          </rPr>
          <t>Unit in which the lot size is expressed.</t>
        </r>
      </text>
    </comment>
    <comment ref="U81" authorId="0" shapeId="0">
      <text>
        <r>
          <rPr>
            <sz val="10"/>
            <color rgb="FF000000"/>
            <rFont val="Arial"/>
            <family val="2"/>
          </rPr>
          <t>Point in the food chain where the sample was taken. (Doc. ESTAT/F5/ES/155 “Data dictionary of activities of the establishments”).</t>
        </r>
      </text>
    </comment>
    <comment ref="G82" authorId="0" shapeId="0">
      <text>
        <r>
          <rPr>
            <sz val="10"/>
            <color rgb="FF000000"/>
            <rFont val="Arial"/>
            <family val="2"/>
          </rPr>
          <t>Sampling strategy (ref. EUROSTAT - Typology of sampling strategy, version of July 2009)</t>
        </r>
      </text>
    </comment>
    <comment ref="G83" authorId="0" shapeId="0">
      <text>
        <r>
          <rPr>
            <sz val="10"/>
            <color rgb="FF000000"/>
            <rFont val="Arial"/>
            <family val="2"/>
          </rPr>
          <t>Indicate the type programme for which the samples have been collected.</t>
        </r>
      </text>
    </comment>
    <comment ref="G84" authorId="0" shapeId="0">
      <text>
        <r>
          <rPr>
            <sz val="10"/>
            <color rgb="FF000000"/>
            <rFont val="Arial"/>
            <family val="2"/>
          </rPr>
          <t>Sampling method used to take the sample</t>
        </r>
      </text>
    </comment>
    <comment ref="G85" authorId="0" shapeId="0">
      <text>
        <r>
          <rPr>
            <sz val="10"/>
            <color rgb="FF000000"/>
            <rFont val="Arial"/>
            <family val="2"/>
          </rPr>
          <t>description of data collection technique: stratified or complex sampling (several stages)</t>
        </r>
      </text>
    </comment>
    <comment ref="G86" authorId="0" shapeId="0">
      <text>
        <r>
          <rPr>
            <sz val="10"/>
            <color rgb="FF000000"/>
            <rFont val="Arial"/>
            <family val="2"/>
          </rPr>
          <t>description of the method employed to compute sampling weight (nonresponse-adjusted weight)</t>
        </r>
      </text>
    </comment>
    <comment ref="G87" authorId="0" shapeId="0">
      <text>
        <r>
          <rPr>
            <sz val="10"/>
            <color rgb="FF000000"/>
            <rFont val="Arial"/>
            <family val="2"/>
          </rPr>
          <t>number of units, full participants, partial participants, eligibles, not eligible, unresolved (eligibility status not resolved)…</t>
        </r>
      </text>
    </comment>
    <comment ref="L87" authorId="0" shapeId="0">
      <text>
        <r>
          <rPr>
            <sz val="10"/>
            <color rgb="FF000000"/>
            <rFont val="Arial"/>
            <family val="2"/>
          </rPr>
          <t>food diaries, interview, 24-hour recall interview, food propensy questionnaire, portion size measurement aids, eating outside questionnaire</t>
        </r>
      </text>
    </comment>
    <comment ref="P87" authorId="0" shapeId="0">
      <text>
        <r>
          <rPr>
            <sz val="10"/>
            <color rgb="FF000000"/>
            <rFont val="Arial"/>
            <family val="2"/>
          </rPr>
          <t>consumption occasion, mean of consumption, quantified and described as eaten, recipes for self-made</t>
        </r>
      </text>
    </comment>
    <comment ref="Q87" authorId="0" shapeId="0">
      <text>
        <r>
          <rPr>
            <sz val="10"/>
            <color rgb="FF000000"/>
            <rFont val="Arial"/>
            <family val="2"/>
          </rPr>
          <t>use foodex2 facets</t>
        </r>
      </text>
    </comment>
    <comment ref="G88" authorId="0" shapeId="0">
      <text>
        <r>
          <rPr>
            <sz val="10"/>
            <color rgb="FF000000"/>
            <rFont val="Arial"/>
            <family val="2"/>
          </rPr>
          <t>Unit in which the lot size is expressed.</t>
        </r>
      </text>
    </comment>
    <comment ref="G89" authorId="0" shapeId="0">
      <text>
        <r>
          <rPr>
            <sz val="10"/>
            <color rgb="FF000000"/>
            <rFont val="Arial"/>
            <family val="2"/>
          </rPr>
          <t>Point in the food chain where the sample was taken. (Doc. ESTAT/F5/ES/155 “Data dictionary of activities of the establishments”).</t>
        </r>
      </text>
    </comment>
    <comment ref="G90" authorId="0" shapeId="0">
      <text>
        <r>
          <rPr>
            <sz val="10"/>
            <color rgb="FF000000"/>
            <rFont val="Arial"/>
            <family val="2"/>
          </rPr>
          <t>food diaries, interview, 24-hour recall interview, food propensy questionnaire, portion size measurement aids, eating outside questionnaire</t>
        </r>
      </text>
    </comment>
    <comment ref="P93" authorId="0" shapeId="0">
      <text>
        <r>
          <rPr>
            <sz val="10"/>
            <color rgb="FF000000"/>
            <rFont val="Arial"/>
            <family val="2"/>
          </rPr>
          <t>Definition of time-dependent parameter changes</t>
        </r>
      </text>
    </comment>
    <comment ref="G94" authorId="0" shapeId="0">
      <text>
        <r>
          <rPr>
            <sz val="10"/>
            <color rgb="FF000000"/>
            <rFont val="Arial"/>
            <family val="2"/>
          </rPr>
          <t>consumption occasion, mean of consumption, quantified and described as eaten, recipes for self-made</t>
        </r>
      </text>
    </comment>
    <comment ref="L94" authorId="0" shapeId="0">
      <text>
        <r>
          <rPr>
            <sz val="10"/>
            <color rgb="FF000000"/>
            <rFont val="Arial"/>
            <family val="2"/>
          </rPr>
          <t>The laboratory accreditation to ISO/IEC 17025.</t>
        </r>
      </text>
    </comment>
    <comment ref="M94" authorId="0" shapeId="0">
      <text>
        <r>
          <rPr>
            <sz val="10"/>
            <color rgb="FF000000"/>
            <rFont val="Arial"/>
            <family val="2"/>
          </rPr>
          <t>Laboratory code (National laboratory code if available) or Laboratory name</t>
        </r>
      </text>
    </comment>
    <comment ref="N94" authorId="0" shapeId="0">
      <text>
        <r>
          <rPr>
            <sz val="10"/>
            <color rgb="FF000000"/>
            <rFont val="Arial"/>
            <family val="2"/>
          </rPr>
          <t>Country where the laboratory is placed. (ISO 3166-1-alpha-2).</t>
        </r>
      </text>
    </comment>
    <comment ref="G95" authorId="0" shapeId="0">
      <text>
        <r>
          <rPr>
            <sz val="10"/>
            <color rgb="FF000000"/>
            <rFont val="Arial"/>
            <family val="2"/>
          </rPr>
          <t>use foodex2 facets</t>
        </r>
      </text>
    </comment>
    <comment ref="G96" authorId="0" shapeId="0">
      <text>
        <r>
          <rPr>
            <sz val="10"/>
            <color rgb="FF000000"/>
            <rFont val="Arial"/>
            <family val="2"/>
          </rPr>
          <t>The laboratory accreditation to ISO/IEC 17025.</t>
        </r>
      </text>
    </comment>
    <comment ref="G97" authorId="0" shapeId="0">
      <text>
        <r>
          <rPr>
            <sz val="10"/>
            <color rgb="FF000000"/>
            <rFont val="Arial"/>
            <family val="2"/>
          </rPr>
          <t>Laboratory code (National laboratory code if available) or Laboratory name</t>
        </r>
      </text>
    </comment>
    <comment ref="G98" authorId="0" shapeId="0">
      <text>
        <r>
          <rPr>
            <sz val="10"/>
            <color rgb="FF000000"/>
            <rFont val="Arial"/>
            <family val="2"/>
          </rPr>
          <t>Country where the laboratory is placed. (ISO 3166-1-alpha-2).</t>
        </r>
      </text>
    </comment>
    <comment ref="G99" authorId="0" shapeId="0">
      <text>
        <r>
          <rPr>
            <sz val="10"/>
            <color rgb="FF000000"/>
            <rFont val="Arial"/>
            <family val="2"/>
          </rPr>
          <t>A name given to the assay</t>
        </r>
      </text>
    </comment>
    <comment ref="G100" authorId="0" shapeId="0">
      <text>
        <r>
          <rPr>
            <sz val="10"/>
            <color rgb="FF000000"/>
            <rFont val="Arial"/>
            <family val="2"/>
          </rPr>
          <t>General description of the assay. Corresponds to the Protocol REF in ISA</t>
        </r>
      </text>
    </comment>
    <comment ref="G101" authorId="0" shapeId="0">
      <text>
        <r>
          <rPr>
            <sz val="10"/>
            <color rgb="FF000000"/>
            <rFont val="Arial"/>
            <family val="2"/>
          </rPr>
          <t>Percentage of moisture in the original sample</t>
        </r>
      </text>
    </comment>
    <comment ref="G102" authorId="0" shapeId="0">
      <text>
        <r>
          <rPr>
            <sz val="10"/>
            <color rgb="FF000000"/>
            <rFont val="Arial"/>
            <family val="2"/>
          </rPr>
          <t>Percentage of fat in the original sample</t>
        </r>
      </text>
    </comment>
    <comment ref="G103" authorId="0" shapeId="0">
      <text>
        <r>
          <rPr>
            <sz val="10"/>
            <color rgb="FF000000"/>
            <rFont val="Arial"/>
            <family val="2"/>
          </rPr>
          <t>Limit of detection reported in the unit specified by the variable “Hazard unit”.</t>
        </r>
      </text>
    </comment>
    <comment ref="G104" authorId="0" shapeId="0">
      <text>
        <r>
          <rPr>
            <sz val="10"/>
            <color rgb="FF000000"/>
            <rFont val="Arial"/>
            <family val="2"/>
          </rPr>
          <t>Limit of quantification reported in the unit specified by the variable “Hazard unit”</t>
        </r>
      </text>
    </comment>
    <comment ref="G105" authorId="0" shapeId="0">
      <text>
        <r>
          <rPr>
            <sz val="10"/>
            <color rgb="FF000000"/>
            <rFont val="Arial"/>
            <family val="2"/>
          </rPr>
          <t>percentage of measures equal to LOQ and/or LOD</t>
        </r>
      </text>
    </comment>
    <comment ref="G106" authorId="0" shapeId="0">
      <text>
        <r>
          <rPr>
            <sz val="10"/>
            <color rgb="FF000000"/>
            <rFont val="Arial"/>
            <family val="2"/>
          </rPr>
          <t>Range of result of the analytical measure reported in the unit specified by the variable “Hazard unit”</t>
        </r>
      </text>
    </comment>
    <comment ref="G107" authorId="0" shapeId="0">
      <text>
        <r>
          <rPr>
            <sz val="10"/>
            <color rgb="FF000000"/>
            <rFont val="Arial"/>
            <family val="2"/>
          </rPr>
          <t>Indicate the expanded uncertainty (usually 95% confidence interval) value associated with the measurement expressed in the unit reported in the field “Hazard unit”.</t>
        </r>
      </text>
    </comment>
    <comment ref="G108" authorId="0" shapeId="0">
      <text>
        <r>
          <rPr>
            <sz val="10"/>
            <color rgb="FF000000"/>
            <rFont val="Arial"/>
            <family val="2"/>
          </rPr>
          <t>An unambiguous and sequential ID given to the parameter. To be compatible with SBML, only letters from A to Z, numbers and "_" are acepted for ID creation.</t>
        </r>
      </text>
    </comment>
    <comment ref="M108" authorId="0" shapeId="0">
      <text>
        <r>
          <rPr>
            <sz val="10"/>
            <color rgb="FF000000"/>
            <rFont val="Arial"/>
            <family val="2"/>
          </rPr>
          <t>Statistical values calculated to describe the performance of the model fitting procedure</t>
        </r>
      </text>
    </comment>
    <comment ref="P108" authorId="0" shapeId="0">
      <text>
        <r>
          <rPr>
            <sz val="10"/>
            <color rgb="FF000000"/>
            <rFont val="Arial"/>
            <family val="2"/>
          </rPr>
          <t>A name given to the model equation</t>
        </r>
      </text>
    </comment>
    <comment ref="Q108" authorId="0" shapeId="0">
      <text>
        <r>
          <rPr>
            <sz val="10"/>
            <color rgb="FF000000"/>
            <rFont val="Arial"/>
            <family val="2"/>
          </rPr>
          <t>Information on that helps to categorize model equations</t>
        </r>
      </text>
    </comment>
    <comment ref="R108" authorId="0" shapeId="0">
      <text>
        <r>
          <rPr>
            <sz val="10"/>
            <color rgb="FF000000"/>
            <rFont val="Arial"/>
            <family val="2"/>
          </rPr>
          <t xml:space="preserve">Procedure used to fit the data to the model equation </t>
        </r>
      </text>
    </comment>
    <comment ref="S108" authorId="0" shapeId="0">
      <text>
        <r>
          <rPr>
            <sz val="10"/>
            <color rgb="FF000000"/>
            <rFont val="Arial"/>
            <family val="2"/>
          </rPr>
          <t>The pointer to the file that holds the software code (e.g. R-script)</t>
        </r>
      </text>
    </comment>
    <comment ref="G109" authorId="0" shapeId="0">
      <text>
        <r>
          <rPr>
            <sz val="10"/>
            <color rgb="FF000000"/>
            <rFont val="Arial"/>
            <family val="2"/>
          </rPr>
          <t>General classification of the parameter (e.g. Input, Constant, Output...)</t>
        </r>
      </text>
    </comment>
    <comment ref="G110" authorId="0" shapeId="0">
      <text>
        <r>
          <rPr>
            <sz val="10"/>
            <color rgb="FF000000"/>
            <rFont val="Arial"/>
            <family val="2"/>
          </rPr>
          <t>A name given to the parameter</t>
        </r>
      </text>
    </comment>
    <comment ref="G111" authorId="0" shapeId="0">
      <text>
        <r>
          <rPr>
            <sz val="10"/>
            <color rgb="FF000000"/>
            <rFont val="Arial"/>
            <family val="2"/>
          </rPr>
          <t>General description of the parameter</t>
        </r>
      </text>
    </comment>
    <comment ref="G112" authorId="0" shapeId="0">
      <text>
        <r>
          <rPr>
            <sz val="10"/>
            <color rgb="FF000000"/>
            <rFont val="Arial"/>
            <family val="2"/>
          </rPr>
          <t>Unit of the parameter</t>
        </r>
      </text>
    </comment>
    <comment ref="G113" authorId="0" shapeId="0">
      <text>
        <r>
          <rPr>
            <sz val="10"/>
            <color rgb="FF000000"/>
            <rFont val="Arial"/>
            <family val="2"/>
          </rPr>
          <t>General classification of the parameter unit</t>
        </r>
      </text>
    </comment>
    <comment ref="G114" authorId="0" shapeId="0">
      <text>
        <r>
          <rPr>
            <sz val="10"/>
            <color rgb="FF000000"/>
            <rFont val="Arial"/>
            <family val="2"/>
          </rPr>
          <t>Information on the data format of the parameter, e.g. if it is a categorial variable, int, double, array of size x,y,z</t>
        </r>
      </text>
    </comment>
    <comment ref="G115" authorId="0" shapeId="0">
      <text>
        <r>
          <rPr>
            <sz val="10"/>
            <color rgb="FF000000"/>
            <rFont val="Arial"/>
            <family val="2"/>
          </rPr>
          <t>Information on the type of knowledge used to define the parameter value</t>
        </r>
      </text>
    </comment>
    <comment ref="G116" authorId="0" shapeId="0">
      <text>
        <r>
          <rPr>
            <sz val="10"/>
            <color rgb="FF000000"/>
            <rFont val="Arial"/>
            <family val="2"/>
          </rPr>
          <t>Scope of the parameter, e.g. if it refers to an animal, a batch of animals, a batch of products, a carcass, a carcass skin etc</t>
        </r>
      </text>
    </comment>
    <comment ref="G117" authorId="0" shapeId="0">
      <text>
        <r>
          <rPr>
            <sz val="10"/>
            <color rgb="FF000000"/>
            <rFont val="Arial"/>
            <family val="2"/>
          </rPr>
          <t xml:space="preserve">Information on the distribution describing the parameter (e.g. variability, uncertainty, point estimate...) </t>
        </r>
      </text>
    </comment>
    <comment ref="K117"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8" authorId="0" shapeId="0">
      <text>
        <r>
          <rPr>
            <sz val="10"/>
            <color rgb="FF000000"/>
            <rFont val="Arial"/>
            <family val="2"/>
          </rPr>
          <t>An unambiguous and sequential ID given to the parameter. To be compatible with SBML, only letters from A to Z, numbers and "_" are acepted for ID creation.</t>
        </r>
      </text>
    </comment>
    <comment ref="M118" authorId="0" shapeId="0">
      <text>
        <r>
          <rPr>
            <sz val="10"/>
            <color rgb="FF000000"/>
            <rFont val="Arial"/>
            <family val="2"/>
          </rPr>
          <t>General classification of the parameter (e.g. Input, Constant, Output...)</t>
        </r>
      </text>
    </comment>
    <comment ref="N118" authorId="0" shapeId="0">
      <text>
        <r>
          <rPr>
            <sz val="10"/>
            <color rgb="FF000000"/>
            <rFont val="Arial"/>
            <family val="2"/>
          </rPr>
          <t>A name given to the parameter</t>
        </r>
      </text>
    </comment>
    <comment ref="O118" authorId="0" shapeId="0">
      <text>
        <r>
          <rPr>
            <sz val="10"/>
            <color rgb="FF000000"/>
            <rFont val="Arial"/>
            <family val="2"/>
          </rPr>
          <t>General description of the parameter</t>
        </r>
      </text>
    </comment>
    <comment ref="P118" authorId="0" shapeId="0">
      <text>
        <r>
          <rPr>
            <sz val="10"/>
            <color rgb="FF000000"/>
            <rFont val="Arial"/>
            <family val="2"/>
          </rPr>
          <t>Unit of the parameter</t>
        </r>
      </text>
    </comment>
    <comment ref="Q118" authorId="0" shapeId="0">
      <text>
        <r>
          <rPr>
            <sz val="10"/>
            <color rgb="FF000000"/>
            <rFont val="Arial"/>
            <family val="2"/>
          </rPr>
          <t>General classification of the parameter unit</t>
        </r>
      </text>
    </comment>
    <comment ref="R118" authorId="0" shapeId="0">
      <text>
        <r>
          <rPr>
            <sz val="10"/>
            <color rgb="FF000000"/>
            <rFont val="Arial"/>
            <family val="2"/>
          </rPr>
          <t>Information on the data format of the parameter, e.g. if it is a categorial variable, int, double, array of size x,y,z</t>
        </r>
      </text>
    </comment>
    <comment ref="S118" authorId="0" shapeId="0">
      <text>
        <r>
          <rPr>
            <sz val="10"/>
            <color rgb="FF000000"/>
            <rFont val="Arial"/>
            <family val="2"/>
          </rPr>
          <t>Information on the type of knowledge used to define the parameter value</t>
        </r>
      </text>
    </comment>
    <comment ref="T118" authorId="0" shapeId="0">
      <text>
        <r>
          <rPr>
            <sz val="10"/>
            <color rgb="FF000000"/>
            <rFont val="Arial"/>
            <family val="2"/>
          </rPr>
          <t>Scope of the parameter, e.g. if it refers to an animal, a batch of animals, a batch of products, a carcass, a carcass skin etc</t>
        </r>
      </text>
    </comment>
    <comment ref="U118"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family val="2"/>
          </rPr>
          <t>Numerical values of the maximum limit of the parameter that determine the range of applicability for which the model applies</t>
        </r>
      </text>
    </comment>
    <comment ref="Z118" authorId="0" shapeId="0">
      <text>
        <r>
          <rPr>
            <sz val="10"/>
            <color rgb="FF000000"/>
            <rFont val="Arial"/>
            <family val="2"/>
          </rPr>
          <t>Numerical values of the minimum limit of the parameter that determine the range of applicability for which the model applies</t>
        </r>
      </text>
    </comment>
    <comment ref="AA118" authorId="0" shapeId="0">
      <text>
        <r>
          <rPr>
            <sz val="10"/>
            <color rgb="FF000000"/>
            <rFont val="Arial"/>
            <family val="2"/>
          </rPr>
          <t>Error of the parameter value</t>
        </r>
      </text>
    </comment>
    <comment ref="G120"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family val="2"/>
          </rPr>
          <t>Numerical values of the maximum and minimum limits of the parameter that determine the range of applicability for which the model applies</t>
        </r>
      </text>
    </comment>
    <comment ref="G125" authorId="0" shapeId="0">
      <text>
        <r>
          <rPr>
            <sz val="10"/>
            <color rgb="FF000000"/>
            <rFont val="Arial"/>
            <family val="2"/>
          </rPr>
          <t>Error of the parameter value</t>
        </r>
      </text>
    </comment>
    <comment ref="G126" authorId="0" shapeId="0">
      <text>
        <r>
          <rPr>
            <sz val="10"/>
            <color rgb="FF000000"/>
            <rFont val="Arial"/>
            <family val="2"/>
          </rPr>
          <t>Statistical values calculated to describe the performance of the model fitting procedure</t>
        </r>
      </text>
    </comment>
    <comment ref="G128" authorId="0" shapeId="0">
      <text>
        <r>
          <rPr>
            <sz val="10"/>
            <color rgb="FF000000"/>
            <rFont val="Arial"/>
            <family val="2"/>
          </rPr>
          <t>A name given to the model equation</t>
        </r>
      </text>
    </comment>
    <comment ref="G129" authorId="0" shapeId="0">
      <text>
        <r>
          <rPr>
            <sz val="10"/>
            <color rgb="FF000000"/>
            <rFont val="Arial"/>
            <family val="2"/>
          </rPr>
          <t>Information on that helps to categorize model equations</t>
        </r>
      </text>
    </comment>
    <comment ref="G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The pointer to the file that holds the software code (e.g. R-script)</t>
        </r>
      </text>
    </comment>
    <comment ref="E136" authorId="0" shapeId="0">
      <text>
        <r>
          <rPr>
            <sz val="10"/>
            <color rgb="FF000000"/>
            <rFont val="Arial"/>
            <family val="2"/>
          </rPr>
          <t xml:space="preserve">Procedure used to fit the data to the model equation </t>
        </r>
      </text>
    </comment>
    <comment ref="E137" authorId="0" shapeId="0">
      <text>
        <r>
          <rPr>
            <sz val="10"/>
            <color rgb="FF000000"/>
            <rFont val="Arial"/>
            <family val="2"/>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study,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L37" authorId="0" shapeId="0">
      <text>
        <r>
          <rPr>
            <sz val="10"/>
            <color rgb="FF000000"/>
            <rFont val="Arial"/>
            <family val="2"/>
          </rPr>
          <t>General classification of the hazard for which the model or data applies</t>
        </r>
      </text>
    </comment>
    <comment ref="M37" authorId="0" shapeId="0">
      <text>
        <r>
          <rPr>
            <sz val="10"/>
            <color rgb="FF000000"/>
            <rFont val="Arial"/>
            <family val="2"/>
          </rPr>
          <t>Name of the hazard for which the model or data applies</t>
        </r>
      </text>
    </comment>
    <comment ref="N37" authorId="0" shapeId="0">
      <text>
        <r>
          <rPr>
            <sz val="10"/>
            <color rgb="FF000000"/>
            <rFont val="Arial"/>
            <family val="2"/>
          </rPr>
          <t>Description of the hazard for which the model or data applies</t>
        </r>
      </text>
    </comment>
    <comment ref="O37" authorId="0" shapeId="0">
      <text>
        <r>
          <rPr>
            <sz val="10"/>
            <color rgb="FF000000"/>
            <rFont val="Arial"/>
            <family val="2"/>
          </rPr>
          <t>Unit of the hazard for which the model applies</t>
        </r>
      </text>
    </comment>
    <comment ref="P37" authorId="0" shapeId="0">
      <text>
        <r>
          <rPr>
            <sz val="10"/>
            <color rgb="FF000000"/>
            <rFont val="Arial"/>
            <family val="2"/>
          </rPr>
          <t>morbidity, mortality, effect</t>
        </r>
      </text>
    </comment>
    <comment ref="Q37" authorId="0" shapeId="0">
      <text>
        <r>
          <rPr>
            <sz val="10"/>
            <color rgb="FF000000"/>
            <rFont val="Arial"/>
            <family val="2"/>
          </rPr>
          <t>source of contamination, origin</t>
        </r>
      </text>
    </comment>
    <comment ref="R37" authorId="0" shapeId="0">
      <text>
        <r>
          <rPr>
            <sz val="10"/>
            <color rgb="FF000000"/>
            <rFont val="Arial"/>
            <family val="2"/>
          </rPr>
          <t>A dose or concentration that produces a predetermined change in response rate of an adverse effect (called the bench response or BMR) compared to background.</t>
        </r>
      </text>
    </comment>
    <comment ref="S37" authorId="0" shapeId="0">
      <text>
        <r>
          <rPr>
            <sz val="10"/>
            <color rgb="FF000000"/>
            <rFont val="Arial"/>
            <family val="2"/>
          </rPr>
          <t>International regulations and permissible maximum residue levels in food and drinking water</t>
        </r>
      </text>
    </comment>
    <comment ref="T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Y37" authorId="0" shapeId="0">
      <text>
        <r>
          <rPr>
            <sz val="10"/>
            <color rgb="FF000000"/>
            <rFont val="Arial"/>
            <family val="2"/>
          </rPr>
          <t>Define if the parameter reported is an individual residue/analyte, a summed residue definition or part of a sum a summed residue definition.</t>
        </r>
      </text>
    </comment>
    <comment ref="Z37" authorId="0" shapeId="0">
      <text>
        <r>
          <rPr>
            <sz val="10"/>
            <color rgb="FF000000"/>
            <rFont val="Arial"/>
            <family val="2"/>
          </rPr>
          <t>Name of the population for which the model or data applies</t>
        </r>
      </text>
    </comment>
    <comment ref="AA37" authorId="0" shapeId="0">
      <text>
        <r>
          <rPr>
            <sz val="10"/>
            <color rgb="FF000000"/>
            <rFont val="Arial"/>
            <family val="2"/>
          </rPr>
          <t>population of individual that we are interested in describing and making statistical inferences about</t>
        </r>
      </text>
    </comment>
    <comment ref="AB37" authorId="0" shapeId="0">
      <text>
        <r>
          <rPr>
            <sz val="10"/>
            <color rgb="FF000000"/>
            <rFont val="Arial"/>
            <family val="2"/>
          </rPr>
          <t>Temporal information on the exposure duration</t>
        </r>
      </text>
    </comment>
    <comment ref="AC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family val="2"/>
          </rPr>
          <t>describe the range of age or group of age</t>
        </r>
      </text>
    </comment>
    <comment ref="AE37" authorId="0" shapeId="0">
      <text>
        <r>
          <rPr>
            <sz val="10"/>
            <color rgb="FF000000"/>
            <rFont val="Arial"/>
            <family val="2"/>
          </rPr>
          <t>describe the percentage of gender</t>
        </r>
      </text>
    </comment>
    <comment ref="AF37" authorId="0" shapeId="0">
      <text>
        <r>
          <rPr>
            <sz val="10"/>
            <color rgb="FF000000"/>
            <rFont val="Arial"/>
            <family val="2"/>
          </rPr>
          <t>describe the range of BMI or class of BMI or BMI mean</t>
        </r>
      </text>
    </comment>
    <comment ref="AG37" authorId="0" shapeId="0">
      <text>
        <r>
          <rPr>
            <sz val="10"/>
            <color rgb="FF000000"/>
            <rFont val="Arial"/>
            <family val="2"/>
          </rPr>
          <t>sub-population with special diets (vegetarians, diabetics, group following special ethnic diets)</t>
        </r>
      </text>
    </comment>
    <comment ref="AH37" authorId="0" shapeId="0">
      <text>
        <r>
          <rPr>
            <sz val="10"/>
            <color rgb="FF000000"/>
            <rFont val="Arial"/>
            <family val="2"/>
          </rPr>
          <t>describe the consumption of different food items: frequency, portion size</t>
        </r>
      </text>
    </comment>
    <comment ref="AI37" authorId="0" shapeId="0">
      <text>
        <r>
          <rPr>
            <sz val="10"/>
            <color rgb="FF000000"/>
            <rFont val="Arial"/>
            <family val="2"/>
          </rPr>
          <t>Spatial information (area) on which the population group of the model or data applies</t>
        </r>
      </text>
    </comment>
    <comment ref="AJ37" authorId="0" shapeId="0">
      <text>
        <r>
          <rPr>
            <sz val="10"/>
            <color rgb="FF000000"/>
            <rFont val="Arial"/>
            <family val="2"/>
          </rPr>
          <t>Country on which the population group of the model or data applies</t>
        </r>
      </text>
    </comment>
    <comment ref="AK37" authorId="0" shapeId="0">
      <text>
        <r>
          <rPr>
            <sz val="10"/>
            <color rgb="FF000000"/>
            <rFont val="Arial"/>
            <family val="2"/>
          </rPr>
          <t>distribution of surveyed people according to the season (influence consumption pattern)</t>
        </r>
      </text>
    </comment>
    <comment ref="AL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or data applies</t>
        </r>
      </text>
    </comment>
    <comment ref="G60" authorId="0" shapeId="0">
      <text>
        <r>
          <rPr>
            <sz val="10"/>
            <color rgb="FF000000"/>
            <rFont val="Arial"/>
            <family val="2"/>
          </rPr>
          <t>Country on which the population group of the model or data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L84" authorId="0" shapeId="0">
      <text>
        <r>
          <rPr>
            <sz val="10"/>
            <color rgb="FF000000"/>
            <rFont val="Arial"/>
            <family val="2"/>
          </rPr>
          <t>An unambiguous ID given to the samples used in the assay</t>
        </r>
      </text>
    </comment>
    <comment ref="M84" authorId="0" shapeId="0">
      <text>
        <r>
          <rPr>
            <sz val="10"/>
            <color rgb="FF000000"/>
            <rFont val="Arial"/>
            <family val="2"/>
          </rPr>
          <t>Additional protocol for sample and sample collection. Corresponds to the Protocol REF in ISA</t>
        </r>
      </text>
    </comment>
    <comment ref="N84" authorId="0" shapeId="0">
      <text>
        <r>
          <rPr>
            <sz val="10"/>
            <color rgb="FF000000"/>
            <rFont val="Arial"/>
            <family val="2"/>
          </rPr>
          <t>Sampling strategy (ref. EUROSTAT - Typology of sampling strategy, version of July 2009)</t>
        </r>
      </text>
    </comment>
    <comment ref="O84" authorId="0" shapeId="0">
      <text>
        <r>
          <rPr>
            <sz val="10"/>
            <color rgb="FF000000"/>
            <rFont val="Arial"/>
            <family val="2"/>
          </rPr>
          <t>Indicate the type programme for which the samples have been collected.</t>
        </r>
      </text>
    </comment>
    <comment ref="P84" authorId="0" shapeId="0">
      <text>
        <r>
          <rPr>
            <sz val="10"/>
            <color rgb="FF000000"/>
            <rFont val="Arial"/>
            <family val="2"/>
          </rPr>
          <t>Sampling method used to take the sample</t>
        </r>
      </text>
    </comment>
    <comment ref="Q84" authorId="0" shapeId="0">
      <text>
        <r>
          <rPr>
            <sz val="10"/>
            <color rgb="FF000000"/>
            <rFont val="Arial"/>
            <family val="2"/>
          </rPr>
          <t>description of data collection technique: stratified or complex sampling (several stages)</t>
        </r>
      </text>
    </comment>
    <comment ref="R84" authorId="0" shapeId="0">
      <text>
        <r>
          <rPr>
            <sz val="10"/>
            <color rgb="FF000000"/>
            <rFont val="Arial"/>
            <family val="2"/>
          </rPr>
          <t>description of the method employed to compute sampling weight (nonresponse-adjusted weight)</t>
        </r>
      </text>
    </comment>
    <comment ref="S84" authorId="0" shapeId="0">
      <text>
        <r>
          <rPr>
            <sz val="10"/>
            <color rgb="FF000000"/>
            <rFont val="Arial"/>
            <family val="2"/>
          </rPr>
          <t>number of units, full participants, partial participants, eligibles, not eligible, unresolved (eligibility status not resolved)…</t>
        </r>
      </text>
    </comment>
    <comment ref="T84" authorId="0" shapeId="0">
      <text>
        <r>
          <rPr>
            <sz val="10"/>
            <color rgb="FF000000"/>
            <rFont val="Arial"/>
            <family val="2"/>
          </rPr>
          <t>Unit in which the lot size is expressed.</t>
        </r>
      </text>
    </comment>
    <comment ref="U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P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L91" authorId="0" shapeId="0">
      <text>
        <r>
          <rPr>
            <sz val="10"/>
            <color rgb="FF000000"/>
            <rFont val="Arial"/>
            <family val="2"/>
          </rPr>
          <t>The laboratory accreditation to ISO/IEC 17025.</t>
        </r>
      </text>
    </comment>
    <comment ref="M91" authorId="0" shapeId="0">
      <text>
        <r>
          <rPr>
            <sz val="10"/>
            <color rgb="FF000000"/>
            <rFont val="Arial"/>
            <family val="2"/>
          </rPr>
          <t>Laboratory code (National laboratory code if available) or Laboratory name</t>
        </r>
      </text>
    </comment>
    <comment ref="N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M105" authorId="0" shapeId="0">
      <text>
        <r>
          <rPr>
            <sz val="10"/>
            <color rgb="FF000000"/>
            <rFont val="Arial"/>
            <family val="2"/>
          </rPr>
          <t>Statistical values calculated to describe the performance of the model fitting procedure</t>
        </r>
      </text>
    </comment>
    <comment ref="P105" authorId="0" shapeId="0">
      <text>
        <r>
          <rPr>
            <sz val="10"/>
            <color rgb="FF000000"/>
            <rFont val="Arial"/>
            <family val="2"/>
          </rPr>
          <t>A name given to the model equation</t>
        </r>
      </text>
    </comment>
    <comment ref="Q105" authorId="0" shapeId="0">
      <text>
        <r>
          <rPr>
            <sz val="10"/>
            <color rgb="FF000000"/>
            <rFont val="Arial"/>
            <family val="2"/>
          </rPr>
          <t>Information on that helps to categorize model equations</t>
        </r>
      </text>
    </comment>
    <comment ref="R105" authorId="0" shapeId="0">
      <text>
        <r>
          <rPr>
            <sz val="10"/>
            <color rgb="FF000000"/>
            <rFont val="Arial"/>
            <family val="2"/>
          </rPr>
          <t xml:space="preserve">Procedure used to fit the data to the model equation </t>
        </r>
      </text>
    </comment>
    <comment ref="S105" authorId="0" shapeId="0">
      <text>
        <r>
          <rPr>
            <sz val="10"/>
            <color rgb="FF000000"/>
            <rFont val="Arial"/>
            <family val="2"/>
          </rPr>
          <t>The pointer to the file that holds the software code (e.g. R-script)</t>
        </r>
      </text>
    </comment>
    <comment ref="G106" authorId="0" shapeId="0">
      <text>
        <r>
          <rPr>
            <sz val="10"/>
            <color rgb="FF000000"/>
            <rFont val="Arial"/>
            <family val="2"/>
          </rPr>
          <t>General classification of the parameter (e.g. Input, Constant, Output...)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5" authorId="0" shapeId="0">
      <text>
        <r>
          <rPr>
            <sz val="10"/>
            <color rgb="FF000000"/>
            <rFont val="Arial"/>
            <family val="2"/>
          </rPr>
          <t>An unambiguous and sequential ID given to the parameter. To be compatible with SBML, only letters from A to Z, numbers and "_" are acepted for ID creation.</t>
        </r>
      </text>
    </comment>
    <comment ref="M115" authorId="0" shapeId="0">
      <text>
        <r>
          <rPr>
            <sz val="10"/>
            <color rgb="FF000000"/>
            <rFont val="Arial"/>
            <family val="2"/>
          </rPr>
          <t>General classification of the parameter (e.g. Input, Constant, Output...)</t>
        </r>
      </text>
    </comment>
    <comment ref="N115" authorId="0" shapeId="0">
      <text>
        <r>
          <rPr>
            <sz val="10"/>
            <color rgb="FF000000"/>
            <rFont val="Arial"/>
            <family val="2"/>
          </rPr>
          <t>A name given to the parameter</t>
        </r>
      </text>
    </comment>
    <comment ref="O115" authorId="0" shapeId="0">
      <text>
        <r>
          <rPr>
            <sz val="10"/>
            <color rgb="FF000000"/>
            <rFont val="Arial"/>
            <family val="2"/>
          </rPr>
          <t>General description of the parameter</t>
        </r>
      </text>
    </comment>
    <comment ref="P115" authorId="0" shapeId="0">
      <text>
        <r>
          <rPr>
            <sz val="10"/>
            <color rgb="FF000000"/>
            <rFont val="Arial"/>
            <family val="2"/>
          </rPr>
          <t>Unit of the parameter</t>
        </r>
      </text>
    </comment>
    <comment ref="Q115" authorId="0" shapeId="0">
      <text>
        <r>
          <rPr>
            <sz val="10"/>
            <color rgb="FF000000"/>
            <rFont val="Arial"/>
            <family val="2"/>
          </rPr>
          <t>General classification of the parameter unit</t>
        </r>
      </text>
    </comment>
    <comment ref="R115" authorId="0" shapeId="0">
      <text>
        <r>
          <rPr>
            <sz val="10"/>
            <color rgb="FF000000"/>
            <rFont val="Arial"/>
            <family val="2"/>
          </rPr>
          <t>Information on the data format of the parameter, e.g. if it is a categorial variable, int, double, array of size x,y,z</t>
        </r>
      </text>
    </comment>
    <comment ref="S115" authorId="0" shapeId="0">
      <text>
        <r>
          <rPr>
            <sz val="10"/>
            <color rgb="FF000000"/>
            <rFont val="Arial"/>
            <family val="2"/>
          </rPr>
          <t>Information on the type of knowledge used to define the parameter value</t>
        </r>
      </text>
    </comment>
    <comment ref="T115" authorId="0" shapeId="0">
      <text>
        <r>
          <rPr>
            <sz val="10"/>
            <color rgb="FF000000"/>
            <rFont val="Arial"/>
            <family val="2"/>
          </rPr>
          <t>Scope of the parameter, e.g. if it refers to an animal, a batch of animals, a batch of products, a carcass, a carcass skin etc</t>
        </r>
      </text>
    </comment>
    <comment ref="U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family val="2"/>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family val="2"/>
          </rPr>
          <t>Numerical values of the maximum limit of the parameter that determine the range of applicability for which the model applies</t>
        </r>
      </text>
    </comment>
    <comment ref="Z115" authorId="0" shapeId="0">
      <text>
        <r>
          <rPr>
            <sz val="10"/>
            <color rgb="FF000000"/>
            <rFont val="Arial"/>
            <family val="2"/>
          </rPr>
          <t>Numerical values of the  minimum limit of the parameter that determine the range of applicability for which the model applies</t>
        </r>
      </text>
    </comment>
    <comment ref="AA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values of the maximum and minimum limits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sharedStrings.xml><?xml version="1.0" encoding="utf-8"?>
<sst xmlns="http://schemas.openxmlformats.org/spreadsheetml/2006/main" count="1404" uniqueCount="176">
  <si>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</si>
  <si>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</si>
  <si>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</si>
  <si>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</si>
  <si>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</si>
  <si>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</si>
  <si>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</si>
  <si>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</si>
  <si>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</si>
  <si>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</si>
  <si>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</si>
  <si>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</si>
  <si>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</si>
  <si>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</si>
  <si>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</si>
  <si>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</si>
  <si>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</si>
  <si>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</si>
  <si>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</si>
  <si>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</si>
  <si>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</si>
  <si>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</si>
  <si>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</si>
  <si>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</si>
  <si>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</si>
  <si>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</si>
  <si>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</si>
  <si>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</si>
  <si>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</si>
  <si>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</si>
  <si>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</si>
  <si>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</si>
  <si>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</si>
  <si>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</si>
  <si>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</si>
  <si>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</si>
  <si>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</si>
  <si>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</si>
  <si>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</si>
  <si>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</si>
  <si>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</si>
  <si>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</si>
  <si>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</si>
  <si>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</si>
  <si>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</si>
  <si>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</si>
  <si>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</si>
  <si>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</si>
  <si>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</si>
  <si>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</si>
  <si>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Double</t>
  </si>
  <si>
    <t>meanPortion</t>
  </si>
  <si>
    <t>muCret</t>
  </si>
  <si>
    <t>sigmaCret</t>
  </si>
  <si>
    <t>Pprev</t>
  </si>
  <si>
    <t>niter</t>
  </si>
  <si>
    <t>upperPortion</t>
  </si>
  <si>
    <t>stdPortion</t>
  </si>
  <si>
    <t>dose</t>
  </si>
  <si>
    <t>dosemean</t>
  </si>
  <si>
    <t>Output</t>
  </si>
  <si>
    <t>Integer</t>
  </si>
  <si>
    <t>Vector[number]</t>
  </si>
  <si>
    <t>Number of iterations</t>
  </si>
  <si>
    <t>Mean(s) of concentration</t>
  </si>
  <si>
    <t>Standard deviation of concentration</t>
  </si>
  <si>
    <t>Probability of Prevalence</t>
  </si>
  <si>
    <t>Mean of portion size</t>
  </si>
  <si>
    <t>upper bound of portion size</t>
  </si>
  <si>
    <t>Standard deviation of portion size</t>
  </si>
  <si>
    <t>Doses</t>
  </si>
  <si>
    <t>Mean of doses</t>
  </si>
  <si>
    <t>chicken2boardMean</t>
  </si>
  <si>
    <t>chicken2boardStd</t>
  </si>
  <si>
    <t>board2saladMean</t>
  </si>
  <si>
    <t>board2saladStd</t>
  </si>
  <si>
    <t>Cross contamination Mean of Chicken 2 board</t>
  </si>
  <si>
    <t>Cross contamination StDev of  Chicken 2 board</t>
  </si>
  <si>
    <t>Cross contamination Mean of  board 2 chicken</t>
  </si>
  <si>
    <t>Cross contamination StDev of  board 2 chicken</t>
  </si>
  <si>
    <t>chicken2handsMean</t>
  </si>
  <si>
    <t>chicken2handsStd</t>
  </si>
  <si>
    <t>hands2saladMean</t>
  </si>
  <si>
    <t>hands2saladStd</t>
  </si>
  <si>
    <t>Cross contamination Mean of chicken 2 hands</t>
  </si>
  <si>
    <t>Cross contamination StDev of chicken 2 hands</t>
  </si>
  <si>
    <t>Cross contamination Mean of hands to salad</t>
  </si>
  <si>
    <t>Cross contamination StDev of hands to salad</t>
  </si>
  <si>
    <t>Cross contamination Mean of hands to hands</t>
  </si>
  <si>
    <t>Cross contamination StDev of hands to hands</t>
  </si>
  <si>
    <t>hands2handsMean</t>
  </si>
  <si>
    <t>hands2handsStd</t>
  </si>
  <si>
    <t>saladWashingEffectMin</t>
  </si>
  <si>
    <t>saladWashingEffectMostLikely</t>
  </si>
  <si>
    <t>saladWashingEffectMax</t>
  </si>
  <si>
    <t>Minimum of Salad washing effect distribution</t>
  </si>
  <si>
    <t>Moste likely value of Salad washing effect distribution</t>
  </si>
  <si>
    <t>Maximum of Salad washing effect distribution</t>
  </si>
  <si>
    <t>boardWashingEffectMin</t>
  </si>
  <si>
    <t>boardWashingEffectMostLikely</t>
  </si>
  <si>
    <t>boardWashingEffectMax</t>
  </si>
  <si>
    <t>Minimum of board washing effect distribution</t>
  </si>
  <si>
    <t>Moste likely value of board washing effect distribution</t>
  </si>
  <si>
    <t>Maximum of board washing effect distribution</t>
  </si>
  <si>
    <t>cuttingBoardHandlingUsesDifferentBoard</t>
  </si>
  <si>
    <t>cuttingBoardHandlingTurnAroundBoard</t>
  </si>
  <si>
    <t>cuttingBoardHandlingUseSameBoard</t>
  </si>
  <si>
    <t>cuttingBoardHandlingCleanBoard</t>
  </si>
  <si>
    <t>nr of people using different board</t>
  </si>
  <si>
    <t>nr of people using same board</t>
  </si>
  <si>
    <t>nr of people using clean board</t>
  </si>
  <si>
    <t>nr of people turning around board</t>
  </si>
  <si>
    <t>transferHands2tap</t>
  </si>
  <si>
    <t>transfer rate from hands to tap</t>
  </si>
  <si>
    <t>freqChickenFirs</t>
  </si>
  <si>
    <t>freqHandWash</t>
  </si>
  <si>
    <t>freqBoardWash</t>
  </si>
  <si>
    <t>freqWashSalad</t>
  </si>
  <si>
    <t>normalLimit</t>
  </si>
  <si>
    <t>occurence of chicken firs</t>
  </si>
  <si>
    <t>occurence of hand wash</t>
  </si>
  <si>
    <t>occurence of board wash</t>
  </si>
  <si>
    <t>occurence of wash salad</t>
  </si>
  <si>
    <t>limit for normal distribution</t>
  </si>
  <si>
    <t>CPM2007Mylius</t>
  </si>
  <si>
    <t>Mylius, Nauta, Havelaar</t>
  </si>
  <si>
    <t>Dr.</t>
  </si>
  <si>
    <t>Fuhrmann</t>
  </si>
  <si>
    <t>M.</t>
  </si>
  <si>
    <t>Other (Non-Commercial)</t>
  </si>
  <si>
    <t>Open access</t>
  </si>
  <si>
    <t>https://europepmc.org/article/med/17958493</t>
  </si>
  <si>
    <t>Yes</t>
  </si>
  <si>
    <t>Journal Article</t>
  </si>
  <si>
    <t>DOI: 10.1111/j.1539-6924.2006.00872.x</t>
  </si>
  <si>
    <t>Sido D. Mylius, Maarten J. Nauta and Arie H. Havelaar</t>
  </si>
  <si>
    <t>Cross-Contamination During Food Preparation: A Mechanistic Model Applied to Chicken-Borne Campylobacter</t>
  </si>
  <si>
    <t>We develop a model for bacterial cross-contamination during food preparation in the domestic
kitchen and apply this to the case of Campylobacter-contaminated chicken breast. Building
blocks of the model are the routines performed during food preparation, with their associated
probabilities of bacterial transfer between food items and kitchen utensils.The model is used in
a quantitative microbiological risk assessment (QMRA) of Campylobacter in the Netherlands.
Using parameter values from the literature and performing elementary sensitivity analyses,
we show that cross-contamination can contribute significantly to the risk of Campylobacter
infection and find that cleaning frequency of kitchen utensils and thoroughness of rinsing of
raw food items after preparation has more impact on cross-contamination than previously
emphasized. Furthermore, we argue that especially more behavioral data on hygiene during
food preparation is needed for a comprehensive Campylobacter risk assessment.</t>
  </si>
  <si>
    <t>Risk Analysis, Vol. 27, No. 4, 2007</t>
  </si>
  <si>
    <t>Published</t>
  </si>
  <si>
    <t>log10(CFU/g)</t>
  </si>
  <si>
    <t>[Probability]</t>
  </si>
  <si>
    <t>g</t>
  </si>
  <si>
    <t>Others</t>
  </si>
  <si>
    <t>Dimensionless Quantity</t>
  </si>
  <si>
    <t>Number Content (count/mass)</t>
  </si>
  <si>
    <t>Mass</t>
  </si>
  <si>
    <t>Mass,</t>
  </si>
  <si>
    <t>Number</t>
  </si>
  <si>
    <t>Article</t>
  </si>
  <si>
    <t>Assumption</t>
  </si>
  <si>
    <t>Product</t>
  </si>
  <si>
    <t>Other</t>
  </si>
  <si>
    <t>Log-Normal 2</t>
  </si>
  <si>
    <t>Variability between meat samples</t>
  </si>
  <si>
    <t>Point estimate</t>
  </si>
  <si>
    <t>Variability between portion sizes</t>
  </si>
  <si>
    <t xml:space="preserve"> Variability between portion sizes</t>
  </si>
  <si>
    <t>Variability in doses</t>
  </si>
  <si>
    <t>marcel.fuhrmann@bfr.bund.de</t>
  </si>
  <si>
    <t>Poultry — chicken, geese, duck, turkey and Guinea fowl — ostrich, pigeon Meat</t>
  </si>
  <si>
    <t>The final product is a salad prepared together with fresh chicken breast fillet</t>
  </si>
  <si>
    <t>Microorganisms</t>
  </si>
  <si>
    <t>Campylobacter jejuni</t>
  </si>
  <si>
    <t>CFU/g</t>
  </si>
  <si>
    <t>Campylobacteriosis</t>
  </si>
  <si>
    <t>Exponential 1</t>
  </si>
  <si>
    <t>Beta 1</t>
  </si>
  <si>
    <t>10.1111/j.1539-6924.2010.01481.x</t>
  </si>
  <si>
    <t>Nauta, Maarten, &amp; Christensen, Bjarke</t>
  </si>
  <si>
    <t>The Impact of Consumer Phase Models in Microbial Risk Analysis</t>
  </si>
  <si>
    <t xml:space="preserve">In quantitative microbiological risk assessment (QMRA), the consumer phase model (CPM) describes the part of the food chain between purchase of the food product at retail and exposure. Construction of a CPM is complicated by the large variation in consumer food handling practices and a limited availability of data. Therefore, several subjective (simplifying) assumptions have to be made when a CPM is constructed, but with a single CPM their impact on the QMRA results is unclear. We therefore compared the performance of eight published CPMs for Campylobacter in broiler meat in an example of a QMRA, where all the CPMs were analyzed using one single input distribution of concentrations at retail, and the same dose‐response relationship. It was found that, between CPMs, there may be a considerable difference in the estimated probability of illness per serving. However, the estimated relative risk reductions are less different for scenarios modeling the implementation of control measures. For control measures affecting the Campylobacter prevalence, the relative risk is proportional irrespective of the CPM used. However, for control measures affecting the concentration the CPMs show some difference in the estimated relative risk. This difference is largest for scenarios where the aim is to remove the highly contaminated portion from human exposure. Given these results, we conclude that for many purposes it is not necessary to develop a new detailed CPM for each new QMRA. However, more observational data on consumer food handling practices and their impact on microbial transfer and survival are needed to generalize this conclusion. </t>
  </si>
  <si>
    <t>Risk Analysis, Vol 31, Issue 2</t>
  </si>
  <si>
    <t>https://onlinelibrary.wiley.com/doi/abs/10.1111/j.1539-6924.2010.01481.x</t>
  </si>
  <si>
    <t>Consumer phase model for transfer of Campylobacter during preparation of ready-to-eat chicken salad</t>
  </si>
  <si>
    <t>Mylius consumer phase model for transfer of Campylobacter during preparation of ready-to-eat chicken salad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</si>
</sst>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x14ac:knownFonts="1">
    <font>
      <sz val="10"/>
      <color rgb="FF000000"/>
      <name val="Arial"/>
    </font>
    <font>
      <b/>
      <sz val="10"/>
      <name val="Arial"/>
      <family val="2"/>
    </font>
    <font>
      <b/>
      <sz val="11"/>
      <name val="Arial"/>
      <family val="2"/>
    </font>
    <font>
      <b/>
      <sz val="11"/>
      <color rgb="FF000000"/>
      <name val="Arial"/>
      <family val="2"/>
    </font>
    <font>
      <sz val="10"/>
      <name val="Arial"/>
      <family val="2"/>
    </font>
    <font>
      <sz val="10"/>
      <color rgb="FF000000"/>
      <name val="Arial"/>
      <family val="2"/>
    </font>
    <font>
      <sz val="10"/>
      <color rgb="FF000000"/>
      <name val="Arial"/>
      <family val="2"/>
    </font>
    <font>
      <sz val="11"/>
      <name val="Arial"/>
      <family val="2"/>
    </font>
    <font>
      <sz val="10"/>
      <name val="Arial"/>
      <family val="2"/>
    </font>
    <font>
      <sz val="11"/>
      <name val="Arial"/>
      <family val="2"/>
    </font>
    <font>
      <sz val="11"/>
      <color rgb="FFF7981D"/>
      <name val="Arial"/>
      <family val="2"/>
    </font>
    <font>
      <sz val="11"/>
      <color rgb="FF7E3794"/>
      <name val="Arial"/>
      <family val="2"/>
    </font>
    <font>
      <b/>
      <sz val="11"/>
      <name val="Arial"/>
      <family val="2"/>
    </font>
    <font>
      <sz val="10"/>
      <color rgb="FFFF0000"/>
      <name val="Arial"/>
      <family val="2"/>
    </font>
    <font>
      <u/>
      <sz val="10"/>
      <color rgb="FF0000FF"/>
      <name val="Arial"/>
      <family val="2"/>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3">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8"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xf>
    <xf numFmtId="164" fontId="5" fillId="2" borderId="1" xfId="0" applyNumberFormat="1" applyFont="1" applyFill="1" applyBorder="1" applyAlignment="1">
      <alignment horizontal="center"/>
    </xf>
    <xf numFmtId="0" fontId="5" fillId="2" borderId="1" xfId="0" applyFont="1" applyFill="1" applyBorder="1" applyAlignment="1">
      <alignment horizontal="center"/>
    </xf>
    <xf numFmtId="0" fontId="4" fillId="2" borderId="1" xfId="0" applyFont="1" applyFill="1" applyBorder="1" applyAlignment="1">
      <alignment horizontal="center" vertical="center" wrapText="1"/>
    </xf>
    <xf numFmtId="0" fontId="15" fillId="0" borderId="0" xfId="0" applyFont="1" applyAlignment="1">
      <alignment horizontal="center"/>
    </xf>
    <xf numFmtId="0" fontId="5" fillId="3" borderId="0" xfId="0" applyFont="1" applyFill="1" applyAlignment="1">
      <alignment horizontal="center"/>
    </xf>
    <xf numFmtId="165" fontId="5" fillId="2" borderId="1" xfId="0" applyNumberFormat="1" applyFont="1" applyFill="1" applyBorder="1" applyAlignment="1">
      <alignment horizont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cellXfs>
  <cellStyles count="1">
    <cellStyle name="Normal" xfId="0" builtinId="0"/>
  </cellStyles>
  <dxfs count="2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8"/>
      <tableStyleElement type="firstRowStripe" dxfId="27"/>
      <tableStyleElement type="second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uhrmanm/Documents/Projects/ModelRepository/nauta_efsa_opinion/CPM/lindqvist/lindqvist_meta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Risk Charact Model"/>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refreshError="1"/>
      <sheetData sheetId="27" refreshError="1"/>
      <sheetData sheetId="28" refreshError="1"/>
      <sheetData sheetId="29"/>
      <sheetData sheetId="30" refreshError="1"/>
      <sheetData sheetId="3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sheetData sheetId="41" refreshError="1"/>
      <sheetData sheetId="42" refreshError="1"/>
      <sheetData sheetId="43" refreshError="1"/>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sheetDataSet>
  </externalBook>
</externalLink>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D61" zoomScaleNormal="100" workbookViewId="0">
      <selection activeCell="I74" sqref="I74"/>
    </sheetView>
  </sheetViews>
  <sheetFormatPr defaultColWidth="14.453125" defaultRowHeight="15.75" customHeight="1" x14ac:dyDescent="0.25"/>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8" max="18" width="15.54296875" customWidth="1"/>
    <col min="19" max="19" width="24.453125" customWidth="1"/>
    <col min="24" max="24" width="30.26953125" customWidth="1"/>
    <col min="27" max="27" width="25" customWidth="1"/>
  </cols>
  <sheetData>
    <row r="1" spans="1:48" ht="14" x14ac:dyDescent="0.25">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9" t="str">
        <f ca="1">D6</f>
        <v>Creator</v>
      </c>
      <c r="L1" s="98"/>
      <c r="M1" s="98"/>
      <c r="N1" s="98"/>
      <c r="O1" s="98"/>
      <c r="P1" s="98"/>
      <c r="Q1" s="98"/>
      <c r="R1" s="98"/>
      <c r="S1" s="98"/>
      <c r="T1" s="98"/>
      <c r="U1" s="98"/>
      <c r="V1" s="98"/>
      <c r="W1" s="98"/>
      <c r="X1" s="98"/>
      <c r="Y1" s="98"/>
      <c r="Z1" s="4"/>
      <c r="AA1" s="99" t="str">
        <f ca="1">D5</f>
        <v>Author</v>
      </c>
      <c r="AB1" s="98"/>
      <c r="AC1" s="98"/>
      <c r="AD1" s="98"/>
      <c r="AE1" s="98"/>
      <c r="AF1" s="98"/>
      <c r="AG1" s="98"/>
      <c r="AH1" s="98"/>
      <c r="AI1" s="98"/>
      <c r="AJ1" s="98"/>
      <c r="AK1" s="98"/>
      <c r="AL1" s="98"/>
      <c r="AM1" s="98"/>
      <c r="AN1" s="98"/>
      <c r="AO1" s="98"/>
      <c r="AP1" s="4"/>
      <c r="AQ1" s="4"/>
      <c r="AR1" s="4"/>
      <c r="AS1" s="4"/>
      <c r="AT1" s="4"/>
      <c r="AU1" s="4"/>
      <c r="AV1" s="4"/>
    </row>
    <row r="2" spans="1:48" ht="12.5" x14ac:dyDescent="0.25">
      <c r="A2" s="5" t="str">
        <f ca="1">IFERROR(__xludf.DUMMYFUNCTION("""COMPUTED_VALUE"""),"Yes")</f>
        <v>Yes</v>
      </c>
      <c r="B2" s="97" t="str">
        <f ca="1">IFERROR(__xludf.DUMMYFUNCTION("""COMPUTED_VALUE"""),"General information")</f>
        <v>General information</v>
      </c>
      <c r="C2" s="99" t="str">
        <f ca="1">IFERROR(__xludf.DUMMYFUNCTION("""COMPUTED_VALUE"""),"1")</f>
        <v>1</v>
      </c>
      <c r="D2" s="5" t="str">
        <f ca="1">IFERROR(__xludf.DUMMYFUNCTION("""COMPUTED_VALUE"""),"Study / Data / Model name")</f>
        <v>Study / Data / Model name</v>
      </c>
      <c r="E2" s="99" t="str">
        <f ca="1">IFERROR(__xludf.DUMMYFUNCTION("""COMPUTED_VALUE"""),"1")</f>
        <v>1</v>
      </c>
      <c r="F2" s="98"/>
      <c r="G2" s="98"/>
      <c r="H2" s="7" t="str">
        <f ca="1">IFERROR(__xludf.DUMMYFUNCTION("""COMPUTED_VALUE"""),"String")</f>
        <v>String</v>
      </c>
      <c r="I2" s="83" t="s">
        <v>175</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x14ac:dyDescent="0.25">
      <c r="A3" s="5" t="str">
        <f ca="1">IFERROR(__xludf.DUMMYFUNCTION("""COMPUTED_VALUE"""),"Yes")</f>
        <v>Yes</v>
      </c>
      <c r="B3" s="98"/>
      <c r="C3" s="98"/>
      <c r="D3" s="5" t="str">
        <f ca="1">IFERROR(__xludf.DUMMYFUNCTION("""COMPUTED_VALUE"""),"Source")</f>
        <v>Source</v>
      </c>
      <c r="E3" s="99" t="str">
        <f ca="1">IFERROR(__xludf.DUMMYFUNCTION("""COMPUTED_VALUE"""),"0:1")</f>
        <v>0:1</v>
      </c>
      <c r="F3" s="98"/>
      <c r="G3" s="98"/>
      <c r="H3" s="7" t="str">
        <f ca="1">IFERROR(__xludf.DUMMYFUNCTION("""COMPUTED_VALUE"""),"String")</f>
        <v>String</v>
      </c>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x14ac:dyDescent="0.25">
      <c r="A4" s="5" t="str">
        <f ca="1">IFERROR(__xludf.DUMMYFUNCTION("""COMPUTED_VALUE"""),"Yes")</f>
        <v>Yes</v>
      </c>
      <c r="B4" s="98"/>
      <c r="C4" s="98"/>
      <c r="D4" s="5" t="str">
        <f ca="1">IFERROR(__xludf.DUMMYFUNCTION("""COMPUTED_VALUE"""),"Identifier")</f>
        <v>Identifier</v>
      </c>
      <c r="E4" s="99" t="str">
        <f ca="1">IFERROR(__xludf.DUMMYFUNCTION("""COMPUTED_VALUE"""),"1")</f>
        <v>1</v>
      </c>
      <c r="F4" s="98"/>
      <c r="G4" s="98"/>
      <c r="H4" s="7" t="str">
        <f ca="1">IFERROR(__xludf.DUMMYFUNCTION("""COMPUTED_VALUE"""),"String")</f>
        <v>String</v>
      </c>
      <c r="I4" s="84" t="s">
        <v>124</v>
      </c>
      <c r="J4" s="4"/>
      <c r="K4" s="11"/>
      <c r="L4" s="12"/>
      <c r="M4" s="11"/>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x14ac:dyDescent="0.25">
      <c r="A5" s="5" t="str">
        <f ca="1">IFERROR(__xludf.DUMMYFUNCTION("""COMPUTED_VALUE"""),"No")</f>
        <v>No</v>
      </c>
      <c r="B5" s="98"/>
      <c r="C5" s="98"/>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85" t="s">
        <v>125</v>
      </c>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x14ac:dyDescent="0.25">
      <c r="A6" s="5" t="str">
        <f ca="1">IFERROR(__xludf.DUMMYFUNCTION("""COMPUTED_VALUE"""),"Yes")</f>
        <v>Yes</v>
      </c>
      <c r="B6" s="98"/>
      <c r="C6" s="98"/>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2" t="s">
        <v>126</v>
      </c>
      <c r="L6" s="12" t="s">
        <v>127</v>
      </c>
      <c r="M6" s="12" t="s">
        <v>128</v>
      </c>
      <c r="N6" s="12"/>
      <c r="O6" s="12" t="s">
        <v>127</v>
      </c>
      <c r="P6" s="11"/>
      <c r="Q6" s="11"/>
      <c r="R6" s="12" t="s">
        <v>159</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x14ac:dyDescent="0.25">
      <c r="A7" s="5" t="str">
        <f ca="1">IFERROR(__xludf.DUMMYFUNCTION("""COMPUTED_VALUE"""),"Yes")</f>
        <v>Yes</v>
      </c>
      <c r="B7" s="98"/>
      <c r="C7" s="98"/>
      <c r="D7" s="99" t="str">
        <f ca="1">IFERROR(__xludf.DUMMYFUNCTION("""COMPUTED_VALUE"""),"Date")</f>
        <v>Date</v>
      </c>
      <c r="E7" s="99"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x14ac:dyDescent="0.25">
      <c r="A8" s="5" t="str">
        <f ca="1">IFERROR(__xludf.DUMMYFUNCTION("""COMPUTED_VALUE"""),"No")</f>
        <v>No</v>
      </c>
      <c r="B8" s="98"/>
      <c r="C8" s="98"/>
      <c r="D8" s="98"/>
      <c r="E8" s="98"/>
      <c r="F8" s="7" t="str">
        <f ca="1">IFERROR(__xludf.DUMMYFUNCTION("""COMPUTED_VALUE"""),"Last modified date")</f>
        <v>Last modified date</v>
      </c>
      <c r="G8" s="5" t="str">
        <f ca="1">IFERROR(__xludf.DUMMYFUNCTION("""COMPUTED_VALUE"""),"0:N")</f>
        <v>0:N</v>
      </c>
      <c r="H8" s="7" t="str">
        <f ca="1">IFERROR(__xludf.DUMMYFUNCTION("""COMPUTED_VALUE"""),"Date")</f>
        <v>Date</v>
      </c>
      <c r="I8" s="91">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x14ac:dyDescent="0.25">
      <c r="A9" s="5" t="str">
        <f ca="1">IFERROR(__xludf.DUMMYFUNCTION("""COMPUTED_VALUE"""),"Yes")</f>
        <v>Yes</v>
      </c>
      <c r="B9" s="98"/>
      <c r="C9" s="98"/>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92" t="s">
        <v>129</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x14ac:dyDescent="0.25">
      <c r="A10" s="5" t="str">
        <f ca="1">IFERROR(__xludf.DUMMYFUNCTION("""COMPUTED_VALUE"""),"No")</f>
        <v>No</v>
      </c>
      <c r="B10" s="98"/>
      <c r="C10" s="98"/>
      <c r="D10" s="5" t="str">
        <f ca="1">IFERROR(__xludf.DUMMYFUNCTION("""COMPUTED_VALUE"""),"Availability")</f>
        <v>Availability</v>
      </c>
      <c r="E10" s="99" t="str">
        <f ca="1">IFERROR(__xludf.DUMMYFUNCTION("""COMPUTED_VALUE"""),"0:1")</f>
        <v>0:1</v>
      </c>
      <c r="F10" s="98"/>
      <c r="G10" s="98"/>
      <c r="H10" s="7" t="str">
        <f ca="1">IFERROR(__xludf.DUMMYFUNCTION("""COMPUTED_VALUE"""),"String")</f>
        <v>String</v>
      </c>
      <c r="I10" s="92" t="s">
        <v>130</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x14ac:dyDescent="0.25">
      <c r="A11" s="5" t="str">
        <f ca="1">IFERROR(__xludf.DUMMYFUNCTION("""COMPUTED_VALUE"""),"No")</f>
        <v>No</v>
      </c>
      <c r="B11" s="98"/>
      <c r="C11" s="98"/>
      <c r="D11" s="5" t="str">
        <f ca="1">IFERROR(__xludf.DUMMYFUNCTION("""COMPUTED_VALUE"""),"URL")</f>
        <v>URL</v>
      </c>
      <c r="E11" s="99" t="str">
        <f ca="1">IFERROR(__xludf.DUMMYFUNCTION("""COMPUTED_VALUE"""),"0:1")</f>
        <v>0:1</v>
      </c>
      <c r="F11" s="98"/>
      <c r="G11" s="98"/>
      <c r="H11" s="7" t="str">
        <f ca="1">IFERROR(__xludf.DUMMYFUNCTION("""COMPUTED_VALUE"""),"String")</f>
        <v>String</v>
      </c>
      <c r="I11" s="15" t="s">
        <v>131</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x14ac:dyDescent="0.25">
      <c r="A12" s="5" t="str">
        <f ca="1">IFERROR(__xludf.DUMMYFUNCTION("""COMPUTED_VALUE"""),"No")</f>
        <v>No</v>
      </c>
      <c r="B12" s="98"/>
      <c r="C12" s="98"/>
      <c r="D12" s="5" t="str">
        <f ca="1">IFERROR(__xludf.DUMMYFUNCTION("""COMPUTED_VALUE"""),"Format")</f>
        <v>Format</v>
      </c>
      <c r="E12" s="99" t="str">
        <f ca="1">IFERROR(__xludf.DUMMYFUNCTION("""COMPUTED_VALUE"""),"0:1")</f>
        <v>0:1</v>
      </c>
      <c r="F12" s="98"/>
      <c r="G12" s="98"/>
      <c r="H12" s="7" t="str">
        <f ca="1">IFERROR(__xludf.DUMMYFUNCTION("""COMPUTED_VALUE"""),"String")</f>
        <v>String</v>
      </c>
      <c r="I12" s="10"/>
      <c r="J12" s="4"/>
      <c r="K12" s="101" t="str">
        <f ca="1">D13</f>
        <v>References</v>
      </c>
      <c r="L12" s="98"/>
      <c r="M12" s="98"/>
      <c r="N12" s="98"/>
      <c r="O12" s="98"/>
      <c r="P12" s="98"/>
      <c r="Q12" s="98"/>
      <c r="R12" s="98"/>
      <c r="S12" s="98"/>
      <c r="T12" s="98"/>
      <c r="U12" s="98"/>
      <c r="V12" s="98"/>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x14ac:dyDescent="0.3">
      <c r="A13" s="5" t="str">
        <f ca="1">IFERROR(__xludf.DUMMYFUNCTION("""COMPUTED_VALUE"""),"Yes")</f>
        <v>Yes</v>
      </c>
      <c r="B13" s="98"/>
      <c r="C13" s="98"/>
      <c r="D13" s="99" t="str">
        <f ca="1">IFERROR(__xludf.DUMMYFUNCTION("""COMPUTED_VALUE"""),"References")</f>
        <v>References</v>
      </c>
      <c r="E13" s="99"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x14ac:dyDescent="0.25">
      <c r="A14" s="5" t="str">
        <f ca="1">IFERROR(__xludf.DUMMYFUNCTION("""COMPUTED_VALUE"""),"Yes")</f>
        <v>Yes</v>
      </c>
      <c r="B14" s="98"/>
      <c r="C14" s="98"/>
      <c r="D14" s="98"/>
      <c r="E14" s="98"/>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x14ac:dyDescent="0.25">
      <c r="A15" s="5" t="str">
        <f ca="1">IFERROR(__xludf.DUMMYFUNCTION("""COMPUTED_VALUE"""),"No")</f>
        <v>No</v>
      </c>
      <c r="B15" s="98"/>
      <c r="C15" s="98"/>
      <c r="D15" s="98"/>
      <c r="E15" s="98"/>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132</v>
      </c>
      <c r="L15" s="11" t="s">
        <v>133</v>
      </c>
      <c r="M15" s="14">
        <v>39295</v>
      </c>
      <c r="N15" s="12">
        <v>17958493</v>
      </c>
      <c r="O15" s="11" t="s">
        <v>134</v>
      </c>
      <c r="P15" s="11" t="s">
        <v>135</v>
      </c>
      <c r="Q15" s="11" t="s">
        <v>136</v>
      </c>
      <c r="R15" s="93" t="s">
        <v>137</v>
      </c>
      <c r="S15" s="12" t="s">
        <v>138</v>
      </c>
      <c r="T15" s="11" t="s">
        <v>139</v>
      </c>
      <c r="U15" s="11" t="s">
        <v>131</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x14ac:dyDescent="0.25">
      <c r="A16" s="5" t="str">
        <f ca="1">IFERROR(__xludf.DUMMYFUNCTION("""COMPUTED_VALUE"""),"No")</f>
        <v>No</v>
      </c>
      <c r="B16" s="98"/>
      <c r="C16" s="98"/>
      <c r="D16" s="98"/>
      <c r="E16" s="98"/>
      <c r="F16" s="7" t="str">
        <f ca="1">IFERROR(__xludf.DUMMYFUNCTION("""COMPUTED_VALUE"""),"PubMed ID")</f>
        <v>PubMed ID</v>
      </c>
      <c r="G16" s="5" t="str">
        <f ca="1">IFERROR(__xludf.DUMMYFUNCTION("""COMPUTED_VALUE"""),"0:1")</f>
        <v>0:1</v>
      </c>
      <c r="H16" s="7" t="str">
        <f ca="1">IFERROR(__xludf.DUMMYFUNCTION("""COMPUTED_VALUE"""),"RIS")</f>
        <v>RIS</v>
      </c>
      <c r="I16" s="13"/>
      <c r="J16" s="4"/>
      <c r="K16" s="12" t="s">
        <v>132</v>
      </c>
      <c r="L16" s="12" t="s">
        <v>133</v>
      </c>
      <c r="M16" s="91">
        <v>40415</v>
      </c>
      <c r="N16" s="12">
        <v>20738819</v>
      </c>
      <c r="O16" s="12" t="s">
        <v>168</v>
      </c>
      <c r="P16" s="12" t="s">
        <v>169</v>
      </c>
      <c r="Q16" s="12" t="s">
        <v>170</v>
      </c>
      <c r="R16" s="12" t="s">
        <v>171</v>
      </c>
      <c r="S16" s="12" t="s">
        <v>172</v>
      </c>
      <c r="T16" s="12" t="s">
        <v>139</v>
      </c>
      <c r="U16" s="12" t="s">
        <v>173</v>
      </c>
      <c r="V16" s="1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x14ac:dyDescent="0.25">
      <c r="A17" s="5" t="str">
        <f ca="1">IFERROR(__xludf.DUMMYFUNCTION("""COMPUTED_VALUE"""),"Yes")</f>
        <v>Yes</v>
      </c>
      <c r="B17" s="98"/>
      <c r="C17" s="98"/>
      <c r="D17" s="98"/>
      <c r="E17" s="98"/>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x14ac:dyDescent="0.25">
      <c r="A18" s="5" t="str">
        <f ca="1">IFERROR(__xludf.DUMMYFUNCTION("""COMPUTED_VALUE"""),"No")</f>
        <v>No</v>
      </c>
      <c r="B18" s="98"/>
      <c r="C18" s="98"/>
      <c r="D18" s="98"/>
      <c r="E18" s="98"/>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x14ac:dyDescent="0.25">
      <c r="A19" s="5" t="str">
        <f ca="1">IFERROR(__xludf.DUMMYFUNCTION("""COMPUTED_VALUE"""),"Yes")</f>
        <v>Yes</v>
      </c>
      <c r="B19" s="98"/>
      <c r="C19" s="98"/>
      <c r="D19" s="98"/>
      <c r="E19" s="98"/>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x14ac:dyDescent="0.25">
      <c r="A20" s="5" t="str">
        <f ca="1">IFERROR(__xludf.DUMMYFUNCTION("""COMPUTED_VALUE"""),"No")</f>
        <v>No</v>
      </c>
      <c r="B20" s="98"/>
      <c r="C20" s="98"/>
      <c r="D20" s="98"/>
      <c r="E20" s="98"/>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x14ac:dyDescent="0.25">
      <c r="A21" s="5" t="str">
        <f ca="1">IFERROR(__xludf.DUMMYFUNCTION("""COMPUTED_VALUE"""),"No")</f>
        <v>No</v>
      </c>
      <c r="B21" s="98"/>
      <c r="C21" s="98"/>
      <c r="D21" s="98"/>
      <c r="E21" s="98"/>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x14ac:dyDescent="0.25">
      <c r="A22" s="5" t="str">
        <f ca="1">IFERROR(__xludf.DUMMYFUNCTION("""COMPUTED_VALUE"""),"No")</f>
        <v>No</v>
      </c>
      <c r="B22" s="98"/>
      <c r="C22" s="98"/>
      <c r="D22" s="98"/>
      <c r="E22" s="98"/>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x14ac:dyDescent="0.25">
      <c r="A23" s="5" t="str">
        <f ca="1">IFERROR(__xludf.DUMMYFUNCTION("""COMPUTED_VALUE"""),"No")</f>
        <v>No</v>
      </c>
      <c r="B23" s="98"/>
      <c r="C23" s="98"/>
      <c r="D23" s="98"/>
      <c r="E23" s="98"/>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x14ac:dyDescent="0.25">
      <c r="A24" s="5" t="str">
        <f ca="1">IFERROR(__xludf.DUMMYFUNCTION("""COMPUTED_VALUE"""),"No")</f>
        <v>No</v>
      </c>
      <c r="B24" s="98"/>
      <c r="C24" s="98"/>
      <c r="D24" s="98"/>
      <c r="E24" s="98"/>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x14ac:dyDescent="0.25">
      <c r="A25" s="5" t="str">
        <f ca="1">IFERROR(__xludf.DUMMYFUNCTION("""COMPUTED_VALUE"""),"No")</f>
        <v>No</v>
      </c>
      <c r="B25" s="98"/>
      <c r="C25" s="98"/>
      <c r="D25" s="5" t="str">
        <f ca="1">IFERROR(__xludf.DUMMYFUNCTION("""COMPUTED_VALUE"""),"Language")</f>
        <v>Language</v>
      </c>
      <c r="E25" s="99" t="str">
        <f ca="1">IFERROR(__xludf.DUMMYFUNCTION("""COMPUTED_VALUE"""),"0:1")</f>
        <v>0:1</v>
      </c>
      <c r="F25" s="98"/>
      <c r="G25" s="98"/>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x14ac:dyDescent="0.25">
      <c r="A26" s="5" t="str">
        <f ca="1">IFERROR(__xludf.DUMMYFUNCTION("""COMPUTED_VALUE"""),"No")</f>
        <v>No</v>
      </c>
      <c r="B26" s="98"/>
      <c r="C26" s="98"/>
      <c r="D26" s="5" t="str">
        <f ca="1">IFERROR(__xludf.DUMMYFUNCTION("""COMPUTED_VALUE"""),"Software")</f>
        <v>Software</v>
      </c>
      <c r="E26" s="99" t="str">
        <f ca="1">IFERROR(__xludf.DUMMYFUNCTION("""COMPUTED_VALUE"""),"0:1")</f>
        <v>0:1</v>
      </c>
      <c r="F26" s="98"/>
      <c r="G26" s="98"/>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x14ac:dyDescent="0.25">
      <c r="A27" s="5" t="str">
        <f ca="1">IFERROR(__xludf.DUMMYFUNCTION("""COMPUTED_VALUE"""),"No")</f>
        <v>No</v>
      </c>
      <c r="B27" s="98"/>
      <c r="C27" s="98"/>
      <c r="D27" s="5" t="str">
        <f ca="1">IFERROR(__xludf.DUMMYFUNCTION("""COMPUTED_VALUE"""),"Language written in")</f>
        <v>Language written in</v>
      </c>
      <c r="E27" s="99" t="str">
        <f ca="1">IFERROR(__xludf.DUMMYFUNCTION("""COMPUTED_VALUE"""),"0:1")</f>
        <v>0:1</v>
      </c>
      <c r="F27" s="98"/>
      <c r="G27" s="98"/>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x14ac:dyDescent="0.25">
      <c r="A28" s="5" t="str">
        <f ca="1">IFERROR(__xludf.DUMMYFUNCTION("""COMPUTED_VALUE"""),"No")</f>
        <v>No</v>
      </c>
      <c r="B28" s="98"/>
      <c r="C28" s="98"/>
      <c r="D28" s="99" t="str">
        <f ca="1">IFERROR(__xludf.DUMMYFUNCTION("""COMPUTED_VALUE"""),"Model category")</f>
        <v>Model category</v>
      </c>
      <c r="E28" s="99"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x14ac:dyDescent="0.25">
      <c r="A29" s="5" t="str">
        <f ca="1">IFERROR(__xludf.DUMMYFUNCTION("""COMPUTED_VALUE"""),"No")</f>
        <v>No</v>
      </c>
      <c r="B29" s="98"/>
      <c r="C29" s="98"/>
      <c r="D29" s="98"/>
      <c r="E29" s="98"/>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x14ac:dyDescent="0.25">
      <c r="A30" s="5" t="str">
        <f ca="1">IFERROR(__xludf.DUMMYFUNCTION("""COMPUTED_VALUE"""),"No")</f>
        <v>No</v>
      </c>
      <c r="B30" s="98"/>
      <c r="C30" s="98"/>
      <c r="D30" s="98"/>
      <c r="E30" s="98"/>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x14ac:dyDescent="0.25">
      <c r="A31" s="5" t="str">
        <f ca="1">IFERROR(__xludf.DUMMYFUNCTION("""COMPUTED_VALUE"""),"No")</f>
        <v>No</v>
      </c>
      <c r="B31" s="98"/>
      <c r="C31" s="98"/>
      <c r="D31" s="98"/>
      <c r="E31" s="98"/>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x14ac:dyDescent="0.25">
      <c r="A32" s="5" t="str">
        <f ca="1">IFERROR(__xludf.DUMMYFUNCTION("""COMPUTED_VALUE"""),"No")</f>
        <v>No</v>
      </c>
      <c r="B32" s="98"/>
      <c r="C32" s="98"/>
      <c r="D32" s="98"/>
      <c r="E32" s="98"/>
      <c r="F32" s="7"/>
      <c r="G32" s="5"/>
      <c r="H32" s="7"/>
      <c r="I32" s="15"/>
      <c r="J32" s="4"/>
    </row>
    <row r="33" spans="1:48" ht="12.5" x14ac:dyDescent="0.25">
      <c r="A33" s="5" t="str">
        <f ca="1">IFERROR(__xludf.DUMMYFUNCTION("""COMPUTED_VALUE"""),"No")</f>
        <v>No</v>
      </c>
      <c r="B33" s="98"/>
      <c r="C33" s="98"/>
      <c r="D33" s="5" t="str">
        <f ca="1">IFERROR(__xludf.DUMMYFUNCTION("""COMPUTED_VALUE"""),"Status")</f>
        <v>Status</v>
      </c>
      <c r="E33" s="99" t="str">
        <f ca="1">IFERROR(__xludf.DUMMYFUNCTION("""COMPUTED_VALUE"""),"0:1")</f>
        <v>0:1</v>
      </c>
      <c r="F33" s="98"/>
      <c r="G33" s="98"/>
      <c r="H33" s="7" t="str">
        <f ca="1">IFERROR(__xludf.DUMMYFUNCTION("""COMPUTED_VALUE"""),"String")</f>
        <v>String</v>
      </c>
      <c r="I33" s="15"/>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x14ac:dyDescent="0.25">
      <c r="A34" s="5" t="str">
        <f ca="1">IFERROR(__xludf.DUMMYFUNCTION("""COMPUTED_VALUE"""),"No")</f>
        <v>No</v>
      </c>
      <c r="B34" s="98"/>
      <c r="C34" s="98"/>
      <c r="D34" s="5" t="str">
        <f ca="1">IFERROR(__xludf.DUMMYFUNCTION("""COMPUTED_VALUE"""),"Objective")</f>
        <v>Objective</v>
      </c>
      <c r="E34" s="99" t="str">
        <f ca="1">IFERROR(__xludf.DUMMYFUNCTION("""COMPUTED_VALUE"""),"0:1")</f>
        <v>0:1</v>
      </c>
      <c r="F34" s="98"/>
      <c r="G34" s="98"/>
      <c r="H34" s="7" t="str">
        <f ca="1">IFERROR(__xludf.DUMMYFUNCTION("""COMPUTED_VALUE"""),"String")</f>
        <v>String</v>
      </c>
      <c r="I34" s="15"/>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x14ac:dyDescent="0.25">
      <c r="A35" s="5" t="str">
        <f ca="1">IFERROR(__xludf.DUMMYFUNCTION("""COMPUTED_VALUE"""),"No")</f>
        <v>No</v>
      </c>
      <c r="B35" s="98"/>
      <c r="C35" s="98"/>
      <c r="D35" s="5" t="str">
        <f ca="1">IFERROR(__xludf.DUMMYFUNCTION("""COMPUTED_VALUE"""),"Description")</f>
        <v>Description</v>
      </c>
      <c r="E35" s="99" t="str">
        <f ca="1">IFERROR(__xludf.DUMMYFUNCTION("""COMPUTED_VALUE"""),"0:1")</f>
        <v>0:1</v>
      </c>
      <c r="F35" s="98"/>
      <c r="G35" s="98"/>
      <c r="H35" s="7" t="str">
        <f ca="1">IFERROR(__xludf.DUMMYFUNCTION("""COMPUTED_VALUE"""),"String")</f>
        <v>String</v>
      </c>
      <c r="I35" s="15"/>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x14ac:dyDescent="0.25">
      <c r="A36" s="5" t="str">
        <f ca="1">IFERROR(__xludf.DUMMYFUNCTION("""COMPUTED_VALUE"""),"Yes")</f>
        <v>Yes</v>
      </c>
      <c r="B36" s="97" t="str">
        <f ca="1">IFERROR(__xludf.DUMMYFUNCTION("""COMPUTED_VALUE"""),"Scope")</f>
        <v>Scope</v>
      </c>
      <c r="C36" s="97" t="str">
        <f ca="1">IFERROR(__xludf.DUMMYFUNCTION("""COMPUTED_VALUE"""),"1")</f>
        <v>1</v>
      </c>
      <c r="D36" s="99" t="str">
        <f ca="1">IFERROR(__xludf.DUMMYFUNCTION("""COMPUTED_VALUE"""),"Product / matrix")</f>
        <v>Product / matrix</v>
      </c>
      <c r="E36" s="99"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13"/>
      <c r="J36" s="4"/>
      <c r="K36" s="101" t="str">
        <f ca="1">D36</f>
        <v>Product / matrix</v>
      </c>
      <c r="L36" s="98"/>
      <c r="M36" s="98"/>
      <c r="N36" s="98"/>
      <c r="O36" s="98"/>
      <c r="P36" s="98"/>
      <c r="Q36" s="98"/>
      <c r="R36" s="98"/>
      <c r="S36" s="98"/>
      <c r="T36" s="98"/>
      <c r="U36" s="98"/>
      <c r="V36" s="101" t="str">
        <f ca="1">D47</f>
        <v>Hazard</v>
      </c>
      <c r="W36" s="98"/>
      <c r="X36" s="98"/>
      <c r="Y36" s="98"/>
      <c r="Z36" s="98"/>
      <c r="AA36" s="98"/>
      <c r="AB36" s="98"/>
      <c r="AC36" s="98"/>
      <c r="AD36" s="98"/>
      <c r="AE36" s="98"/>
      <c r="AF36" s="98"/>
      <c r="AG36" s="98"/>
      <c r="AH36" s="98"/>
      <c r="AI36" s="98"/>
      <c r="AJ36" s="101" t="str">
        <f ca="1">D61</f>
        <v>Population Group</v>
      </c>
      <c r="AK36" s="98"/>
      <c r="AL36" s="98"/>
      <c r="AM36" s="98"/>
      <c r="AN36" s="98"/>
      <c r="AO36" s="98"/>
      <c r="AP36" s="98"/>
      <c r="AQ36" s="98"/>
      <c r="AR36" s="98"/>
      <c r="AS36" s="98"/>
      <c r="AT36" s="98"/>
      <c r="AU36" s="98"/>
      <c r="AV36" s="98"/>
    </row>
    <row r="37" spans="1:48" ht="12.5" x14ac:dyDescent="0.25">
      <c r="A37" s="5" t="str">
        <f ca="1">IFERROR(__xludf.DUMMYFUNCTION("""COMPUTED_VALUE"""),"Yes")</f>
        <v>Yes</v>
      </c>
      <c r="B37" s="98"/>
      <c r="C37" s="98"/>
      <c r="D37" s="98"/>
      <c r="E37" s="98"/>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13"/>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x14ac:dyDescent="0.25">
      <c r="A38" s="5" t="str">
        <f ca="1">IFERROR(__xludf.DUMMYFUNCTION("""COMPUTED_VALUE"""),"Yes")</f>
        <v>Yes</v>
      </c>
      <c r="B38" s="98"/>
      <c r="C38" s="98"/>
      <c r="D38" s="98"/>
      <c r="E38" s="98"/>
      <c r="F38" s="5" t="str">
        <f ca="1">IFERROR(__xludf.DUMMYFUNCTION("""COMPUTED_VALUE"""),"Product/matrix unit")</f>
        <v>Product/matrix unit</v>
      </c>
      <c r="G38" s="5" t="str">
        <f ca="1">IFERROR(__xludf.DUMMYFUNCTION("""COMPUTED_VALUE"""),"1")</f>
        <v>1</v>
      </c>
      <c r="H38" s="7" t="str">
        <f ca="1">IFERROR(__xludf.DUMMYFUNCTION("""COMPUTED_VALUE"""),"String")</f>
        <v>String</v>
      </c>
      <c r="I38" s="13"/>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x14ac:dyDescent="0.25">
      <c r="A39" s="5" t="str">
        <f ca="1">IFERROR(__xludf.DUMMYFUNCTION("""COMPUTED_VALUE"""),"No")</f>
        <v>No</v>
      </c>
      <c r="B39" s="98"/>
      <c r="C39" s="98"/>
      <c r="D39" s="98"/>
      <c r="E39" s="98"/>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92" t="s">
        <v>160</v>
      </c>
      <c r="L39" s="92" t="s">
        <v>161</v>
      </c>
      <c r="M39" s="92" t="s">
        <v>142</v>
      </c>
      <c r="N39" s="92"/>
      <c r="O39" s="92"/>
      <c r="P39" s="92"/>
      <c r="Q39" s="92"/>
      <c r="R39" s="92"/>
      <c r="S39" s="92"/>
      <c r="T39" s="96"/>
      <c r="U39" s="96"/>
      <c r="V39" s="92" t="s">
        <v>162</v>
      </c>
      <c r="W39" s="92" t="s">
        <v>163</v>
      </c>
      <c r="X39" s="92"/>
      <c r="Y39" s="92" t="s">
        <v>164</v>
      </c>
      <c r="Z39" s="84" t="s">
        <v>165</v>
      </c>
      <c r="AA39" s="92"/>
      <c r="AB39" s="92"/>
      <c r="AC39" s="92"/>
      <c r="AD39" s="92"/>
      <c r="AE39" s="92"/>
      <c r="AF39" s="10"/>
      <c r="AG39" s="10"/>
      <c r="AH39" s="10"/>
      <c r="AI39" s="15"/>
      <c r="AJ39" s="10"/>
      <c r="AK39" s="10"/>
      <c r="AL39" s="10"/>
      <c r="AM39" s="10"/>
      <c r="AN39" s="10"/>
      <c r="AO39" s="10"/>
      <c r="AP39" s="10"/>
      <c r="AQ39" s="10"/>
      <c r="AR39" s="10"/>
      <c r="AS39" s="10"/>
      <c r="AT39" s="10"/>
      <c r="AU39" s="10"/>
      <c r="AV39" s="10"/>
    </row>
    <row r="40" spans="1:48" ht="12.5" x14ac:dyDescent="0.25">
      <c r="A40" s="5" t="str">
        <f ca="1">IFERROR(__xludf.DUMMYFUNCTION("""COMPUTED_VALUE"""),"No")</f>
        <v>No</v>
      </c>
      <c r="B40" s="98"/>
      <c r="C40" s="98"/>
      <c r="D40" s="98"/>
      <c r="E40" s="98"/>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x14ac:dyDescent="0.25">
      <c r="A41" s="5" t="str">
        <f ca="1">IFERROR(__xludf.DUMMYFUNCTION("""COMPUTED_VALUE"""),"No")</f>
        <v>No</v>
      </c>
      <c r="B41" s="98"/>
      <c r="C41" s="98"/>
      <c r="D41" s="98"/>
      <c r="E41" s="98"/>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x14ac:dyDescent="0.25">
      <c r="A42" s="5" t="str">
        <f ca="1">IFERROR(__xludf.DUMMYFUNCTION("""COMPUTED_VALUE"""),"No")</f>
        <v>No</v>
      </c>
      <c r="B42" s="98"/>
      <c r="C42" s="98"/>
      <c r="D42" s="98"/>
      <c r="E42" s="98"/>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x14ac:dyDescent="0.25">
      <c r="A43" s="5" t="str">
        <f ca="1">IFERROR(__xludf.DUMMYFUNCTION("""COMPUTED_VALUE"""),"No")</f>
        <v>No</v>
      </c>
      <c r="B43" s="98"/>
      <c r="C43" s="98"/>
      <c r="D43" s="98"/>
      <c r="E43" s="98"/>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x14ac:dyDescent="0.25">
      <c r="A44" s="5" t="str">
        <f ca="1">IFERROR(__xludf.DUMMYFUNCTION("""COMPUTED_VALUE"""),"No")</f>
        <v>No</v>
      </c>
      <c r="B44" s="98"/>
      <c r="C44" s="98"/>
      <c r="D44" s="98"/>
      <c r="E44" s="98"/>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x14ac:dyDescent="0.25">
      <c r="A45" s="5" t="str">
        <f ca="1">IFERROR(__xludf.DUMMYFUNCTION("""COMPUTED_VALUE"""),"No")</f>
        <v>No</v>
      </c>
      <c r="B45" s="98"/>
      <c r="C45" s="98"/>
      <c r="D45" s="98"/>
      <c r="E45" s="98"/>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x14ac:dyDescent="0.25">
      <c r="A46" s="5" t="str">
        <f ca="1">IFERROR(__xludf.DUMMYFUNCTION("""COMPUTED_VALUE"""),"No")</f>
        <v>No</v>
      </c>
      <c r="B46" s="98"/>
      <c r="C46" s="98"/>
      <c r="D46" s="98"/>
      <c r="E46" s="98"/>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x14ac:dyDescent="0.25">
      <c r="A47" s="5" t="str">
        <f ca="1">IFERROR(__xludf.DUMMYFUNCTION("""COMPUTED_VALUE"""),"No")</f>
        <v>No</v>
      </c>
      <c r="B47" s="98"/>
      <c r="C47" s="98"/>
      <c r="D47" s="99" t="str">
        <f ca="1">IFERROR(__xludf.DUMMYFUNCTION("""COMPUTED_VALUE"""),"Hazard")</f>
        <v>Hazard</v>
      </c>
      <c r="E47" s="99"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x14ac:dyDescent="0.25">
      <c r="A48" s="5" t="str">
        <f ca="1">IFERROR(__xludf.DUMMYFUNCTION("""COMPUTED_VALUE"""),"Yes")</f>
        <v>Yes</v>
      </c>
      <c r="B48" s="98"/>
      <c r="C48" s="98"/>
      <c r="D48" s="98"/>
      <c r="E48" s="98"/>
      <c r="F48" s="7" t="str">
        <f ca="1">IFERROR(__xludf.DUMMYFUNCTION("""COMPUTED_VALUE"""),"Hazard name")</f>
        <v>Hazard name</v>
      </c>
      <c r="G48" s="5" t="str">
        <f ca="1">IFERROR(__xludf.DUMMYFUNCTION("""COMPUTED_VALUE"""),"1")</f>
        <v>1</v>
      </c>
      <c r="H48" s="7" t="str">
        <f ca="1">IFERROR(__xludf.DUMMYFUNCTION("""COMPUTED_VALUE"""),"String")</f>
        <v>String</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x14ac:dyDescent="0.25">
      <c r="A49" s="5" t="str">
        <f ca="1">IFERROR(__xludf.DUMMYFUNCTION("""COMPUTED_VALUE"""),"No")</f>
        <v>No</v>
      </c>
      <c r="B49" s="98"/>
      <c r="C49" s="98"/>
      <c r="D49" s="98"/>
      <c r="E49" s="98"/>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x14ac:dyDescent="0.25">
      <c r="A50" s="5" t="str">
        <f ca="1">IFERROR(__xludf.DUMMYFUNCTION("""COMPUTED_VALUE"""),"No")</f>
        <v>No</v>
      </c>
      <c r="B50" s="98"/>
      <c r="C50" s="98"/>
      <c r="D50" s="98"/>
      <c r="E50" s="98"/>
      <c r="F50" s="5" t="str">
        <f ca="1">IFERROR(__xludf.DUMMYFUNCTION("""COMPUTED_VALUE"""),"Hazard unit")</f>
        <v>Hazard unit</v>
      </c>
      <c r="G50" s="5" t="str">
        <f ca="1">IFERROR(__xludf.DUMMYFUNCTION("""COMPUTED_VALUE"""),"0:1")</f>
        <v>0:1</v>
      </c>
      <c r="H50" s="7" t="str">
        <f ca="1">IFERROR(__xludf.DUMMYFUNCTION("""COMPUTED_VALUE"""),"String")</f>
        <v>String</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x14ac:dyDescent="0.25">
      <c r="A51" s="5" t="str">
        <f ca="1">IFERROR(__xludf.DUMMYFUNCTION("""COMPUTED_VALUE"""),"No")</f>
        <v>No</v>
      </c>
      <c r="B51" s="98"/>
      <c r="C51" s="98"/>
      <c r="D51" s="98"/>
      <c r="E51" s="98"/>
      <c r="F51" s="5" t="str">
        <f ca="1">IFERROR(__xludf.DUMMYFUNCTION("""COMPUTED_VALUE"""),"Adverse effect")</f>
        <v>Adverse effect</v>
      </c>
      <c r="G51" s="5" t="str">
        <f ca="1">IFERROR(__xludf.DUMMYFUNCTION("""COMPUTED_VALUE"""),"0:1")</f>
        <v>0:1</v>
      </c>
      <c r="H51" s="7" t="str">
        <f ca="1">IFERROR(__xludf.DUMMYFUNCTION("""COMPUTED_VALUE"""),"String")</f>
        <v>String</v>
      </c>
      <c r="I51" s="13"/>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x14ac:dyDescent="0.25">
      <c r="A52" s="5" t="str">
        <f ca="1">IFERROR(__xludf.DUMMYFUNCTION("""COMPUTED_VALUE"""),"No")</f>
        <v>No</v>
      </c>
      <c r="B52" s="98"/>
      <c r="C52" s="98"/>
      <c r="D52" s="98"/>
      <c r="E52" s="98"/>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x14ac:dyDescent="0.25">
      <c r="A53" s="5" t="str">
        <f ca="1">IFERROR(__xludf.DUMMYFUNCTION("""COMPUTED_VALUE"""),"No")</f>
        <v>No</v>
      </c>
      <c r="B53" s="98"/>
      <c r="C53" s="98"/>
      <c r="D53" s="98"/>
      <c r="E53" s="98"/>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x14ac:dyDescent="0.25">
      <c r="A54" s="5" t="str">
        <f ca="1">IFERROR(__xludf.DUMMYFUNCTION("""COMPUTED_VALUE"""),"No")</f>
        <v>No</v>
      </c>
      <c r="B54" s="98"/>
      <c r="C54" s="98"/>
      <c r="D54" s="98"/>
      <c r="E54" s="98"/>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x14ac:dyDescent="0.25">
      <c r="A55" s="5" t="str">
        <f ca="1">IFERROR(__xludf.DUMMYFUNCTION("""COMPUTED_VALUE"""),"No")</f>
        <v>No</v>
      </c>
      <c r="B55" s="98"/>
      <c r="C55" s="98"/>
      <c r="D55" s="98"/>
      <c r="E55" s="98"/>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x14ac:dyDescent="0.25">
      <c r="A56" s="5" t="str">
        <f ca="1">IFERROR(__xludf.DUMMYFUNCTION("""COMPUTED_VALUE"""),"No")</f>
        <v>No</v>
      </c>
      <c r="B56" s="98"/>
      <c r="C56" s="98"/>
      <c r="D56" s="98"/>
      <c r="E56" s="98"/>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x14ac:dyDescent="0.25">
      <c r="A57" s="5" t="str">
        <f ca="1">IFERROR(__xludf.DUMMYFUNCTION("""COMPUTED_VALUE"""),"No")</f>
        <v>No</v>
      </c>
      <c r="B57" s="98"/>
      <c r="C57" s="98"/>
      <c r="D57" s="98"/>
      <c r="E57" s="98"/>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x14ac:dyDescent="0.25">
      <c r="A58" s="5" t="str">
        <f ca="1">IFERROR(__xludf.DUMMYFUNCTION("""COMPUTED_VALUE"""),"No")</f>
        <v>No</v>
      </c>
      <c r="B58" s="98"/>
      <c r="C58" s="98"/>
      <c r="D58" s="98"/>
      <c r="E58" s="98"/>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x14ac:dyDescent="0.25">
      <c r="A59" s="5" t="str">
        <f ca="1">IFERROR(__xludf.DUMMYFUNCTION("""COMPUTED_VALUE"""),"No")</f>
        <v>No</v>
      </c>
      <c r="B59" s="98"/>
      <c r="C59" s="98"/>
      <c r="D59" s="98"/>
      <c r="E59" s="98"/>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x14ac:dyDescent="0.25">
      <c r="A60" s="5" t="str">
        <f ca="1">IFERROR(__xludf.DUMMYFUNCTION("""COMPUTED_VALUE"""),"No")</f>
        <v>No</v>
      </c>
      <c r="B60" s="98"/>
      <c r="C60" s="98"/>
      <c r="D60" s="98"/>
      <c r="E60" s="98"/>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x14ac:dyDescent="0.25">
      <c r="A61" s="5" t="str">
        <f ca="1">IFERROR(__xludf.DUMMYFUNCTION("""COMPUTED_VALUE"""),"No")</f>
        <v>No</v>
      </c>
      <c r="B61" s="98"/>
      <c r="C61" s="98"/>
      <c r="D61" s="99" t="str">
        <f ca="1">IFERROR(__xludf.DUMMYFUNCTION("""COMPUTED_VALUE"""),"Population Group")</f>
        <v>Population Group</v>
      </c>
      <c r="E61" s="99"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x14ac:dyDescent="0.25">
      <c r="A62" s="5" t="str">
        <f ca="1">IFERROR(__xludf.DUMMYFUNCTION("""COMPUTED_VALUE"""),"No")</f>
        <v>No</v>
      </c>
      <c r="B62" s="98"/>
      <c r="C62" s="98"/>
      <c r="D62" s="98"/>
      <c r="E62" s="98"/>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x14ac:dyDescent="0.25">
      <c r="A63" s="5" t="str">
        <f ca="1">IFERROR(__xludf.DUMMYFUNCTION("""COMPUTED_VALUE"""),"No")</f>
        <v>No</v>
      </c>
      <c r="B63" s="98"/>
      <c r="C63" s="98"/>
      <c r="D63" s="98"/>
      <c r="E63" s="98"/>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x14ac:dyDescent="0.25">
      <c r="A64" s="5" t="str">
        <f ca="1">IFERROR(__xludf.DUMMYFUNCTION("""COMPUTED_VALUE"""),"No")</f>
        <v>No</v>
      </c>
      <c r="B64" s="98"/>
      <c r="C64" s="98"/>
      <c r="D64" s="98"/>
      <c r="E64" s="98"/>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x14ac:dyDescent="0.25">
      <c r="A65" s="5" t="str">
        <f ca="1">IFERROR(__xludf.DUMMYFUNCTION("""COMPUTED_VALUE"""),"No")</f>
        <v>No</v>
      </c>
      <c r="B65" s="98"/>
      <c r="C65" s="98"/>
      <c r="D65" s="98"/>
      <c r="E65" s="98"/>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x14ac:dyDescent="0.25">
      <c r="A66" s="5" t="str">
        <f ca="1">IFERROR(__xludf.DUMMYFUNCTION("""COMPUTED_VALUE"""),"No")</f>
        <v>No</v>
      </c>
      <c r="B66" s="98"/>
      <c r="C66" s="98"/>
      <c r="D66" s="98"/>
      <c r="E66" s="98"/>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x14ac:dyDescent="0.25">
      <c r="A67" s="5" t="str">
        <f ca="1">IFERROR(__xludf.DUMMYFUNCTION("""COMPUTED_VALUE"""),"No")</f>
        <v>No</v>
      </c>
      <c r="B67" s="98"/>
      <c r="C67" s="98"/>
      <c r="D67" s="98"/>
      <c r="E67" s="98"/>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x14ac:dyDescent="0.25">
      <c r="A68" s="5" t="str">
        <f ca="1">IFERROR(__xludf.DUMMYFUNCTION("""COMPUTED_VALUE"""),"No")</f>
        <v>No</v>
      </c>
      <c r="B68" s="98"/>
      <c r="C68" s="98"/>
      <c r="D68" s="98"/>
      <c r="E68" s="98"/>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x14ac:dyDescent="0.25">
      <c r="A69" s="5" t="str">
        <f ca="1">IFERROR(__xludf.DUMMYFUNCTION("""COMPUTED_VALUE"""),"No")</f>
        <v>No</v>
      </c>
      <c r="B69" s="98"/>
      <c r="C69" s="98"/>
      <c r="D69" s="98"/>
      <c r="E69" s="98"/>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x14ac:dyDescent="0.25">
      <c r="A70" s="5" t="str">
        <f ca="1">IFERROR(__xludf.DUMMYFUNCTION("""COMPUTED_VALUE"""),"No")</f>
        <v>No</v>
      </c>
      <c r="B70" s="98"/>
      <c r="C70" s="98"/>
      <c r="D70" s="98"/>
      <c r="E70" s="98"/>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x14ac:dyDescent="0.25">
      <c r="A71" s="5" t="str">
        <f ca="1">IFERROR(__xludf.DUMMYFUNCTION("""COMPUTED_VALUE"""),"No")</f>
        <v>No</v>
      </c>
      <c r="B71" s="98"/>
      <c r="C71" s="98"/>
      <c r="D71" s="98"/>
      <c r="E71" s="98"/>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x14ac:dyDescent="0.25">
      <c r="A72" s="5" t="str">
        <f ca="1">IFERROR(__xludf.DUMMYFUNCTION("""COMPUTED_VALUE"""),"No")</f>
        <v>No</v>
      </c>
      <c r="B72" s="98"/>
      <c r="C72" s="98"/>
      <c r="D72" s="98"/>
      <c r="E72" s="98"/>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x14ac:dyDescent="0.25">
      <c r="A73" s="5" t="str">
        <f ca="1">IFERROR(__xludf.DUMMYFUNCTION("""COMPUTED_VALUE"""),"No")</f>
        <v>No</v>
      </c>
      <c r="B73" s="98"/>
      <c r="C73" s="98"/>
      <c r="D73" s="98"/>
      <c r="E73" s="98"/>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x14ac:dyDescent="0.25">
      <c r="A74" s="5" t="str">
        <f ca="1">IFERROR(__xludf.DUMMYFUNCTION("""COMPUTED_VALUE"""),"No")</f>
        <v>No</v>
      </c>
      <c r="B74" s="98"/>
      <c r="C74" s="98"/>
      <c r="D74" s="5" t="str">
        <f ca="1">IFERROR(__xludf.DUMMYFUNCTION("""COMPUTED_VALUE"""),"General comment")</f>
        <v>General comment</v>
      </c>
      <c r="E74" s="99" t="str">
        <f ca="1">IFERROR(__xludf.DUMMYFUNCTION("""COMPUTED_VALUE"""),"0:1")</f>
        <v>0:1</v>
      </c>
      <c r="F74" s="98"/>
      <c r="G74" s="98"/>
      <c r="H74" s="7" t="str">
        <f ca="1">IFERROR(__xludf.DUMMYFUNCTION("""COMPUTED_VALUE"""),"String")</f>
        <v>String</v>
      </c>
      <c r="I74" s="15" t="s">
        <v>174</v>
      </c>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x14ac:dyDescent="0.25">
      <c r="A75" s="5" t="str">
        <f ca="1">IFERROR(__xludf.DUMMYFUNCTION("""COMPUTED_VALUE"""),"No")</f>
        <v>No</v>
      </c>
      <c r="B75" s="98"/>
      <c r="C75" s="98"/>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x14ac:dyDescent="0.25">
      <c r="A76" s="5" t="str">
        <f ca="1">IFERROR(__xludf.DUMMYFUNCTION("""COMPUTED_VALUE"""),"No")</f>
        <v>No</v>
      </c>
      <c r="B76" s="98"/>
      <c r="C76" s="98"/>
      <c r="D76" s="99" t="str">
        <f ca="1">IFERROR(__xludf.DUMMYFUNCTION("""COMPUTED_VALUE"""),"Spatial information")</f>
        <v>Spatial information</v>
      </c>
      <c r="E76" s="99"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x14ac:dyDescent="0.25">
      <c r="A77" s="5" t="str">
        <f ca="1">IFERROR(__xludf.DUMMYFUNCTION("""COMPUTED_VALUE"""),"No")</f>
        <v>No</v>
      </c>
      <c r="B77" s="98"/>
      <c r="C77" s="98"/>
      <c r="D77" s="98"/>
      <c r="E77" s="98"/>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x14ac:dyDescent="0.25">
      <c r="A78" s="5" t="str">
        <f ca="1">IFERROR(__xludf.DUMMYFUNCTION("""COMPUTED_VALUE"""),"No")</f>
        <v>No</v>
      </c>
      <c r="B78" s="97" t="str">
        <f ca="1">IFERROR(__xludf.DUMMYFUNCTION("""COMPUTED_VALUE"""),"Data_background")</f>
        <v>Data_background</v>
      </c>
      <c r="C78" s="97" t="str">
        <f ca="1">IFERROR(__xludf.DUMMYFUNCTION("""COMPUTED_VALUE"""),"0:1")</f>
        <v>0:1</v>
      </c>
      <c r="D78" s="99" t="str">
        <f ca="1">IFERROR(__xludf.DUMMYFUNCTION("""COMPUTED_VALUE"""),"Study")</f>
        <v>Study</v>
      </c>
      <c r="E78" s="99"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x14ac:dyDescent="0.25">
      <c r="A79" s="5" t="str">
        <f ca="1">IFERROR(__xludf.DUMMYFUNCTION("""COMPUTED_VALUE"""),"No")</f>
        <v>No</v>
      </c>
      <c r="B79" s="98"/>
      <c r="C79" s="98"/>
      <c r="D79" s="98"/>
      <c r="E79" s="98"/>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x14ac:dyDescent="0.25">
      <c r="A80" s="5" t="str">
        <f ca="1">IFERROR(__xludf.DUMMYFUNCTION("""COMPUTED_VALUE"""),"No")</f>
        <v>No</v>
      </c>
      <c r="B80" s="98"/>
      <c r="C80" s="98"/>
      <c r="D80" s="98"/>
      <c r="E80" s="98"/>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x14ac:dyDescent="0.25">
      <c r="A81" s="5" t="str">
        <f ca="1">IFERROR(__xludf.DUMMYFUNCTION("""COMPUTED_VALUE"""),"No")</f>
        <v>No</v>
      </c>
      <c r="B81" s="98"/>
      <c r="C81" s="98"/>
      <c r="D81" s="98"/>
      <c r="E81" s="98"/>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x14ac:dyDescent="0.25">
      <c r="A82" s="5" t="str">
        <f ca="1">IFERROR(__xludf.DUMMYFUNCTION("""COMPUTED_VALUE"""),"No")</f>
        <v>No</v>
      </c>
      <c r="B82" s="98"/>
      <c r="C82" s="98"/>
      <c r="D82" s="98"/>
      <c r="E82" s="98"/>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x14ac:dyDescent="0.25">
      <c r="A83" s="5" t="str">
        <f ca="1">IFERROR(__xludf.DUMMYFUNCTION("""COMPUTED_VALUE"""),"No")</f>
        <v>No</v>
      </c>
      <c r="B83" s="98"/>
      <c r="C83" s="98"/>
      <c r="D83" s="98"/>
      <c r="E83" s="98"/>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x14ac:dyDescent="0.25">
      <c r="A84" s="5" t="str">
        <f ca="1">IFERROR(__xludf.DUMMYFUNCTION("""COMPUTED_VALUE"""),"No")</f>
        <v>No</v>
      </c>
      <c r="B84" s="98"/>
      <c r="C84" s="98"/>
      <c r="D84" s="98"/>
      <c r="E84" s="98"/>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x14ac:dyDescent="0.25">
      <c r="A85" s="5" t="str">
        <f ca="1">IFERROR(__xludf.DUMMYFUNCTION("""COMPUTED_VALUE"""),"No")</f>
        <v>No</v>
      </c>
      <c r="B85" s="98"/>
      <c r="C85" s="98"/>
      <c r="D85" s="98"/>
      <c r="E85" s="98"/>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x14ac:dyDescent="0.25">
      <c r="A86" s="5" t="str">
        <f ca="1">IFERROR(__xludf.DUMMYFUNCTION("""COMPUTED_VALUE"""),"No")</f>
        <v>No</v>
      </c>
      <c r="B86" s="98"/>
      <c r="C86" s="98"/>
      <c r="D86" s="98"/>
      <c r="E86" s="98"/>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x14ac:dyDescent="0.25">
      <c r="A87" s="5" t="str">
        <f ca="1">IFERROR(__xludf.DUMMYFUNCTION("""COMPUTED_VALUE"""),"No")</f>
        <v>No</v>
      </c>
      <c r="B87" s="98"/>
      <c r="C87" s="98"/>
      <c r="D87" s="98"/>
      <c r="E87" s="98"/>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x14ac:dyDescent="0.25">
      <c r="A88" s="5" t="str">
        <f ca="1">IFERROR(__xludf.DUMMYFUNCTION("""COMPUTED_VALUE"""),"No")</f>
        <v>No</v>
      </c>
      <c r="B88" s="98"/>
      <c r="C88" s="98"/>
      <c r="D88" s="98"/>
      <c r="E88" s="98"/>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x14ac:dyDescent="0.25">
      <c r="A89" s="5" t="str">
        <f ca="1">IFERROR(__xludf.DUMMYFUNCTION("""COMPUTED_VALUE"""),"No")</f>
        <v>No</v>
      </c>
      <c r="B89" s="98"/>
      <c r="C89" s="98"/>
      <c r="D89" s="98"/>
      <c r="E89" s="98"/>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x14ac:dyDescent="0.25">
      <c r="A90" s="5" t="str">
        <f ca="1">IFERROR(__xludf.DUMMYFUNCTION("""COMPUTED_VALUE"""),"No")</f>
        <v>No</v>
      </c>
      <c r="B90" s="98"/>
      <c r="C90" s="98"/>
      <c r="D90" s="98"/>
      <c r="E90" s="98"/>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x14ac:dyDescent="0.25">
      <c r="A91" s="5" t="str">
        <f ca="1">IFERROR(__xludf.DUMMYFUNCTION("""COMPUTED_VALUE"""),"No")</f>
        <v>No</v>
      </c>
      <c r="B91" s="98"/>
      <c r="C91" s="98"/>
      <c r="D91" s="98"/>
      <c r="E91" s="98"/>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x14ac:dyDescent="0.25">
      <c r="A92" s="5" t="str">
        <f ca="1">IFERROR(__xludf.DUMMYFUNCTION("""COMPUTED_VALUE"""),"No")</f>
        <v>No</v>
      </c>
      <c r="B92" s="98"/>
      <c r="C92" s="98"/>
      <c r="D92" s="98"/>
      <c r="E92" s="98"/>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x14ac:dyDescent="0.25">
      <c r="A93" s="5" t="str">
        <f ca="1">IFERROR(__xludf.DUMMYFUNCTION("""COMPUTED_VALUE"""),"No")</f>
        <v>No</v>
      </c>
      <c r="B93" s="98"/>
      <c r="C93" s="98"/>
      <c r="D93" s="98"/>
      <c r="E93" s="98"/>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x14ac:dyDescent="0.25">
      <c r="A94" s="5" t="str">
        <f ca="1">IFERROR(__xludf.DUMMYFUNCTION("""COMPUTED_VALUE"""),"No")</f>
        <v>No</v>
      </c>
      <c r="B94" s="98"/>
      <c r="C94" s="98"/>
      <c r="D94" s="99" t="str">
        <f ca="1">IFERROR(__xludf.DUMMYFUNCTION("""COMPUTED_VALUE"""),"Study Sample")</f>
        <v>Study Sample</v>
      </c>
      <c r="E94" s="99"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101" t="str">
        <f ca="1">D94</f>
        <v>Study Sample</v>
      </c>
      <c r="M94" s="98"/>
      <c r="N94" s="98"/>
      <c r="O94" s="98"/>
      <c r="P94" s="98"/>
      <c r="Q94" s="98"/>
      <c r="R94" s="98"/>
      <c r="S94" s="98"/>
      <c r="T94" s="98"/>
      <c r="U94" s="98"/>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x14ac:dyDescent="0.25">
      <c r="A95" s="5" t="str">
        <f ca="1">IFERROR(__xludf.DUMMYFUNCTION("""COMPUTED_VALUE"""),"No")</f>
        <v>No</v>
      </c>
      <c r="B95" s="98"/>
      <c r="C95" s="98"/>
      <c r="D95" s="98"/>
      <c r="E95" s="98"/>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x14ac:dyDescent="0.25">
      <c r="A96" s="5" t="str">
        <f ca="1">IFERROR(__xludf.DUMMYFUNCTION("""COMPUTED_VALUE"""),"No")</f>
        <v>No</v>
      </c>
      <c r="B96" s="98"/>
      <c r="C96" s="98"/>
      <c r="D96" s="98"/>
      <c r="E96" s="98"/>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x14ac:dyDescent="0.25">
      <c r="A97" s="5" t="str">
        <f ca="1">IFERROR(__xludf.DUMMYFUNCTION("""COMPUTED_VALUE"""),"No")</f>
        <v>No</v>
      </c>
      <c r="B97" s="98"/>
      <c r="C97" s="98"/>
      <c r="D97" s="98"/>
      <c r="E97" s="98"/>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x14ac:dyDescent="0.25">
      <c r="A98" s="5" t="str">
        <f ca="1">IFERROR(__xludf.DUMMYFUNCTION("""COMPUTED_VALUE"""),"No")</f>
        <v>No</v>
      </c>
      <c r="B98" s="98"/>
      <c r="C98" s="98"/>
      <c r="D98" s="98"/>
      <c r="E98" s="98"/>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x14ac:dyDescent="0.25">
      <c r="A99" s="5" t="str">
        <f ca="1">IFERROR(__xludf.DUMMYFUNCTION("""COMPUTED_VALUE"""),"No")</f>
        <v>No</v>
      </c>
      <c r="B99" s="98"/>
      <c r="C99" s="98"/>
      <c r="D99" s="98"/>
      <c r="E99" s="98"/>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x14ac:dyDescent="0.25">
      <c r="A100" s="5" t="str">
        <f ca="1">IFERROR(__xludf.DUMMYFUNCTION("""COMPUTED_VALUE"""),"No")</f>
        <v>No</v>
      </c>
      <c r="B100" s="98"/>
      <c r="C100" s="98"/>
      <c r="D100" s="98"/>
      <c r="E100" s="98"/>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x14ac:dyDescent="0.25">
      <c r="A101" s="5" t="str">
        <f ca="1">IFERROR(__xludf.DUMMYFUNCTION("""COMPUTED_VALUE"""),"No")</f>
        <v>No</v>
      </c>
      <c r="B101" s="98"/>
      <c r="C101" s="98"/>
      <c r="D101" s="98"/>
      <c r="E101" s="98"/>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101" t="str">
        <f ca="1">D104</f>
        <v>Dietary assessment method</v>
      </c>
      <c r="M101" s="98"/>
      <c r="N101" s="98"/>
      <c r="O101" s="98"/>
      <c r="P101" s="98"/>
      <c r="Q101" s="98"/>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x14ac:dyDescent="0.25">
      <c r="A102" s="5" t="str">
        <f ca="1">IFERROR(__xludf.DUMMYFUNCTION("""COMPUTED_VALUE"""),"No")</f>
        <v>No</v>
      </c>
      <c r="B102" s="98"/>
      <c r="C102" s="98"/>
      <c r="D102" s="98"/>
      <c r="E102" s="98"/>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x14ac:dyDescent="0.25">
      <c r="A103" s="5" t="str">
        <f ca="1">IFERROR(__xludf.DUMMYFUNCTION("""COMPUTED_VALUE"""),"No")</f>
        <v>No</v>
      </c>
      <c r="B103" s="98"/>
      <c r="C103" s="98"/>
      <c r="D103" s="98"/>
      <c r="E103" s="98"/>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x14ac:dyDescent="0.25">
      <c r="A104" s="5" t="str">
        <f ca="1">IFERROR(__xludf.DUMMYFUNCTION("""COMPUTED_VALUE"""),"No")</f>
        <v>No</v>
      </c>
      <c r="B104" s="98"/>
      <c r="C104" s="98"/>
      <c r="D104" s="99" t="str">
        <f ca="1">IFERROR(__xludf.DUMMYFUNCTION("""COMPUTED_VALUE"""),"Dietary assessment method")</f>
        <v>Dietary assessment method</v>
      </c>
      <c r="E104" s="99"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x14ac:dyDescent="0.25">
      <c r="A105" s="5" t="str">
        <f ca="1">IFERROR(__xludf.DUMMYFUNCTION("""COMPUTED_VALUE"""),"No")</f>
        <v>No</v>
      </c>
      <c r="B105" s="98"/>
      <c r="C105" s="98"/>
      <c r="D105" s="98"/>
      <c r="E105" s="98"/>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x14ac:dyDescent="0.25">
      <c r="A106" s="5" t="str">
        <f ca="1">IFERROR(__xludf.DUMMYFUNCTION("""COMPUTED_VALUE"""),"No")</f>
        <v>No</v>
      </c>
      <c r="B106" s="98"/>
      <c r="C106" s="98"/>
      <c r="D106" s="98"/>
      <c r="E106" s="98"/>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x14ac:dyDescent="0.25">
      <c r="A107" s="5" t="str">
        <f ca="1">IFERROR(__xludf.DUMMYFUNCTION("""COMPUTED_VALUE"""),"No")</f>
        <v>No</v>
      </c>
      <c r="B107" s="98"/>
      <c r="C107" s="98"/>
      <c r="D107" s="98"/>
      <c r="E107" s="98"/>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x14ac:dyDescent="0.25">
      <c r="A108" s="5" t="str">
        <f ca="1">IFERROR(__xludf.DUMMYFUNCTION("""COMPUTED_VALUE"""),"No")</f>
        <v>No</v>
      </c>
      <c r="B108" s="98"/>
      <c r="C108" s="98"/>
      <c r="D108" s="98"/>
      <c r="E108" s="98"/>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101" t="str">
        <f ca="1">D110</f>
        <v>Laboratory</v>
      </c>
      <c r="M108" s="98"/>
      <c r="N108" s="98"/>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x14ac:dyDescent="0.25">
      <c r="A109" s="5" t="str">
        <f ca="1">IFERROR(__xludf.DUMMYFUNCTION("""COMPUTED_VALUE"""),"No")</f>
        <v>No</v>
      </c>
      <c r="B109" s="98"/>
      <c r="C109" s="98"/>
      <c r="D109" s="98"/>
      <c r="E109" s="98"/>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x14ac:dyDescent="0.25">
      <c r="A110" s="5" t="str">
        <f ca="1">IFERROR(__xludf.DUMMYFUNCTION("""COMPUTED_VALUE"""),"No")</f>
        <v>No</v>
      </c>
      <c r="B110" s="98"/>
      <c r="C110" s="98"/>
      <c r="D110" s="99" t="str">
        <f ca="1">IFERROR(__xludf.DUMMYFUNCTION("""COMPUTED_VALUE"""),"Laboratory")</f>
        <v>Laboratory</v>
      </c>
      <c r="E110" s="99"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x14ac:dyDescent="0.25">
      <c r="A111" s="5" t="str">
        <f ca="1">IFERROR(__xludf.DUMMYFUNCTION("""COMPUTED_VALUE"""),"No")</f>
        <v>No</v>
      </c>
      <c r="B111" s="98"/>
      <c r="C111" s="98"/>
      <c r="D111" s="98"/>
      <c r="E111" s="98"/>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x14ac:dyDescent="0.25">
      <c r="A112" s="5" t="str">
        <f ca="1">IFERROR(__xludf.DUMMYFUNCTION("""COMPUTED_VALUE"""),"No")</f>
        <v>No</v>
      </c>
      <c r="B112" s="98"/>
      <c r="C112" s="98"/>
      <c r="D112" s="98"/>
      <c r="E112" s="98"/>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x14ac:dyDescent="0.25">
      <c r="A113" s="5" t="str">
        <f ca="1">IFERROR(__xludf.DUMMYFUNCTION("""COMPUTED_VALUE"""),"No")</f>
        <v>No</v>
      </c>
      <c r="B113" s="98"/>
      <c r="C113" s="98"/>
      <c r="D113" s="99" t="str">
        <f ca="1">IFERROR(__xludf.DUMMYFUNCTION("""COMPUTED_VALUE"""),"Assay")</f>
        <v>Assay</v>
      </c>
      <c r="E113" s="99"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x14ac:dyDescent="0.25">
      <c r="A114" s="5" t="str">
        <f ca="1">IFERROR(__xludf.DUMMYFUNCTION("""COMPUTED_VALUE"""),"No")</f>
        <v>No</v>
      </c>
      <c r="B114" s="98"/>
      <c r="C114" s="98"/>
      <c r="D114" s="98"/>
      <c r="E114" s="98"/>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x14ac:dyDescent="0.25">
      <c r="A115" s="5" t="str">
        <f ca="1">IFERROR(__xludf.DUMMYFUNCTION("""COMPUTED_VALUE"""),"No")</f>
        <v>No</v>
      </c>
      <c r="B115" s="98"/>
      <c r="C115" s="98"/>
      <c r="D115" s="98"/>
      <c r="E115" s="98"/>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101" t="str">
        <f ca="1">D113</f>
        <v>Assay</v>
      </c>
      <c r="M115" s="98"/>
      <c r="N115" s="98"/>
      <c r="O115" s="98"/>
      <c r="P115" s="98"/>
      <c r="Q115" s="98"/>
      <c r="R115" s="98"/>
      <c r="S115" s="98"/>
      <c r="T115" s="98"/>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x14ac:dyDescent="0.3">
      <c r="A116" s="5" t="str">
        <f ca="1">IFERROR(__xludf.DUMMYFUNCTION("""COMPUTED_VALUE"""),"No")</f>
        <v>No</v>
      </c>
      <c r="B116" s="98"/>
      <c r="C116" s="98"/>
      <c r="D116" s="98"/>
      <c r="E116" s="98"/>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x14ac:dyDescent="0.25">
      <c r="A117" s="5" t="str">
        <f ca="1">IFERROR(__xludf.DUMMYFUNCTION("""COMPUTED_VALUE"""),"No")</f>
        <v>No</v>
      </c>
      <c r="B117" s="98"/>
      <c r="C117" s="98"/>
      <c r="D117" s="98"/>
      <c r="E117" s="98"/>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x14ac:dyDescent="0.25">
      <c r="A118" s="5" t="str">
        <f ca="1">IFERROR(__xludf.DUMMYFUNCTION("""COMPUTED_VALUE"""),"No")</f>
        <v>No</v>
      </c>
      <c r="B118" s="98"/>
      <c r="C118" s="98"/>
      <c r="D118" s="98"/>
      <c r="E118" s="98"/>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x14ac:dyDescent="0.25">
      <c r="A119" s="5" t="str">
        <f ca="1">IFERROR(__xludf.DUMMYFUNCTION("""COMPUTED_VALUE"""),"No")</f>
        <v>No</v>
      </c>
      <c r="B119" s="98"/>
      <c r="C119" s="98"/>
      <c r="D119" s="98"/>
      <c r="E119" s="98"/>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x14ac:dyDescent="0.25">
      <c r="A120" s="5" t="str">
        <f ca="1">IFERROR(__xludf.DUMMYFUNCTION("""COMPUTED_VALUE"""),"No")</f>
        <v>No</v>
      </c>
      <c r="B120" s="98"/>
      <c r="C120" s="98"/>
      <c r="D120" s="98"/>
      <c r="E120" s="98"/>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x14ac:dyDescent="0.25">
      <c r="A121" s="5" t="str">
        <f ca="1">IFERROR(__xludf.DUMMYFUNCTION("""COMPUTED_VALUE"""),"No")</f>
        <v>No</v>
      </c>
      <c r="B121" s="98"/>
      <c r="C121" s="98"/>
      <c r="D121" s="98"/>
      <c r="E121" s="98"/>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100" t="str">
        <f ca="1">D140</f>
        <v>Quality measures</v>
      </c>
      <c r="N121" s="98"/>
      <c r="O121" s="23"/>
      <c r="P121" s="100" t="str">
        <f ca="1">D142</f>
        <v>Model equation</v>
      </c>
      <c r="Q121" s="98"/>
      <c r="R121" s="98"/>
      <c r="S121" s="98"/>
      <c r="T121" s="98"/>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x14ac:dyDescent="0.25">
      <c r="A122" s="5" t="str">
        <f ca="1">IFERROR(__xludf.DUMMYFUNCTION("""COMPUTED_VALUE"""),"Yes")</f>
        <v>Yes</v>
      </c>
      <c r="B122" s="97" t="str">
        <f ca="1">IFERROR(__xludf.DUMMYFUNCTION("""COMPUTED_VALUE"""),"Model math / Data definition")</f>
        <v>Model math / Data definition</v>
      </c>
      <c r="C122" s="97" t="str">
        <f ca="1">IFERROR(__xludf.DUMMYFUNCTION("""COMPUTED_VALUE"""),"1")</f>
        <v>1</v>
      </c>
      <c r="D122" s="99" t="str">
        <f ca="1">IFERROR(__xludf.DUMMYFUNCTION("""COMPUTED_VALUE"""),"Parameter / Factor / Input / Output / ""Data column""")</f>
        <v>Parameter / Factor / Input / Output / "Data column"</v>
      </c>
      <c r="E122" s="99"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x14ac:dyDescent="0.25">
      <c r="A123" s="5" t="str">
        <f ca="1">IFERROR(__xludf.DUMMYFUNCTION("""COMPUTED_VALUE"""),"Yes")</f>
        <v>Yes</v>
      </c>
      <c r="B123" s="98"/>
      <c r="C123" s="98"/>
      <c r="D123" s="98"/>
      <c r="E123" s="98"/>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x14ac:dyDescent="0.25">
      <c r="A124" s="5" t="str">
        <f ca="1">IFERROR(__xludf.DUMMYFUNCTION("""COMPUTED_VALUE"""),"Yes")</f>
        <v>Yes</v>
      </c>
      <c r="B124" s="98"/>
      <c r="C124" s="98"/>
      <c r="D124" s="98"/>
      <c r="E124" s="98"/>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x14ac:dyDescent="0.25">
      <c r="A125" s="5" t="str">
        <f ca="1">IFERROR(__xludf.DUMMYFUNCTION("""COMPUTED_VALUE"""),"No")</f>
        <v>No</v>
      </c>
      <c r="B125" s="98"/>
      <c r="C125" s="98"/>
      <c r="D125" s="98"/>
      <c r="E125" s="98"/>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x14ac:dyDescent="0.25">
      <c r="A126" s="5" t="str">
        <f ca="1">IFERROR(__xludf.DUMMYFUNCTION("""COMPUTED_VALUE"""),"Yes")</f>
        <v>Yes</v>
      </c>
      <c r="B126" s="98"/>
      <c r="C126" s="98"/>
      <c r="D126" s="98"/>
      <c r="E126" s="98"/>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x14ac:dyDescent="0.25">
      <c r="A127" s="5" t="str">
        <f ca="1">IFERROR(__xludf.DUMMYFUNCTION("""COMPUTED_VALUE"""),"No")</f>
        <v>No</v>
      </c>
      <c r="B127" s="98"/>
      <c r="C127" s="98"/>
      <c r="D127" s="98"/>
      <c r="E127" s="98"/>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x14ac:dyDescent="0.25">
      <c r="A128" s="5" t="str">
        <f ca="1">IFERROR(__xludf.DUMMYFUNCTION("""COMPUTED_VALUE"""),"Yes")</f>
        <v>Yes</v>
      </c>
      <c r="B128" s="98"/>
      <c r="C128" s="98"/>
      <c r="D128" s="98"/>
      <c r="E128" s="98"/>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x14ac:dyDescent="0.25">
      <c r="A129" s="5" t="str">
        <f ca="1">IFERROR(__xludf.DUMMYFUNCTION("""COMPUTED_VALUE"""),"Yes")</f>
        <v>Yes</v>
      </c>
      <c r="B129" s="98"/>
      <c r="C129" s="98"/>
      <c r="D129" s="98"/>
      <c r="E129" s="98"/>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x14ac:dyDescent="0.25">
      <c r="A130" s="5" t="str">
        <f ca="1">IFERROR(__xludf.DUMMYFUNCTION("""COMPUTED_VALUE"""),"Yes")</f>
        <v>Yes</v>
      </c>
      <c r="B130" s="98"/>
      <c r="C130" s="98"/>
      <c r="D130" s="98"/>
      <c r="E130" s="98"/>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100" t="str">
        <f ca="1">D122</f>
        <v>Parameter / Factor / Input / Output / "Data column"</v>
      </c>
      <c r="M130" s="98"/>
      <c r="N130" s="98"/>
      <c r="O130" s="98"/>
      <c r="P130" s="98"/>
      <c r="Q130" s="98"/>
      <c r="R130" s="98"/>
      <c r="S130" s="98"/>
      <c r="T130" s="98"/>
      <c r="U130" s="98"/>
      <c r="V130" s="98"/>
      <c r="W130" s="98"/>
      <c r="X130" s="98"/>
      <c r="Y130" s="98"/>
      <c r="Z130" s="98"/>
      <c r="AA130" s="98"/>
      <c r="AB130" s="98"/>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x14ac:dyDescent="0.25">
      <c r="A131" s="5" t="str">
        <f ca="1">IFERROR(__xludf.DUMMYFUNCTION("""COMPUTED_VALUE"""),"Yes")</f>
        <v>Yes</v>
      </c>
      <c r="B131" s="98"/>
      <c r="C131" s="98"/>
      <c r="D131" s="98"/>
      <c r="E131" s="98"/>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x14ac:dyDescent="0.25">
      <c r="A132" s="5" t="str">
        <f ca="1">IFERROR(__xludf.DUMMYFUNCTION("""COMPUTED_VALUE"""),"Yes")</f>
        <v>Yes</v>
      </c>
      <c r="B132" s="98"/>
      <c r="C132" s="98"/>
      <c r="D132" s="98"/>
      <c r="E132" s="98"/>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x14ac:dyDescent="0.25">
      <c r="A133" s="5" t="str">
        <f ca="1">IFERROR(__xludf.DUMMYFUNCTION("""COMPUTED_VALUE"""),"No")</f>
        <v>No</v>
      </c>
      <c r="B133" s="98"/>
      <c r="C133" s="98"/>
      <c r="D133" s="98"/>
      <c r="E133" s="98"/>
      <c r="F133" s="7"/>
      <c r="G133" s="5"/>
      <c r="H133" s="7"/>
      <c r="I133" s="13"/>
      <c r="J133" s="4"/>
      <c r="K133" s="5"/>
      <c r="L133" s="86" t="s">
        <v>55</v>
      </c>
      <c r="M133" s="36" t="s">
        <v>24</v>
      </c>
      <c r="N133" s="87" t="s">
        <v>63</v>
      </c>
      <c r="O133" s="40"/>
      <c r="P133" s="94" t="s">
        <v>41</v>
      </c>
      <c r="Q133" s="95" t="s">
        <v>144</v>
      </c>
      <c r="R133" s="40" t="s">
        <v>61</v>
      </c>
      <c r="S133" s="87" t="s">
        <v>149</v>
      </c>
      <c r="T133" s="87"/>
      <c r="U133" s="87"/>
      <c r="V133" s="40">
        <v>100000</v>
      </c>
      <c r="W133" s="40"/>
      <c r="X133" s="87"/>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x14ac:dyDescent="0.25">
      <c r="A134" s="5" t="str">
        <f ca="1">IFERROR(__xludf.DUMMYFUNCTION("""COMPUTED_VALUE"""),"No")</f>
        <v>No</v>
      </c>
      <c r="B134" s="98"/>
      <c r="C134" s="98"/>
      <c r="D134" s="98"/>
      <c r="E134" s="98"/>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52</v>
      </c>
      <c r="M134" s="40" t="s">
        <v>24</v>
      </c>
      <c r="N134" s="87" t="s">
        <v>64</v>
      </c>
      <c r="O134" s="40"/>
      <c r="P134" s="94" t="s">
        <v>140</v>
      </c>
      <c r="Q134" s="95" t="s">
        <v>145</v>
      </c>
      <c r="R134" s="40" t="s">
        <v>50</v>
      </c>
      <c r="S134" s="87" t="s">
        <v>0</v>
      </c>
      <c r="T134" s="87" t="s">
        <v>151</v>
      </c>
      <c r="U134" s="87"/>
      <c r="V134" s="40">
        <v>1.5</v>
      </c>
      <c r="W134" s="40"/>
      <c r="X134" s="87" t="s">
        <v>154</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x14ac:dyDescent="0.25">
      <c r="A135" s="5" t="str">
        <f ca="1">IFERROR(__xludf.DUMMYFUNCTION("""COMPUTED_VALUE"""),"No")</f>
        <v>No</v>
      </c>
      <c r="B135" s="98"/>
      <c r="C135" s="98"/>
      <c r="D135" s="98"/>
      <c r="E135" s="98"/>
      <c r="F135" s="7" t="str">
        <f ca="1">IFERROR(__xludf.DUMMYFUNCTION("""COMPUTED_VALUE"""),"Parameter Reference")</f>
        <v>Parameter Reference</v>
      </c>
      <c r="G135" s="5" t="str">
        <f ca="1">IFERROR(__xludf.DUMMYFUNCTION("""COMPUTED_VALUE"""),"0:1")</f>
        <v>0:1</v>
      </c>
      <c r="H135" s="7"/>
      <c r="I135" s="13"/>
      <c r="J135" s="4"/>
      <c r="K135" s="5"/>
      <c r="L135" s="86" t="s">
        <v>53</v>
      </c>
      <c r="M135" s="40" t="s">
        <v>24</v>
      </c>
      <c r="N135" s="87" t="s">
        <v>65</v>
      </c>
      <c r="O135" s="40"/>
      <c r="P135" s="94" t="s">
        <v>140</v>
      </c>
      <c r="Q135" s="95" t="s">
        <v>145</v>
      </c>
      <c r="R135" s="40" t="s">
        <v>50</v>
      </c>
      <c r="S135" s="87" t="s">
        <v>0</v>
      </c>
      <c r="T135" s="87" t="s">
        <v>151</v>
      </c>
      <c r="U135" s="87"/>
      <c r="V135" s="40">
        <v>0.2</v>
      </c>
      <c r="W135" s="40"/>
      <c r="X135" s="87" t="s">
        <v>154</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x14ac:dyDescent="0.25">
      <c r="A136" s="5" t="str">
        <f ca="1">IFERROR(__xludf.DUMMYFUNCTION("""COMPUTED_VALUE"""),"No")</f>
        <v>No</v>
      </c>
      <c r="B136" s="98"/>
      <c r="C136" s="98"/>
      <c r="D136" s="98"/>
      <c r="E136" s="98"/>
      <c r="F136" s="7" t="str">
        <f ca="1">IFERROR(__xludf.DUMMYFUNCTION("""COMPUTED_VALUE"""),"Parameter variability subject")</f>
        <v>Parameter variability subject</v>
      </c>
      <c r="G136" s="5" t="str">
        <f ca="1">IFERROR(__xludf.DUMMYFUNCTION("""COMPUTED_VALUE"""),"0:1")</f>
        <v>0:1</v>
      </c>
      <c r="H136" s="7"/>
      <c r="I136" s="13"/>
      <c r="J136" s="4"/>
      <c r="K136" s="5"/>
      <c r="L136" s="86" t="s">
        <v>54</v>
      </c>
      <c r="M136" s="40" t="s">
        <v>24</v>
      </c>
      <c r="N136" s="87" t="s">
        <v>66</v>
      </c>
      <c r="O136" s="40"/>
      <c r="P136" s="94" t="s">
        <v>141</v>
      </c>
      <c r="Q136" s="85" t="s">
        <v>144</v>
      </c>
      <c r="R136" s="40" t="s">
        <v>50</v>
      </c>
      <c r="S136" s="87" t="s">
        <v>0</v>
      </c>
      <c r="T136" s="87" t="s">
        <v>151</v>
      </c>
      <c r="U136" s="87"/>
      <c r="V136" s="40">
        <v>0.25</v>
      </c>
      <c r="W136" s="40"/>
      <c r="X136" s="87" t="s">
        <v>155</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x14ac:dyDescent="0.25">
      <c r="A137" s="5" t="str">
        <f ca="1">IFERROR(__xludf.DUMMYFUNCTION("""COMPUTED_VALUE"""),"No")</f>
        <v>No</v>
      </c>
      <c r="B137" s="98"/>
      <c r="C137" s="98"/>
      <c r="D137" s="98"/>
      <c r="E137" s="98"/>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51</v>
      </c>
      <c r="M137" s="40" t="s">
        <v>24</v>
      </c>
      <c r="N137" s="87" t="s">
        <v>67</v>
      </c>
      <c r="O137" s="40"/>
      <c r="P137" s="94" t="s">
        <v>142</v>
      </c>
      <c r="Q137" s="85" t="s">
        <v>146</v>
      </c>
      <c r="R137" s="40" t="s">
        <v>50</v>
      </c>
      <c r="S137" s="87" t="s">
        <v>150</v>
      </c>
      <c r="T137" s="87" t="s">
        <v>152</v>
      </c>
      <c r="U137" s="87" t="s">
        <v>153</v>
      </c>
      <c r="V137" s="40">
        <v>189</v>
      </c>
      <c r="W137" s="40"/>
      <c r="X137" s="87" t="s">
        <v>156</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x14ac:dyDescent="0.25">
      <c r="A138" s="5" t="str">
        <f ca="1">IFERROR(__xludf.DUMMYFUNCTION("""COMPUTED_VALUE"""),"No")</f>
        <v>No</v>
      </c>
      <c r="B138" s="98"/>
      <c r="C138" s="98"/>
      <c r="D138" s="98"/>
      <c r="E138" s="98"/>
      <c r="F138" t="str">
        <f ca="1">IFERROR(__xludf.DUMMYFUNCTION("""COMPUTED_VALUE"""),"Parameter value min")</f>
        <v>Parameter value min</v>
      </c>
      <c r="G138" s="5" t="str">
        <f ca="1">IFERROR(__xludf.DUMMYFUNCTION("""COMPUTED_VALUE"""),"0:1")</f>
        <v>0:1</v>
      </c>
      <c r="I138" s="13"/>
      <c r="J138" s="4"/>
      <c r="K138" s="5"/>
      <c r="L138" s="86" t="s">
        <v>56</v>
      </c>
      <c r="M138" s="40" t="s">
        <v>24</v>
      </c>
      <c r="N138" s="87" t="s">
        <v>68</v>
      </c>
      <c r="O138" s="40"/>
      <c r="P138" s="94" t="s">
        <v>142</v>
      </c>
      <c r="Q138" s="95" t="s">
        <v>147</v>
      </c>
      <c r="R138" s="40" t="s">
        <v>50</v>
      </c>
      <c r="S138" s="87" t="s">
        <v>150</v>
      </c>
      <c r="T138" s="87" t="s">
        <v>152</v>
      </c>
      <c r="U138" s="87" t="s">
        <v>153</v>
      </c>
      <c r="V138" s="40">
        <v>1000</v>
      </c>
      <c r="W138" s="40"/>
      <c r="X138" s="87" t="s">
        <v>156</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x14ac:dyDescent="0.25">
      <c r="A139" s="5" t="str">
        <f ca="1">IFERROR(__xludf.DUMMYFUNCTION("""COMPUTED_VALUE"""),"No")</f>
        <v>No</v>
      </c>
      <c r="B139" s="98"/>
      <c r="C139" s="98"/>
      <c r="D139" s="98"/>
      <c r="E139" s="98"/>
      <c r="F139" s="7" t="str">
        <f ca="1">IFERROR(__xludf.DUMMYFUNCTION("""COMPUTED_VALUE"""),"Parameter error")</f>
        <v>Parameter error</v>
      </c>
      <c r="G139" s="5" t="str">
        <f ca="1">IFERROR(__xludf.DUMMYFUNCTION("""COMPUTED_VALUE"""),"0:1")</f>
        <v>0:1</v>
      </c>
      <c r="H139" s="7"/>
      <c r="I139" s="13"/>
      <c r="J139" s="4"/>
      <c r="K139" s="5"/>
      <c r="L139" s="86" t="s">
        <v>57</v>
      </c>
      <c r="M139" s="40" t="s">
        <v>24</v>
      </c>
      <c r="N139" s="87" t="s">
        <v>69</v>
      </c>
      <c r="O139" s="40"/>
      <c r="P139" s="94" t="s">
        <v>142</v>
      </c>
      <c r="Q139" s="85" t="s">
        <v>146</v>
      </c>
      <c r="R139" s="40" t="s">
        <v>50</v>
      </c>
      <c r="S139" s="87" t="s">
        <v>150</v>
      </c>
      <c r="T139" s="87" t="s">
        <v>152</v>
      </c>
      <c r="U139" s="87" t="s">
        <v>153</v>
      </c>
      <c r="V139" s="40">
        <v>126.9</v>
      </c>
      <c r="W139" s="40"/>
      <c r="X139" s="87" t="s">
        <v>157</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x14ac:dyDescent="0.25">
      <c r="A140" s="5" t="str">
        <f ca="1">IFERROR(__xludf.DUMMYFUNCTION("""COMPUTED_VALUE"""),"No")</f>
        <v>No</v>
      </c>
      <c r="B140" s="98"/>
      <c r="C140" s="98"/>
      <c r="D140" s="99" t="str">
        <f ca="1">IFERROR(__xludf.DUMMYFUNCTION("""COMPUTED_VALUE"""),"Quality measures")</f>
        <v>Quality measures</v>
      </c>
      <c r="E140" s="99"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58</v>
      </c>
      <c r="M140" s="40" t="s">
        <v>60</v>
      </c>
      <c r="N140" s="87" t="s">
        <v>70</v>
      </c>
      <c r="O140" s="40"/>
      <c r="P140" s="94" t="s">
        <v>143</v>
      </c>
      <c r="Q140" s="85" t="s">
        <v>148</v>
      </c>
      <c r="R140" s="40" t="s">
        <v>62</v>
      </c>
      <c r="S140" s="87"/>
      <c r="T140" s="87"/>
      <c r="U140" s="87"/>
      <c r="V140" s="40"/>
      <c r="W140" s="40"/>
      <c r="X140" s="87" t="s">
        <v>158</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x14ac:dyDescent="0.25">
      <c r="A141" s="5" t="str">
        <f ca="1">IFERROR(__xludf.DUMMYFUNCTION("""COMPUTED_VALUE"""),"No")</f>
        <v>No</v>
      </c>
      <c r="B141" s="98"/>
      <c r="C141" s="98"/>
      <c r="D141" s="98"/>
      <c r="E141" s="98"/>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59</v>
      </c>
      <c r="M141" s="40" t="s">
        <v>60</v>
      </c>
      <c r="N141" s="87" t="s">
        <v>71</v>
      </c>
      <c r="O141" s="40"/>
      <c r="P141" s="94" t="s">
        <v>143</v>
      </c>
      <c r="Q141" s="85" t="s">
        <v>148</v>
      </c>
      <c r="R141" s="40" t="s">
        <v>50</v>
      </c>
      <c r="S141" s="87"/>
      <c r="T141" s="87"/>
      <c r="U141" s="87"/>
      <c r="V141" s="40"/>
      <c r="W141" s="40"/>
      <c r="X141" s="87" t="s">
        <v>155</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x14ac:dyDescent="0.25">
      <c r="A142" s="5" t="str">
        <f ca="1">IFERROR(__xludf.DUMMYFUNCTION("""COMPUTED_VALUE"""),"No")</f>
        <v>No</v>
      </c>
      <c r="B142" s="98"/>
      <c r="C142" s="98"/>
      <c r="D142" s="99" t="str">
        <f ca="1">IFERROR(__xludf.DUMMYFUNCTION("""COMPUTED_VALUE"""),"Model equation")</f>
        <v>Model equation</v>
      </c>
      <c r="E142" s="99"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72</v>
      </c>
      <c r="M142" s="40" t="s">
        <v>24</v>
      </c>
      <c r="N142" s="87" t="s">
        <v>76</v>
      </c>
      <c r="O142" s="87" t="s">
        <v>76</v>
      </c>
      <c r="P142" s="94" t="s">
        <v>141</v>
      </c>
      <c r="Q142" s="95" t="s">
        <v>144</v>
      </c>
      <c r="R142" s="40" t="s">
        <v>50</v>
      </c>
      <c r="S142" s="87" t="s">
        <v>149</v>
      </c>
      <c r="T142" s="87" t="s">
        <v>151</v>
      </c>
      <c r="U142" s="37" t="s">
        <v>166</v>
      </c>
      <c r="V142" s="40">
        <v>9.8000000000000004E-2</v>
      </c>
      <c r="W142" s="37"/>
      <c r="X142" s="37"/>
      <c r="Y142" s="37"/>
      <c r="Z142" s="37"/>
      <c r="AA142" s="37"/>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x14ac:dyDescent="0.25">
      <c r="A143" s="5" t="str">
        <f ca="1">IFERROR(__xludf.DUMMYFUNCTION("""COMPUTED_VALUE"""),"No")</f>
        <v>No</v>
      </c>
      <c r="B143" s="98"/>
      <c r="C143" s="98"/>
      <c r="D143" s="98"/>
      <c r="E143" s="98"/>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73</v>
      </c>
      <c r="M143" s="40" t="s">
        <v>24</v>
      </c>
      <c r="N143" s="87" t="s">
        <v>77</v>
      </c>
      <c r="O143" s="87" t="s">
        <v>77</v>
      </c>
      <c r="P143" s="94" t="s">
        <v>141</v>
      </c>
      <c r="Q143" s="95" t="s">
        <v>144</v>
      </c>
      <c r="R143" s="40" t="s">
        <v>50</v>
      </c>
      <c r="S143" s="87" t="s">
        <v>149</v>
      </c>
      <c r="T143" s="87" t="s">
        <v>151</v>
      </c>
      <c r="U143" s="40" t="s">
        <v>166</v>
      </c>
      <c r="V143" s="40">
        <v>0.60599999999999998</v>
      </c>
      <c r="W143" s="37"/>
      <c r="X143" s="37"/>
      <c r="Y143" s="37"/>
      <c r="Z143" s="37"/>
      <c r="AA143" s="37"/>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x14ac:dyDescent="0.25">
      <c r="A144" s="5" t="str">
        <f ca="1">IFERROR(__xludf.DUMMYFUNCTION("""COMPUTED_VALUE"""),"No")</f>
        <v>No</v>
      </c>
      <c r="B144" s="98"/>
      <c r="C144" s="98"/>
      <c r="D144" s="98"/>
      <c r="E144" s="98"/>
      <c r="F144" s="7"/>
      <c r="G144" s="5"/>
      <c r="H144" s="7"/>
      <c r="I144" s="13"/>
      <c r="J144" s="4"/>
      <c r="K144" s="5"/>
      <c r="L144" s="86" t="s">
        <v>74</v>
      </c>
      <c r="M144" s="40" t="s">
        <v>24</v>
      </c>
      <c r="N144" s="87" t="s">
        <v>78</v>
      </c>
      <c r="O144" s="87" t="s">
        <v>78</v>
      </c>
      <c r="P144" s="94" t="s">
        <v>141</v>
      </c>
      <c r="Q144" s="95" t="s">
        <v>144</v>
      </c>
      <c r="R144" s="40" t="s">
        <v>50</v>
      </c>
      <c r="S144" s="87" t="s">
        <v>149</v>
      </c>
      <c r="T144" s="87" t="s">
        <v>151</v>
      </c>
      <c r="U144" s="40" t="s">
        <v>166</v>
      </c>
      <c r="V144" s="40">
        <v>1.5349999999999999</v>
      </c>
      <c r="W144" s="37"/>
      <c r="X144" s="37"/>
      <c r="Y144" s="37"/>
      <c r="Z144" s="37"/>
      <c r="AA144" s="37"/>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x14ac:dyDescent="0.25">
      <c r="A145" s="5" t="str">
        <f ca="1">IFERROR(__xludf.DUMMYFUNCTION("""COMPUTED_VALUE"""),"No")</f>
        <v>No</v>
      </c>
      <c r="B145" s="98"/>
      <c r="C145" s="98"/>
      <c r="D145" s="98"/>
      <c r="E145" s="98"/>
      <c r="F145" s="7"/>
      <c r="G145" s="5"/>
      <c r="H145" s="7"/>
      <c r="I145" s="13"/>
      <c r="J145" s="4"/>
      <c r="K145" s="4"/>
      <c r="L145" s="86" t="s">
        <v>75</v>
      </c>
      <c r="M145" s="40" t="s">
        <v>24</v>
      </c>
      <c r="N145" s="87" t="s">
        <v>79</v>
      </c>
      <c r="O145" s="87" t="s">
        <v>79</v>
      </c>
      <c r="P145" s="94" t="s">
        <v>141</v>
      </c>
      <c r="Q145" s="95" t="s">
        <v>144</v>
      </c>
      <c r="R145" s="40" t="s">
        <v>50</v>
      </c>
      <c r="S145" s="87" t="s">
        <v>149</v>
      </c>
      <c r="T145" s="87" t="s">
        <v>151</v>
      </c>
      <c r="U145" s="40" t="s">
        <v>166</v>
      </c>
      <c r="V145" s="40">
        <v>0.32</v>
      </c>
      <c r="W145" s="37"/>
      <c r="X145" s="37"/>
      <c r="Y145" s="37"/>
      <c r="Z145" s="37"/>
      <c r="AA145" s="37"/>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x14ac:dyDescent="0.25">
      <c r="A146" s="5" t="str">
        <f ca="1">IFERROR(__xludf.DUMMYFUNCTION("""COMPUTED_VALUE"""),"No")</f>
        <v>No</v>
      </c>
      <c r="B146" s="98"/>
      <c r="C146" s="98"/>
      <c r="D146" s="98"/>
      <c r="E146" s="98"/>
      <c r="F146" s="7"/>
      <c r="G146" s="5"/>
      <c r="H146" s="7"/>
      <c r="I146" s="13"/>
      <c r="J146" s="4"/>
      <c r="K146" s="4"/>
      <c r="L146" s="77" t="s">
        <v>80</v>
      </c>
      <c r="M146" s="40" t="s">
        <v>24</v>
      </c>
      <c r="N146" s="87" t="s">
        <v>84</v>
      </c>
      <c r="O146" s="87" t="s">
        <v>84</v>
      </c>
      <c r="P146" s="94" t="s">
        <v>141</v>
      </c>
      <c r="Q146" s="95" t="s">
        <v>144</v>
      </c>
      <c r="R146" s="40" t="s">
        <v>50</v>
      </c>
      <c r="S146" s="87" t="s">
        <v>149</v>
      </c>
      <c r="T146" s="87" t="s">
        <v>151</v>
      </c>
      <c r="U146" s="37" t="s">
        <v>167</v>
      </c>
      <c r="V146" s="40">
        <v>1.78</v>
      </c>
      <c r="W146" s="37"/>
      <c r="X146" s="37"/>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x14ac:dyDescent="0.25">
      <c r="A147" s="5" t="str">
        <f ca="1">IFERROR(__xludf.DUMMYFUNCTION("""COMPUTED_VALUE"""),"No")</f>
        <v>No</v>
      </c>
      <c r="B147" s="98"/>
      <c r="C147" s="98"/>
      <c r="D147" s="98"/>
      <c r="E147" s="98"/>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77" t="s">
        <v>81</v>
      </c>
      <c r="M147" s="40" t="s">
        <v>24</v>
      </c>
      <c r="N147" s="87" t="s">
        <v>85</v>
      </c>
      <c r="O147" s="87" t="s">
        <v>85</v>
      </c>
      <c r="P147" s="94" t="s">
        <v>141</v>
      </c>
      <c r="Q147" s="95" t="s">
        <v>144</v>
      </c>
      <c r="R147" s="40" t="s">
        <v>50</v>
      </c>
      <c r="S147" s="87" t="s">
        <v>149</v>
      </c>
      <c r="T147" s="87" t="s">
        <v>151</v>
      </c>
      <c r="U147" s="40" t="s">
        <v>167</v>
      </c>
      <c r="V147" s="40">
        <v>41.1</v>
      </c>
      <c r="W147" s="37"/>
      <c r="X147" s="37"/>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x14ac:dyDescent="0.25">
      <c r="A148" s="5" t="str">
        <f ca="1">IFERROR(__xludf.DUMMYFUNCTION("""COMPUTED_VALUE"""),"No")</f>
        <v>No</v>
      </c>
      <c r="B148" s="98"/>
      <c r="C148" s="98"/>
      <c r="D148" s="98"/>
      <c r="E148" s="98"/>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86" t="s">
        <v>82</v>
      </c>
      <c r="M148" s="40" t="s">
        <v>24</v>
      </c>
      <c r="N148" s="87" t="s">
        <v>86</v>
      </c>
      <c r="O148" s="87" t="s">
        <v>86</v>
      </c>
      <c r="P148" s="94" t="s">
        <v>141</v>
      </c>
      <c r="Q148" s="95" t="s">
        <v>144</v>
      </c>
      <c r="R148" s="40" t="s">
        <v>50</v>
      </c>
      <c r="S148" s="87" t="s">
        <v>149</v>
      </c>
      <c r="T148" s="87" t="s">
        <v>151</v>
      </c>
      <c r="U148" s="40" t="s">
        <v>167</v>
      </c>
      <c r="V148" s="40">
        <v>0.6</v>
      </c>
      <c r="W148" s="37"/>
      <c r="X148" s="37"/>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x14ac:dyDescent="0.25">
      <c r="A149" s="5" t="str">
        <f ca="1">IFERROR(__xludf.DUMMYFUNCTION("""COMPUTED_VALUE"""),"No")</f>
        <v>No</v>
      </c>
      <c r="B149" s="98"/>
      <c r="C149" s="98"/>
      <c r="D149" s="98"/>
      <c r="E149" s="98"/>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77" t="s">
        <v>83</v>
      </c>
      <c r="M149" s="40" t="s">
        <v>24</v>
      </c>
      <c r="N149" s="87" t="s">
        <v>87</v>
      </c>
      <c r="O149" s="87" t="s">
        <v>87</v>
      </c>
      <c r="P149" s="94" t="s">
        <v>141</v>
      </c>
      <c r="Q149" s="95" t="s">
        <v>144</v>
      </c>
      <c r="R149" s="40" t="s">
        <v>50</v>
      </c>
      <c r="S149" s="87" t="s">
        <v>149</v>
      </c>
      <c r="T149" s="87" t="s">
        <v>151</v>
      </c>
      <c r="U149" s="40" t="s">
        <v>167</v>
      </c>
      <c r="V149" s="40">
        <v>2.2999999999999998</v>
      </c>
      <c r="W149" s="37"/>
      <c r="X149" s="37"/>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x14ac:dyDescent="0.25">
      <c r="A150" s="5" t="str">
        <f ca="1">IFERROR(__xludf.DUMMYFUNCTION("""COMPUTED_VALUE"""),"No")</f>
        <v>No</v>
      </c>
      <c r="B150" s="98"/>
      <c r="C150" s="98"/>
      <c r="D150" s="5" t="str">
        <f ca="1">IFERROR(__xludf.DUMMYFUNCTION("""COMPUTED_VALUE"""),"Fitting procedure")</f>
        <v>Fitting procedure</v>
      </c>
      <c r="E150" s="99" t="str">
        <f ca="1">IFERROR(__xludf.DUMMYFUNCTION("""COMPUTED_VALUE"""),"0:1")</f>
        <v>0:1</v>
      </c>
      <c r="F150" s="98"/>
      <c r="G150" s="98"/>
      <c r="H150" s="7" t="str">
        <f ca="1">IFERROR(__xludf.DUMMYFUNCTION("""COMPUTED_VALUE"""),"String
")</f>
        <v xml:space="preserve">String
</v>
      </c>
      <c r="I150" s="10"/>
      <c r="J150" s="4"/>
      <c r="K150" s="4"/>
      <c r="L150" s="77" t="s">
        <v>90</v>
      </c>
      <c r="M150" s="40" t="s">
        <v>24</v>
      </c>
      <c r="N150" s="87" t="s">
        <v>88</v>
      </c>
      <c r="O150" s="87" t="s">
        <v>88</v>
      </c>
      <c r="P150" s="94" t="s">
        <v>141</v>
      </c>
      <c r="Q150" s="95" t="s">
        <v>144</v>
      </c>
      <c r="R150" s="40" t="s">
        <v>50</v>
      </c>
      <c r="S150" s="87" t="s">
        <v>149</v>
      </c>
      <c r="T150" s="87" t="s">
        <v>151</v>
      </c>
      <c r="U150" s="40" t="s">
        <v>167</v>
      </c>
      <c r="V150" s="40">
        <v>0.24</v>
      </c>
      <c r="W150" s="37"/>
      <c r="X150" s="37"/>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x14ac:dyDescent="0.25">
      <c r="A151" s="5" t="str">
        <f ca="1">IFERROR(__xludf.DUMMYFUNCTION("""COMPUTED_VALUE"""),"No")</f>
        <v>No</v>
      </c>
      <c r="B151" s="98"/>
      <c r="C151" s="98"/>
      <c r="D151" s="99" t="str">
        <f ca="1">IFERROR(__xludf.DUMMYFUNCTION("""COMPUTED_VALUE"""),"Exposure")</f>
        <v>Exposure</v>
      </c>
      <c r="E151" s="99"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86" t="s">
        <v>91</v>
      </c>
      <c r="M151" s="40" t="s">
        <v>24</v>
      </c>
      <c r="N151" s="87" t="s">
        <v>89</v>
      </c>
      <c r="O151" s="87" t="s">
        <v>89</v>
      </c>
      <c r="P151" s="94" t="s">
        <v>141</v>
      </c>
      <c r="Q151" s="95" t="s">
        <v>144</v>
      </c>
      <c r="R151" s="40" t="s">
        <v>50</v>
      </c>
      <c r="S151" s="87" t="s">
        <v>149</v>
      </c>
      <c r="T151" s="87" t="s">
        <v>151</v>
      </c>
      <c r="U151" s="40" t="s">
        <v>167</v>
      </c>
      <c r="V151" s="40">
        <v>6.67</v>
      </c>
      <c r="W151" s="37"/>
      <c r="X151" s="37"/>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x14ac:dyDescent="0.25">
      <c r="A152" s="5" t="str">
        <f ca="1">IFERROR(__xludf.DUMMYFUNCTION("""COMPUTED_VALUE"""),"No")</f>
        <v>No</v>
      </c>
      <c r="B152" s="98"/>
      <c r="C152" s="98"/>
      <c r="D152" s="98"/>
      <c r="E152" s="98"/>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86" t="s">
        <v>92</v>
      </c>
      <c r="M152" s="40" t="s">
        <v>24</v>
      </c>
      <c r="N152" s="87" t="s">
        <v>95</v>
      </c>
      <c r="O152" s="87" t="s">
        <v>95</v>
      </c>
      <c r="P152" s="94" t="s">
        <v>141</v>
      </c>
      <c r="Q152" s="95" t="s">
        <v>144</v>
      </c>
      <c r="R152" s="40" t="s">
        <v>50</v>
      </c>
      <c r="S152" s="87" t="s">
        <v>149</v>
      </c>
      <c r="T152" s="87" t="s">
        <v>151</v>
      </c>
      <c r="U152" s="37" t="s">
        <v>167</v>
      </c>
      <c r="V152" s="40">
        <v>0</v>
      </c>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x14ac:dyDescent="0.25">
      <c r="A153" s="5" t="str">
        <f ca="1">IFERROR(__xludf.DUMMYFUNCTION("""COMPUTED_VALUE"""),"No")</f>
        <v>No</v>
      </c>
      <c r="B153" s="98"/>
      <c r="C153" s="98"/>
      <c r="D153" s="98"/>
      <c r="E153" s="98"/>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77" t="s">
        <v>93</v>
      </c>
      <c r="M153" s="40" t="s">
        <v>24</v>
      </c>
      <c r="N153" s="87" t="s">
        <v>96</v>
      </c>
      <c r="O153" s="87" t="s">
        <v>96</v>
      </c>
      <c r="P153" s="94" t="s">
        <v>141</v>
      </c>
      <c r="Q153" s="95" t="s">
        <v>144</v>
      </c>
      <c r="R153" s="40" t="s">
        <v>50</v>
      </c>
      <c r="S153" s="87" t="s">
        <v>149</v>
      </c>
      <c r="T153" s="87" t="s">
        <v>151</v>
      </c>
      <c r="U153" s="40" t="s">
        <v>167</v>
      </c>
      <c r="V153" s="37">
        <v>0.4</v>
      </c>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x14ac:dyDescent="0.25">
      <c r="A154" s="5" t="str">
        <f ca="1">IFERROR(__xludf.DUMMYFUNCTION("""COMPUTED_VALUE"""),"No")</f>
        <v>No</v>
      </c>
      <c r="B154" s="98"/>
      <c r="C154" s="98"/>
      <c r="D154" s="98"/>
      <c r="E154" s="98"/>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88" t="s">
        <v>94</v>
      </c>
      <c r="M154" s="40" t="s">
        <v>24</v>
      </c>
      <c r="N154" s="87" t="s">
        <v>97</v>
      </c>
      <c r="O154" s="87" t="s">
        <v>97</v>
      </c>
      <c r="P154" s="94" t="s">
        <v>141</v>
      </c>
      <c r="Q154" s="95" t="s">
        <v>144</v>
      </c>
      <c r="R154" s="40" t="s">
        <v>50</v>
      </c>
      <c r="S154" s="87" t="s">
        <v>149</v>
      </c>
      <c r="T154" s="87" t="s">
        <v>151</v>
      </c>
      <c r="U154" s="40" t="s">
        <v>167</v>
      </c>
      <c r="V154" s="23">
        <v>1</v>
      </c>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x14ac:dyDescent="0.25">
      <c r="A155" s="5" t="str">
        <f ca="1">IFERROR(__xludf.DUMMYFUNCTION("""COMPUTED_VALUE"""),"No")</f>
        <v>No</v>
      </c>
      <c r="B155" s="98"/>
      <c r="C155" s="98"/>
      <c r="D155" s="98"/>
      <c r="E155" s="98"/>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89" t="s">
        <v>98</v>
      </c>
      <c r="M155" s="40" t="s">
        <v>24</v>
      </c>
      <c r="N155" s="87" t="s">
        <v>101</v>
      </c>
      <c r="O155" s="87" t="s">
        <v>101</v>
      </c>
      <c r="P155" s="94" t="s">
        <v>141</v>
      </c>
      <c r="Q155" s="95" t="s">
        <v>144</v>
      </c>
      <c r="R155" s="40" t="s">
        <v>50</v>
      </c>
      <c r="S155" s="87" t="s">
        <v>149</v>
      </c>
      <c r="T155" s="87" t="s">
        <v>151</v>
      </c>
      <c r="U155" s="40" t="s">
        <v>167</v>
      </c>
      <c r="V155" s="4">
        <v>1</v>
      </c>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x14ac:dyDescent="0.25">
      <c r="A156" s="5" t="str">
        <f ca="1">IFERROR(__xludf.DUMMYFUNCTION("""COMPUTED_VALUE"""),"No")</f>
        <v>No</v>
      </c>
      <c r="B156" s="98"/>
      <c r="C156" s="98"/>
      <c r="D156" s="5" t="str">
        <f ca="1">IFERROR(__xludf.DUMMYFUNCTION("""COMPUTED_VALUE"""),"Events")</f>
        <v>Events</v>
      </c>
      <c r="E156" s="99" t="str">
        <f ca="1">IFERROR(__xludf.DUMMYFUNCTION("""COMPUTED_VALUE"""),"0:N")</f>
        <v>0:N</v>
      </c>
      <c r="F156" s="98"/>
      <c r="G156" s="98"/>
      <c r="H156" s="7" t="str">
        <f ca="1">IFERROR(__xludf.DUMMYFUNCTION("""COMPUTED_VALUE"""),"String")</f>
        <v>String</v>
      </c>
      <c r="I156" s="41"/>
      <c r="J156" s="4"/>
      <c r="K156" s="4"/>
      <c r="L156" s="89" t="s">
        <v>99</v>
      </c>
      <c r="M156" s="40" t="s">
        <v>24</v>
      </c>
      <c r="N156" s="87" t="s">
        <v>102</v>
      </c>
      <c r="O156" s="87" t="s">
        <v>102</v>
      </c>
      <c r="P156" s="94" t="s">
        <v>141</v>
      </c>
      <c r="Q156" s="95" t="s">
        <v>144</v>
      </c>
      <c r="R156" s="40" t="s">
        <v>50</v>
      </c>
      <c r="S156" s="87" t="s">
        <v>149</v>
      </c>
      <c r="T156" s="87" t="s">
        <v>151</v>
      </c>
      <c r="U156" s="40" t="s">
        <v>167</v>
      </c>
      <c r="V156" s="4">
        <v>4.5</v>
      </c>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x14ac:dyDescent="0.25">
      <c r="A157" s="5"/>
      <c r="B157" s="5"/>
      <c r="C157" s="5"/>
      <c r="D157" s="5"/>
      <c r="E157" s="5"/>
      <c r="F157" s="7"/>
      <c r="G157" s="5"/>
      <c r="H157" s="7"/>
      <c r="I157" s="5"/>
      <c r="J157" s="4"/>
      <c r="K157" s="4"/>
      <c r="L157" s="89" t="s">
        <v>100</v>
      </c>
      <c r="M157" s="40" t="s">
        <v>24</v>
      </c>
      <c r="N157" s="87" t="s">
        <v>103</v>
      </c>
      <c r="O157" s="87" t="s">
        <v>103</v>
      </c>
      <c r="P157" s="94" t="s">
        <v>141</v>
      </c>
      <c r="Q157" s="95" t="s">
        <v>144</v>
      </c>
      <c r="R157" s="40" t="s">
        <v>50</v>
      </c>
      <c r="S157" s="87" t="s">
        <v>149</v>
      </c>
      <c r="T157" s="87" t="s">
        <v>151</v>
      </c>
      <c r="U157" s="40" t="s">
        <v>167</v>
      </c>
      <c r="V157" s="4">
        <v>7</v>
      </c>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x14ac:dyDescent="0.25">
      <c r="A158" s="5"/>
      <c r="B158" s="5"/>
      <c r="C158" s="5"/>
      <c r="D158" s="5"/>
      <c r="E158" s="5"/>
      <c r="F158" s="7"/>
      <c r="G158" s="5"/>
      <c r="H158" s="7"/>
      <c r="I158" s="5"/>
      <c r="J158" s="4"/>
      <c r="K158" s="4"/>
      <c r="L158" s="89" t="s">
        <v>104</v>
      </c>
      <c r="M158" s="40" t="s">
        <v>24</v>
      </c>
      <c r="N158" s="4" t="s">
        <v>108</v>
      </c>
      <c r="O158" s="90" t="s">
        <v>108</v>
      </c>
      <c r="P158" s="94" t="s">
        <v>41</v>
      </c>
      <c r="Q158" s="95" t="s">
        <v>144</v>
      </c>
      <c r="R158" s="40" t="s">
        <v>61</v>
      </c>
      <c r="S158" s="87" t="s">
        <v>0</v>
      </c>
      <c r="T158" s="87" t="s">
        <v>151</v>
      </c>
      <c r="U158" s="4"/>
      <c r="V158" s="4">
        <v>1081</v>
      </c>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x14ac:dyDescent="0.25">
      <c r="A159" s="5"/>
      <c r="B159" s="5"/>
      <c r="C159" s="5"/>
      <c r="D159" s="5"/>
      <c r="E159" s="5"/>
      <c r="F159" s="7"/>
      <c r="G159" s="5"/>
      <c r="H159" s="7"/>
      <c r="I159" s="5"/>
      <c r="J159" s="4"/>
      <c r="K159" s="4"/>
      <c r="L159" s="89" t="s">
        <v>105</v>
      </c>
      <c r="M159" s="40" t="s">
        <v>24</v>
      </c>
      <c r="N159" s="89" t="s">
        <v>111</v>
      </c>
      <c r="O159" s="90" t="s">
        <v>111</v>
      </c>
      <c r="P159" s="94" t="s">
        <v>41</v>
      </c>
      <c r="Q159" s="95" t="s">
        <v>144</v>
      </c>
      <c r="R159" s="40" t="s">
        <v>61</v>
      </c>
      <c r="S159" s="87" t="s">
        <v>0</v>
      </c>
      <c r="T159" s="87" t="s">
        <v>151</v>
      </c>
      <c r="U159" s="4"/>
      <c r="V159" s="4">
        <v>218</v>
      </c>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x14ac:dyDescent="0.25">
      <c r="A160" s="5"/>
      <c r="B160" s="5"/>
      <c r="C160" s="5"/>
      <c r="D160" s="5"/>
      <c r="E160" s="5"/>
      <c r="F160" s="7"/>
      <c r="G160" s="5"/>
      <c r="H160" s="7"/>
      <c r="I160" s="5"/>
      <c r="J160" s="4"/>
      <c r="K160" s="4"/>
      <c r="L160" s="89" t="s">
        <v>106</v>
      </c>
      <c r="M160" s="40" t="s">
        <v>24</v>
      </c>
      <c r="N160" s="89" t="s">
        <v>109</v>
      </c>
      <c r="O160" s="90" t="s">
        <v>109</v>
      </c>
      <c r="P160" s="94" t="s">
        <v>41</v>
      </c>
      <c r="Q160" s="95" t="s">
        <v>144</v>
      </c>
      <c r="R160" s="40" t="s">
        <v>61</v>
      </c>
      <c r="S160" s="87" t="s">
        <v>0</v>
      </c>
      <c r="T160" s="87" t="s">
        <v>151</v>
      </c>
      <c r="U160" s="4"/>
      <c r="V160" s="4">
        <v>103</v>
      </c>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x14ac:dyDescent="0.25">
      <c r="A161" s="5"/>
      <c r="B161" s="5"/>
      <c r="C161" s="5"/>
      <c r="D161" s="5"/>
      <c r="E161" s="5"/>
      <c r="F161" s="7"/>
      <c r="G161" s="5"/>
      <c r="H161" s="7"/>
      <c r="I161" s="5"/>
      <c r="J161" s="4"/>
      <c r="K161" s="4"/>
      <c r="L161" s="89" t="s">
        <v>107</v>
      </c>
      <c r="M161" s="40" t="s">
        <v>24</v>
      </c>
      <c r="N161" s="89" t="s">
        <v>110</v>
      </c>
      <c r="O161" s="90" t="s">
        <v>110</v>
      </c>
      <c r="P161" s="94" t="s">
        <v>41</v>
      </c>
      <c r="Q161" s="95" t="s">
        <v>144</v>
      </c>
      <c r="R161" s="40" t="s">
        <v>61</v>
      </c>
      <c r="S161" s="87" t="s">
        <v>0</v>
      </c>
      <c r="T161" s="87" t="s">
        <v>151</v>
      </c>
      <c r="U161" s="4"/>
      <c r="V161" s="4">
        <v>1809</v>
      </c>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x14ac:dyDescent="0.25">
      <c r="A162" s="5"/>
      <c r="B162" s="5"/>
      <c r="C162" s="5"/>
      <c r="D162" s="5"/>
      <c r="E162" s="5"/>
      <c r="F162" s="7"/>
      <c r="G162" s="5"/>
      <c r="H162" s="7"/>
      <c r="I162" s="5"/>
      <c r="J162" s="4"/>
      <c r="K162" s="4"/>
      <c r="L162" s="89" t="s">
        <v>112</v>
      </c>
      <c r="M162" s="40" t="s">
        <v>24</v>
      </c>
      <c r="N162" s="4" t="s">
        <v>113</v>
      </c>
      <c r="O162" s="90" t="s">
        <v>113</v>
      </c>
      <c r="P162" s="94" t="s">
        <v>141</v>
      </c>
      <c r="Q162" s="95" t="s">
        <v>144</v>
      </c>
      <c r="R162" s="40" t="s">
        <v>50</v>
      </c>
      <c r="S162" s="87" t="s">
        <v>149</v>
      </c>
      <c r="T162" s="87" t="s">
        <v>151</v>
      </c>
      <c r="U162" s="4"/>
      <c r="V162" s="4">
        <v>1.6000000000000001E-3</v>
      </c>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x14ac:dyDescent="0.25">
      <c r="A163" s="5"/>
      <c r="B163" s="5"/>
      <c r="C163" s="5"/>
      <c r="D163" s="5"/>
      <c r="E163" s="5"/>
      <c r="F163" s="7"/>
      <c r="G163" s="5"/>
      <c r="H163" s="7"/>
      <c r="I163" s="5"/>
      <c r="J163" s="4"/>
      <c r="K163" s="4"/>
      <c r="L163" s="89" t="s">
        <v>114</v>
      </c>
      <c r="M163" s="40" t="s">
        <v>24</v>
      </c>
      <c r="N163" s="4" t="s">
        <v>119</v>
      </c>
      <c r="O163" s="90" t="s">
        <v>119</v>
      </c>
      <c r="P163" s="94" t="s">
        <v>141</v>
      </c>
      <c r="Q163" s="95" t="s">
        <v>144</v>
      </c>
      <c r="R163" s="40" t="s">
        <v>50</v>
      </c>
      <c r="S163" s="87" t="s">
        <v>149</v>
      </c>
      <c r="T163" s="87" t="s">
        <v>151</v>
      </c>
      <c r="U163" s="4"/>
      <c r="V163" s="4">
        <v>1</v>
      </c>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x14ac:dyDescent="0.25">
      <c r="A164" s="5"/>
      <c r="B164" s="5"/>
      <c r="C164" s="5"/>
      <c r="D164" s="5"/>
      <c r="E164" s="5"/>
      <c r="F164" s="7"/>
      <c r="G164" s="5"/>
      <c r="H164" s="7"/>
      <c r="I164" s="5"/>
      <c r="J164" s="4"/>
      <c r="K164" s="4"/>
      <c r="L164" s="89" t="s">
        <v>115</v>
      </c>
      <c r="M164" s="40" t="s">
        <v>24</v>
      </c>
      <c r="N164" s="89" t="s">
        <v>120</v>
      </c>
      <c r="O164" s="90" t="s">
        <v>120</v>
      </c>
      <c r="P164" s="94" t="s">
        <v>141</v>
      </c>
      <c r="Q164" s="95" t="s">
        <v>144</v>
      </c>
      <c r="R164" s="40" t="s">
        <v>50</v>
      </c>
      <c r="S164" s="87" t="s">
        <v>149</v>
      </c>
      <c r="T164" s="87" t="s">
        <v>151</v>
      </c>
      <c r="U164" s="4"/>
      <c r="V164" s="4">
        <v>0.8</v>
      </c>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x14ac:dyDescent="0.25">
      <c r="A165" s="5"/>
      <c r="B165" s="5"/>
      <c r="C165" s="5"/>
      <c r="D165" s="5"/>
      <c r="E165" s="5"/>
      <c r="F165" s="7"/>
      <c r="G165" s="5"/>
      <c r="H165" s="7"/>
      <c r="I165" s="5"/>
      <c r="J165" s="4"/>
      <c r="K165" s="4"/>
      <c r="L165" s="89" t="s">
        <v>116</v>
      </c>
      <c r="M165" s="40" t="s">
        <v>24</v>
      </c>
      <c r="N165" s="89" t="s">
        <v>121</v>
      </c>
      <c r="O165" s="90" t="s">
        <v>121</v>
      </c>
      <c r="P165" s="94" t="s">
        <v>141</v>
      </c>
      <c r="Q165" s="95" t="s">
        <v>144</v>
      </c>
      <c r="R165" s="40" t="s">
        <v>50</v>
      </c>
      <c r="S165" s="87" t="s">
        <v>149</v>
      </c>
      <c r="T165" s="87" t="s">
        <v>151</v>
      </c>
      <c r="U165" s="4"/>
      <c r="V165" s="4">
        <v>0.95</v>
      </c>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x14ac:dyDescent="0.25">
      <c r="A166" s="5"/>
      <c r="B166" s="5"/>
      <c r="C166" s="5"/>
      <c r="D166" s="5"/>
      <c r="E166" s="5"/>
      <c r="F166" s="7"/>
      <c r="G166" s="5"/>
      <c r="H166" s="7"/>
      <c r="I166" s="5"/>
      <c r="J166" s="4"/>
      <c r="K166" s="4"/>
      <c r="L166" s="89" t="s">
        <v>117</v>
      </c>
      <c r="M166" s="40" t="s">
        <v>24</v>
      </c>
      <c r="N166" s="89" t="s">
        <v>122</v>
      </c>
      <c r="O166" s="90" t="s">
        <v>122</v>
      </c>
      <c r="P166" s="94" t="s">
        <v>141</v>
      </c>
      <c r="Q166" s="95" t="s">
        <v>144</v>
      </c>
      <c r="R166" s="40" t="s">
        <v>50</v>
      </c>
      <c r="S166" s="87" t="s">
        <v>149</v>
      </c>
      <c r="T166" s="87" t="s">
        <v>151</v>
      </c>
      <c r="U166" s="4"/>
      <c r="V166" s="4">
        <v>0.6</v>
      </c>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x14ac:dyDescent="0.25">
      <c r="A167" s="5"/>
      <c r="B167" s="5"/>
      <c r="C167" s="5"/>
      <c r="D167" s="5"/>
      <c r="E167" s="5"/>
      <c r="F167" s="7"/>
      <c r="G167" s="5"/>
      <c r="H167" s="7"/>
      <c r="I167" s="5"/>
      <c r="J167" s="4"/>
      <c r="K167" s="4"/>
      <c r="L167" s="89" t="s">
        <v>118</v>
      </c>
      <c r="M167" s="40" t="s">
        <v>24</v>
      </c>
      <c r="N167" s="89" t="s">
        <v>123</v>
      </c>
      <c r="O167" s="90" t="s">
        <v>123</v>
      </c>
      <c r="P167" s="94" t="s">
        <v>141</v>
      </c>
      <c r="Q167" s="95" t="s">
        <v>144</v>
      </c>
      <c r="R167" s="40" t="s">
        <v>50</v>
      </c>
      <c r="S167" s="87" t="s">
        <v>149</v>
      </c>
      <c r="T167" s="87" t="s">
        <v>151</v>
      </c>
      <c r="U167" s="4"/>
      <c r="V167" s="4">
        <v>25000</v>
      </c>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x14ac:dyDescent="0.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x14ac:dyDescent="0.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x14ac:dyDescent="0.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x14ac:dyDescent="0.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x14ac:dyDescent="0.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x14ac:dyDescent="0.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x14ac:dyDescent="0.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x14ac:dyDescent="0.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x14ac:dyDescent="0.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x14ac:dyDescent="0.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x14ac:dyDescent="0.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x14ac:dyDescent="0.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x14ac:dyDescent="0.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x14ac:dyDescent="0.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x14ac:dyDescent="0.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x14ac:dyDescent="0.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x14ac:dyDescent="0.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x14ac:dyDescent="0.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x14ac:dyDescent="0.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x14ac:dyDescent="0.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x14ac:dyDescent="0.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x14ac:dyDescent="0.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x14ac:dyDescent="0.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x14ac:dyDescent="0.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x14ac:dyDescent="0.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x14ac:dyDescent="0.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x14ac:dyDescent="0.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x14ac:dyDescent="0.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x14ac:dyDescent="0.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x14ac:dyDescent="0.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x14ac:dyDescent="0.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x14ac:dyDescent="0.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x14ac:dyDescent="0.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x14ac:dyDescent="0.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x14ac:dyDescent="0.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x14ac:dyDescent="0.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x14ac:dyDescent="0.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x14ac:dyDescent="0.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x14ac:dyDescent="0.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x14ac:dyDescent="0.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x14ac:dyDescent="0.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x14ac:dyDescent="0.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x14ac:dyDescent="0.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x14ac:dyDescent="0.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x14ac:dyDescent="0.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x14ac:dyDescent="0.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x14ac:dyDescent="0.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x14ac:dyDescent="0.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x14ac:dyDescent="0.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x14ac:dyDescent="0.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x14ac:dyDescent="0.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x14ac:dyDescent="0.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x14ac:dyDescent="0.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x14ac:dyDescent="0.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x14ac:dyDescent="0.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x14ac:dyDescent="0.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x14ac:dyDescent="0.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x14ac:dyDescent="0.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x14ac:dyDescent="0.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x14ac:dyDescent="0.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x14ac:dyDescent="0.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x14ac:dyDescent="0.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x14ac:dyDescent="0.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x14ac:dyDescent="0.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x14ac:dyDescent="0.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x14ac:dyDescent="0.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x14ac:dyDescent="0.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x14ac:dyDescent="0.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x14ac:dyDescent="0.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x14ac:dyDescent="0.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x14ac:dyDescent="0.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x14ac:dyDescent="0.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x14ac:dyDescent="0.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x14ac:dyDescent="0.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x14ac:dyDescent="0.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x14ac:dyDescent="0.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x14ac:dyDescent="0.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x14ac:dyDescent="0.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x14ac:dyDescent="0.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x14ac:dyDescent="0.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x14ac:dyDescent="0.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x14ac:dyDescent="0.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x14ac:dyDescent="0.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x14ac:dyDescent="0.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x14ac:dyDescent="0.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x14ac:dyDescent="0.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x14ac:dyDescent="0.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x14ac:dyDescent="0.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x14ac:dyDescent="0.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x14ac:dyDescent="0.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x14ac:dyDescent="0.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x14ac:dyDescent="0.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x14ac:dyDescent="0.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x14ac:dyDescent="0.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x14ac:dyDescent="0.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x14ac:dyDescent="0.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x14ac:dyDescent="0.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x14ac:dyDescent="0.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x14ac:dyDescent="0.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x14ac:dyDescent="0.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x14ac:dyDescent="0.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x14ac:dyDescent="0.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x14ac:dyDescent="0.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x14ac:dyDescent="0.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x14ac:dyDescent="0.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x14ac:dyDescent="0.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x14ac:dyDescent="0.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x14ac:dyDescent="0.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x14ac:dyDescent="0.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x14ac:dyDescent="0.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x14ac:dyDescent="0.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x14ac:dyDescent="0.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x14ac:dyDescent="0.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x14ac:dyDescent="0.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x14ac:dyDescent="0.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x14ac:dyDescent="0.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x14ac:dyDescent="0.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x14ac:dyDescent="0.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x14ac:dyDescent="0.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x14ac:dyDescent="0.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x14ac:dyDescent="0.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x14ac:dyDescent="0.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x14ac:dyDescent="0.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x14ac:dyDescent="0.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x14ac:dyDescent="0.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x14ac:dyDescent="0.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x14ac:dyDescent="0.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x14ac:dyDescent="0.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x14ac:dyDescent="0.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x14ac:dyDescent="0.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x14ac:dyDescent="0.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x14ac:dyDescent="0.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x14ac:dyDescent="0.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x14ac:dyDescent="0.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x14ac:dyDescent="0.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x14ac:dyDescent="0.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x14ac:dyDescent="0.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x14ac:dyDescent="0.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x14ac:dyDescent="0.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x14ac:dyDescent="0.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x14ac:dyDescent="0.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x14ac:dyDescent="0.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x14ac:dyDescent="0.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x14ac:dyDescent="0.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x14ac:dyDescent="0.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x14ac:dyDescent="0.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x14ac:dyDescent="0.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x14ac:dyDescent="0.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x14ac:dyDescent="0.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x14ac:dyDescent="0.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x14ac:dyDescent="0.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x14ac:dyDescent="0.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x14ac:dyDescent="0.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x14ac:dyDescent="0.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x14ac:dyDescent="0.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x14ac:dyDescent="0.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x14ac:dyDescent="0.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x14ac:dyDescent="0.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x14ac:dyDescent="0.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x14ac:dyDescent="0.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x14ac:dyDescent="0.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x14ac:dyDescent="0.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x14ac:dyDescent="0.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x14ac:dyDescent="0.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x14ac:dyDescent="0.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x14ac:dyDescent="0.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x14ac:dyDescent="0.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x14ac:dyDescent="0.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x14ac:dyDescent="0.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x14ac:dyDescent="0.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x14ac:dyDescent="0.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x14ac:dyDescent="0.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x14ac:dyDescent="0.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x14ac:dyDescent="0.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x14ac:dyDescent="0.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x14ac:dyDescent="0.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x14ac:dyDescent="0.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x14ac:dyDescent="0.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x14ac:dyDescent="0.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x14ac:dyDescent="0.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x14ac:dyDescent="0.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x14ac:dyDescent="0.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x14ac:dyDescent="0.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x14ac:dyDescent="0.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x14ac:dyDescent="0.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x14ac:dyDescent="0.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x14ac:dyDescent="0.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x14ac:dyDescent="0.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x14ac:dyDescent="0.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x14ac:dyDescent="0.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x14ac:dyDescent="0.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x14ac:dyDescent="0.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x14ac:dyDescent="0.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x14ac:dyDescent="0.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x14ac:dyDescent="0.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x14ac:dyDescent="0.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x14ac:dyDescent="0.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x14ac:dyDescent="0.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x14ac:dyDescent="0.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x14ac:dyDescent="0.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x14ac:dyDescent="0.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x14ac:dyDescent="0.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x14ac:dyDescent="0.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x14ac:dyDescent="0.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x14ac:dyDescent="0.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x14ac:dyDescent="0.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x14ac:dyDescent="0.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x14ac:dyDescent="0.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x14ac:dyDescent="0.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x14ac:dyDescent="0.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x14ac:dyDescent="0.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x14ac:dyDescent="0.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x14ac:dyDescent="0.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x14ac:dyDescent="0.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x14ac:dyDescent="0.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x14ac:dyDescent="0.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x14ac:dyDescent="0.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x14ac:dyDescent="0.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x14ac:dyDescent="0.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x14ac:dyDescent="0.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x14ac:dyDescent="0.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x14ac:dyDescent="0.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x14ac:dyDescent="0.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x14ac:dyDescent="0.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x14ac:dyDescent="0.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x14ac:dyDescent="0.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x14ac:dyDescent="0.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x14ac:dyDescent="0.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x14ac:dyDescent="0.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x14ac:dyDescent="0.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x14ac:dyDescent="0.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x14ac:dyDescent="0.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x14ac:dyDescent="0.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x14ac:dyDescent="0.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x14ac:dyDescent="0.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x14ac:dyDescent="0.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x14ac:dyDescent="0.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x14ac:dyDescent="0.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x14ac:dyDescent="0.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x14ac:dyDescent="0.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x14ac:dyDescent="0.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x14ac:dyDescent="0.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x14ac:dyDescent="0.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x14ac:dyDescent="0.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x14ac:dyDescent="0.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x14ac:dyDescent="0.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x14ac:dyDescent="0.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x14ac:dyDescent="0.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x14ac:dyDescent="0.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x14ac:dyDescent="0.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x14ac:dyDescent="0.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x14ac:dyDescent="0.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x14ac:dyDescent="0.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x14ac:dyDescent="0.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x14ac:dyDescent="0.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x14ac:dyDescent="0.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x14ac:dyDescent="0.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x14ac:dyDescent="0.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x14ac:dyDescent="0.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x14ac:dyDescent="0.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x14ac:dyDescent="0.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x14ac:dyDescent="0.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x14ac:dyDescent="0.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x14ac:dyDescent="0.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x14ac:dyDescent="0.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x14ac:dyDescent="0.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x14ac:dyDescent="0.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x14ac:dyDescent="0.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x14ac:dyDescent="0.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x14ac:dyDescent="0.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x14ac:dyDescent="0.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x14ac:dyDescent="0.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x14ac:dyDescent="0.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x14ac:dyDescent="0.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x14ac:dyDescent="0.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x14ac:dyDescent="0.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x14ac:dyDescent="0.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x14ac:dyDescent="0.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x14ac:dyDescent="0.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x14ac:dyDescent="0.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x14ac:dyDescent="0.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x14ac:dyDescent="0.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x14ac:dyDescent="0.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x14ac:dyDescent="0.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x14ac:dyDescent="0.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x14ac:dyDescent="0.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x14ac:dyDescent="0.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x14ac:dyDescent="0.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x14ac:dyDescent="0.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x14ac:dyDescent="0.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x14ac:dyDescent="0.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x14ac:dyDescent="0.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x14ac:dyDescent="0.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x14ac:dyDescent="0.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x14ac:dyDescent="0.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x14ac:dyDescent="0.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x14ac:dyDescent="0.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x14ac:dyDescent="0.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x14ac:dyDescent="0.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x14ac:dyDescent="0.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x14ac:dyDescent="0.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x14ac:dyDescent="0.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x14ac:dyDescent="0.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x14ac:dyDescent="0.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x14ac:dyDescent="0.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x14ac:dyDescent="0.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x14ac:dyDescent="0.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x14ac:dyDescent="0.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x14ac:dyDescent="0.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x14ac:dyDescent="0.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x14ac:dyDescent="0.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x14ac:dyDescent="0.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x14ac:dyDescent="0.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x14ac:dyDescent="0.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x14ac:dyDescent="0.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x14ac:dyDescent="0.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x14ac:dyDescent="0.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x14ac:dyDescent="0.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x14ac:dyDescent="0.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x14ac:dyDescent="0.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x14ac:dyDescent="0.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x14ac:dyDescent="0.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x14ac:dyDescent="0.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x14ac:dyDescent="0.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x14ac:dyDescent="0.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x14ac:dyDescent="0.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x14ac:dyDescent="0.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x14ac:dyDescent="0.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x14ac:dyDescent="0.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x14ac:dyDescent="0.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x14ac:dyDescent="0.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x14ac:dyDescent="0.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x14ac:dyDescent="0.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x14ac:dyDescent="0.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x14ac:dyDescent="0.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x14ac:dyDescent="0.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x14ac:dyDescent="0.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x14ac:dyDescent="0.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x14ac:dyDescent="0.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x14ac:dyDescent="0.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x14ac:dyDescent="0.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x14ac:dyDescent="0.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x14ac:dyDescent="0.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x14ac:dyDescent="0.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x14ac:dyDescent="0.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x14ac:dyDescent="0.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x14ac:dyDescent="0.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x14ac:dyDescent="0.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x14ac:dyDescent="0.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x14ac:dyDescent="0.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x14ac:dyDescent="0.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x14ac:dyDescent="0.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x14ac:dyDescent="0.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x14ac:dyDescent="0.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x14ac:dyDescent="0.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x14ac:dyDescent="0.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x14ac:dyDescent="0.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x14ac:dyDescent="0.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x14ac:dyDescent="0.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x14ac:dyDescent="0.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x14ac:dyDescent="0.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x14ac:dyDescent="0.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x14ac:dyDescent="0.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x14ac:dyDescent="0.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x14ac:dyDescent="0.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x14ac:dyDescent="0.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x14ac:dyDescent="0.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x14ac:dyDescent="0.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x14ac:dyDescent="0.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x14ac:dyDescent="0.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x14ac:dyDescent="0.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x14ac:dyDescent="0.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x14ac:dyDescent="0.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x14ac:dyDescent="0.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x14ac:dyDescent="0.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x14ac:dyDescent="0.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x14ac:dyDescent="0.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x14ac:dyDescent="0.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x14ac:dyDescent="0.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x14ac:dyDescent="0.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x14ac:dyDescent="0.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x14ac:dyDescent="0.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x14ac:dyDescent="0.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x14ac:dyDescent="0.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x14ac:dyDescent="0.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x14ac:dyDescent="0.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x14ac:dyDescent="0.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x14ac:dyDescent="0.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x14ac:dyDescent="0.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x14ac:dyDescent="0.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x14ac:dyDescent="0.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x14ac:dyDescent="0.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x14ac:dyDescent="0.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x14ac:dyDescent="0.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x14ac:dyDescent="0.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x14ac:dyDescent="0.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x14ac:dyDescent="0.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x14ac:dyDescent="0.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x14ac:dyDescent="0.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x14ac:dyDescent="0.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x14ac:dyDescent="0.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x14ac:dyDescent="0.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x14ac:dyDescent="0.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x14ac:dyDescent="0.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x14ac:dyDescent="0.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x14ac:dyDescent="0.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x14ac:dyDescent="0.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x14ac:dyDescent="0.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x14ac:dyDescent="0.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x14ac:dyDescent="0.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x14ac:dyDescent="0.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x14ac:dyDescent="0.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x14ac:dyDescent="0.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x14ac:dyDescent="0.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x14ac:dyDescent="0.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x14ac:dyDescent="0.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x14ac:dyDescent="0.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x14ac:dyDescent="0.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x14ac:dyDescent="0.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x14ac:dyDescent="0.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x14ac:dyDescent="0.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x14ac:dyDescent="0.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x14ac:dyDescent="0.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x14ac:dyDescent="0.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x14ac:dyDescent="0.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x14ac:dyDescent="0.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x14ac:dyDescent="0.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x14ac:dyDescent="0.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x14ac:dyDescent="0.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x14ac:dyDescent="0.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x14ac:dyDescent="0.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x14ac:dyDescent="0.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x14ac:dyDescent="0.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x14ac:dyDescent="0.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x14ac:dyDescent="0.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x14ac:dyDescent="0.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x14ac:dyDescent="0.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x14ac:dyDescent="0.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x14ac:dyDescent="0.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x14ac:dyDescent="0.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x14ac:dyDescent="0.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x14ac:dyDescent="0.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x14ac:dyDescent="0.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x14ac:dyDescent="0.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x14ac:dyDescent="0.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x14ac:dyDescent="0.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x14ac:dyDescent="0.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x14ac:dyDescent="0.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x14ac:dyDescent="0.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x14ac:dyDescent="0.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x14ac:dyDescent="0.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x14ac:dyDescent="0.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x14ac:dyDescent="0.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x14ac:dyDescent="0.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x14ac:dyDescent="0.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x14ac:dyDescent="0.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x14ac:dyDescent="0.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x14ac:dyDescent="0.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x14ac:dyDescent="0.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x14ac:dyDescent="0.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x14ac:dyDescent="0.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x14ac:dyDescent="0.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x14ac:dyDescent="0.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x14ac:dyDescent="0.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x14ac:dyDescent="0.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x14ac:dyDescent="0.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x14ac:dyDescent="0.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x14ac:dyDescent="0.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x14ac:dyDescent="0.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x14ac:dyDescent="0.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x14ac:dyDescent="0.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x14ac:dyDescent="0.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x14ac:dyDescent="0.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x14ac:dyDescent="0.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x14ac:dyDescent="0.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x14ac:dyDescent="0.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x14ac:dyDescent="0.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x14ac:dyDescent="0.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x14ac:dyDescent="0.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x14ac:dyDescent="0.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x14ac:dyDescent="0.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x14ac:dyDescent="0.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x14ac:dyDescent="0.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x14ac:dyDescent="0.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x14ac:dyDescent="0.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x14ac:dyDescent="0.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x14ac:dyDescent="0.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x14ac:dyDescent="0.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x14ac:dyDescent="0.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x14ac:dyDescent="0.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x14ac:dyDescent="0.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x14ac:dyDescent="0.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x14ac:dyDescent="0.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x14ac:dyDescent="0.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x14ac:dyDescent="0.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x14ac:dyDescent="0.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x14ac:dyDescent="0.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x14ac:dyDescent="0.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x14ac:dyDescent="0.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x14ac:dyDescent="0.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x14ac:dyDescent="0.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x14ac:dyDescent="0.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x14ac:dyDescent="0.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x14ac:dyDescent="0.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x14ac:dyDescent="0.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x14ac:dyDescent="0.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x14ac:dyDescent="0.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x14ac:dyDescent="0.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x14ac:dyDescent="0.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x14ac:dyDescent="0.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x14ac:dyDescent="0.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x14ac:dyDescent="0.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x14ac:dyDescent="0.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x14ac:dyDescent="0.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x14ac:dyDescent="0.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x14ac:dyDescent="0.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x14ac:dyDescent="0.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x14ac:dyDescent="0.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x14ac:dyDescent="0.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x14ac:dyDescent="0.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x14ac:dyDescent="0.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x14ac:dyDescent="0.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x14ac:dyDescent="0.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x14ac:dyDescent="0.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x14ac:dyDescent="0.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x14ac:dyDescent="0.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x14ac:dyDescent="0.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x14ac:dyDescent="0.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x14ac:dyDescent="0.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x14ac:dyDescent="0.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x14ac:dyDescent="0.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x14ac:dyDescent="0.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x14ac:dyDescent="0.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x14ac:dyDescent="0.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x14ac:dyDescent="0.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x14ac:dyDescent="0.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x14ac:dyDescent="0.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x14ac:dyDescent="0.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x14ac:dyDescent="0.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x14ac:dyDescent="0.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x14ac:dyDescent="0.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x14ac:dyDescent="0.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x14ac:dyDescent="0.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x14ac:dyDescent="0.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x14ac:dyDescent="0.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x14ac:dyDescent="0.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x14ac:dyDescent="0.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x14ac:dyDescent="0.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x14ac:dyDescent="0.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x14ac:dyDescent="0.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x14ac:dyDescent="0.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x14ac:dyDescent="0.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x14ac:dyDescent="0.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x14ac:dyDescent="0.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x14ac:dyDescent="0.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x14ac:dyDescent="0.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x14ac:dyDescent="0.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x14ac:dyDescent="0.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x14ac:dyDescent="0.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x14ac:dyDescent="0.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x14ac:dyDescent="0.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x14ac:dyDescent="0.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x14ac:dyDescent="0.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x14ac:dyDescent="0.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x14ac:dyDescent="0.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x14ac:dyDescent="0.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x14ac:dyDescent="0.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x14ac:dyDescent="0.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x14ac:dyDescent="0.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x14ac:dyDescent="0.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x14ac:dyDescent="0.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x14ac:dyDescent="0.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x14ac:dyDescent="0.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x14ac:dyDescent="0.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x14ac:dyDescent="0.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x14ac:dyDescent="0.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x14ac:dyDescent="0.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x14ac:dyDescent="0.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x14ac:dyDescent="0.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x14ac:dyDescent="0.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x14ac:dyDescent="0.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x14ac:dyDescent="0.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x14ac:dyDescent="0.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x14ac:dyDescent="0.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x14ac:dyDescent="0.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x14ac:dyDescent="0.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x14ac:dyDescent="0.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x14ac:dyDescent="0.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x14ac:dyDescent="0.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x14ac:dyDescent="0.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x14ac:dyDescent="0.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x14ac:dyDescent="0.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x14ac:dyDescent="0.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x14ac:dyDescent="0.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x14ac:dyDescent="0.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x14ac:dyDescent="0.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x14ac:dyDescent="0.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x14ac:dyDescent="0.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x14ac:dyDescent="0.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x14ac:dyDescent="0.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x14ac:dyDescent="0.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x14ac:dyDescent="0.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x14ac:dyDescent="0.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x14ac:dyDescent="0.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x14ac:dyDescent="0.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x14ac:dyDescent="0.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x14ac:dyDescent="0.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x14ac:dyDescent="0.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x14ac:dyDescent="0.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x14ac:dyDescent="0.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x14ac:dyDescent="0.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x14ac:dyDescent="0.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x14ac:dyDescent="0.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x14ac:dyDescent="0.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x14ac:dyDescent="0.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x14ac:dyDescent="0.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x14ac:dyDescent="0.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x14ac:dyDescent="0.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x14ac:dyDescent="0.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x14ac:dyDescent="0.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x14ac:dyDescent="0.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x14ac:dyDescent="0.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x14ac:dyDescent="0.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x14ac:dyDescent="0.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x14ac:dyDescent="0.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x14ac:dyDescent="0.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x14ac:dyDescent="0.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x14ac:dyDescent="0.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x14ac:dyDescent="0.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x14ac:dyDescent="0.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x14ac:dyDescent="0.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x14ac:dyDescent="0.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x14ac:dyDescent="0.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x14ac:dyDescent="0.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x14ac:dyDescent="0.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x14ac:dyDescent="0.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x14ac:dyDescent="0.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x14ac:dyDescent="0.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x14ac:dyDescent="0.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x14ac:dyDescent="0.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x14ac:dyDescent="0.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x14ac:dyDescent="0.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x14ac:dyDescent="0.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x14ac:dyDescent="0.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x14ac:dyDescent="0.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x14ac:dyDescent="0.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x14ac:dyDescent="0.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x14ac:dyDescent="0.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x14ac:dyDescent="0.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x14ac:dyDescent="0.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x14ac:dyDescent="0.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x14ac:dyDescent="0.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x14ac:dyDescent="0.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x14ac:dyDescent="0.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x14ac:dyDescent="0.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x14ac:dyDescent="0.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x14ac:dyDescent="0.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x14ac:dyDescent="0.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x14ac:dyDescent="0.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x14ac:dyDescent="0.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x14ac:dyDescent="0.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x14ac:dyDescent="0.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x14ac:dyDescent="0.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x14ac:dyDescent="0.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x14ac:dyDescent="0.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x14ac:dyDescent="0.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x14ac:dyDescent="0.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x14ac:dyDescent="0.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x14ac:dyDescent="0.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x14ac:dyDescent="0.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x14ac:dyDescent="0.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x14ac:dyDescent="0.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x14ac:dyDescent="0.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x14ac:dyDescent="0.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x14ac:dyDescent="0.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x14ac:dyDescent="0.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x14ac:dyDescent="0.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x14ac:dyDescent="0.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x14ac:dyDescent="0.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x14ac:dyDescent="0.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x14ac:dyDescent="0.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x14ac:dyDescent="0.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x14ac:dyDescent="0.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x14ac:dyDescent="0.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x14ac:dyDescent="0.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x14ac:dyDescent="0.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x14ac:dyDescent="0.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x14ac:dyDescent="0.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x14ac:dyDescent="0.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x14ac:dyDescent="0.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x14ac:dyDescent="0.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x14ac:dyDescent="0.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x14ac:dyDescent="0.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x14ac:dyDescent="0.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x14ac:dyDescent="0.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x14ac:dyDescent="0.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x14ac:dyDescent="0.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x14ac:dyDescent="0.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x14ac:dyDescent="0.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x14ac:dyDescent="0.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x14ac:dyDescent="0.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x14ac:dyDescent="0.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x14ac:dyDescent="0.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x14ac:dyDescent="0.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x14ac:dyDescent="0.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x14ac:dyDescent="0.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x14ac:dyDescent="0.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x14ac:dyDescent="0.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x14ac:dyDescent="0.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x14ac:dyDescent="0.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x14ac:dyDescent="0.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x14ac:dyDescent="0.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x14ac:dyDescent="0.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x14ac:dyDescent="0.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x14ac:dyDescent="0.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x14ac:dyDescent="0.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x14ac:dyDescent="0.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x14ac:dyDescent="0.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x14ac:dyDescent="0.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x14ac:dyDescent="0.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x14ac:dyDescent="0.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x14ac:dyDescent="0.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x14ac:dyDescent="0.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x14ac:dyDescent="0.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x14ac:dyDescent="0.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x14ac:dyDescent="0.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x14ac:dyDescent="0.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x14ac:dyDescent="0.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x14ac:dyDescent="0.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x14ac:dyDescent="0.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x14ac:dyDescent="0.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x14ac:dyDescent="0.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x14ac:dyDescent="0.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x14ac:dyDescent="0.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x14ac:dyDescent="0.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x14ac:dyDescent="0.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x14ac:dyDescent="0.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x14ac:dyDescent="0.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x14ac:dyDescent="0.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x14ac:dyDescent="0.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x14ac:dyDescent="0.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x14ac:dyDescent="0.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x14ac:dyDescent="0.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x14ac:dyDescent="0.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x14ac:dyDescent="0.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x14ac:dyDescent="0.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x14ac:dyDescent="0.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x14ac:dyDescent="0.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x14ac:dyDescent="0.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x14ac:dyDescent="0.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x14ac:dyDescent="0.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x14ac:dyDescent="0.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x14ac:dyDescent="0.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x14ac:dyDescent="0.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x14ac:dyDescent="0.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x14ac:dyDescent="0.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x14ac:dyDescent="0.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x14ac:dyDescent="0.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x14ac:dyDescent="0.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x14ac:dyDescent="0.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x14ac:dyDescent="0.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x14ac:dyDescent="0.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x14ac:dyDescent="0.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x14ac:dyDescent="0.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x14ac:dyDescent="0.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x14ac:dyDescent="0.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x14ac:dyDescent="0.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x14ac:dyDescent="0.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x14ac:dyDescent="0.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x14ac:dyDescent="0.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x14ac:dyDescent="0.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x14ac:dyDescent="0.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x14ac:dyDescent="0.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x14ac:dyDescent="0.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x14ac:dyDescent="0.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x14ac:dyDescent="0.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x14ac:dyDescent="0.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x14ac:dyDescent="0.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x14ac:dyDescent="0.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x14ac:dyDescent="0.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x14ac:dyDescent="0.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x14ac:dyDescent="0.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x14ac:dyDescent="0.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x14ac:dyDescent="0.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x14ac:dyDescent="0.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x14ac:dyDescent="0.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x14ac:dyDescent="0.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x14ac:dyDescent="0.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x14ac:dyDescent="0.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x14ac:dyDescent="0.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x14ac:dyDescent="0.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x14ac:dyDescent="0.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x14ac:dyDescent="0.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x14ac:dyDescent="0.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x14ac:dyDescent="0.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x14ac:dyDescent="0.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x14ac:dyDescent="0.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x14ac:dyDescent="0.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x14ac:dyDescent="0.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x14ac:dyDescent="0.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x14ac:dyDescent="0.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x14ac:dyDescent="0.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x14ac:dyDescent="0.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x14ac:dyDescent="0.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x14ac:dyDescent="0.25">
      <c r="A972" s="5"/>
      <c r="B972" s="5"/>
      <c r="C972" s="5"/>
      <c r="D972" s="5"/>
      <c r="E972" s="5"/>
      <c r="F972" s="7"/>
      <c r="G972" s="5"/>
      <c r="H972" s="7"/>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x14ac:dyDescent="0.25">
      <c r="A973" s="5"/>
      <c r="B973" s="5"/>
      <c r="C973" s="5"/>
      <c r="D973" s="5"/>
      <c r="E973" s="5"/>
      <c r="F973" s="7"/>
      <c r="G973" s="5"/>
      <c r="H973" s="7"/>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x14ac:dyDescent="0.25">
      <c r="A974" s="5"/>
      <c r="B974" s="5"/>
      <c r="C974" s="5"/>
      <c r="D974" s="5"/>
      <c r="E974" s="5"/>
      <c r="F974" s="7"/>
      <c r="G974" s="5"/>
      <c r="H974" s="7"/>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x14ac:dyDescent="0.25">
      <c r="A975" s="5"/>
      <c r="B975" s="5"/>
      <c r="C975" s="5"/>
      <c r="D975" s="5"/>
      <c r="E975" s="5"/>
      <c r="F975" s="7"/>
      <c r="G975" s="5"/>
      <c r="H975" s="7"/>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x14ac:dyDescent="0.25">
      <c r="A976" s="5"/>
      <c r="B976" s="5"/>
      <c r="C976" s="5"/>
      <c r="D976" s="5"/>
      <c r="E976" s="5"/>
      <c r="F976" s="7"/>
      <c r="G976" s="5"/>
      <c r="H976" s="7"/>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x14ac:dyDescent="0.25">
      <c r="A977" s="5"/>
      <c r="B977" s="5"/>
      <c r="C977" s="5"/>
      <c r="D977" s="5"/>
      <c r="E977" s="5"/>
      <c r="F977" s="7"/>
      <c r="G977" s="5"/>
      <c r="H977" s="7"/>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x14ac:dyDescent="0.25">
      <c r="A978" s="5"/>
      <c r="B978" s="5"/>
      <c r="C978" s="5"/>
      <c r="D978" s="5"/>
      <c r="E978" s="5"/>
      <c r="F978" s="7"/>
      <c r="G978" s="5"/>
      <c r="H978" s="7"/>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x14ac:dyDescent="0.25">
      <c r="A979" s="5"/>
      <c r="B979" s="5"/>
      <c r="C979" s="5"/>
      <c r="D979" s="5"/>
      <c r="E979" s="5"/>
      <c r="F979" s="7"/>
      <c r="G979" s="5"/>
      <c r="H979" s="7"/>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x14ac:dyDescent="0.25">
      <c r="A980" s="5"/>
      <c r="B980" s="5"/>
      <c r="C980" s="5"/>
      <c r="D980" s="5"/>
      <c r="E980" s="5"/>
      <c r="F980" s="7"/>
      <c r="G980" s="5"/>
      <c r="H980" s="7"/>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x14ac:dyDescent="0.25">
      <c r="A981" s="5"/>
      <c r="B981" s="5"/>
      <c r="C981" s="5"/>
      <c r="D981" s="5"/>
      <c r="E981" s="5"/>
      <c r="F981" s="7"/>
      <c r="G981" s="5"/>
      <c r="H981" s="7"/>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x14ac:dyDescent="0.25">
      <c r="A982" s="5"/>
      <c r="B982" s="5"/>
      <c r="C982" s="5"/>
      <c r="D982" s="5"/>
      <c r="E982" s="5"/>
      <c r="F982" s="7"/>
      <c r="G982" s="5"/>
      <c r="H982" s="7"/>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x14ac:dyDescent="0.25">
      <c r="A983" s="5"/>
      <c r="B983" s="5"/>
      <c r="C983" s="5"/>
      <c r="D983" s="5"/>
      <c r="E983" s="5"/>
      <c r="F983" s="7"/>
      <c r="G983" s="5"/>
      <c r="H983" s="7"/>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x14ac:dyDescent="0.25">
      <c r="A984" s="5"/>
      <c r="B984" s="5"/>
      <c r="C984" s="5"/>
      <c r="D984" s="5"/>
      <c r="E984" s="5"/>
      <c r="F984" s="7"/>
      <c r="G984" s="5"/>
      <c r="H984" s="7"/>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x14ac:dyDescent="0.25">
      <c r="A985" s="5"/>
      <c r="B985" s="5"/>
      <c r="C985" s="5"/>
      <c r="D985" s="5"/>
      <c r="E985" s="5"/>
      <c r="F985" s="7"/>
      <c r="G985" s="5"/>
      <c r="H985" s="7"/>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x14ac:dyDescent="0.25">
      <c r="A986" s="5"/>
      <c r="B986" s="5"/>
      <c r="C986" s="5"/>
      <c r="D986" s="5"/>
      <c r="E986" s="5"/>
      <c r="F986" s="7"/>
      <c r="G986" s="5"/>
      <c r="H986" s="7"/>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x14ac:dyDescent="0.25">
      <c r="A987" s="5"/>
      <c r="B987" s="5"/>
      <c r="C987" s="5"/>
      <c r="D987" s="5"/>
      <c r="E987" s="5"/>
      <c r="F987" s="7"/>
      <c r="G987" s="5"/>
      <c r="H987" s="7"/>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x14ac:dyDescent="0.25">
      <c r="A988" s="5"/>
      <c r="B988" s="5"/>
      <c r="C988" s="5"/>
      <c r="D988" s="5"/>
      <c r="E988" s="5"/>
      <c r="F988" s="7"/>
      <c r="G988" s="5"/>
      <c r="H988" s="7"/>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x14ac:dyDescent="0.25">
      <c r="A989" s="5"/>
      <c r="B989" s="5"/>
      <c r="C989" s="5"/>
      <c r="D989" s="5"/>
      <c r="E989" s="5"/>
      <c r="F989" s="7"/>
      <c r="G989" s="5"/>
      <c r="H989" s="7"/>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x14ac:dyDescent="0.25">
      <c r="A990" s="5"/>
      <c r="B990" s="5"/>
      <c r="C990" s="5"/>
      <c r="D990" s="5"/>
      <c r="E990" s="5"/>
      <c r="F990" s="7"/>
      <c r="G990" s="5"/>
      <c r="H990" s="7"/>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x14ac:dyDescent="0.25">
      <c r="A991" s="5"/>
      <c r="B991" s="5"/>
      <c r="C991" s="5"/>
      <c r="D991" s="5"/>
      <c r="E991" s="5"/>
      <c r="F991" s="7"/>
      <c r="G991" s="5"/>
      <c r="H991" s="7"/>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x14ac:dyDescent="0.25">
      <c r="A992" s="5"/>
      <c r="B992" s="5"/>
      <c r="C992" s="5"/>
      <c r="D992" s="5"/>
      <c r="E992" s="5"/>
      <c r="F992" s="7"/>
      <c r="G992" s="5"/>
      <c r="H992" s="7"/>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x14ac:dyDescent="0.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x14ac:dyDescent="0.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x14ac:dyDescent="0.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5" priority="3">
      <formula>LEN(TRIM(M124))&gt;0</formula>
    </cfRule>
  </conditionalFormatting>
  <conditionalFormatting sqref="V133:V139 V142:V153">
    <cfRule type="expression" dxfId="24" priority="4">
      <formula>IF(AND(M133="Input",R133="File"),V133="")</formula>
    </cfRule>
  </conditionalFormatting>
  <conditionalFormatting sqref="V140:V141">
    <cfRule type="expression" dxfId="23" priority="2">
      <formula>IF(AND(M140="Input",R140="File"),V140="")</formula>
    </cfRule>
  </conditionalFormatting>
  <conditionalFormatting sqref="V142:V143">
    <cfRule type="expression" dxfId="22" priority="1">
      <formula>IF(AND(M142="Input",R142="File"),V142="")</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I8 M15:M19">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legacyDrawing r:id="rId1"/>
  <extLst>
    <ext xmlns:x14="http://schemas.microsoft.com/office/spreadsheetml/2009/9/main" uri="{CCE6A557-97BC-4b89-ADB6-D9C93CAAB3DF}">
      <x14:dataValidations xmlns:xm="http://schemas.microsoft.com/office/excel/2006/main" count="60">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M140:M141</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K40:K50</xm:sqref>
        </x14:dataValidation>
        <x14:dataValidation type="list" allowBlank="1" showErrorMessage="1">
          <x14:formula1>
            <xm:f>'Product treatment'!$A$2:$A$1000</xm:f>
          </x14:formula1>
          <xm:sqref>P40:P50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Y40:Y50 T97:T99 M40:M50</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W40:W50</xm:sqref>
        </x14:dataValidation>
        <x14:dataValidation type="list" allowBlank="1">
          <x14:formula1>
            <xm:f>'Parameter data type'!$A$2:$A$50</xm:f>
          </x14:formula1>
          <xm:sqref>R133:R137</xm:sqref>
        </x14:dataValidation>
        <x14:dataValidation type="list" allowBlank="1" showErrorMessage="1">
          <x14:formula1>
            <xm:f>'type of exposure'!$A$2:$A$100</xm:f>
          </x14:formula1>
          <xm:sqref>I153</xm:sqref>
        </x14:dataValidation>
        <x14:dataValidation type="list" allowBlank="1" showErrorMessage="1">
          <x14:formula1>
            <xm:f>'Method of production'!$A$2:$A$200</xm:f>
          </x14:formula1>
          <xm:sqref>N40:N50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V40:V50</xm:sqref>
        </x14:dataValidation>
        <x14:dataValidation type="list" allowBlank="1" showErrorMessage="1">
          <x14:formula1>
            <xm:f>'Publication Status'!$A$2:$A$11</xm:f>
          </x14:formula1>
          <xm:sqref>T15 T17:T19</xm:sqref>
        </x14:dataValidation>
        <x14:dataValidation type="list" allowBlank="1" showErrorMessage="1">
          <x14:formula1>
            <xm:f>'Fisheries area'!$A$2:$A$2000</xm:f>
          </x14:formula1>
          <xm:sqref>S40:S50</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U142:U157</xm:sqref>
        </x14:dataValidation>
        <x14:dataValidation type="list" allowBlank="1" showErrorMessage="1">
          <x14:formula1>
            <xm:f>Status!$A$2:$A$4</xm:f>
          </x14:formula1>
          <xm:sqref>I33</xm:sqref>
        </x14:dataValidation>
        <x14:dataValidation type="list" allowBlank="1" showErrorMessage="1">
          <x14:formula1>
            <xm:f>Country!$A$2:$A$1000</xm:f>
          </x14:formula1>
          <xm:sqref>Q40:Q50</xm:sqref>
        </x14:dataValidation>
        <x14:dataValidation type="list" allowBlank="1" showErrorMessage="1">
          <x14:formula1>
            <xm:f>'Hazard ind-sum'!$A$2:$A$18</xm:f>
          </x14:formula1>
          <xm:sqref>AI39:AI50</xm:sqref>
        </x14:dataValidation>
        <x14:dataValidation type="list" allowBlank="1" showErrorMessage="1">
          <x14:formula1>
            <xm:f>'Laboratory accreditation'!$A$2:$A$200</xm:f>
          </x14:formula1>
          <xm:sqref>L111:L113</xm:sqref>
        </x14:dataValidation>
        <x14:dataValidation type="list" allowBlank="1">
          <x14:formula1>
            <xm:f>'Parameter data type'!$A$2:$A$50</xm:f>
          </x14:formula1>
          <xm:sqref>R139:R167</xm:sqref>
        </x14:dataValidation>
        <x14:dataValidation type="list" allowBlank="1" showErrorMessage="1">
          <x14:formula1>
            <xm:f>'Parameter classification'!$A$2:$A$50</xm:f>
          </x14:formula1>
          <xm:sqref>M133:M139 M142:M167</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O40:O50</xm:sqref>
        </x14:dataValidation>
        <x14:dataValidation type="list" allowBlank="1">
          <x14:formula1>
            <xm:f>'Parameter data type'!$A$2:$A$50</xm:f>
          </x14:formula1>
          <xm:sqref>R138</xm:sqref>
        </x14:dataValidation>
        <x14:dataValidation type="list" allowBlank="1" showErrorMessage="1">
          <x14:formula1>
            <xm:f>'Area of origin'!$A$2:$A$3000</xm:f>
          </x14:formula1>
          <xm:sqref>R40:R50</xm:sqref>
        </x14:dataValidation>
        <x14:dataValidation type="list" allowBlank="1" showErrorMessage="1">
          <x14:formula1>
            <xm:f>'Food descriptors'!$A$2</xm:f>
          </x14:formula1>
          <xm:sqref>Q104:Q106</xm:sqref>
        </x14:dataValidation>
        <x14:dataValidation type="list" allowBlank="1" showErrorMessage="1">
          <x14:formula1>
            <xm:f>'Publication Type'!$A$2:$A$100</xm:f>
          </x14:formula1>
          <xm:sqref>L15 L17:L19</xm:sqref>
        </x14:dataValidation>
        <x14:dataValidation type="list" allowBlank="1" showErrorMessage="1">
          <x14:formula1>
            <xm:f>'Model Sub-Class'!$A$2:$A$35</xm:f>
          </x14:formula1>
          <xm:sqref>I29</xm:sqref>
        </x14:dataValidation>
        <x14:dataValidation type="list" allowBlank="1" showErrorMessage="1">
          <x14:formula1>
            <xm:f>'C:\Users\fuhrmanm\Documents\Projects\ModelRepository\nauta_efsa_opinion\CPM\lindqvist\[lindqvist_metadata.xlsx]Rights'!#REF!</xm:f>
          </x14:formula1>
          <xm:sqref>I9</xm:sqref>
        </x14:dataValidation>
        <x14:dataValidation type="list" allowBlank="1" showErrorMessage="1">
          <x14:formula1>
            <xm:f>'C:\Users\fuhrmanm\Documents\Projects\ModelRepository\nauta_efsa_opinion\CPM\lindqvist\[lindqvist_metadata.xlsx]Availability'!#REF!</xm:f>
          </x14:formula1>
          <xm:sqref>I10</xm:sqref>
        </x14:dataValidation>
        <x14:dataValidation type="list" allowBlank="1" showErrorMessage="1">
          <x14:formula1>
            <xm:f>'C:\Users\fuhrmanm\Documents\Projects\ModelRepository\nauta_efsa_opinion\CPM\lindqvist\[lindqvist_metadata.xlsx]Parameter source'!#REF!</xm:f>
          </x14:formula1>
          <xm:sqref>S133:S167</xm:sqref>
        </x14:dataValidation>
        <x14:dataValidation type="list" allowBlank="1" showErrorMessage="1">
          <x14:formula1>
            <xm:f>'C:\Users\fuhrmanm\Documents\Projects\ModelRepository\nauta_efsa_opinion\CPM\lindqvist\[lindqvist_metadata.xlsx]Parameter subject'!#REF!</xm:f>
          </x14:formula1>
          <xm:sqref>T133:T167</xm:sqref>
        </x14:dataValidation>
        <x14:dataValidation type="list" allowBlank="1" showErrorMessage="1">
          <x14:formula1>
            <xm:f>'C:\Users\fuhrmanm\Documents\Projects\ModelRepository\nauta_efsa_opinion\CPM\lindqvist\[lindqvist_metadata.xlsx]Parameter distribution'!#REF!</xm:f>
          </x14:formula1>
          <xm:sqref>U133:U141</xm:sqref>
        </x14:dataValidation>
        <x14:dataValidation type="list" allowBlank="1" showErrorMessage="1">
          <x14:formula1>
            <xm:f>'C:\Users\fuhrmanm\Documents\Projects\ModelRepository\nauta_efsa_opinion\CPM\lindqvist\[lindqvist_metadata.xlsx]Area of origin'!#REF!</xm:f>
          </x14:formula1>
          <xm:sqref>R39</xm:sqref>
        </x14:dataValidation>
        <x14:dataValidation type="list" allowBlank="1" showErrorMessage="1">
          <x14:formula1>
            <xm:f>'C:\Users\fuhrmanm\Documents\Projects\ModelRepository\nauta_efsa_opinion\CPM\lindqvist\[lindqvist_metadata.xlsx]Packaging'!#REF!</xm:f>
          </x14:formula1>
          <xm:sqref>O39</xm:sqref>
        </x14:dataValidation>
        <x14:dataValidation type="list" allowBlank="1" showErrorMessage="1">
          <x14:formula1>
            <xm:f>'C:\Users\fuhrmanm\Documents\Projects\ModelRepository\nauta_efsa_opinion\CPM\lindqvist\[lindqvist_metadata.xlsx]Country'!#REF!</xm:f>
          </x14:formula1>
          <xm:sqref>Q39</xm:sqref>
        </x14:dataValidation>
        <x14:dataValidation type="list" allowBlank="1" showErrorMessage="1">
          <x14:formula1>
            <xm:f>'C:\Users\fuhrmanm\Documents\Projects\ModelRepository\nauta_efsa_opinion\CPM\lindqvist\[lindqvist_metadata.xlsx]Fisheries area'!#REF!</xm:f>
          </x14:formula1>
          <xm:sqref>S39</xm:sqref>
        </x14:dataValidation>
        <x14:dataValidation type="list" allowBlank="1" showErrorMessage="1">
          <x14:formula1>
            <xm:f>'C:\Users\fuhrmanm\Documents\Projects\ModelRepository\nauta_efsa_opinion\CPM\lindqvist\[lindqvist_metadata.xlsx]Hazard type'!#REF!</xm:f>
          </x14:formula1>
          <xm:sqref>V39</xm:sqref>
        </x14:dataValidation>
        <x14:dataValidation type="list" allowBlank="1" showErrorMessage="1">
          <x14:formula1>
            <xm:f>'C:\Users\fuhrmanm\Documents\Projects\ModelRepository\nauta_efsa_opinion\CPM\lindqvist\[lindqvist_metadata.xlsx]Method of production'!#REF!</xm:f>
          </x14:formula1>
          <xm:sqref>N39</xm:sqref>
        </x14:dataValidation>
        <x14:dataValidation type="list" allowBlank="1" showErrorMessage="1">
          <x14:formula1>
            <xm:f>'C:\Users\fuhrmanm\Documents\Projects\ModelRepository\nauta_efsa_opinion\CPM\lindqvist\[lindqvist_metadata.xlsx]Hazard name'!#REF!</xm:f>
          </x14:formula1>
          <xm:sqref>W39</xm:sqref>
        </x14:dataValidation>
        <x14:dataValidation type="list" allowBlank="1" showErrorMessage="1">
          <x14:formula1>
            <xm:f>'C:\Users\fuhrmanm\Documents\Projects\ModelRepository\nauta_efsa_opinion\CPM\lindqvist\[lindqvist_metadata.xlsx]Parameter unit'!#REF!</xm:f>
          </x14:formula1>
          <xm:sqref>M39 Y39</xm:sqref>
        </x14:dataValidation>
        <x14:dataValidation type="list" allowBlank="1" showErrorMessage="1">
          <x14:formula1>
            <xm:f>'C:\Users\fuhrmanm\Documents\Projects\ModelRepository\nauta_efsa_opinion\CPM\lindqvist\[lindqvist_metadata.xlsx]Product treatment'!#REF!</xm:f>
          </x14:formula1>
          <xm:sqref>P39</xm:sqref>
        </x14:dataValidation>
        <x14:dataValidation type="list" allowBlank="1" showErrorMessage="1">
          <x14:formula1>
            <xm:f>'C:\Users\fuhrmanm\Documents\Projects\ModelRepository\nauta_efsa_opinion\CPM\lindqvist\[lindqvist_metadata.xlsx]Product-matrix name'!#REF!</xm:f>
          </x14:formula1>
          <xm:sqref>K39</xm:sqref>
        </x14:dataValidation>
        <x14:dataValidation type="list" allowBlank="1" showErrorMessage="1">
          <x14:formula1>
            <xm:f>'C:\Users\fuhrmanm\Documents\Projects\ModelRepository\nauta_efsa_opinion\CPM\lindqvist\[lindqvist_metadata.xlsx]Publication Type'!#REF!</xm:f>
          </x14:formula1>
          <xm:sqref>L16</xm:sqref>
        </x14:dataValidation>
        <x14:dataValidation type="list" allowBlank="1" showErrorMessage="1">
          <x14:formula1>
            <xm:f>'C:\Users\fuhrmanm\Documents\Projects\ModelRepository\nauta_efsa_opinion\CPM\lindqvist\[lindqvist_metadata.xlsx]Publication Status'!#REF!</xm:f>
          </x14:formula1>
          <xm:sqref>T16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x14ac:dyDescent="0.25"/>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x14ac:dyDescent="0.3">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9" t="str">
        <f ca="1">E6</f>
        <v>Creator</v>
      </c>
      <c r="L1" s="98"/>
      <c r="M1" s="98"/>
      <c r="N1" s="98"/>
      <c r="O1" s="98"/>
      <c r="P1" s="98"/>
      <c r="Q1" s="98"/>
      <c r="R1" s="98"/>
      <c r="S1" s="98"/>
      <c r="T1" s="98"/>
      <c r="U1" s="98"/>
      <c r="V1" s="98"/>
      <c r="W1" s="98"/>
      <c r="X1" s="98"/>
      <c r="Y1" s="98"/>
      <c r="Z1" s="4"/>
      <c r="AA1" s="99" t="str">
        <f ca="1">E5</f>
        <v>Author</v>
      </c>
      <c r="AB1" s="98"/>
      <c r="AC1" s="98"/>
      <c r="AD1" s="98"/>
      <c r="AE1" s="98"/>
      <c r="AF1" s="98"/>
      <c r="AG1" s="98"/>
      <c r="AH1" s="98"/>
      <c r="AI1" s="98"/>
      <c r="AJ1" s="98"/>
      <c r="AK1" s="98"/>
      <c r="AL1" s="98"/>
      <c r="AM1" s="98"/>
      <c r="AN1" s="98"/>
      <c r="AO1" s="98"/>
    </row>
    <row r="2" spans="1:41"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102" t="str">
        <f ca="1">IFERROR(__xludf.DUMMYFUNCTION("""COMPUTED_VALUE"""),"1")</f>
        <v>1</v>
      </c>
      <c r="E2" s="5" t="str">
        <f ca="1">IFERROR(__xludf.DUMMYFUNCTION("""COMPUTED_VALUE"""),"Model name")</f>
        <v>Model name</v>
      </c>
      <c r="F2" s="99" t="str">
        <f ca="1">IFERROR(__xludf.DUMMYFUNCTION("""COMPUTED_VALUE"""),"1")</f>
        <v>1</v>
      </c>
      <c r="G2" s="98"/>
      <c r="H2" s="98"/>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x14ac:dyDescent="0.25">
      <c r="A6" s="4" t="str">
        <f ca="1">IFERROR(__xludf.DUMMYFUNCTION("""COMPUTED_VALUE"""),"Yes")</f>
        <v>Yes</v>
      </c>
      <c r="B6" s="4" t="str">
        <f ca="1">IFERROR(__xludf.DUMMYFUNCTION("""COMPUTED_VALUE"""),"Yes")</f>
        <v>Yes</v>
      </c>
      <c r="C6" s="98"/>
      <c r="D6" s="98"/>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x14ac:dyDescent="0.25">
      <c r="A7" s="4" t="str">
        <f ca="1">IFERROR(__xludf.DUMMYFUNCTION("""COMPUTED_VALUE"""),"Yes")</f>
        <v>Yes</v>
      </c>
      <c r="B7" s="4" t="str">
        <f ca="1">IFERROR(__xludf.DUMMYFUNCTION("""COMPUTED_VALUE"""),"Yes")</f>
        <v>Yes</v>
      </c>
      <c r="C7" s="98"/>
      <c r="D7" s="98"/>
      <c r="E7" s="99" t="str">
        <f ca="1">IFERROR(__xludf.DUMMYFUNCTION("""COMPUTED_VALUE"""),"Date")</f>
        <v>Date</v>
      </c>
      <c r="F7" s="99"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x14ac:dyDescent="0.25">
      <c r="A8" s="4" t="str">
        <f ca="1">IFERROR(__xludf.DUMMYFUNCTION("""COMPUTED_VALUE"""),"Yes")</f>
        <v>Yes</v>
      </c>
      <c r="B8" s="4" t="str">
        <f ca="1">IFERROR(__xludf.DUMMYFUNCTION("""COMPUTED_VALUE"""),"No")</f>
        <v>No</v>
      </c>
      <c r="C8" s="98"/>
      <c r="D8" s="98"/>
      <c r="E8" s="98"/>
      <c r="F8" s="98"/>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10"/>
      <c r="J12" s="4"/>
      <c r="K12" s="101" t="str">
        <f ca="1">E13</f>
        <v>References</v>
      </c>
      <c r="L12" s="98"/>
      <c r="M12" s="98"/>
      <c r="N12" s="98"/>
      <c r="O12" s="98"/>
      <c r="P12" s="98"/>
      <c r="Q12" s="98"/>
      <c r="R12" s="98"/>
      <c r="S12" s="98"/>
      <c r="T12" s="98"/>
      <c r="U12" s="98"/>
      <c r="V12" s="98"/>
      <c r="W12" s="4"/>
      <c r="X12" s="4"/>
      <c r="Y12" s="4"/>
      <c r="Z12" s="4"/>
      <c r="AA12" s="4"/>
      <c r="AB12" s="4"/>
      <c r="AC12" s="4"/>
      <c r="AD12" s="4"/>
      <c r="AE12" s="4"/>
      <c r="AF12" s="4"/>
      <c r="AG12" s="4"/>
      <c r="AH12" s="4"/>
      <c r="AI12" s="4"/>
      <c r="AJ12" s="4"/>
      <c r="AK12" s="4"/>
      <c r="AL12" s="4"/>
      <c r="AM12" s="4"/>
      <c r="AN12" s="4"/>
      <c r="AO12" s="4"/>
    </row>
    <row r="13" spans="1:41"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x14ac:dyDescent="0.25">
      <c r="A14" s="4" t="str">
        <f ca="1">IFERROR(__xludf.DUMMYFUNCTION("""COMPUTED_VALUE"""),"Yes")</f>
        <v>Yes</v>
      </c>
      <c r="B14" s="4"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x14ac:dyDescent="0.25">
      <c r="A15" s="4" t="str">
        <f ca="1">IFERROR(__xludf.DUMMYFUNCTION("""COMPUTED_VALUE"""),"Yes")</f>
        <v>Yes</v>
      </c>
      <c r="B15" s="4"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x14ac:dyDescent="0.25">
      <c r="A16" s="4" t="str">
        <f ca="1">IFERROR(__xludf.DUMMYFUNCTION("""COMPUTED_VALUE"""),"Yes")</f>
        <v>Yes</v>
      </c>
      <c r="B16" s="4" t="str">
        <f ca="1">IFERROR(__xludf.DUMMYFUNCTION("""COMPUTED_VALUE"""),"No")</f>
        <v>No</v>
      </c>
      <c r="C16" s="98"/>
      <c r="D16" s="98"/>
      <c r="E16" s="98"/>
      <c r="F16" s="98"/>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x14ac:dyDescent="0.25">
      <c r="A17" s="4" t="str">
        <f ca="1">IFERROR(__xludf.DUMMYFUNCTION("""COMPUTED_VALUE"""),"Yes")</f>
        <v>Yes</v>
      </c>
      <c r="B17" s="4"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x14ac:dyDescent="0.25">
      <c r="A18" s="4" t="str">
        <f ca="1">IFERROR(__xludf.DUMMYFUNCTION("""COMPUTED_VALUE"""),"Yes")</f>
        <v>Yes</v>
      </c>
      <c r="B18" s="4"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x14ac:dyDescent="0.25">
      <c r="A19" s="4" t="str">
        <f ca="1">IFERROR(__xludf.DUMMYFUNCTION("""COMPUTED_VALUE"""),"Yes")</f>
        <v>Yes</v>
      </c>
      <c r="B19" s="4"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x14ac:dyDescent="0.25">
      <c r="A20" s="4" t="str">
        <f ca="1">IFERROR(__xludf.DUMMYFUNCTION("""COMPUTED_VALUE"""),"Yes")</f>
        <v>Yes</v>
      </c>
      <c r="B20" s="4"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x14ac:dyDescent="0.25">
      <c r="A21" s="4" t="str">
        <f ca="1">IFERROR(__xludf.DUMMYFUNCTION("""COMPUTED_VALUE"""),"Yes")</f>
        <v>Yes</v>
      </c>
      <c r="B21" s="4"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x14ac:dyDescent="0.25">
      <c r="A22" s="4" t="str">
        <f ca="1">IFERROR(__xludf.DUMMYFUNCTION("""COMPUTED_VALUE"""),"Yes")</f>
        <v>Yes</v>
      </c>
      <c r="B22" s="4"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x14ac:dyDescent="0.3">
      <c r="A23" s="4" t="str">
        <f ca="1">IFERROR(__xludf.DUMMYFUNCTION("""COMPUTED_VALUE"""),"Yes")</f>
        <v>Yes</v>
      </c>
      <c r="B23" s="4"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x14ac:dyDescent="0.25">
      <c r="A24" s="4" t="str">
        <f ca="1">IFERROR(__xludf.DUMMYFUNCTION("""COMPUTED_VALUE"""),"Yes")</f>
        <v>Yes</v>
      </c>
      <c r="B24" s="4" t="str">
        <f ca="1">IFERROR(__xludf.DUMMYFUNCTION("""COMPUTED_VALUE"""),"No")</f>
        <v>No</v>
      </c>
      <c r="C24" s="98"/>
      <c r="D24" s="98"/>
      <c r="E24" s="98"/>
      <c r="F24" s="98"/>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99" t="str">
        <f ca="1">IFERROR(__xludf.DUMMYFUNCTION("""COMPUTED_VALUE"""),"0:1")</f>
        <v>0:1</v>
      </c>
      <c r="G26" s="98"/>
      <c r="H26" s="98"/>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x14ac:dyDescent="0.25">
      <c r="A29" s="4" t="str">
        <f ca="1">IFERROR(__xludf.DUMMYFUNCTION("""COMPUTED_VALUE"""),"Yes")</f>
        <v>Yes</v>
      </c>
      <c r="B29" s="4"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x14ac:dyDescent="0.25">
      <c r="A30" s="4" t="str">
        <f ca="1">IFERROR(__xludf.DUMMYFUNCTION("""COMPUTED_VALUE"""),"Yes")</f>
        <v>Yes</v>
      </c>
      <c r="B30" s="4"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x14ac:dyDescent="0.25">
      <c r="A31" s="4" t="str">
        <f ca="1">IFERROR(__xludf.DUMMYFUNCTION("""COMPUTED_VALUE"""),"Yes")</f>
        <v>Yes</v>
      </c>
      <c r="B31" s="4"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x14ac:dyDescent="0.25">
      <c r="A32" s="4" t="str">
        <f ca="1">IFERROR(__xludf.DUMMYFUNCTION("""COMPUTED_VALUE"""),"Yes")</f>
        <v>Yes</v>
      </c>
      <c r="B32" s="4" t="str">
        <f ca="1">IFERROR(__xludf.DUMMYFUNCTION("""COMPUTED_VALUE"""),"No")</f>
        <v>No</v>
      </c>
      <c r="C32" s="98"/>
      <c r="D32" s="98"/>
      <c r="E32" s="98"/>
      <c r="F32" s="98"/>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15"/>
    </row>
    <row r="36" spans="1:41" ht="12.5" x14ac:dyDescent="0.25">
      <c r="A36" s="4" t="str">
        <f ca="1">IFERROR(__xludf.DUMMYFUNCTION("""COMPUTED_VALUE"""),"Yes")</f>
        <v>Yes</v>
      </c>
      <c r="B36" s="4" t="str">
        <f ca="1">IFERROR(__xludf.DUMMYFUNCTION("""COMPUTED_VALUE"""),"Yes")</f>
        <v>Yes</v>
      </c>
      <c r="C36" s="97" t="str">
        <f ca="1">IFERROR(__xludf.DUMMYFUNCTION("""COMPUTED_VALUE"""),"Scope")</f>
        <v>Scope</v>
      </c>
      <c r="D36" s="102" t="str">
        <f ca="1">IFERROR(__xludf.DUMMYFUNCTION("""COMPUTED_VALUE"""),"1")</f>
        <v>1</v>
      </c>
      <c r="E36" s="99" t="str">
        <f ca="1">IFERROR(__xludf.DUMMYFUNCTION("""COMPUTED_VALUE"""),"Hazard")</f>
        <v>Hazard</v>
      </c>
      <c r="F36" s="99" t="str">
        <f ca="1">IFERROR(__xludf.DUMMYFUNCTION("""COMPUTED_VALUE"""),"1:N")</f>
        <v>1:N</v>
      </c>
      <c r="G36" s="5" t="str">
        <f ca="1">IFERROR(__xludf.DUMMYFUNCTION("""COMPUTED_VALUE"""),"Hazard type")</f>
        <v>Hazard type</v>
      </c>
      <c r="H36" s="5" t="str">
        <f ca="1">IFERROR(__xludf.DUMMYFUNCTION("""COMPUTED_VALUE"""),"0:1")</f>
        <v>0:1</v>
      </c>
      <c r="I36" s="13"/>
      <c r="J36" s="45"/>
      <c r="K36" s="101" t="str">
        <f ca="1">E36</f>
        <v>Hazard</v>
      </c>
      <c r="L36" s="98"/>
      <c r="M36" s="98"/>
      <c r="N36" s="98"/>
      <c r="O36" s="98"/>
      <c r="P36" s="98"/>
      <c r="Q36" s="98"/>
      <c r="R36" s="98"/>
      <c r="S36" s="98"/>
      <c r="T36" s="98"/>
      <c r="U36" s="98"/>
      <c r="V36" s="98"/>
      <c r="W36" s="98"/>
      <c r="X36" s="98"/>
      <c r="Y36" s="101" t="str">
        <f ca="1">E50</f>
        <v>Population Group</v>
      </c>
      <c r="Z36" s="98"/>
      <c r="AA36" s="98"/>
      <c r="AB36" s="98"/>
      <c r="AC36" s="98"/>
      <c r="AD36" s="98"/>
      <c r="AE36" s="98"/>
      <c r="AF36" s="98"/>
      <c r="AG36" s="98"/>
      <c r="AH36" s="98"/>
      <c r="AI36" s="98"/>
      <c r="AJ36" s="98"/>
      <c r="AK36" s="98"/>
      <c r="AL36" s="4"/>
      <c r="AM36" s="4"/>
      <c r="AN36" s="4"/>
      <c r="AO36" s="4"/>
    </row>
    <row r="37" spans="1:41" ht="12.5" x14ac:dyDescent="0.25">
      <c r="A37" s="4" t="str">
        <f ca="1">IFERROR(__xludf.DUMMYFUNCTION("""COMPUTED_VALUE"""),"Yes")</f>
        <v>Yes</v>
      </c>
      <c r="B37" s="4" t="str">
        <f ca="1">IFERROR(__xludf.DUMMYFUNCTION("""COMPUTED_VALUE"""),"Yes")</f>
        <v>Yes</v>
      </c>
      <c r="C37" s="98"/>
      <c r="D37" s="98"/>
      <c r="E37" s="98"/>
      <c r="F37" s="98"/>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x14ac:dyDescent="0.25">
      <c r="A38" s="4" t="str">
        <f ca="1">IFERROR(__xludf.DUMMYFUNCTION("""COMPUTED_VALUE"""),"Yes")</f>
        <v>Yes</v>
      </c>
      <c r="B38" s="4" t="str">
        <f ca="1">IFERROR(__xludf.DUMMYFUNCTION("""COMPUTED_VALUE"""),"Yes")</f>
        <v>Yes</v>
      </c>
      <c r="C38" s="98"/>
      <c r="D38" s="98"/>
      <c r="E38" s="98"/>
      <c r="F38" s="98"/>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x14ac:dyDescent="0.25">
      <c r="A39" s="4" t="str">
        <f ca="1">IFERROR(__xludf.DUMMYFUNCTION("""COMPUTED_VALUE"""),"Yes")</f>
        <v>Yes</v>
      </c>
      <c r="B39" s="4" t="str">
        <f ca="1">IFERROR(__xludf.DUMMYFUNCTION("""COMPUTED_VALUE"""),"No")</f>
        <v>No</v>
      </c>
      <c r="C39" s="98"/>
      <c r="D39" s="98"/>
      <c r="E39" s="98"/>
      <c r="F39" s="98"/>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x14ac:dyDescent="0.25">
      <c r="A40" s="4" t="str">
        <f ca="1">IFERROR(__xludf.DUMMYFUNCTION("""COMPUTED_VALUE"""),"Yes")</f>
        <v>Yes</v>
      </c>
      <c r="B40" s="4" t="str">
        <f ca="1">IFERROR(__xludf.DUMMYFUNCTION("""COMPUTED_VALUE"""),"No")</f>
        <v>No</v>
      </c>
      <c r="C40" s="98"/>
      <c r="D40" s="98"/>
      <c r="E40" s="98"/>
      <c r="F40" s="98"/>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x14ac:dyDescent="0.25">
      <c r="A41" s="4" t="str">
        <f ca="1">IFERROR(__xludf.DUMMYFUNCTION("""COMPUTED_VALUE"""),"Yes")</f>
        <v>Yes</v>
      </c>
      <c r="B41" s="4" t="str">
        <f ca="1">IFERROR(__xludf.DUMMYFUNCTION("""COMPUTED_VALUE"""),"No")</f>
        <v>No</v>
      </c>
      <c r="C41" s="98"/>
      <c r="D41" s="98"/>
      <c r="E41" s="98"/>
      <c r="F41" s="98"/>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x14ac:dyDescent="0.25">
      <c r="A42" s="4" t="str">
        <f ca="1">IFERROR(__xludf.DUMMYFUNCTION("""COMPUTED_VALUE"""),"Yes")</f>
        <v>Yes</v>
      </c>
      <c r="B42" s="4" t="str">
        <f ca="1">IFERROR(__xludf.DUMMYFUNCTION("""COMPUTED_VALUE"""),"No")</f>
        <v>No</v>
      </c>
      <c r="C42" s="98"/>
      <c r="D42" s="98"/>
      <c r="E42" s="98"/>
      <c r="F42" s="98"/>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x14ac:dyDescent="0.25">
      <c r="A43" s="4" t="str">
        <f ca="1">IFERROR(__xludf.DUMMYFUNCTION("""COMPUTED_VALUE"""),"Yes")</f>
        <v>Yes</v>
      </c>
      <c r="B43" s="4" t="str">
        <f ca="1">IFERROR(__xludf.DUMMYFUNCTION("""COMPUTED_VALUE"""),"No")</f>
        <v>No</v>
      </c>
      <c r="C43" s="98"/>
      <c r="D43" s="98"/>
      <c r="E43" s="98"/>
      <c r="F43" s="98"/>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x14ac:dyDescent="0.25">
      <c r="A44" s="4" t="str">
        <f ca="1">IFERROR(__xludf.DUMMYFUNCTION("""COMPUTED_VALUE"""),"Yes")</f>
        <v>Yes</v>
      </c>
      <c r="B44" s="4" t="str">
        <f ca="1">IFERROR(__xludf.DUMMYFUNCTION("""COMPUTED_VALUE"""),"No")</f>
        <v>No</v>
      </c>
      <c r="C44" s="98"/>
      <c r="D44" s="98"/>
      <c r="E44" s="98"/>
      <c r="F44" s="98"/>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x14ac:dyDescent="0.25">
      <c r="A45" s="4" t="str">
        <f ca="1">IFERROR(__xludf.DUMMYFUNCTION("""COMPUTED_VALUE"""),"Yes")</f>
        <v>Yes</v>
      </c>
      <c r="B45" s="4" t="str">
        <f ca="1">IFERROR(__xludf.DUMMYFUNCTION("""COMPUTED_VALUE"""),"No")</f>
        <v>No</v>
      </c>
      <c r="C45" s="98"/>
      <c r="D45" s="98"/>
      <c r="E45" s="98"/>
      <c r="F45" s="98"/>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x14ac:dyDescent="0.25">
      <c r="A46" s="4" t="str">
        <f ca="1">IFERROR(__xludf.DUMMYFUNCTION("""COMPUTED_VALUE"""),"Yes")</f>
        <v>Yes</v>
      </c>
      <c r="B46" s="4" t="str">
        <f ca="1">IFERROR(__xludf.DUMMYFUNCTION("""COMPUTED_VALUE"""),"No")</f>
        <v>No</v>
      </c>
      <c r="C46" s="98"/>
      <c r="D46" s="98"/>
      <c r="E46" s="98"/>
      <c r="F46" s="98"/>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x14ac:dyDescent="0.25">
      <c r="A47" s="4" t="str">
        <f ca="1">IFERROR(__xludf.DUMMYFUNCTION("""COMPUTED_VALUE"""),"Yes")</f>
        <v>Yes</v>
      </c>
      <c r="B47" s="4" t="str">
        <f ca="1">IFERROR(__xludf.DUMMYFUNCTION("""COMPUTED_VALUE"""),"No")</f>
        <v>No</v>
      </c>
      <c r="C47" s="98"/>
      <c r="D47" s="98"/>
      <c r="E47" s="98"/>
      <c r="F47" s="98"/>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x14ac:dyDescent="0.25">
      <c r="A48" s="4" t="str">
        <f ca="1">IFERROR(__xludf.DUMMYFUNCTION("""COMPUTED_VALUE"""),"Yes")</f>
        <v>Yes</v>
      </c>
      <c r="B48" s="4" t="str">
        <f ca="1">IFERROR(__xludf.DUMMYFUNCTION("""COMPUTED_VALUE"""),"No")</f>
        <v>No</v>
      </c>
      <c r="C48" s="98"/>
      <c r="D48" s="98"/>
      <c r="E48" s="98"/>
      <c r="F48" s="98"/>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x14ac:dyDescent="0.25">
      <c r="A49" s="4" t="str">
        <f ca="1">IFERROR(__xludf.DUMMYFUNCTION("""COMPUTED_VALUE"""),"Yes")</f>
        <v>Yes</v>
      </c>
      <c r="B49" s="4" t="str">
        <f ca="1">IFERROR(__xludf.DUMMYFUNCTION("""COMPUTED_VALUE"""),"No")</f>
        <v>No</v>
      </c>
      <c r="C49" s="98"/>
      <c r="D49" s="98"/>
      <c r="E49" s="98"/>
      <c r="F49" s="98"/>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x14ac:dyDescent="0.25">
      <c r="A50" s="4" t="str">
        <f ca="1">IFERROR(__xludf.DUMMYFUNCTION("""COMPUTED_VALUE"""),"Yes")</f>
        <v>Yes</v>
      </c>
      <c r="B50" s="4" t="str">
        <f ca="1">IFERROR(__xludf.DUMMYFUNCTION("""COMPUTED_VALUE"""),"Yes")</f>
        <v>Yes</v>
      </c>
      <c r="C50" s="98"/>
      <c r="D50" s="98"/>
      <c r="E50" s="99" t="str">
        <f ca="1">IFERROR(__xludf.DUMMYFUNCTION("""COMPUTED_VALUE"""),"Population Group")</f>
        <v>Population Group</v>
      </c>
      <c r="F50" s="99"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x14ac:dyDescent="0.25">
      <c r="A51" s="4" t="str">
        <f ca="1">IFERROR(__xludf.DUMMYFUNCTION("""COMPUTED_VALUE"""),"Yes")</f>
        <v>Yes</v>
      </c>
      <c r="B51" s="4" t="str">
        <f ca="1">IFERROR(__xludf.DUMMYFUNCTION("""COMPUTED_VALUE"""),"No")</f>
        <v>No</v>
      </c>
      <c r="C51" s="98"/>
      <c r="D51" s="98"/>
      <c r="E51" s="98"/>
      <c r="F51" s="98"/>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x14ac:dyDescent="0.25">
      <c r="A52" s="4" t="str">
        <f ca="1">IFERROR(__xludf.DUMMYFUNCTION("""COMPUTED_VALUE"""),"Yes")</f>
        <v>Yes</v>
      </c>
      <c r="B52" s="4" t="str">
        <f ca="1">IFERROR(__xludf.DUMMYFUNCTION("""COMPUTED_VALUE"""),"No")</f>
        <v>No</v>
      </c>
      <c r="C52" s="98"/>
      <c r="D52" s="98"/>
      <c r="E52" s="98"/>
      <c r="F52" s="98"/>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x14ac:dyDescent="0.25">
      <c r="A53" s="4" t="str">
        <f ca="1">IFERROR(__xludf.DUMMYFUNCTION("""COMPUTED_VALUE"""),"Yes")</f>
        <v>Yes</v>
      </c>
      <c r="B53" s="4" t="str">
        <f ca="1">IFERROR(__xludf.DUMMYFUNCTION("""COMPUTED_VALUE"""),"No")</f>
        <v>No</v>
      </c>
      <c r="C53" s="98"/>
      <c r="D53" s="98"/>
      <c r="E53" s="98"/>
      <c r="F53" s="98"/>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x14ac:dyDescent="0.25">
      <c r="A54" s="4" t="str">
        <f ca="1">IFERROR(__xludf.DUMMYFUNCTION("""COMPUTED_VALUE"""),"Yes")</f>
        <v>Yes</v>
      </c>
      <c r="B54" s="4" t="str">
        <f ca="1">IFERROR(__xludf.DUMMYFUNCTION("""COMPUTED_VALUE"""),"No")</f>
        <v>No</v>
      </c>
      <c r="C54" s="98"/>
      <c r="D54" s="98"/>
      <c r="E54" s="98"/>
      <c r="F54" s="98"/>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x14ac:dyDescent="0.25">
      <c r="A55" s="4" t="str">
        <f ca="1">IFERROR(__xludf.DUMMYFUNCTION("""COMPUTED_VALUE"""),"Yes")</f>
        <v>Yes</v>
      </c>
      <c r="B55" s="4" t="str">
        <f ca="1">IFERROR(__xludf.DUMMYFUNCTION("""COMPUTED_VALUE"""),"No")</f>
        <v>No</v>
      </c>
      <c r="C55" s="98"/>
      <c r="D55" s="98"/>
      <c r="E55" s="98"/>
      <c r="F55" s="98"/>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x14ac:dyDescent="0.25">
      <c r="A56" s="4" t="str">
        <f ca="1">IFERROR(__xludf.DUMMYFUNCTION("""COMPUTED_VALUE"""),"Yes")</f>
        <v>Yes</v>
      </c>
      <c r="B56" s="4" t="str">
        <f ca="1">IFERROR(__xludf.DUMMYFUNCTION("""COMPUTED_VALUE"""),"No")</f>
        <v>No</v>
      </c>
      <c r="C56" s="98"/>
      <c r="D56" s="98"/>
      <c r="E56" s="98"/>
      <c r="F56" s="98"/>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x14ac:dyDescent="0.25">
      <c r="A57" s="4" t="str">
        <f ca="1">IFERROR(__xludf.DUMMYFUNCTION("""COMPUTED_VALUE"""),"Yes")</f>
        <v>Yes</v>
      </c>
      <c r="B57" s="4" t="str">
        <f ca="1">IFERROR(__xludf.DUMMYFUNCTION("""COMPUTED_VALUE"""),"No")</f>
        <v>No</v>
      </c>
      <c r="C57" s="98"/>
      <c r="D57" s="98"/>
      <c r="E57" s="98"/>
      <c r="F57" s="98"/>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x14ac:dyDescent="0.25">
      <c r="A58" s="4" t="str">
        <f ca="1">IFERROR(__xludf.DUMMYFUNCTION("""COMPUTED_VALUE"""),"Yes")</f>
        <v>Yes</v>
      </c>
      <c r="B58" s="4" t="str">
        <f ca="1">IFERROR(__xludf.DUMMYFUNCTION("""COMPUTED_VALUE"""),"No")</f>
        <v>No</v>
      </c>
      <c r="C58" s="98"/>
      <c r="D58" s="98"/>
      <c r="E58" s="98"/>
      <c r="F58" s="98"/>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x14ac:dyDescent="0.25">
      <c r="A59" s="4" t="str">
        <f ca="1">IFERROR(__xludf.DUMMYFUNCTION("""COMPUTED_VALUE"""),"Yes")</f>
        <v>Yes</v>
      </c>
      <c r="B59" s="4" t="str">
        <f ca="1">IFERROR(__xludf.DUMMYFUNCTION("""COMPUTED_VALUE"""),"No")</f>
        <v>No</v>
      </c>
      <c r="C59" s="98"/>
      <c r="D59" s="98"/>
      <c r="E59" s="98"/>
      <c r="F59" s="98"/>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x14ac:dyDescent="0.25">
      <c r="A60" s="4" t="str">
        <f ca="1">IFERROR(__xludf.DUMMYFUNCTION("""COMPUTED_VALUE"""),"Yes")</f>
        <v>Yes</v>
      </c>
      <c r="B60" s="4" t="str">
        <f ca="1">IFERROR(__xludf.DUMMYFUNCTION("""COMPUTED_VALUE"""),"No")</f>
        <v>No</v>
      </c>
      <c r="C60" s="98"/>
      <c r="D60" s="98"/>
      <c r="E60" s="98"/>
      <c r="F60" s="98"/>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x14ac:dyDescent="0.25">
      <c r="A61" s="4" t="str">
        <f ca="1">IFERROR(__xludf.DUMMYFUNCTION("""COMPUTED_VALUE"""),"Yes")</f>
        <v>Yes</v>
      </c>
      <c r="B61" s="4" t="str">
        <f ca="1">IFERROR(__xludf.DUMMYFUNCTION("""COMPUTED_VALUE"""),"No")</f>
        <v>No</v>
      </c>
      <c r="C61" s="98"/>
      <c r="D61" s="98"/>
      <c r="E61" s="98"/>
      <c r="F61" s="98"/>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x14ac:dyDescent="0.25">
      <c r="A62" s="4" t="str">
        <f ca="1">IFERROR(__xludf.DUMMYFUNCTION("""COMPUTED_VALUE"""),"Yes")</f>
        <v>Yes</v>
      </c>
      <c r="B62" s="4" t="str">
        <f ca="1">IFERROR(__xludf.DUMMYFUNCTION("""COMPUTED_VALUE"""),"No")</f>
        <v>No</v>
      </c>
      <c r="C62" s="98"/>
      <c r="D62" s="98"/>
      <c r="E62" s="98"/>
      <c r="F62" s="98"/>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x14ac:dyDescent="0.25">
      <c r="A63" s="4" t="str">
        <f ca="1">IFERROR(__xludf.DUMMYFUNCTION("""COMPUTED_VALUE"""),"Yes")</f>
        <v>Yes</v>
      </c>
      <c r="B63" s="4" t="str">
        <f ca="1">IFERROR(__xludf.DUMMYFUNCTION("""COMPUTED_VALUE"""),"No")</f>
        <v>No</v>
      </c>
      <c r="C63" s="98"/>
      <c r="D63" s="98"/>
      <c r="E63" s="5" t="str">
        <f ca="1">IFERROR(__xludf.DUMMYFUNCTION("""COMPUTED_VALUE"""),"General comment")</f>
        <v>General comment</v>
      </c>
      <c r="F63" s="99" t="str">
        <f ca="1">IFERROR(__xludf.DUMMYFUNCTION("""COMPUTED_VALUE"""),"0:1")</f>
        <v>0:1</v>
      </c>
      <c r="G63" s="98"/>
      <c r="H63" s="98"/>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x14ac:dyDescent="0.25">
      <c r="A64" s="4" t="str">
        <f ca="1">IFERROR(__xludf.DUMMYFUNCTION("""COMPUTED_VALUE"""),"Yes")</f>
        <v>Yes</v>
      </c>
      <c r="B64" s="4" t="str">
        <f ca="1">IFERROR(__xludf.DUMMYFUNCTION("""COMPUTED_VALUE"""),"No")</f>
        <v>No</v>
      </c>
      <c r="C64" s="98"/>
      <c r="D64" s="98"/>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x14ac:dyDescent="0.25">
      <c r="A65" s="4" t="str">
        <f ca="1">IFERROR(__xludf.DUMMYFUNCTION("""COMPUTED_VALUE"""),"Yes")</f>
        <v>Yes</v>
      </c>
      <c r="B65" s="4" t="str">
        <f ca="1">IFERROR(__xludf.DUMMYFUNCTION("""COMPUTED_VALUE"""),"No")</f>
        <v>No</v>
      </c>
      <c r="C65" s="98"/>
      <c r="D65" s="98"/>
      <c r="E65" s="99" t="str">
        <f ca="1">IFERROR(__xludf.DUMMYFUNCTION("""COMPUTED_VALUE"""),"Spatial information")</f>
        <v>Spatial information</v>
      </c>
      <c r="F65" s="99"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x14ac:dyDescent="0.25">
      <c r="A66" s="4" t="str">
        <f ca="1">IFERROR(__xludf.DUMMYFUNCTION("""COMPUTED_VALUE"""),"Yes")</f>
        <v>Yes</v>
      </c>
      <c r="B66" s="4" t="str">
        <f ca="1">IFERROR(__xludf.DUMMYFUNCTION("""COMPUTED_VALUE"""),"No")</f>
        <v>No</v>
      </c>
      <c r="C66" s="98"/>
      <c r="D66" s="98"/>
      <c r="E66" s="98"/>
      <c r="F66" s="98"/>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x14ac:dyDescent="0.25">
      <c r="A67" s="4" t="str">
        <f ca="1">IFERROR(__xludf.DUMMYFUNCTION("""COMPUTED_VALUE"""),"Yes")</f>
        <v>Yes</v>
      </c>
      <c r="B67" s="4" t="str">
        <f ca="1">IFERROR(__xludf.DUMMYFUNCTION("""COMPUTED_VALUE"""),"No")</f>
        <v>No</v>
      </c>
      <c r="C67" s="97" t="str">
        <f ca="1">IFERROR(__xludf.DUMMYFUNCTION("""COMPUTED_VALUE"""),"Data_background")</f>
        <v>Data_background</v>
      </c>
      <c r="D67" s="102" t="str">
        <f ca="1">IFERROR(__xludf.DUMMYFUNCTION("""COMPUTED_VALUE"""),"0:1")</f>
        <v>0:1</v>
      </c>
      <c r="E67" s="99" t="str">
        <f ca="1">IFERROR(__xludf.DUMMYFUNCTION("""COMPUTED_VALUE"""),"Study")</f>
        <v>Study</v>
      </c>
      <c r="F67" s="99"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x14ac:dyDescent="0.25">
      <c r="A68" s="4" t="str">
        <f ca="1">IFERROR(__xludf.DUMMYFUNCTION("""COMPUTED_VALUE"""),"Yes")</f>
        <v>Yes</v>
      </c>
      <c r="B68" s="4" t="str">
        <f ca="1">IFERROR(__xludf.DUMMYFUNCTION("""COMPUTED_VALUE"""),"No")</f>
        <v>No</v>
      </c>
      <c r="C68" s="98"/>
      <c r="D68" s="98"/>
      <c r="E68" s="98"/>
      <c r="F68" s="98"/>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x14ac:dyDescent="0.25">
      <c r="A69" s="4" t="str">
        <f ca="1">IFERROR(__xludf.DUMMYFUNCTION("""COMPUTED_VALUE"""),"Yes")</f>
        <v>Yes</v>
      </c>
      <c r="B69" s="4" t="str">
        <f ca="1">IFERROR(__xludf.DUMMYFUNCTION("""COMPUTED_VALUE"""),"No")</f>
        <v>No</v>
      </c>
      <c r="C69" s="98"/>
      <c r="D69" s="98"/>
      <c r="E69" s="98"/>
      <c r="F69" s="98"/>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x14ac:dyDescent="0.25">
      <c r="A70" s="4" t="str">
        <f ca="1">IFERROR(__xludf.DUMMYFUNCTION("""COMPUTED_VALUE"""),"Yes")</f>
        <v>Yes</v>
      </c>
      <c r="B70" s="4" t="str">
        <f ca="1">IFERROR(__xludf.DUMMYFUNCTION("""COMPUTED_VALUE"""),"No")</f>
        <v>No</v>
      </c>
      <c r="C70" s="98"/>
      <c r="D70" s="98"/>
      <c r="E70" s="98"/>
      <c r="F70" s="98"/>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x14ac:dyDescent="0.25">
      <c r="A71" s="4" t="str">
        <f ca="1">IFERROR(__xludf.DUMMYFUNCTION("""COMPUTED_VALUE"""),"Yes")</f>
        <v>Yes</v>
      </c>
      <c r="B71" s="4" t="str">
        <f ca="1">IFERROR(__xludf.DUMMYFUNCTION("""COMPUTED_VALUE"""),"No")</f>
        <v>No</v>
      </c>
      <c r="C71" s="98"/>
      <c r="D71" s="98"/>
      <c r="E71" s="98"/>
      <c r="F71" s="98"/>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x14ac:dyDescent="0.25">
      <c r="A72" s="4" t="str">
        <f ca="1">IFERROR(__xludf.DUMMYFUNCTION("""COMPUTED_VALUE"""),"Yes")</f>
        <v>Yes</v>
      </c>
      <c r="B72" s="4" t="str">
        <f ca="1">IFERROR(__xludf.DUMMYFUNCTION("""COMPUTED_VALUE"""),"No")</f>
        <v>No</v>
      </c>
      <c r="C72" s="98"/>
      <c r="D72" s="98"/>
      <c r="E72" s="98"/>
      <c r="F72" s="98"/>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x14ac:dyDescent="0.25">
      <c r="A73" s="4" t="str">
        <f ca="1">IFERROR(__xludf.DUMMYFUNCTION("""COMPUTED_VALUE"""),"Yes")</f>
        <v>Yes</v>
      </c>
      <c r="B73" s="4" t="str">
        <f ca="1">IFERROR(__xludf.DUMMYFUNCTION("""COMPUTED_VALUE"""),"No")</f>
        <v>No</v>
      </c>
      <c r="C73" s="98"/>
      <c r="D73" s="98"/>
      <c r="E73" s="98"/>
      <c r="F73" s="98"/>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x14ac:dyDescent="0.25">
      <c r="A74" s="4" t="str">
        <f ca="1">IFERROR(__xludf.DUMMYFUNCTION("""COMPUTED_VALUE"""),"Yes")</f>
        <v>Yes</v>
      </c>
      <c r="B74" s="4" t="str">
        <f ca="1">IFERROR(__xludf.DUMMYFUNCTION("""COMPUTED_VALUE"""),"No")</f>
        <v>No</v>
      </c>
      <c r="C74" s="98"/>
      <c r="D74" s="98"/>
      <c r="E74" s="98"/>
      <c r="F74" s="98"/>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x14ac:dyDescent="0.25">
      <c r="A75" s="4" t="str">
        <f ca="1">IFERROR(__xludf.DUMMYFUNCTION("""COMPUTED_VALUE"""),"Yes")</f>
        <v>Yes</v>
      </c>
      <c r="B75" s="4" t="str">
        <f ca="1">IFERROR(__xludf.DUMMYFUNCTION("""COMPUTED_VALUE"""),"No")</f>
        <v>No</v>
      </c>
      <c r="C75" s="98"/>
      <c r="D75" s="98"/>
      <c r="E75" s="98"/>
      <c r="F75" s="98"/>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x14ac:dyDescent="0.25">
      <c r="A76" s="4" t="str">
        <f ca="1">IFERROR(__xludf.DUMMYFUNCTION("""COMPUTED_VALUE"""),"Yes")</f>
        <v>Yes</v>
      </c>
      <c r="B76" s="4" t="str">
        <f ca="1">IFERROR(__xludf.DUMMYFUNCTION("""COMPUTED_VALUE"""),"No")</f>
        <v>No</v>
      </c>
      <c r="C76" s="98"/>
      <c r="D76" s="98"/>
      <c r="E76" s="98"/>
      <c r="F76" s="98"/>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x14ac:dyDescent="0.25">
      <c r="A77" s="4" t="str">
        <f ca="1">IFERROR(__xludf.DUMMYFUNCTION("""COMPUTED_VALUE"""),"Yes")</f>
        <v>Yes</v>
      </c>
      <c r="B77" s="4" t="str">
        <f ca="1">IFERROR(__xludf.DUMMYFUNCTION("""COMPUTED_VALUE"""),"No")</f>
        <v>No</v>
      </c>
      <c r="C77" s="98"/>
      <c r="D77" s="98"/>
      <c r="E77" s="98"/>
      <c r="F77" s="98"/>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x14ac:dyDescent="0.25">
      <c r="A78" s="4" t="str">
        <f ca="1">IFERROR(__xludf.DUMMYFUNCTION("""COMPUTED_VALUE"""),"Yes")</f>
        <v>Yes</v>
      </c>
      <c r="B78" s="4" t="str">
        <f ca="1">IFERROR(__xludf.DUMMYFUNCTION("""COMPUTED_VALUE"""),"No")</f>
        <v>No</v>
      </c>
      <c r="C78" s="98"/>
      <c r="D78" s="98"/>
      <c r="E78" s="98"/>
      <c r="F78" s="98"/>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x14ac:dyDescent="0.25">
      <c r="A79" s="4" t="str">
        <f ca="1">IFERROR(__xludf.DUMMYFUNCTION("""COMPUTED_VALUE"""),"Yes")</f>
        <v>Yes</v>
      </c>
      <c r="B79" s="4" t="str">
        <f ca="1">IFERROR(__xludf.DUMMYFUNCTION("""COMPUTED_VALUE"""),"No")</f>
        <v>No</v>
      </c>
      <c r="C79" s="98"/>
      <c r="D79" s="98"/>
      <c r="E79" s="98"/>
      <c r="F79" s="98"/>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x14ac:dyDescent="0.25">
      <c r="A80" s="4" t="str">
        <f ca="1">IFERROR(__xludf.DUMMYFUNCTION("""COMPUTED_VALUE"""),"Yes")</f>
        <v>Yes</v>
      </c>
      <c r="B80" s="4" t="str">
        <f ca="1">IFERROR(__xludf.DUMMYFUNCTION("""COMPUTED_VALUE"""),"No")</f>
        <v>No</v>
      </c>
      <c r="C80" s="98"/>
      <c r="D80" s="98"/>
      <c r="E80" s="98"/>
      <c r="F80" s="98"/>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x14ac:dyDescent="0.25">
      <c r="A81" s="4" t="str">
        <f ca="1">IFERROR(__xludf.DUMMYFUNCTION("""COMPUTED_VALUE"""),"Yes")</f>
        <v>Yes</v>
      </c>
      <c r="B81" s="4" t="str">
        <f ca="1">IFERROR(__xludf.DUMMYFUNCTION("""COMPUTED_VALUE"""),"No")</f>
        <v>No</v>
      </c>
      <c r="C81" s="98"/>
      <c r="D81" s="98"/>
      <c r="E81" s="98"/>
      <c r="F81" s="98"/>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x14ac:dyDescent="0.25">
      <c r="A82" s="4" t="str">
        <f ca="1">IFERROR(__xludf.DUMMYFUNCTION("""COMPUTED_VALUE"""),"Yes")</f>
        <v>Yes</v>
      </c>
      <c r="B82" s="4" t="str">
        <f ca="1">IFERROR(__xludf.DUMMYFUNCTION("""COMPUTED_VALUE"""),"No")</f>
        <v>No</v>
      </c>
      <c r="C82" s="98"/>
      <c r="D82" s="98"/>
      <c r="E82" s="98"/>
      <c r="F82" s="98"/>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x14ac:dyDescent="0.25">
      <c r="A83" s="4" t="str">
        <f ca="1">IFERROR(__xludf.DUMMYFUNCTION("""COMPUTED_VALUE"""),"Yes")</f>
        <v>Yes</v>
      </c>
      <c r="B83" s="4" t="str">
        <f ca="1">IFERROR(__xludf.DUMMYFUNCTION("""COMPUTED_VALUE"""),"No")</f>
        <v>No</v>
      </c>
      <c r="C83" s="98"/>
      <c r="D83" s="98"/>
      <c r="E83" s="99" t="str">
        <f ca="1">IFERROR(__xludf.DUMMYFUNCTION("""COMPUTED_VALUE"""),"Study Sample")</f>
        <v>Study Sample</v>
      </c>
      <c r="F83" s="99" t="str">
        <f ca="1">IFERROR(__xludf.DUMMYFUNCTION("""COMPUTED_VALUE"""),"0:N")</f>
        <v>0:N</v>
      </c>
      <c r="G83" s="5" t="str">
        <f ca="1">IFERROR(__xludf.DUMMYFUNCTION("""COMPUTED_VALUE"""),"Sample Name (ID)")</f>
        <v>Sample Name (ID)</v>
      </c>
      <c r="H83" s="5" t="str">
        <f ca="1">IFERROR(__xludf.DUMMYFUNCTION("""COMPUTED_VALUE"""),"1")</f>
        <v>1</v>
      </c>
      <c r="I83" s="41"/>
      <c r="J83" s="4"/>
      <c r="K83" s="101" t="str">
        <f ca="1">E83</f>
        <v>Study Sample</v>
      </c>
      <c r="L83" s="98"/>
      <c r="M83" s="98"/>
      <c r="N83" s="98"/>
      <c r="O83" s="98"/>
      <c r="P83" s="98"/>
      <c r="Q83" s="98"/>
      <c r="R83" s="98"/>
      <c r="S83" s="98"/>
      <c r="T83" s="98"/>
      <c r="U83" s="4"/>
      <c r="V83" s="4"/>
      <c r="W83" s="4"/>
      <c r="X83" s="4"/>
      <c r="Y83" s="4"/>
      <c r="Z83" s="4"/>
      <c r="AA83" s="4"/>
      <c r="AB83" s="4"/>
      <c r="AC83" s="4"/>
      <c r="AD83" s="4"/>
      <c r="AE83" s="4"/>
      <c r="AF83" s="4"/>
      <c r="AG83" s="4"/>
      <c r="AH83" s="4"/>
      <c r="AI83" s="4"/>
      <c r="AJ83" s="4"/>
      <c r="AK83" s="4"/>
      <c r="AL83" s="4"/>
      <c r="AM83" s="4"/>
      <c r="AN83" s="4"/>
      <c r="AO83" s="4"/>
    </row>
    <row r="84" spans="1:41" ht="12.5" x14ac:dyDescent="0.25">
      <c r="A84" s="4" t="str">
        <f ca="1">IFERROR(__xludf.DUMMYFUNCTION("""COMPUTED_VALUE"""),"Yes")</f>
        <v>Yes</v>
      </c>
      <c r="B84" s="4" t="str">
        <f ca="1">IFERROR(__xludf.DUMMYFUNCTION("""COMPUTED_VALUE"""),"No")</f>
        <v>No</v>
      </c>
      <c r="C84" s="98"/>
      <c r="D84" s="98"/>
      <c r="E84" s="98"/>
      <c r="F84" s="98"/>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x14ac:dyDescent="0.25">
      <c r="A85" s="4" t="str">
        <f ca="1">IFERROR(__xludf.DUMMYFUNCTION("""COMPUTED_VALUE"""),"Yes")</f>
        <v>Yes</v>
      </c>
      <c r="B85" s="4" t="str">
        <f ca="1">IFERROR(__xludf.DUMMYFUNCTION("""COMPUTED_VALUE"""),"No")</f>
        <v>No</v>
      </c>
      <c r="C85" s="98"/>
      <c r="D85" s="98"/>
      <c r="E85" s="98"/>
      <c r="F85" s="98"/>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x14ac:dyDescent="0.25">
      <c r="A86" s="4" t="str">
        <f ca="1">IFERROR(__xludf.DUMMYFUNCTION("""COMPUTED_VALUE"""),"Yes")</f>
        <v>Yes</v>
      </c>
      <c r="B86" s="4" t="str">
        <f ca="1">IFERROR(__xludf.DUMMYFUNCTION("""COMPUTED_VALUE"""),"No")</f>
        <v>No</v>
      </c>
      <c r="C86" s="98"/>
      <c r="D86" s="98"/>
      <c r="E86" s="98"/>
      <c r="F86" s="98"/>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x14ac:dyDescent="0.25">
      <c r="A87" s="4" t="str">
        <f ca="1">IFERROR(__xludf.DUMMYFUNCTION("""COMPUTED_VALUE"""),"Yes")</f>
        <v>Yes</v>
      </c>
      <c r="B87" s="4" t="str">
        <f ca="1">IFERROR(__xludf.DUMMYFUNCTION("""COMPUTED_VALUE"""),"No")</f>
        <v>No</v>
      </c>
      <c r="C87" s="98"/>
      <c r="D87" s="98"/>
      <c r="E87" s="98"/>
      <c r="F87" s="98"/>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x14ac:dyDescent="0.25">
      <c r="A88" s="4" t="str">
        <f ca="1">IFERROR(__xludf.DUMMYFUNCTION("""COMPUTED_VALUE"""),"Yes")</f>
        <v>Yes</v>
      </c>
      <c r="B88" s="4" t="str">
        <f ca="1">IFERROR(__xludf.DUMMYFUNCTION("""COMPUTED_VALUE"""),"No")</f>
        <v>No</v>
      </c>
      <c r="C88" s="98"/>
      <c r="D88" s="98"/>
      <c r="E88" s="98"/>
      <c r="F88" s="98"/>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x14ac:dyDescent="0.25">
      <c r="A89" s="4" t="str">
        <f ca="1">IFERROR(__xludf.DUMMYFUNCTION("""COMPUTED_VALUE"""),"Yes")</f>
        <v>Yes</v>
      </c>
      <c r="B89" s="4" t="str">
        <f ca="1">IFERROR(__xludf.DUMMYFUNCTION("""COMPUTED_VALUE"""),"No")</f>
        <v>No</v>
      </c>
      <c r="C89" s="98"/>
      <c r="D89" s="98"/>
      <c r="E89" s="98"/>
      <c r="F89" s="98"/>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x14ac:dyDescent="0.25">
      <c r="A90" s="4" t="str">
        <f ca="1">IFERROR(__xludf.DUMMYFUNCTION("""COMPUTED_VALUE"""),"Yes")</f>
        <v>Yes</v>
      </c>
      <c r="B90" s="4" t="str">
        <f ca="1">IFERROR(__xludf.DUMMYFUNCTION("""COMPUTED_VALUE"""),"No")</f>
        <v>No</v>
      </c>
      <c r="C90" s="98"/>
      <c r="D90" s="98"/>
      <c r="E90" s="98"/>
      <c r="F90" s="98"/>
      <c r="G90" s="5" t="str">
        <f ca="1">IFERROR(__xludf.DUMMYFUNCTION("""COMPUTED_VALUE"""),"Sampling size")</f>
        <v>Sampling size</v>
      </c>
      <c r="H90" s="5" t="str">
        <f ca="1">IFERROR(__xludf.DUMMYFUNCTION("""COMPUTED_VALUE"""),"1")</f>
        <v>1</v>
      </c>
      <c r="I90" s="41"/>
      <c r="J90" s="4"/>
      <c r="K90" s="101" t="str">
        <f ca="1">E93</f>
        <v>Laboratory</v>
      </c>
      <c r="L90" s="98"/>
      <c r="M90" s="98"/>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x14ac:dyDescent="0.25">
      <c r="A91" s="4" t="str">
        <f ca="1">IFERROR(__xludf.DUMMYFUNCTION("""COMPUTED_VALUE"""),"Yes")</f>
        <v>Yes</v>
      </c>
      <c r="B91" s="4" t="str">
        <f ca="1">IFERROR(__xludf.DUMMYFUNCTION("""COMPUTED_VALUE"""),"No")</f>
        <v>No</v>
      </c>
      <c r="C91" s="98"/>
      <c r="D91" s="98"/>
      <c r="E91" s="98"/>
      <c r="F91" s="98"/>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x14ac:dyDescent="0.25">
      <c r="A92" s="4" t="str">
        <f ca="1">IFERROR(__xludf.DUMMYFUNCTION("""COMPUTED_VALUE"""),"Yes")</f>
        <v>Yes</v>
      </c>
      <c r="B92" s="4" t="str">
        <f ca="1">IFERROR(__xludf.DUMMYFUNCTION("""COMPUTED_VALUE"""),"No")</f>
        <v>No</v>
      </c>
      <c r="C92" s="98"/>
      <c r="D92" s="98"/>
      <c r="E92" s="98"/>
      <c r="F92" s="98"/>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x14ac:dyDescent="0.25">
      <c r="A93" s="4" t="str">
        <f ca="1">IFERROR(__xludf.DUMMYFUNCTION("""COMPUTED_VALUE"""),"Yes")</f>
        <v>Yes</v>
      </c>
      <c r="B93" s="4" t="str">
        <f ca="1">IFERROR(__xludf.DUMMYFUNCTION("""COMPUTED_VALUE"""),"No")</f>
        <v>No</v>
      </c>
      <c r="C93" s="98"/>
      <c r="D93" s="98"/>
      <c r="E93" s="99" t="str">
        <f ca="1">IFERROR(__xludf.DUMMYFUNCTION("""COMPUTED_VALUE"""),"Laboratory")</f>
        <v>Laboratory</v>
      </c>
      <c r="F93" s="99"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x14ac:dyDescent="0.25">
      <c r="A94" s="4" t="str">
        <f ca="1">IFERROR(__xludf.DUMMYFUNCTION("""COMPUTED_VALUE"""),"Yes")</f>
        <v>Yes</v>
      </c>
      <c r="B94" s="4" t="str">
        <f ca="1">IFERROR(__xludf.DUMMYFUNCTION("""COMPUTED_VALUE"""),"No")</f>
        <v>No</v>
      </c>
      <c r="C94" s="98"/>
      <c r="D94" s="98"/>
      <c r="E94" s="98"/>
      <c r="F94" s="98"/>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x14ac:dyDescent="0.25">
      <c r="A95" s="4" t="str">
        <f ca="1">IFERROR(__xludf.DUMMYFUNCTION("""COMPUTED_VALUE"""),"Yes")</f>
        <v>Yes</v>
      </c>
      <c r="B95" s="4" t="str">
        <f ca="1">IFERROR(__xludf.DUMMYFUNCTION("""COMPUTED_VALUE"""),"No")</f>
        <v>No</v>
      </c>
      <c r="C95" s="98"/>
      <c r="D95" s="98"/>
      <c r="E95" s="98"/>
      <c r="F95" s="98"/>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x14ac:dyDescent="0.25">
      <c r="A96" s="4" t="str">
        <f ca="1">IFERROR(__xludf.DUMMYFUNCTION("""COMPUTED_VALUE"""),"Yes")</f>
        <v>Yes</v>
      </c>
      <c r="B96" s="4" t="str">
        <f ca="1">IFERROR(__xludf.DUMMYFUNCTION("""COMPUTED_VALUE"""),"No")</f>
        <v>No</v>
      </c>
      <c r="C96" s="98"/>
      <c r="D96" s="98"/>
      <c r="E96" s="99" t="str">
        <f ca="1">IFERROR(__xludf.DUMMYFUNCTION("""COMPUTED_VALUE"""),"Assay")</f>
        <v>Assay</v>
      </c>
      <c r="F96" s="99"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x14ac:dyDescent="0.25">
      <c r="A97" s="4" t="str">
        <f ca="1">IFERROR(__xludf.DUMMYFUNCTION("""COMPUTED_VALUE"""),"Yes")</f>
        <v>Yes</v>
      </c>
      <c r="B97" s="4" t="str">
        <f ca="1">IFERROR(__xludf.DUMMYFUNCTION("""COMPUTED_VALUE"""),"No")</f>
        <v>No</v>
      </c>
      <c r="C97" s="98"/>
      <c r="D97" s="98"/>
      <c r="E97" s="98"/>
      <c r="F97" s="98"/>
      <c r="G97" s="5" t="str">
        <f ca="1">IFERROR(__xludf.DUMMYFUNCTION("""COMPUTED_VALUE"""),"Assay description")</f>
        <v>Assay description</v>
      </c>
      <c r="H97" s="5" t="str">
        <f ca="1">IFERROR(__xludf.DUMMYFUNCTION("""COMPUTED_VALUE"""),"0:1")</f>
        <v>0:1</v>
      </c>
      <c r="I97" s="41"/>
      <c r="J97" s="4"/>
      <c r="K97" s="101" t="str">
        <f ca="1">E96</f>
        <v>Assay</v>
      </c>
      <c r="L97" s="98"/>
      <c r="M97" s="98"/>
      <c r="N97" s="98"/>
      <c r="O97" s="98"/>
      <c r="P97" s="98"/>
      <c r="Q97" s="98"/>
      <c r="R97" s="98"/>
      <c r="S97" s="98"/>
      <c r="T97" s="4"/>
      <c r="U97" s="4"/>
      <c r="V97" s="4"/>
      <c r="W97" s="4"/>
      <c r="X97" s="4"/>
      <c r="Y97" s="4"/>
      <c r="Z97" s="4"/>
      <c r="AA97" s="4"/>
      <c r="AB97" s="4"/>
      <c r="AC97" s="4"/>
      <c r="AD97" s="4"/>
      <c r="AE97" s="4"/>
      <c r="AF97" s="4"/>
      <c r="AG97" s="4"/>
      <c r="AH97" s="4"/>
      <c r="AI97" s="4"/>
      <c r="AJ97" s="4"/>
      <c r="AK97" s="4"/>
      <c r="AL97" s="4"/>
      <c r="AM97" s="4"/>
      <c r="AN97" s="4"/>
      <c r="AO97" s="4"/>
    </row>
    <row r="98" spans="1:41" ht="12.5" x14ac:dyDescent="0.25">
      <c r="A98" s="4" t="str">
        <f ca="1">IFERROR(__xludf.DUMMYFUNCTION("""COMPUTED_VALUE"""),"Yes")</f>
        <v>Yes</v>
      </c>
      <c r="B98" s="4" t="str">
        <f ca="1">IFERROR(__xludf.DUMMYFUNCTION("""COMPUTED_VALUE"""),"No")</f>
        <v>No</v>
      </c>
      <c r="C98" s="98"/>
      <c r="D98" s="98"/>
      <c r="E98" s="98"/>
      <c r="F98" s="98"/>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x14ac:dyDescent="0.25">
      <c r="A99" s="4" t="str">
        <f ca="1">IFERROR(__xludf.DUMMYFUNCTION("""COMPUTED_VALUE"""),"Yes")</f>
        <v>Yes</v>
      </c>
      <c r="B99" s="4" t="str">
        <f ca="1">IFERROR(__xludf.DUMMYFUNCTION("""COMPUTED_VALUE"""),"No")</f>
        <v>No</v>
      </c>
      <c r="C99" s="98"/>
      <c r="D99" s="98"/>
      <c r="E99" s="98"/>
      <c r="F99" s="98"/>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x14ac:dyDescent="0.25">
      <c r="A100" s="4" t="str">
        <f ca="1">IFERROR(__xludf.DUMMYFUNCTION("""COMPUTED_VALUE"""),"Yes")</f>
        <v>Yes</v>
      </c>
      <c r="B100" s="4" t="str">
        <f ca="1">IFERROR(__xludf.DUMMYFUNCTION("""COMPUTED_VALUE"""),"No")</f>
        <v>No</v>
      </c>
      <c r="C100" s="98"/>
      <c r="D100" s="98"/>
      <c r="E100" s="98"/>
      <c r="F100" s="98"/>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x14ac:dyDescent="0.25">
      <c r="A101" s="4" t="str">
        <f ca="1">IFERROR(__xludf.DUMMYFUNCTION("""COMPUTED_VALUE"""),"Yes")</f>
        <v>Yes</v>
      </c>
      <c r="B101" s="4" t="str">
        <f ca="1">IFERROR(__xludf.DUMMYFUNCTION("""COMPUTED_VALUE"""),"No")</f>
        <v>No</v>
      </c>
      <c r="C101" s="98"/>
      <c r="D101" s="98"/>
      <c r="E101" s="98"/>
      <c r="F101" s="98"/>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x14ac:dyDescent="0.25">
      <c r="A102" s="4" t="str">
        <f ca="1">IFERROR(__xludf.DUMMYFUNCTION("""COMPUTED_VALUE"""),"Yes")</f>
        <v>Yes</v>
      </c>
      <c r="B102" s="4" t="str">
        <f ca="1">IFERROR(__xludf.DUMMYFUNCTION("""COMPUTED_VALUE"""),"No")</f>
        <v>No</v>
      </c>
      <c r="C102" s="98"/>
      <c r="D102" s="98"/>
      <c r="E102" s="98"/>
      <c r="F102" s="98"/>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x14ac:dyDescent="0.25">
      <c r="A103" s="4" t="str">
        <f ca="1">IFERROR(__xludf.DUMMYFUNCTION("""COMPUTED_VALUE"""),"Yes")</f>
        <v>Yes</v>
      </c>
      <c r="B103" s="4" t="str">
        <f ca="1">IFERROR(__xludf.DUMMYFUNCTION("""COMPUTED_VALUE"""),"No")</f>
        <v>No</v>
      </c>
      <c r="C103" s="98"/>
      <c r="D103" s="98"/>
      <c r="E103" s="98"/>
      <c r="F103" s="98"/>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x14ac:dyDescent="0.25">
      <c r="A104" s="4" t="str">
        <f ca="1">IFERROR(__xludf.DUMMYFUNCTION("""COMPUTED_VALUE"""),"Yes")</f>
        <v>Yes</v>
      </c>
      <c r="B104" s="4" t="str">
        <f ca="1">IFERROR(__xludf.DUMMYFUNCTION("""COMPUTED_VALUE"""),"No")</f>
        <v>No</v>
      </c>
      <c r="C104" s="98"/>
      <c r="D104" s="98"/>
      <c r="E104" s="98"/>
      <c r="F104" s="98"/>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x14ac:dyDescent="0.25">
      <c r="A105" s="4" t="str">
        <f ca="1">IFERROR(__xludf.DUMMYFUNCTION("""COMPUTED_VALUE"""),"Yes")</f>
        <v>Yes</v>
      </c>
      <c r="B105" s="4" t="str">
        <f ca="1">IFERROR(__xludf.DUMMYFUNCTION("""COMPUTED_VALUE"""),"Yes")</f>
        <v>Yes</v>
      </c>
      <c r="C105" s="97" t="str">
        <f ca="1">IFERROR(__xludf.DUMMYFUNCTION("""COMPUTED_VALUE"""),"Model math / Data definition")</f>
        <v>Model math / Data definition</v>
      </c>
      <c r="D105" s="102" t="str">
        <f ca="1">IFERROR(__xludf.DUMMYFUNCTION("""COMPUTED_VALUE"""),"1")</f>
        <v>1</v>
      </c>
      <c r="E105" s="99" t="str">
        <f ca="1">IFERROR(__xludf.DUMMYFUNCTION("""COMPUTED_VALUE"""),"Parameter / Factor / Input / Output / ""Data column""")</f>
        <v>Parameter / Factor / Input / Output / "Data column"</v>
      </c>
      <c r="F105" s="99" t="str">
        <f ca="1">IFERROR(__xludf.DUMMYFUNCTION("""COMPUTED_VALUE"""),"1:N")</f>
        <v>1:N</v>
      </c>
      <c r="G105" s="5" t="str">
        <f ca="1">IFERROR(__xludf.DUMMYFUNCTION("""COMPUTED_VALUE"""),"Parameter ID")</f>
        <v>Parameter ID</v>
      </c>
      <c r="H105" s="5" t="str">
        <f ca="1">IFERROR(__xludf.DUMMYFUNCTION("""COMPUTED_VALUE"""),"1")</f>
        <v>1</v>
      </c>
      <c r="I105" s="41"/>
      <c r="J105" s="4"/>
      <c r="K105" s="23"/>
      <c r="L105" s="100" t="str">
        <f ca="1">E123</f>
        <v>Quality measures</v>
      </c>
      <c r="M105" s="98"/>
      <c r="N105" s="23"/>
      <c r="O105" s="100" t="str">
        <f ca="1">E125</f>
        <v>Model equation</v>
      </c>
      <c r="P105" s="98"/>
      <c r="Q105" s="98"/>
      <c r="R105" s="98"/>
      <c r="S105" s="98"/>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x14ac:dyDescent="0.25">
      <c r="A106" s="4" t="str">
        <f ca="1">IFERROR(__xludf.DUMMYFUNCTION("""COMPUTED_VALUE"""),"Yes")</f>
        <v>Yes</v>
      </c>
      <c r="B106" s="4" t="str">
        <f ca="1">IFERROR(__xludf.DUMMYFUNCTION("""COMPUTED_VALUE"""),"Yes")</f>
        <v>Yes</v>
      </c>
      <c r="C106" s="98"/>
      <c r="D106" s="98"/>
      <c r="E106" s="98"/>
      <c r="F106" s="98"/>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x14ac:dyDescent="0.25">
      <c r="A107" s="4" t="str">
        <f ca="1">IFERROR(__xludf.DUMMYFUNCTION("""COMPUTED_VALUE"""),"Yes")</f>
        <v>Yes</v>
      </c>
      <c r="B107" s="4" t="str">
        <f ca="1">IFERROR(__xludf.DUMMYFUNCTION("""COMPUTED_VALUE"""),"Yes")</f>
        <v>Yes</v>
      </c>
      <c r="C107" s="98"/>
      <c r="D107" s="98"/>
      <c r="E107" s="98"/>
      <c r="F107" s="98"/>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x14ac:dyDescent="0.25">
      <c r="A108" s="4" t="str">
        <f ca="1">IFERROR(__xludf.DUMMYFUNCTION("""COMPUTED_VALUE"""),"Yes")</f>
        <v>Yes</v>
      </c>
      <c r="B108" s="4" t="str">
        <f ca="1">IFERROR(__xludf.DUMMYFUNCTION("""COMPUTED_VALUE"""),"No")</f>
        <v>No</v>
      </c>
      <c r="C108" s="98"/>
      <c r="D108" s="98"/>
      <c r="E108" s="98"/>
      <c r="F108" s="98"/>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x14ac:dyDescent="0.25">
      <c r="A109" s="4" t="str">
        <f ca="1">IFERROR(__xludf.DUMMYFUNCTION("""COMPUTED_VALUE"""),"Yes")</f>
        <v>Yes</v>
      </c>
      <c r="B109" s="4" t="str">
        <f ca="1">IFERROR(__xludf.DUMMYFUNCTION("""COMPUTED_VALUE"""),"Yes")</f>
        <v>Yes</v>
      </c>
      <c r="C109" s="98"/>
      <c r="D109" s="98"/>
      <c r="E109" s="98"/>
      <c r="F109" s="98"/>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x14ac:dyDescent="0.25">
      <c r="A110" s="4" t="str">
        <f ca="1">IFERROR(__xludf.DUMMYFUNCTION("""COMPUTED_VALUE"""),"Yes")</f>
        <v>Yes</v>
      </c>
      <c r="B110" s="4" t="str">
        <f ca="1">IFERROR(__xludf.DUMMYFUNCTION("""COMPUTED_VALUE"""),"No")</f>
        <v>No</v>
      </c>
      <c r="C110" s="98"/>
      <c r="D110" s="98"/>
      <c r="E110" s="98"/>
      <c r="F110" s="98"/>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x14ac:dyDescent="0.25">
      <c r="A111" s="4" t="str">
        <f ca="1">IFERROR(__xludf.DUMMYFUNCTION("""COMPUTED_VALUE"""),"Yes")</f>
        <v>Yes</v>
      </c>
      <c r="B111" s="4" t="str">
        <f ca="1">IFERROR(__xludf.DUMMYFUNCTION("""COMPUTED_VALUE"""),"Yes")</f>
        <v>Yes</v>
      </c>
      <c r="C111" s="98"/>
      <c r="D111" s="98"/>
      <c r="E111" s="98"/>
      <c r="F111" s="98"/>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x14ac:dyDescent="0.25">
      <c r="A112" s="4" t="str">
        <f ca="1">IFERROR(__xludf.DUMMYFUNCTION("""COMPUTED_VALUE"""),"Yes")</f>
        <v>Yes</v>
      </c>
      <c r="B112" s="4" t="str">
        <f ca="1">IFERROR(__xludf.DUMMYFUNCTION("""COMPUTED_VALUE"""),"No")</f>
        <v>No</v>
      </c>
      <c r="C112" s="98"/>
      <c r="D112" s="98"/>
      <c r="E112" s="98"/>
      <c r="F112" s="98"/>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x14ac:dyDescent="0.25">
      <c r="A113" s="4" t="str">
        <f ca="1">IFERROR(__xludf.DUMMYFUNCTION("""COMPUTED_VALUE"""),"Yes")</f>
        <v>Yes</v>
      </c>
      <c r="B113" s="4" t="str">
        <f ca="1">IFERROR(__xludf.DUMMYFUNCTION("""COMPUTED_VALUE"""),"Yes")</f>
        <v>Yes</v>
      </c>
      <c r="C113" s="98"/>
      <c r="D113" s="98"/>
      <c r="E113" s="98"/>
      <c r="F113" s="98"/>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x14ac:dyDescent="0.25">
      <c r="A114" s="4" t="str">
        <f ca="1">IFERROR(__xludf.DUMMYFUNCTION("""COMPUTED_VALUE"""),"Yes")</f>
        <v>Yes</v>
      </c>
      <c r="B114" s="4" t="str">
        <f ca="1">IFERROR(__xludf.DUMMYFUNCTION("""COMPUTED_VALUE"""),"Yes")</f>
        <v>Yes</v>
      </c>
      <c r="C114" s="98"/>
      <c r="D114" s="98"/>
      <c r="E114" s="98"/>
      <c r="F114" s="98"/>
      <c r="G114" s="5" t="str">
        <f ca="1">IFERROR(__xludf.DUMMYFUNCTION("""COMPUTED_VALUE"""),"Parameter distribution")</f>
        <v>Parameter distribution</v>
      </c>
      <c r="H114" s="5" t="str">
        <f ca="1">IFERROR(__xludf.DUMMYFUNCTION("""COMPUTED_VALUE"""),"0:1")</f>
        <v>0:1</v>
      </c>
      <c r="I114" s="41"/>
      <c r="J114" s="35" t="s">
        <v>23</v>
      </c>
      <c r="K114" s="100" t="str">
        <f ca="1">E105</f>
        <v>Parameter / Factor / Input / Output / "Data column"</v>
      </c>
      <c r="L114" s="98"/>
      <c r="M114" s="98"/>
      <c r="N114" s="98"/>
      <c r="O114" s="98"/>
      <c r="P114" s="98"/>
      <c r="Q114" s="98"/>
      <c r="R114" s="98"/>
      <c r="S114" s="98"/>
      <c r="T114" s="98"/>
      <c r="U114" s="98"/>
      <c r="V114" s="98"/>
      <c r="W114" s="98"/>
      <c r="X114" s="98"/>
      <c r="Y114" s="98"/>
      <c r="Z114" s="98"/>
      <c r="AA114" s="4"/>
      <c r="AB114" s="4"/>
      <c r="AC114" s="4"/>
      <c r="AD114" s="4"/>
      <c r="AE114" s="4"/>
      <c r="AF114" s="4"/>
      <c r="AG114" s="4"/>
      <c r="AH114" s="4"/>
      <c r="AI114" s="4"/>
      <c r="AJ114" s="4"/>
      <c r="AK114" s="4"/>
      <c r="AL114" s="4"/>
      <c r="AM114" s="4"/>
      <c r="AN114" s="4"/>
      <c r="AO114" s="4"/>
    </row>
    <row r="115" spans="1:41" ht="12.5" x14ac:dyDescent="0.25">
      <c r="A115" s="4" t="str">
        <f ca="1">IFERROR(__xludf.DUMMYFUNCTION("""COMPUTED_VALUE"""),"Yes")</f>
        <v>Yes</v>
      </c>
      <c r="B115" s="4" t="str">
        <f ca="1">IFERROR(__xludf.DUMMYFUNCTION("""COMPUTED_VALUE"""),"Yes")</f>
        <v>Yes</v>
      </c>
      <c r="C115" s="98"/>
      <c r="D115" s="98"/>
      <c r="E115" s="98"/>
      <c r="F115" s="98"/>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x14ac:dyDescent="0.25">
      <c r="A116" s="4" t="str">
        <f ca="1">IFERROR(__xludf.DUMMYFUNCTION("""COMPUTED_VALUE"""),"Yes")</f>
        <v>Yes</v>
      </c>
      <c r="B116" s="4" t="str">
        <f ca="1">IFERROR(__xludf.DUMMYFUNCTION("""COMPUTED_VALUE"""),"Yes")</f>
        <v>Yes</v>
      </c>
      <c r="C116" s="98"/>
      <c r="D116" s="98"/>
      <c r="E116" s="98"/>
      <c r="F116" s="98"/>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x14ac:dyDescent="0.25">
      <c r="A117" s="4" t="str">
        <f ca="1">IFERROR(__xludf.DUMMYFUNCTION("""COMPUTED_VALUE"""),"Yes")</f>
        <v>Yes</v>
      </c>
      <c r="B117" s="4" t="str">
        <f ca="1">IFERROR(__xludf.DUMMYFUNCTION("""COMPUTED_VALUE"""),"No")</f>
        <v>No</v>
      </c>
      <c r="C117" s="98"/>
      <c r="D117" s="98"/>
      <c r="E117" s="98"/>
      <c r="F117" s="98"/>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x14ac:dyDescent="0.25">
      <c r="A118" s="4" t="str">
        <f ca="1">IFERROR(__xludf.DUMMYFUNCTION("""COMPUTED_VALUE"""),"Yes")</f>
        <v>Yes</v>
      </c>
      <c r="B118" s="4" t="str">
        <f ca="1">IFERROR(__xludf.DUMMYFUNCTION("""COMPUTED_VALUE"""),"No")</f>
        <v>No</v>
      </c>
      <c r="C118" s="98"/>
      <c r="D118" s="98"/>
      <c r="E118" s="98"/>
      <c r="F118" s="98"/>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x14ac:dyDescent="0.25">
      <c r="A119" s="4" t="str">
        <f ca="1">IFERROR(__xludf.DUMMYFUNCTION("""COMPUTED_VALUE"""),"Yes")</f>
        <v>Yes</v>
      </c>
      <c r="B119" s="4" t="str">
        <f ca="1">IFERROR(__xludf.DUMMYFUNCTION("""COMPUTED_VALUE"""),"No")</f>
        <v>No</v>
      </c>
      <c r="C119" s="98"/>
      <c r="D119" s="98"/>
      <c r="E119" s="98"/>
      <c r="F119" s="98"/>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x14ac:dyDescent="0.25">
      <c r="A120" s="4" t="str">
        <f ca="1">IFERROR(__xludf.DUMMYFUNCTION("""COMPUTED_VALUE"""),"Yes")</f>
        <v>Yes</v>
      </c>
      <c r="B120" s="4" t="str">
        <f ca="1">IFERROR(__xludf.DUMMYFUNCTION("""COMPUTED_VALUE"""),"No")</f>
        <v>No</v>
      </c>
      <c r="C120" s="98"/>
      <c r="D120" s="98"/>
      <c r="E120" s="98"/>
      <c r="F120" s="98"/>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x14ac:dyDescent="0.25">
      <c r="A121" s="4" t="str">
        <f ca="1">IFERROR(__xludf.DUMMYFUNCTION("""COMPUTED_VALUE"""),"Yes")</f>
        <v>Yes</v>
      </c>
      <c r="B121" s="4" t="str">
        <f ca="1">IFERROR(__xludf.DUMMYFUNCTION("""COMPUTED_VALUE"""),"No")</f>
        <v>No</v>
      </c>
      <c r="C121" s="98"/>
      <c r="D121" s="98"/>
      <c r="E121" s="98"/>
      <c r="F121" s="98"/>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x14ac:dyDescent="0.25">
      <c r="A122" s="4" t="str">
        <f ca="1">IFERROR(__xludf.DUMMYFUNCTION("""COMPUTED_VALUE"""),"Yes")</f>
        <v>Yes</v>
      </c>
      <c r="B122" s="4" t="str">
        <f ca="1">IFERROR(__xludf.DUMMYFUNCTION("""COMPUTED_VALUE"""),"No")</f>
        <v>No</v>
      </c>
      <c r="C122" s="98"/>
      <c r="D122" s="98"/>
      <c r="E122" s="98"/>
      <c r="F122" s="98"/>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x14ac:dyDescent="0.25">
      <c r="A123" s="4" t="str">
        <f ca="1">IFERROR(__xludf.DUMMYFUNCTION("""COMPUTED_VALUE"""),"Yes")</f>
        <v>Yes</v>
      </c>
      <c r="B123" s="4" t="str">
        <f ca="1">IFERROR(__xludf.DUMMYFUNCTION("""COMPUTED_VALUE"""),"No")</f>
        <v>No</v>
      </c>
      <c r="C123" s="98"/>
      <c r="D123" s="98"/>
      <c r="E123" s="99" t="str">
        <f ca="1">IFERROR(__xludf.DUMMYFUNCTION("""COMPUTED_VALUE"""),"Quality measures")</f>
        <v>Quality measures</v>
      </c>
      <c r="F123" s="99"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x14ac:dyDescent="0.25">
      <c r="A124" s="4" t="str">
        <f ca="1">IFERROR(__xludf.DUMMYFUNCTION("""COMPUTED_VALUE"""),"Yes")</f>
        <v>Yes</v>
      </c>
      <c r="B124" s="4" t="str">
        <f ca="1">IFERROR(__xludf.DUMMYFUNCTION("""COMPUTED_VALUE"""),"No")</f>
        <v>No</v>
      </c>
      <c r="C124" s="98"/>
      <c r="D124" s="98"/>
      <c r="E124" s="98"/>
      <c r="F124" s="98"/>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x14ac:dyDescent="0.25">
      <c r="A125" s="4" t="str">
        <f ca="1">IFERROR(__xludf.DUMMYFUNCTION("""COMPUTED_VALUE"""),"Yes")</f>
        <v>Yes</v>
      </c>
      <c r="B125" s="4" t="str">
        <f ca="1">IFERROR(__xludf.DUMMYFUNCTION("""COMPUTED_VALUE"""),"No")</f>
        <v>No</v>
      </c>
      <c r="C125" s="98"/>
      <c r="D125" s="98"/>
      <c r="E125" s="99" t="str">
        <f ca="1">IFERROR(__xludf.DUMMYFUNCTION("""COMPUTED_VALUE"""),"Model equation")</f>
        <v>Model equation</v>
      </c>
      <c r="F125" s="99"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x14ac:dyDescent="0.25">
      <c r="A126" s="4" t="str">
        <f ca="1">IFERROR(__xludf.DUMMYFUNCTION("""COMPUTED_VALUE"""),"Yes")</f>
        <v>Yes</v>
      </c>
      <c r="B126" s="4" t="str">
        <f ca="1">IFERROR(__xludf.DUMMYFUNCTION("""COMPUTED_VALUE"""),"No")</f>
        <v>No</v>
      </c>
      <c r="C126" s="98"/>
      <c r="D126" s="98"/>
      <c r="E126" s="98"/>
      <c r="F126" s="98"/>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x14ac:dyDescent="0.25">
      <c r="A127" s="4" t="str">
        <f ca="1">IFERROR(__xludf.DUMMYFUNCTION("""COMPUTED_VALUE"""),"Yes")</f>
        <v>Yes</v>
      </c>
      <c r="B127" s="4" t="str">
        <f ca="1">IFERROR(__xludf.DUMMYFUNCTION("""COMPUTED_VALUE"""),"No")</f>
        <v>No</v>
      </c>
      <c r="C127" s="98"/>
      <c r="D127" s="98"/>
      <c r="E127" s="98"/>
      <c r="F127" s="98"/>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x14ac:dyDescent="0.25">
      <c r="A128" s="4" t="str">
        <f ca="1">IFERROR(__xludf.DUMMYFUNCTION("""COMPUTED_VALUE"""),"Yes")</f>
        <v>Yes</v>
      </c>
      <c r="B128" s="4" t="str">
        <f ca="1">IFERROR(__xludf.DUMMYFUNCTION("""COMPUTED_VALUE"""),"No")</f>
        <v>No</v>
      </c>
      <c r="C128" s="98"/>
      <c r="D128" s="98"/>
      <c r="E128" s="98"/>
      <c r="F128" s="98"/>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x14ac:dyDescent="0.25">
      <c r="A129" s="4" t="str">
        <f ca="1">IFERROR(__xludf.DUMMYFUNCTION("""COMPUTED_VALUE"""),"Yes")</f>
        <v>Yes</v>
      </c>
      <c r="B129" s="4" t="str">
        <f ca="1">IFERROR(__xludf.DUMMYFUNCTION("""COMPUTED_VALUE"""),"No")</f>
        <v>No</v>
      </c>
      <c r="C129" s="98"/>
      <c r="D129" s="98"/>
      <c r="E129" s="98"/>
      <c r="F129" s="98"/>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x14ac:dyDescent="0.25">
      <c r="A130" s="4" t="str">
        <f ca="1">IFERROR(__xludf.DUMMYFUNCTION("""COMPUTED_VALUE"""),"Yes")</f>
        <v>Yes</v>
      </c>
      <c r="B130" s="4" t="str">
        <f ca="1">IFERROR(__xludf.DUMMYFUNCTION("""COMPUTED_VALUE"""),"No")</f>
        <v>No</v>
      </c>
      <c r="C130" s="98"/>
      <c r="D130" s="98"/>
      <c r="E130" s="98"/>
      <c r="F130" s="98"/>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x14ac:dyDescent="0.25">
      <c r="A131" s="4" t="str">
        <f ca="1">IFERROR(__xludf.DUMMYFUNCTION("""COMPUTED_VALUE"""),"Yes")</f>
        <v>Yes</v>
      </c>
      <c r="B131" s="4" t="str">
        <f ca="1">IFERROR(__xludf.DUMMYFUNCTION("""COMPUTED_VALUE"""),"No")</f>
        <v>No</v>
      </c>
      <c r="C131" s="98"/>
      <c r="D131" s="98"/>
      <c r="E131" s="98"/>
      <c r="F131" s="98"/>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x14ac:dyDescent="0.25">
      <c r="A132" s="4" t="str">
        <f ca="1">IFERROR(__xludf.DUMMYFUNCTION("""COMPUTED_VALUE"""),"Yes")</f>
        <v>Yes</v>
      </c>
      <c r="B132" s="4" t="str">
        <f ca="1">IFERROR(__xludf.DUMMYFUNCTION("""COMPUTED_VALUE"""),"No")</f>
        <v>No</v>
      </c>
      <c r="C132" s="98"/>
      <c r="D132" s="98"/>
      <c r="E132" s="98"/>
      <c r="F132" s="98"/>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x14ac:dyDescent="0.25">
      <c r="A133" s="4" t="str">
        <f ca="1">IFERROR(__xludf.DUMMYFUNCTION("""COMPUTED_VALUE"""),"Yes")</f>
        <v>Yes</v>
      </c>
      <c r="B133" s="4" t="str">
        <f ca="1">IFERROR(__xludf.DUMMYFUNCTION("""COMPUTED_VALUE"""),"No")</f>
        <v>No</v>
      </c>
      <c r="C133" s="98"/>
      <c r="D133" s="98"/>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x14ac:dyDescent="0.25">
      <c r="A134" s="4" t="str">
        <f ca="1">IFERROR(__xludf.DUMMYFUNCTION("""COMPUTED_VALUE"""),"Yes")</f>
        <v>Yes</v>
      </c>
      <c r="B134" s="4" t="str">
        <f ca="1">IFERROR(__xludf.DUMMYFUNCTION("""COMPUTED_VALUE"""),"No")</f>
        <v>No</v>
      </c>
      <c r="C134" s="98"/>
      <c r="D134" s="98"/>
      <c r="E134" s="99" t="str">
        <f ca="1">IFERROR(__xludf.DUMMYFUNCTION("""COMPUTED_VALUE"""),"Exposure")</f>
        <v>Exposure</v>
      </c>
      <c r="F134" s="99"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x14ac:dyDescent="0.25">
      <c r="A135" s="4" t="str">
        <f ca="1">IFERROR(__xludf.DUMMYFUNCTION("""COMPUTED_VALUE"""),"Yes")</f>
        <v>Yes</v>
      </c>
      <c r="B135" s="4" t="str">
        <f ca="1">IFERROR(__xludf.DUMMYFUNCTION("""COMPUTED_VALUE"""),"No")</f>
        <v>No</v>
      </c>
      <c r="C135" s="98"/>
      <c r="D135" s="98"/>
      <c r="E135" s="98"/>
      <c r="F135" s="98"/>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x14ac:dyDescent="0.25">
      <c r="A136" s="4" t="str">
        <f ca="1">IFERROR(__xludf.DUMMYFUNCTION("""COMPUTED_VALUE"""),"Yes")</f>
        <v>Yes</v>
      </c>
      <c r="B136" s="4" t="str">
        <f ca="1">IFERROR(__xludf.DUMMYFUNCTION("""COMPUTED_VALUE"""),"No")</f>
        <v>No</v>
      </c>
      <c r="C136" s="98"/>
      <c r="D136" s="98"/>
      <c r="E136" s="98"/>
      <c r="F136" s="98"/>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x14ac:dyDescent="0.25">
      <c r="A137" s="4" t="str">
        <f ca="1">IFERROR(__xludf.DUMMYFUNCTION("""COMPUTED_VALUE"""),"Yes")</f>
        <v>Yes</v>
      </c>
      <c r="B137" s="4" t="str">
        <f ca="1">IFERROR(__xludf.DUMMYFUNCTION("""COMPUTED_VALUE"""),"No")</f>
        <v>No</v>
      </c>
      <c r="C137" s="98"/>
      <c r="D137" s="98"/>
      <c r="E137" s="98"/>
      <c r="F137" s="98"/>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x14ac:dyDescent="0.25">
      <c r="A138" s="4" t="str">
        <f ca="1">IFERROR(__xludf.DUMMYFUNCTION("""COMPUTED_VALUE"""),"Yes")</f>
        <v>Yes</v>
      </c>
      <c r="B138" s="4" t="str">
        <f ca="1">IFERROR(__xludf.DUMMYFUNCTION("""COMPUTED_VALUE"""),"No")</f>
        <v>No</v>
      </c>
      <c r="C138" s="98"/>
      <c r="D138" s="98"/>
      <c r="E138" s="98"/>
      <c r="F138" s="98"/>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x14ac:dyDescent="0.25">
      <c r="A139" s="4" t="str">
        <f ca="1">IFERROR(__xludf.DUMMYFUNCTION("""COMPUTED_VALUE"""),"Yes")</f>
        <v>Yes</v>
      </c>
      <c r="B139" s="4" t="str">
        <f ca="1">IFERROR(__xludf.DUMMYFUNCTION("""COMPUTED_VALUE"""),"No")</f>
        <v>No</v>
      </c>
      <c r="C139" s="98"/>
      <c r="D139" s="98"/>
      <c r="E139" s="5" t="str">
        <f ca="1">IFERROR(__xludf.DUMMYFUNCTION("""COMPUTED_VALUE"""),"Events")</f>
        <v>Events</v>
      </c>
      <c r="F139" s="99" t="str">
        <f ca="1">IFERROR(__xludf.DUMMYFUNCTION("""COMPUTED_VALUE"""),"0:N")</f>
        <v>0:N</v>
      </c>
      <c r="G139" s="98"/>
      <c r="H139" s="98"/>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x14ac:dyDescent="0.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x14ac:dyDescent="0.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x14ac:dyDescent="0.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x14ac:dyDescent="0.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x14ac:dyDescent="0.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x14ac:dyDescent="0.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x14ac:dyDescent="0.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x14ac:dyDescent="0.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x14ac:dyDescent="0.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x14ac:dyDescent="0.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x14ac:dyDescent="0.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x14ac:dyDescent="0.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x14ac:dyDescent="0.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x14ac:dyDescent="0.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x14ac:dyDescent="0.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x14ac:dyDescent="0.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x14ac:dyDescent="0.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x14ac:dyDescent="0.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x14ac:dyDescent="0.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x14ac:dyDescent="0.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x14ac:dyDescent="0.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x14ac:dyDescent="0.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x14ac:dyDescent="0.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x14ac:dyDescent="0.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x14ac:dyDescent="0.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x14ac:dyDescent="0.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x14ac:dyDescent="0.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x14ac:dyDescent="0.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x14ac:dyDescent="0.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x14ac:dyDescent="0.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x14ac:dyDescent="0.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x14ac:dyDescent="0.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x14ac:dyDescent="0.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x14ac:dyDescent="0.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x14ac:dyDescent="0.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x14ac:dyDescent="0.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x14ac:dyDescent="0.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x14ac:dyDescent="0.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x14ac:dyDescent="0.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x14ac:dyDescent="0.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x14ac:dyDescent="0.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x14ac:dyDescent="0.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x14ac:dyDescent="0.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x14ac:dyDescent="0.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x14ac:dyDescent="0.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x14ac:dyDescent="0.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x14ac:dyDescent="0.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x14ac:dyDescent="0.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x14ac:dyDescent="0.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x14ac:dyDescent="0.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x14ac:dyDescent="0.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x14ac:dyDescent="0.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x14ac:dyDescent="0.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x14ac:dyDescent="0.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x14ac:dyDescent="0.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x14ac:dyDescent="0.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x14ac:dyDescent="0.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x14ac:dyDescent="0.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x14ac:dyDescent="0.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x14ac:dyDescent="0.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x14ac:dyDescent="0.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x14ac:dyDescent="0.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x14ac:dyDescent="0.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x14ac:dyDescent="0.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x14ac:dyDescent="0.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x14ac:dyDescent="0.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x14ac:dyDescent="0.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x14ac:dyDescent="0.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x14ac:dyDescent="0.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x14ac:dyDescent="0.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x14ac:dyDescent="0.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x14ac:dyDescent="0.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x14ac:dyDescent="0.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x14ac:dyDescent="0.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x14ac:dyDescent="0.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x14ac:dyDescent="0.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x14ac:dyDescent="0.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x14ac:dyDescent="0.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x14ac:dyDescent="0.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x14ac:dyDescent="0.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x14ac:dyDescent="0.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x14ac:dyDescent="0.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x14ac:dyDescent="0.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x14ac:dyDescent="0.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x14ac:dyDescent="0.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x14ac:dyDescent="0.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x14ac:dyDescent="0.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x14ac:dyDescent="0.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x14ac:dyDescent="0.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x14ac:dyDescent="0.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x14ac:dyDescent="0.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x14ac:dyDescent="0.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x14ac:dyDescent="0.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x14ac:dyDescent="0.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x14ac:dyDescent="0.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x14ac:dyDescent="0.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x14ac:dyDescent="0.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x14ac:dyDescent="0.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x14ac:dyDescent="0.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x14ac:dyDescent="0.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x14ac:dyDescent="0.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x14ac:dyDescent="0.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x14ac:dyDescent="0.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x14ac:dyDescent="0.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x14ac:dyDescent="0.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x14ac:dyDescent="0.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x14ac:dyDescent="0.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x14ac:dyDescent="0.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x14ac:dyDescent="0.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x14ac:dyDescent="0.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x14ac:dyDescent="0.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x14ac:dyDescent="0.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x14ac:dyDescent="0.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x14ac:dyDescent="0.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x14ac:dyDescent="0.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x14ac:dyDescent="0.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x14ac:dyDescent="0.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x14ac:dyDescent="0.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x14ac:dyDescent="0.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x14ac:dyDescent="0.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x14ac:dyDescent="0.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x14ac:dyDescent="0.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x14ac:dyDescent="0.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x14ac:dyDescent="0.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x14ac:dyDescent="0.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x14ac:dyDescent="0.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x14ac:dyDescent="0.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x14ac:dyDescent="0.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x14ac:dyDescent="0.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x14ac:dyDescent="0.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x14ac:dyDescent="0.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x14ac:dyDescent="0.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x14ac:dyDescent="0.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x14ac:dyDescent="0.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x14ac:dyDescent="0.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x14ac:dyDescent="0.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x14ac:dyDescent="0.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x14ac:dyDescent="0.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x14ac:dyDescent="0.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x14ac:dyDescent="0.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x14ac:dyDescent="0.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x14ac:dyDescent="0.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x14ac:dyDescent="0.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x14ac:dyDescent="0.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x14ac:dyDescent="0.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x14ac:dyDescent="0.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x14ac:dyDescent="0.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x14ac:dyDescent="0.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x14ac:dyDescent="0.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x14ac:dyDescent="0.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x14ac:dyDescent="0.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x14ac:dyDescent="0.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x14ac:dyDescent="0.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x14ac:dyDescent="0.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x14ac:dyDescent="0.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x14ac:dyDescent="0.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x14ac:dyDescent="0.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x14ac:dyDescent="0.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x14ac:dyDescent="0.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x14ac:dyDescent="0.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x14ac:dyDescent="0.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x14ac:dyDescent="0.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x14ac:dyDescent="0.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x14ac:dyDescent="0.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x14ac:dyDescent="0.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x14ac:dyDescent="0.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x14ac:dyDescent="0.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x14ac:dyDescent="0.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x14ac:dyDescent="0.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x14ac:dyDescent="0.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x14ac:dyDescent="0.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x14ac:dyDescent="0.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x14ac:dyDescent="0.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x14ac:dyDescent="0.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x14ac:dyDescent="0.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x14ac:dyDescent="0.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x14ac:dyDescent="0.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x14ac:dyDescent="0.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x14ac:dyDescent="0.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x14ac:dyDescent="0.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x14ac:dyDescent="0.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x14ac:dyDescent="0.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x14ac:dyDescent="0.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x14ac:dyDescent="0.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x14ac:dyDescent="0.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x14ac:dyDescent="0.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x14ac:dyDescent="0.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x14ac:dyDescent="0.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x14ac:dyDescent="0.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x14ac:dyDescent="0.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x14ac:dyDescent="0.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x14ac:dyDescent="0.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x14ac:dyDescent="0.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x14ac:dyDescent="0.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x14ac:dyDescent="0.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x14ac:dyDescent="0.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x14ac:dyDescent="0.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x14ac:dyDescent="0.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x14ac:dyDescent="0.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x14ac:dyDescent="0.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x14ac:dyDescent="0.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x14ac:dyDescent="0.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x14ac:dyDescent="0.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x14ac:dyDescent="0.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x14ac:dyDescent="0.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x14ac:dyDescent="0.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x14ac:dyDescent="0.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x14ac:dyDescent="0.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x14ac:dyDescent="0.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x14ac:dyDescent="0.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x14ac:dyDescent="0.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x14ac:dyDescent="0.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x14ac:dyDescent="0.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x14ac:dyDescent="0.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x14ac:dyDescent="0.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x14ac:dyDescent="0.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x14ac:dyDescent="0.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x14ac:dyDescent="0.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x14ac:dyDescent="0.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x14ac:dyDescent="0.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x14ac:dyDescent="0.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x14ac:dyDescent="0.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x14ac:dyDescent="0.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x14ac:dyDescent="0.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x14ac:dyDescent="0.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x14ac:dyDescent="0.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x14ac:dyDescent="0.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x14ac:dyDescent="0.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x14ac:dyDescent="0.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x14ac:dyDescent="0.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x14ac:dyDescent="0.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x14ac:dyDescent="0.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x14ac:dyDescent="0.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x14ac:dyDescent="0.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x14ac:dyDescent="0.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x14ac:dyDescent="0.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x14ac:dyDescent="0.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x14ac:dyDescent="0.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x14ac:dyDescent="0.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x14ac:dyDescent="0.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x14ac:dyDescent="0.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x14ac:dyDescent="0.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x14ac:dyDescent="0.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x14ac:dyDescent="0.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x14ac:dyDescent="0.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x14ac:dyDescent="0.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x14ac:dyDescent="0.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x14ac:dyDescent="0.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x14ac:dyDescent="0.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x14ac:dyDescent="0.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x14ac:dyDescent="0.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x14ac:dyDescent="0.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x14ac:dyDescent="0.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x14ac:dyDescent="0.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x14ac:dyDescent="0.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x14ac:dyDescent="0.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x14ac:dyDescent="0.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x14ac:dyDescent="0.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x14ac:dyDescent="0.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x14ac:dyDescent="0.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x14ac:dyDescent="0.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x14ac:dyDescent="0.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x14ac:dyDescent="0.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x14ac:dyDescent="0.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x14ac:dyDescent="0.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x14ac:dyDescent="0.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x14ac:dyDescent="0.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x14ac:dyDescent="0.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x14ac:dyDescent="0.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x14ac:dyDescent="0.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x14ac:dyDescent="0.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x14ac:dyDescent="0.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x14ac:dyDescent="0.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x14ac:dyDescent="0.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x14ac:dyDescent="0.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x14ac:dyDescent="0.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x14ac:dyDescent="0.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x14ac:dyDescent="0.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x14ac:dyDescent="0.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x14ac:dyDescent="0.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x14ac:dyDescent="0.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x14ac:dyDescent="0.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x14ac:dyDescent="0.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x14ac:dyDescent="0.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x14ac:dyDescent="0.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x14ac:dyDescent="0.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x14ac:dyDescent="0.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x14ac:dyDescent="0.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x14ac:dyDescent="0.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x14ac:dyDescent="0.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x14ac:dyDescent="0.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x14ac:dyDescent="0.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x14ac:dyDescent="0.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x14ac:dyDescent="0.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x14ac:dyDescent="0.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x14ac:dyDescent="0.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x14ac:dyDescent="0.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x14ac:dyDescent="0.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x14ac:dyDescent="0.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x14ac:dyDescent="0.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x14ac:dyDescent="0.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x14ac:dyDescent="0.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x14ac:dyDescent="0.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x14ac:dyDescent="0.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x14ac:dyDescent="0.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x14ac:dyDescent="0.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x14ac:dyDescent="0.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x14ac:dyDescent="0.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x14ac:dyDescent="0.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x14ac:dyDescent="0.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x14ac:dyDescent="0.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x14ac:dyDescent="0.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x14ac:dyDescent="0.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x14ac:dyDescent="0.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x14ac:dyDescent="0.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x14ac:dyDescent="0.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x14ac:dyDescent="0.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x14ac:dyDescent="0.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x14ac:dyDescent="0.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x14ac:dyDescent="0.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x14ac:dyDescent="0.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x14ac:dyDescent="0.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x14ac:dyDescent="0.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x14ac:dyDescent="0.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x14ac:dyDescent="0.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x14ac:dyDescent="0.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x14ac:dyDescent="0.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x14ac:dyDescent="0.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x14ac:dyDescent="0.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x14ac:dyDescent="0.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x14ac:dyDescent="0.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x14ac:dyDescent="0.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x14ac:dyDescent="0.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x14ac:dyDescent="0.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x14ac:dyDescent="0.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x14ac:dyDescent="0.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x14ac:dyDescent="0.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x14ac:dyDescent="0.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x14ac:dyDescent="0.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x14ac:dyDescent="0.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x14ac:dyDescent="0.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x14ac:dyDescent="0.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x14ac:dyDescent="0.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x14ac:dyDescent="0.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x14ac:dyDescent="0.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x14ac:dyDescent="0.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x14ac:dyDescent="0.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x14ac:dyDescent="0.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x14ac:dyDescent="0.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x14ac:dyDescent="0.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x14ac:dyDescent="0.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x14ac:dyDescent="0.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x14ac:dyDescent="0.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x14ac:dyDescent="0.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x14ac:dyDescent="0.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x14ac:dyDescent="0.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x14ac:dyDescent="0.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x14ac:dyDescent="0.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x14ac:dyDescent="0.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x14ac:dyDescent="0.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x14ac:dyDescent="0.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x14ac:dyDescent="0.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x14ac:dyDescent="0.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x14ac:dyDescent="0.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x14ac:dyDescent="0.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x14ac:dyDescent="0.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x14ac:dyDescent="0.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x14ac:dyDescent="0.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x14ac:dyDescent="0.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x14ac:dyDescent="0.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x14ac:dyDescent="0.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x14ac:dyDescent="0.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x14ac:dyDescent="0.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x14ac:dyDescent="0.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x14ac:dyDescent="0.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x14ac:dyDescent="0.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x14ac:dyDescent="0.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x14ac:dyDescent="0.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x14ac:dyDescent="0.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x14ac:dyDescent="0.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x14ac:dyDescent="0.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x14ac:dyDescent="0.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x14ac:dyDescent="0.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x14ac:dyDescent="0.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x14ac:dyDescent="0.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x14ac:dyDescent="0.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x14ac:dyDescent="0.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x14ac:dyDescent="0.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x14ac:dyDescent="0.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x14ac:dyDescent="0.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x14ac:dyDescent="0.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x14ac:dyDescent="0.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x14ac:dyDescent="0.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x14ac:dyDescent="0.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x14ac:dyDescent="0.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x14ac:dyDescent="0.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x14ac:dyDescent="0.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x14ac:dyDescent="0.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x14ac:dyDescent="0.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x14ac:dyDescent="0.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x14ac:dyDescent="0.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x14ac:dyDescent="0.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x14ac:dyDescent="0.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x14ac:dyDescent="0.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x14ac:dyDescent="0.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x14ac:dyDescent="0.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x14ac:dyDescent="0.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x14ac:dyDescent="0.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x14ac:dyDescent="0.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x14ac:dyDescent="0.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x14ac:dyDescent="0.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x14ac:dyDescent="0.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x14ac:dyDescent="0.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x14ac:dyDescent="0.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x14ac:dyDescent="0.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x14ac:dyDescent="0.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x14ac:dyDescent="0.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x14ac:dyDescent="0.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x14ac:dyDescent="0.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x14ac:dyDescent="0.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x14ac:dyDescent="0.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x14ac:dyDescent="0.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x14ac:dyDescent="0.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x14ac:dyDescent="0.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x14ac:dyDescent="0.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x14ac:dyDescent="0.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x14ac:dyDescent="0.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x14ac:dyDescent="0.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x14ac:dyDescent="0.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x14ac:dyDescent="0.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x14ac:dyDescent="0.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x14ac:dyDescent="0.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x14ac:dyDescent="0.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x14ac:dyDescent="0.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x14ac:dyDescent="0.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x14ac:dyDescent="0.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x14ac:dyDescent="0.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x14ac:dyDescent="0.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x14ac:dyDescent="0.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x14ac:dyDescent="0.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x14ac:dyDescent="0.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x14ac:dyDescent="0.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x14ac:dyDescent="0.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x14ac:dyDescent="0.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x14ac:dyDescent="0.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x14ac:dyDescent="0.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x14ac:dyDescent="0.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x14ac:dyDescent="0.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x14ac:dyDescent="0.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x14ac:dyDescent="0.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x14ac:dyDescent="0.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x14ac:dyDescent="0.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x14ac:dyDescent="0.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x14ac:dyDescent="0.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x14ac:dyDescent="0.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x14ac:dyDescent="0.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x14ac:dyDescent="0.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x14ac:dyDescent="0.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x14ac:dyDescent="0.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x14ac:dyDescent="0.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x14ac:dyDescent="0.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x14ac:dyDescent="0.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x14ac:dyDescent="0.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x14ac:dyDescent="0.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x14ac:dyDescent="0.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x14ac:dyDescent="0.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x14ac:dyDescent="0.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x14ac:dyDescent="0.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x14ac:dyDescent="0.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x14ac:dyDescent="0.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x14ac:dyDescent="0.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x14ac:dyDescent="0.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x14ac:dyDescent="0.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x14ac:dyDescent="0.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x14ac:dyDescent="0.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x14ac:dyDescent="0.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x14ac:dyDescent="0.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x14ac:dyDescent="0.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x14ac:dyDescent="0.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x14ac:dyDescent="0.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x14ac:dyDescent="0.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x14ac:dyDescent="0.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x14ac:dyDescent="0.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x14ac:dyDescent="0.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x14ac:dyDescent="0.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x14ac:dyDescent="0.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x14ac:dyDescent="0.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x14ac:dyDescent="0.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x14ac:dyDescent="0.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x14ac:dyDescent="0.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x14ac:dyDescent="0.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x14ac:dyDescent="0.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x14ac:dyDescent="0.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x14ac:dyDescent="0.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x14ac:dyDescent="0.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x14ac:dyDescent="0.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x14ac:dyDescent="0.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x14ac:dyDescent="0.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x14ac:dyDescent="0.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x14ac:dyDescent="0.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x14ac:dyDescent="0.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x14ac:dyDescent="0.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x14ac:dyDescent="0.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x14ac:dyDescent="0.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x14ac:dyDescent="0.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x14ac:dyDescent="0.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x14ac:dyDescent="0.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x14ac:dyDescent="0.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x14ac:dyDescent="0.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x14ac:dyDescent="0.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x14ac:dyDescent="0.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x14ac:dyDescent="0.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x14ac:dyDescent="0.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x14ac:dyDescent="0.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x14ac:dyDescent="0.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x14ac:dyDescent="0.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x14ac:dyDescent="0.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x14ac:dyDescent="0.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x14ac:dyDescent="0.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x14ac:dyDescent="0.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x14ac:dyDescent="0.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x14ac:dyDescent="0.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x14ac:dyDescent="0.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x14ac:dyDescent="0.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x14ac:dyDescent="0.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x14ac:dyDescent="0.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x14ac:dyDescent="0.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x14ac:dyDescent="0.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x14ac:dyDescent="0.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x14ac:dyDescent="0.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x14ac:dyDescent="0.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x14ac:dyDescent="0.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x14ac:dyDescent="0.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x14ac:dyDescent="0.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x14ac:dyDescent="0.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x14ac:dyDescent="0.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x14ac:dyDescent="0.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x14ac:dyDescent="0.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x14ac:dyDescent="0.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x14ac:dyDescent="0.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x14ac:dyDescent="0.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x14ac:dyDescent="0.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x14ac:dyDescent="0.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x14ac:dyDescent="0.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x14ac:dyDescent="0.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x14ac:dyDescent="0.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x14ac:dyDescent="0.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x14ac:dyDescent="0.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x14ac:dyDescent="0.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x14ac:dyDescent="0.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x14ac:dyDescent="0.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x14ac:dyDescent="0.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x14ac:dyDescent="0.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x14ac:dyDescent="0.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x14ac:dyDescent="0.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x14ac:dyDescent="0.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x14ac:dyDescent="0.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x14ac:dyDescent="0.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x14ac:dyDescent="0.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x14ac:dyDescent="0.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x14ac:dyDescent="0.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x14ac:dyDescent="0.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x14ac:dyDescent="0.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x14ac:dyDescent="0.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x14ac:dyDescent="0.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x14ac:dyDescent="0.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x14ac:dyDescent="0.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x14ac:dyDescent="0.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x14ac:dyDescent="0.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x14ac:dyDescent="0.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x14ac:dyDescent="0.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x14ac:dyDescent="0.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x14ac:dyDescent="0.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x14ac:dyDescent="0.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x14ac:dyDescent="0.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x14ac:dyDescent="0.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x14ac:dyDescent="0.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x14ac:dyDescent="0.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x14ac:dyDescent="0.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x14ac:dyDescent="0.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x14ac:dyDescent="0.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x14ac:dyDescent="0.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x14ac:dyDescent="0.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x14ac:dyDescent="0.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x14ac:dyDescent="0.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x14ac:dyDescent="0.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x14ac:dyDescent="0.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x14ac:dyDescent="0.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x14ac:dyDescent="0.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x14ac:dyDescent="0.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x14ac:dyDescent="0.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x14ac:dyDescent="0.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x14ac:dyDescent="0.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x14ac:dyDescent="0.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x14ac:dyDescent="0.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x14ac:dyDescent="0.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x14ac:dyDescent="0.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x14ac:dyDescent="0.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x14ac:dyDescent="0.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x14ac:dyDescent="0.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x14ac:dyDescent="0.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x14ac:dyDescent="0.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x14ac:dyDescent="0.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x14ac:dyDescent="0.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x14ac:dyDescent="0.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x14ac:dyDescent="0.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x14ac:dyDescent="0.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x14ac:dyDescent="0.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x14ac:dyDescent="0.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x14ac:dyDescent="0.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x14ac:dyDescent="0.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x14ac:dyDescent="0.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x14ac:dyDescent="0.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x14ac:dyDescent="0.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x14ac:dyDescent="0.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x14ac:dyDescent="0.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x14ac:dyDescent="0.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x14ac:dyDescent="0.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x14ac:dyDescent="0.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x14ac:dyDescent="0.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x14ac:dyDescent="0.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x14ac:dyDescent="0.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x14ac:dyDescent="0.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x14ac:dyDescent="0.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x14ac:dyDescent="0.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x14ac:dyDescent="0.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x14ac:dyDescent="0.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x14ac:dyDescent="0.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x14ac:dyDescent="0.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x14ac:dyDescent="0.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x14ac:dyDescent="0.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x14ac:dyDescent="0.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x14ac:dyDescent="0.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x14ac:dyDescent="0.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x14ac:dyDescent="0.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x14ac:dyDescent="0.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x14ac:dyDescent="0.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x14ac:dyDescent="0.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x14ac:dyDescent="0.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x14ac:dyDescent="0.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x14ac:dyDescent="0.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x14ac:dyDescent="0.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x14ac:dyDescent="0.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x14ac:dyDescent="0.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x14ac:dyDescent="0.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x14ac:dyDescent="0.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x14ac:dyDescent="0.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x14ac:dyDescent="0.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x14ac:dyDescent="0.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x14ac:dyDescent="0.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x14ac:dyDescent="0.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x14ac:dyDescent="0.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x14ac:dyDescent="0.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x14ac:dyDescent="0.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x14ac:dyDescent="0.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x14ac:dyDescent="0.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x14ac:dyDescent="0.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x14ac:dyDescent="0.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x14ac:dyDescent="0.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x14ac:dyDescent="0.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x14ac:dyDescent="0.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x14ac:dyDescent="0.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x14ac:dyDescent="0.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x14ac:dyDescent="0.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x14ac:dyDescent="0.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x14ac:dyDescent="0.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x14ac:dyDescent="0.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x14ac:dyDescent="0.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x14ac:dyDescent="0.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x14ac:dyDescent="0.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x14ac:dyDescent="0.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x14ac:dyDescent="0.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x14ac:dyDescent="0.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x14ac:dyDescent="0.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x14ac:dyDescent="0.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x14ac:dyDescent="0.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x14ac:dyDescent="0.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x14ac:dyDescent="0.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x14ac:dyDescent="0.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x14ac:dyDescent="0.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x14ac:dyDescent="0.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x14ac:dyDescent="0.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x14ac:dyDescent="0.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x14ac:dyDescent="0.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x14ac:dyDescent="0.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x14ac:dyDescent="0.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x14ac:dyDescent="0.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x14ac:dyDescent="0.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x14ac:dyDescent="0.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x14ac:dyDescent="0.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x14ac:dyDescent="0.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x14ac:dyDescent="0.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x14ac:dyDescent="0.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x14ac:dyDescent="0.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x14ac:dyDescent="0.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x14ac:dyDescent="0.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x14ac:dyDescent="0.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x14ac:dyDescent="0.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x14ac:dyDescent="0.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x14ac:dyDescent="0.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x14ac:dyDescent="0.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x14ac:dyDescent="0.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x14ac:dyDescent="0.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x14ac:dyDescent="0.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x14ac:dyDescent="0.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x14ac:dyDescent="0.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x14ac:dyDescent="0.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x14ac:dyDescent="0.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x14ac:dyDescent="0.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x14ac:dyDescent="0.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x14ac:dyDescent="0.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x14ac:dyDescent="0.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x14ac:dyDescent="0.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x14ac:dyDescent="0.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x14ac:dyDescent="0.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x14ac:dyDescent="0.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x14ac:dyDescent="0.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x14ac:dyDescent="0.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x14ac:dyDescent="0.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x14ac:dyDescent="0.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x14ac:dyDescent="0.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x14ac:dyDescent="0.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x14ac:dyDescent="0.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x14ac:dyDescent="0.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x14ac:dyDescent="0.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x14ac:dyDescent="0.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x14ac:dyDescent="0.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x14ac:dyDescent="0.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x14ac:dyDescent="0.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x14ac:dyDescent="0.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x14ac:dyDescent="0.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x14ac:dyDescent="0.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x14ac:dyDescent="0.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x14ac:dyDescent="0.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x14ac:dyDescent="0.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x14ac:dyDescent="0.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x14ac:dyDescent="0.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x14ac:dyDescent="0.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x14ac:dyDescent="0.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x14ac:dyDescent="0.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x14ac:dyDescent="0.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x14ac:dyDescent="0.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x14ac:dyDescent="0.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x14ac:dyDescent="0.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x14ac:dyDescent="0.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x14ac:dyDescent="0.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x14ac:dyDescent="0.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x14ac:dyDescent="0.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x14ac:dyDescent="0.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x14ac:dyDescent="0.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x14ac:dyDescent="0.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x14ac:dyDescent="0.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x14ac:dyDescent="0.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x14ac:dyDescent="0.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x14ac:dyDescent="0.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x14ac:dyDescent="0.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x14ac:dyDescent="0.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x14ac:dyDescent="0.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x14ac:dyDescent="0.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x14ac:dyDescent="0.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x14ac:dyDescent="0.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x14ac:dyDescent="0.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x14ac:dyDescent="0.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x14ac:dyDescent="0.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x14ac:dyDescent="0.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x14ac:dyDescent="0.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x14ac:dyDescent="0.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x14ac:dyDescent="0.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x14ac:dyDescent="0.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x14ac:dyDescent="0.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x14ac:dyDescent="0.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x14ac:dyDescent="0.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x14ac:dyDescent="0.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x14ac:dyDescent="0.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x14ac:dyDescent="0.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x14ac:dyDescent="0.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x14ac:dyDescent="0.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x14ac:dyDescent="0.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x14ac:dyDescent="0.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x14ac:dyDescent="0.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x14ac:dyDescent="0.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x14ac:dyDescent="0.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x14ac:dyDescent="0.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x14ac:dyDescent="0.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x14ac:dyDescent="0.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x14ac:dyDescent="0.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x14ac:dyDescent="0.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x14ac:dyDescent="0.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x14ac:dyDescent="0.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x14ac:dyDescent="0.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x14ac:dyDescent="0.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x14ac:dyDescent="0.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x14ac:dyDescent="0.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x14ac:dyDescent="0.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x14ac:dyDescent="0.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x14ac:dyDescent="0.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x14ac:dyDescent="0.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x14ac:dyDescent="0.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x14ac:dyDescent="0.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x14ac:dyDescent="0.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x14ac:dyDescent="0.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x14ac:dyDescent="0.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x14ac:dyDescent="0.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x14ac:dyDescent="0.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x14ac:dyDescent="0.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x14ac:dyDescent="0.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x14ac:dyDescent="0.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x14ac:dyDescent="0.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x14ac:dyDescent="0.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x14ac:dyDescent="0.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x14ac:dyDescent="0.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x14ac:dyDescent="0.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x14ac:dyDescent="0.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x14ac:dyDescent="0.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x14ac:dyDescent="0.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x14ac:dyDescent="0.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x14ac:dyDescent="0.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x14ac:dyDescent="0.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x14ac:dyDescent="0.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x14ac:dyDescent="0.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x14ac:dyDescent="0.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x14ac:dyDescent="0.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x14ac:dyDescent="0.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x14ac:dyDescent="0.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x14ac:dyDescent="0.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x14ac:dyDescent="0.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x14ac:dyDescent="0.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x14ac:dyDescent="0.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x14ac:dyDescent="0.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x14ac:dyDescent="0.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x14ac:dyDescent="0.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x14ac:dyDescent="0.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x14ac:dyDescent="0.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x14ac:dyDescent="0.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x14ac:dyDescent="0.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x14ac:dyDescent="0.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x14ac:dyDescent="0.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x14ac:dyDescent="0.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x14ac:dyDescent="0.25"/>
  <cols>
    <col min="4" max="4" width="22.1796875" customWidth="1"/>
    <col min="13" max="13" width="21.54296875" customWidth="1"/>
    <col min="30" max="30" width="26.26953125" customWidth="1"/>
    <col min="32" max="32" width="37.1796875" customWidth="1"/>
  </cols>
  <sheetData>
    <row r="1" spans="1:35" ht="14" x14ac:dyDescent="0.3">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x14ac:dyDescent="0.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x14ac:dyDescent="0.3">
      <c r="A3" s="45"/>
      <c r="E3" s="45"/>
      <c r="I3" s="53" t="str">
        <f>'Generic Metadata Schema'!P133</f>
        <v>[]</v>
      </c>
      <c r="J3" s="22" t="e">
        <f>IF(LEN(VLOOKUP(I3,A2:D500,4,FALSE))=0,"",VLOOKUP(I3,A2:D500,4,FALSE))</f>
        <v>#N/A</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x14ac:dyDescent="0.3">
      <c r="A4" s="45"/>
      <c r="E4" s="45"/>
      <c r="I4" s="22" t="str">
        <f>'Generic Metadata Schema'!P134</f>
        <v>log10(CFU/g)</v>
      </c>
      <c r="J4" s="22" t="e">
        <f>IF(LEN(VLOOKUP(I4,A2:D500,4,FALSE))=0,"",VLOOKUP(I4,A2:D500,4,FALSE))</f>
        <v>#N/A</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x14ac:dyDescent="0.3">
      <c r="I5" s="22" t="str">
        <f>'Generic Metadata Schema'!P135</f>
        <v>log10(CFU/g)</v>
      </c>
      <c r="J5" s="22" t="e">
        <f>IF(LEN(VLOOKUP(I5,A2:D500,4,FALSE))=0,"",VLOOKUP(I5,A2:D500,4,FALSE))</f>
        <v>#N/A</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x14ac:dyDescent="0.3">
      <c r="I6" s="22" t="str">
        <f>'Generic Metadata Schema'!P136</f>
        <v>[Probability]</v>
      </c>
      <c r="J6" s="22" t="e">
        <f>IF(LEN(VLOOKUP(I6,A2:D500,4,FALSE))=0,"",VLOOKUP(I6,A2:D500,4,FALSE))</f>
        <v>#N/A</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x14ac:dyDescent="0.3">
      <c r="I7" s="22" t="str">
        <f>'Generic Metadata Schema'!P137</f>
        <v>g</v>
      </c>
      <c r="J7" s="22" t="e">
        <f>IF(LEN(VLOOKUP(I7,A2:D500,4,FALSE))=0,"",VLOOKUP(I7,A2:D500,4,FALSE))</f>
        <v>#N/A</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x14ac:dyDescent="0.3">
      <c r="I8" s="22" t="str">
        <f>'Generic Metadata Schema'!P138</f>
        <v>g</v>
      </c>
      <c r="J8" s="22" t="e">
        <f>IF(LEN(VLOOKUP(I8,A2:D500,4,FALSE))=0,"",VLOOKUP(I8,A2:D500,4,FALSE))</f>
        <v>#N/A</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x14ac:dyDescent="0.3">
      <c r="I9" s="22" t="str">
        <f>'Generic Metadata Schema'!P139</f>
        <v>g</v>
      </c>
      <c r="J9" s="22" t="e">
        <f>IF(LEN(VLOOKUP(I9,A2:D500,4,FALSE))=0,"",VLOOKUP(I9,A2:D500,4,FALSE))</f>
        <v>#N/A</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x14ac:dyDescent="0.3">
      <c r="I10" s="22" t="str">
        <f>'Generic Metadata Schema'!P140</f>
        <v>Others</v>
      </c>
      <c r="J10" s="22" t="e">
        <f>IF(LEN(VLOOKUP(I10,A2:D500,4,FALSE))=0,"",VLOOKUP(I10,A2:D500,4,FALSE))</f>
        <v>#N/A</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x14ac:dyDescent="0.3">
      <c r="I11" s="22" t="str">
        <f>'Generic Metadata Schema'!P141</f>
        <v>Others</v>
      </c>
      <c r="J11" s="22" t="e">
        <f>IF(LEN(VLOOKUP(I11,A2:D500,4,FALSE))=0,"",VLOOKUP(I11,A2:D500,4,FALSE))</f>
        <v>#N/A</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x14ac:dyDescent="0.3">
      <c r="I12" s="22" t="str">
        <f>'Generic Metadata Schema'!P142</f>
        <v>[Probability]</v>
      </c>
      <c r="J12" s="22" t="e">
        <f>IF(LEN(VLOOKUP(I12,A2:D500,4,FALSE))=0,"",VLOOKUP(I12,A2:D500,4,FALSE))</f>
        <v>#N/A</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x14ac:dyDescent="0.3">
      <c r="I13" s="22" t="str">
        <f>'Generic Metadata Schema'!P143</f>
        <v>[Probability]</v>
      </c>
      <c r="J13" s="22" t="e">
        <f>IF(LEN(VLOOKUP(I13,A2:D500,4,FALSE))=0,"",VLOOKUP(I13,A2:D500,4,FALSE))</f>
        <v>#N/A</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x14ac:dyDescent="0.3">
      <c r="I14" s="22" t="str">
        <f>'Generic Metadata Schema'!P144</f>
        <v>[Probability]</v>
      </c>
      <c r="J14" s="22" t="e">
        <f>IF(LEN(VLOOKUP(I14,A2:D500,4,FALSE))=0,"",VLOOKUP(I14,A2:D500,4,FALSE))</f>
        <v>#N/A</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x14ac:dyDescent="0.3">
      <c r="I15" s="22" t="str">
        <f>'Generic Metadata Schema'!P145</f>
        <v>[Probability]</v>
      </c>
      <c r="J15" s="22" t="e">
        <f>IF(LEN(VLOOKUP(I15,A2:D500,4,FALSE))=0,"",VLOOKUP(I15,A2:D500,4,FALSE))</f>
        <v>#N/A</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x14ac:dyDescent="0.3">
      <c r="I16" s="22" t="str">
        <f>'Generic Metadata Schema'!P146</f>
        <v>[Probability]</v>
      </c>
      <c r="J16" s="22" t="e">
        <f>IF(LEN(VLOOKUP(I16,A2:D500,4,FALSE))=0,"",VLOOKUP(I16,A2:D500,4,FALSE))</f>
        <v>#N/A</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x14ac:dyDescent="0.3">
      <c r="I17" s="22" t="str">
        <f>'Generic Metadata Schema'!P147</f>
        <v>[Probability]</v>
      </c>
      <c r="J17" s="22" t="e">
        <f>IF(LEN(VLOOKUP(I17,A2:D500,4,FALSE))=0,"",VLOOKUP(I17,A2:D500,4,FALSE))</f>
        <v>#N/A</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x14ac:dyDescent="0.3">
      <c r="I18" s="22" t="str">
        <f>'Generic Metadata Schema'!P148</f>
        <v>[Probability]</v>
      </c>
      <c r="J18" s="22" t="e">
        <f>IF(LEN(VLOOKUP(I18,A2:D500,4,FALSE))=0,"",VLOOKUP(I18,A2:D500,4,FALSE))</f>
        <v>#N/A</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x14ac:dyDescent="0.3">
      <c r="I19" s="22" t="str">
        <f>'Generic Metadata Schema'!P149</f>
        <v>[Probability]</v>
      </c>
      <c r="J19" s="22" t="e">
        <f>IF(LEN(VLOOKUP(I19,A2:D500,4,FALSE))=0,"",VLOOKUP(I19,A2:D500,4,FALSE))</f>
        <v>#N/A</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x14ac:dyDescent="0.3">
      <c r="I20" s="22" t="str">
        <f>'Generic Metadata Schema'!P150</f>
        <v>[Probability]</v>
      </c>
      <c r="J20" s="22" t="e">
        <f>IF(LEN(VLOOKUP(I20,A2:D500,4,FALSE))=0,"",VLOOKUP(I20,A2:D500,4,FALSE))</f>
        <v>#N/A</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x14ac:dyDescent="0.3">
      <c r="I21" s="22" t="str">
        <f>'Generic Metadata Schema'!P151</f>
        <v>[Probability]</v>
      </c>
      <c r="J21" s="22" t="e">
        <f>IF(LEN(VLOOKUP(I21,A2:D500,4,FALSE))=0,"",VLOOKUP(I21,A2:D500,4,FALSE))</f>
        <v>#N/A</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x14ac:dyDescent="0.3">
      <c r="I22" s="22" t="str">
        <f>'Generic Metadata Schema'!P152</f>
        <v>[Probability]</v>
      </c>
      <c r="J22" s="22" t="e">
        <f>IF(LEN(VLOOKUP(I22,A2:D500,4,FALSE))=0,"",VLOOKUP(I22,A2:D500,4,FALSE))</f>
        <v>#N/A</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x14ac:dyDescent="0.3">
      <c r="I23" s="22" t="str">
        <f>'Generic Metadata Schema'!P153</f>
        <v>[Probability]</v>
      </c>
      <c r="J23" s="22" t="e">
        <f>IF(LEN(VLOOKUP(I23,A2:D500,4,FALSE))=0,"",VLOOKUP(I23,A2:D500,4,FALSE))</f>
        <v>#N/A</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x14ac:dyDescent="0.3">
      <c r="I24" s="60" t="str">
        <f>'Generic Metadata Schema'!P154</f>
        <v>[Probability]</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x14ac:dyDescent="0.3">
      <c r="H25" s="22"/>
      <c r="I25" s="60" t="str">
        <f>'Generic Metadata Schema'!P155</f>
        <v>[Probability]</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x14ac:dyDescent="0.3">
      <c r="I26" s="60" t="str">
        <f>'Generic Metadata Schema'!P156</f>
        <v>[Probability]</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x14ac:dyDescent="0.3">
      <c r="I27" s="60" t="str">
        <f>'Generic Metadata Schema'!P157</f>
        <v>[Probability]</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x14ac:dyDescent="0.3">
      <c r="I28" s="60" t="str">
        <f>'Generic Metadata Schema'!P158</f>
        <v>[]</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x14ac:dyDescent="0.3">
      <c r="I29" s="60" t="str">
        <f>'Generic Metadata Schema'!P159</f>
        <v>[]</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x14ac:dyDescent="0.3">
      <c r="I30" s="60" t="str">
        <f>'Generic Metadata Schema'!P160</f>
        <v>[]</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x14ac:dyDescent="0.3">
      <c r="I31" s="60" t="str">
        <f>'Generic Metadata Schema'!P161</f>
        <v>[]</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x14ac:dyDescent="0.3">
      <c r="A32" s="45"/>
      <c r="I32" s="60" t="str">
        <f>'Generic Metadata Schema'!P162</f>
        <v>[Probability]</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x14ac:dyDescent="0.3">
      <c r="I33" s="60" t="str">
        <f>'Generic Metadata Schema'!P163</f>
        <v>[Probability]</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x14ac:dyDescent="0.3">
      <c r="I34" s="60" t="str">
        <f>'Generic Metadata Schema'!P164</f>
        <v>[Probability]</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x14ac:dyDescent="0.3">
      <c r="I35" s="60" t="str">
        <f>'Generic Metadata Schema'!P165</f>
        <v>[Probability]</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x14ac:dyDescent="0.3">
      <c r="I36" s="60" t="str">
        <f>'Generic Metadata Schema'!P166</f>
        <v>[Probability]</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x14ac:dyDescent="0.3">
      <c r="I37" s="60" t="str">
        <f>'Generic Metadata Schema'!P167</f>
        <v>[Probability]</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x14ac:dyDescent="0.3">
      <c r="I38" s="60">
        <f>'Generic Metadata Schema'!P168</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x14ac:dyDescent="0.3">
      <c r="I39" s="60">
        <f>'Generic Metadata Schema'!P169</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x14ac:dyDescent="0.3">
      <c r="I40" s="60">
        <f>'Generic Metadata Schema'!P170</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x14ac:dyDescent="0.3">
      <c r="I41" s="60">
        <f>'Generic Metadata Schema'!P171</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x14ac:dyDescent="0.3">
      <c r="I42" s="60">
        <f>'Generic Metadata Schema'!P172</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x14ac:dyDescent="0.3">
      <c r="I43" s="60">
        <f>'Generic Metadata Schema'!P173</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x14ac:dyDescent="0.3">
      <c r="I44" s="60">
        <f>'Generic Metadata Schema'!P174</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x14ac:dyDescent="0.3">
      <c r="I45" s="60">
        <f>'Generic Metadata Schema'!P175</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x14ac:dyDescent="0.3">
      <c r="I46" s="60">
        <f>'Generic Metadata Schema'!P176</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x14ac:dyDescent="0.3">
      <c r="I47" s="60">
        <f>'Generic Metadata Schema'!P177</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x14ac:dyDescent="0.3">
      <c r="I48" s="60">
        <f>'Generic Metadata Schema'!P178</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x14ac:dyDescent="0.3">
      <c r="I49" s="60">
        <f>'Generic Metadata Schema'!P179</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x14ac:dyDescent="0.3">
      <c r="I50" s="60">
        <f>'Generic Metadata Schema'!P180</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x14ac:dyDescent="0.3">
      <c r="I51" s="60">
        <f>'Generic Metadata Schema'!P181</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x14ac:dyDescent="0.3">
      <c r="I52" s="60">
        <f>'Generic Metadata Schema'!P182</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x14ac:dyDescent="0.3">
      <c r="I53" s="60">
        <f>'Generic Metadata Schema'!P183</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x14ac:dyDescent="0.3">
      <c r="I54" s="60">
        <f>'Generic Metadata Schema'!P184</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x14ac:dyDescent="0.3">
      <c r="I55" s="60">
        <f>'Generic Metadata Schema'!P185</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x14ac:dyDescent="0.3">
      <c r="I56" s="60">
        <f>'Generic Metadata Schema'!P186</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x14ac:dyDescent="0.3">
      <c r="I57" s="60">
        <f>'Generic Metadata Schema'!P187</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x14ac:dyDescent="0.3">
      <c r="I58" s="60">
        <f>'Generic Metadata Schema'!P188</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x14ac:dyDescent="0.3">
      <c r="I59" s="60">
        <f>'Generic Metadata Schema'!P189</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x14ac:dyDescent="0.3">
      <c r="I60" s="60">
        <f>'Generic Metadata Schema'!P190</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x14ac:dyDescent="0.3">
      <c r="I61" s="60">
        <f>'Generic Metadata Schema'!P191</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x14ac:dyDescent="0.3">
      <c r="I62" s="60">
        <f>'Generic Metadata Schema'!P192</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x14ac:dyDescent="0.3">
      <c r="I63" s="60">
        <f>'Generic Metadata Schema'!P193</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x14ac:dyDescent="0.3">
      <c r="I64" s="60">
        <f>'Generic Metadata Schema'!P194</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x14ac:dyDescent="0.3">
      <c r="I65" s="60">
        <f>'Generic Metadata Schema'!P195</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x14ac:dyDescent="0.3">
      <c r="I66" s="60">
        <f>'Generic Metadata Schema'!P196</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x14ac:dyDescent="0.3">
      <c r="I67" s="60">
        <f>'Generic Metadata Schema'!P197</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x14ac:dyDescent="0.3">
      <c r="I68" s="60">
        <f>'Generic Metadata Schema'!P198</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x14ac:dyDescent="0.3">
      <c r="I69" s="60">
        <f>'Generic Metadata Schema'!P199</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x14ac:dyDescent="0.3">
      <c r="I70" s="60">
        <f>'Generic Metadata Schema'!P200</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x14ac:dyDescent="0.3">
      <c r="I71" s="60">
        <f>'Generic Metadata Schema'!P201</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x14ac:dyDescent="0.3">
      <c r="I72" s="60">
        <f>'Generic Metadata Schema'!P202</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x14ac:dyDescent="0.3">
      <c r="I73" s="60">
        <f>'Generic Metadata Schema'!P203</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x14ac:dyDescent="0.3">
      <c r="I74" s="60">
        <f>'Generic Metadata Schema'!P204</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x14ac:dyDescent="0.3">
      <c r="I75" s="60">
        <f>'Generic Metadata Schema'!P205</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x14ac:dyDescent="0.3">
      <c r="I76" s="60">
        <f>'Generic Metadata Schema'!P206</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x14ac:dyDescent="0.3">
      <c r="I77" s="60">
        <f>'Generic Metadata Schema'!P207</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x14ac:dyDescent="0.3">
      <c r="I78" s="60">
        <f>'Generic Metadata Schema'!P208</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x14ac:dyDescent="0.3">
      <c r="I79" s="60">
        <f>'Generic Metadata Schema'!P209</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x14ac:dyDescent="0.3">
      <c r="I80" s="60">
        <f>'Generic Metadata Schema'!P210</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x14ac:dyDescent="0.3">
      <c r="I81" s="60">
        <f>'Generic Metadata Schema'!P211</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x14ac:dyDescent="0.3">
      <c r="I82" s="60">
        <f>'Generic Metadata Schema'!P212</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x14ac:dyDescent="0.3">
      <c r="I83" s="60">
        <f>'Generic Metadata Schema'!P213</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x14ac:dyDescent="0.3">
      <c r="I84" s="60">
        <f>'Generic Metadata Schema'!P214</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x14ac:dyDescent="0.3">
      <c r="I85" s="60">
        <f>'Generic Metadata Schema'!P215</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x14ac:dyDescent="0.3">
      <c r="I86" s="60">
        <f>'Generic Metadata Schema'!P216</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x14ac:dyDescent="0.3">
      <c r="I87" s="60">
        <f>'Generic Metadata Schema'!P217</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x14ac:dyDescent="0.3">
      <c r="I88" s="60">
        <f>'Generic Metadata Schema'!P218</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x14ac:dyDescent="0.3">
      <c r="I89" s="60">
        <f>'Generic Metadata Schema'!P219</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x14ac:dyDescent="0.3">
      <c r="I90" s="60">
        <f>'Generic Metadata Schema'!P220</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x14ac:dyDescent="0.3">
      <c r="I91" s="60">
        <f>'Generic Metadata Schema'!P221</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x14ac:dyDescent="0.3">
      <c r="I92" s="60">
        <f>'Generic Metadata Schema'!P222</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x14ac:dyDescent="0.3">
      <c r="I93" s="60">
        <f>'Generic Metadata Schema'!P223</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x14ac:dyDescent="0.3">
      <c r="I94" s="60">
        <f>'Generic Metadata Schema'!P224</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x14ac:dyDescent="0.3">
      <c r="I95" s="60">
        <f>'Generic Metadata Schema'!P225</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x14ac:dyDescent="0.3">
      <c r="I96" s="60">
        <f>'Generic Metadata Schema'!P226</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x14ac:dyDescent="0.3">
      <c r="I97" s="60">
        <f>'Generic Metadata Schema'!P227</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x14ac:dyDescent="0.3">
      <c r="I98" s="60">
        <f>'Generic Metadata Schema'!P228</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x14ac:dyDescent="0.3">
      <c r="I99" s="60">
        <f>'Generic Metadata Schema'!P229</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x14ac:dyDescent="0.3">
      <c r="I100" s="60">
        <f>'Generic Metadata Schema'!P230</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x14ac:dyDescent="0.3">
      <c r="I101" s="60">
        <f>'Generic Metadata Schema'!P231</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x14ac:dyDescent="0.3">
      <c r="I102" s="60">
        <f>'Generic Metadata Schema'!P232</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x14ac:dyDescent="0.3">
      <c r="I103" s="60">
        <f>'Generic Metadata Schema'!P233</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x14ac:dyDescent="0.3">
      <c r="I104" s="60">
        <f>'Generic Metadata Schema'!P234</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x14ac:dyDescent="0.3">
      <c r="I105" s="60">
        <f>'Generic Metadata Schema'!P235</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x14ac:dyDescent="0.3">
      <c r="I106" s="60">
        <f>'Generic Metadata Schema'!P236</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x14ac:dyDescent="0.3">
      <c r="I107" s="60">
        <f>'Generic Metadata Schema'!P237</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x14ac:dyDescent="0.3">
      <c r="I108" s="60">
        <f>'Generic Metadata Schema'!P238</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x14ac:dyDescent="0.3">
      <c r="I109" s="60">
        <f>'Generic Metadata Schema'!P239</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x14ac:dyDescent="0.3">
      <c r="I110" s="60">
        <f>'Generic Metadata Schema'!P240</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x14ac:dyDescent="0.3">
      <c r="I111" s="60">
        <f>'Generic Metadata Schema'!P241</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x14ac:dyDescent="0.3">
      <c r="I112" s="60">
        <f>'Generic Metadata Schema'!P242</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x14ac:dyDescent="0.3">
      <c r="I113" s="60">
        <f>'Generic Metadata Schema'!P243</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x14ac:dyDescent="0.3">
      <c r="I114" s="60">
        <f>'Generic Metadata Schema'!P244</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x14ac:dyDescent="0.3">
      <c r="I115" s="60">
        <f>'Generic Metadata Schema'!P245</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x14ac:dyDescent="0.3">
      <c r="I116" s="60">
        <f>'Generic Metadata Schema'!P246</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x14ac:dyDescent="0.3">
      <c r="I117" s="60">
        <f>'Generic Metadata Schema'!P247</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x14ac:dyDescent="0.3">
      <c r="I118" s="60">
        <f>'Generic Metadata Schema'!P248</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x14ac:dyDescent="0.3">
      <c r="I119" s="60">
        <f>'Generic Metadata Schema'!P249</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x14ac:dyDescent="0.3">
      <c r="I120" s="60">
        <f>'Generic Metadata Schema'!P250</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x14ac:dyDescent="0.3">
      <c r="I121" s="60">
        <f>'Generic Metadata Schema'!P251</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x14ac:dyDescent="0.3">
      <c r="I122" s="60">
        <f>'Generic Metadata Schema'!P252</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x14ac:dyDescent="0.3">
      <c r="I123" s="60">
        <f>'Generic Metadata Schema'!P253</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x14ac:dyDescent="0.3">
      <c r="I124" s="60">
        <f>'Generic Metadata Schema'!P254</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x14ac:dyDescent="0.3">
      <c r="I125" s="60">
        <f>'Generic Metadata Schema'!P255</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x14ac:dyDescent="0.3">
      <c r="I126" s="60">
        <f>'Generic Metadata Schema'!P256</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x14ac:dyDescent="0.3">
      <c r="I127" s="60">
        <f>'Generic Metadata Schema'!P257</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x14ac:dyDescent="0.3">
      <c r="I128" s="60">
        <f>'Generic Metadata Schema'!P258</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x14ac:dyDescent="0.3">
      <c r="I129" s="60">
        <f>'Generic Metadata Schema'!P259</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x14ac:dyDescent="0.3">
      <c r="I130" s="60">
        <f>'Generic Metadata Schema'!P260</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x14ac:dyDescent="0.3">
      <c r="I131" s="60">
        <f>'Generic Metadata Schema'!P261</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x14ac:dyDescent="0.3">
      <c r="I132" s="60">
        <f>'Generic Metadata Schema'!P262</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x14ac:dyDescent="0.3">
      <c r="I133" s="60">
        <f>'Generic Metadata Schema'!P263</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x14ac:dyDescent="0.3">
      <c r="I134" s="60">
        <f>'Generic Metadata Schema'!P264</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x14ac:dyDescent="0.3">
      <c r="I135" s="60">
        <f>'Generic Metadata Schema'!P265</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x14ac:dyDescent="0.3">
      <c r="I136" s="60">
        <f>'Generic Metadata Schema'!P266</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x14ac:dyDescent="0.3">
      <c r="I137" s="60">
        <f>'Generic Metadata Schema'!P267</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x14ac:dyDescent="0.3">
      <c r="I138" s="60">
        <f>'Generic Metadata Schema'!P268</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x14ac:dyDescent="0.3">
      <c r="I139" s="60">
        <f>'Generic Metadata Schema'!P269</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x14ac:dyDescent="0.3">
      <c r="I140" s="60">
        <f>'Generic Metadata Schema'!P270</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x14ac:dyDescent="0.3">
      <c r="I141" s="60">
        <f>'Generic Metadata Schema'!P271</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x14ac:dyDescent="0.3">
      <c r="I142" s="60">
        <f>'Generic Metadata Schema'!P272</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x14ac:dyDescent="0.3">
      <c r="I143" s="60">
        <f>'Generic Metadata Schema'!P273</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x14ac:dyDescent="0.3">
      <c r="I144" s="60">
        <f>'Generic Metadata Schema'!P274</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x14ac:dyDescent="0.3">
      <c r="I145" s="60">
        <f>'Generic Metadata Schema'!P275</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x14ac:dyDescent="0.3">
      <c r="I146" s="60">
        <f>'Generic Metadata Schema'!P276</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x14ac:dyDescent="0.3">
      <c r="I147" s="60">
        <f>'Generic Metadata Schema'!P277</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x14ac:dyDescent="0.3">
      <c r="I148" s="60">
        <f>'Generic Metadata Schema'!P278</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x14ac:dyDescent="0.3">
      <c r="I149" s="60">
        <f>'Generic Metadata Schema'!P279</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x14ac:dyDescent="0.3">
      <c r="I150" s="60">
        <f>'Generic Metadata Schema'!P280</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x14ac:dyDescent="0.3">
      <c r="I151" s="60">
        <f>'Generic Metadata Schema'!P281</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x14ac:dyDescent="0.3">
      <c r="I152" s="60">
        <f>'Generic Metadata Schema'!P282</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x14ac:dyDescent="0.3">
      <c r="I153" s="60">
        <f>'Generic Metadata Schema'!P283</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x14ac:dyDescent="0.3">
      <c r="I154" s="60">
        <f>'Generic Metadata Schema'!P284</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x14ac:dyDescent="0.3">
      <c r="I155" s="60">
        <f>'Generic Metadata Schema'!P285</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x14ac:dyDescent="0.3">
      <c r="I156" s="60">
        <f>'Generic Metadata Schema'!P286</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x14ac:dyDescent="0.3">
      <c r="I157" s="60">
        <f>'Generic Metadata Schema'!P287</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x14ac:dyDescent="0.3">
      <c r="I158" s="60">
        <f>'Generic Metadata Schema'!P288</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x14ac:dyDescent="0.3">
      <c r="I159" s="60">
        <f>'Generic Metadata Schema'!P289</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x14ac:dyDescent="0.3">
      <c r="I160" s="60">
        <f>'Generic Metadata Schema'!P290</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x14ac:dyDescent="0.3">
      <c r="I161" s="60">
        <f>'Generic Metadata Schema'!P291</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x14ac:dyDescent="0.3">
      <c r="I162" s="60">
        <f>'Generic Metadata Schema'!P292</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x14ac:dyDescent="0.3">
      <c r="I163" s="60">
        <f>'Generic Metadata Schema'!P293</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x14ac:dyDescent="0.3">
      <c r="I164" s="60">
        <f>'Generic Metadata Schema'!P294</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x14ac:dyDescent="0.3">
      <c r="I165" s="60">
        <f>'Generic Metadata Schema'!P295</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x14ac:dyDescent="0.3">
      <c r="I166" s="60">
        <f>'Generic Metadata Schema'!P296</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x14ac:dyDescent="0.3">
      <c r="I167" s="60">
        <f>'Generic Metadata Schema'!P297</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x14ac:dyDescent="0.3">
      <c r="I168" s="60">
        <f>'Generic Metadata Schema'!P298</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x14ac:dyDescent="0.3">
      <c r="I169" s="60">
        <f>'Generic Metadata Schema'!P299</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x14ac:dyDescent="0.3">
      <c r="I170" s="60">
        <f>'Generic Metadata Schema'!P300</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x14ac:dyDescent="0.3">
      <c r="I171" s="60">
        <f>'Generic Metadata Schema'!P301</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x14ac:dyDescent="0.3">
      <c r="I172" s="60">
        <f>'Generic Metadata Schema'!P302</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x14ac:dyDescent="0.3">
      <c r="I173" s="60">
        <f>'Generic Metadata Schema'!P303</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x14ac:dyDescent="0.3">
      <c r="I174" s="60">
        <f>'Generic Metadata Schema'!P304</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x14ac:dyDescent="0.3">
      <c r="I175" s="60">
        <f>'Generic Metadata Schema'!P305</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x14ac:dyDescent="0.3">
      <c r="I176" s="60">
        <f>'Generic Metadata Schema'!P306</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x14ac:dyDescent="0.3">
      <c r="I177" s="60">
        <f>'Generic Metadata Schema'!P307</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x14ac:dyDescent="0.3">
      <c r="I178" s="60">
        <f>'Generic Metadata Schema'!P308</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x14ac:dyDescent="0.3">
      <c r="I179" s="60">
        <f>'Generic Metadata Schema'!P309</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x14ac:dyDescent="0.3">
      <c r="I180" s="60">
        <f>'Generic Metadata Schema'!P310</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x14ac:dyDescent="0.3">
      <c r="I181" s="60">
        <f>'Generic Metadata Schema'!P311</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x14ac:dyDescent="0.3">
      <c r="I182" s="60">
        <f>'Generic Metadata Schema'!P312</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x14ac:dyDescent="0.3">
      <c r="I183" s="60">
        <f>'Generic Metadata Schema'!P313</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x14ac:dyDescent="0.3">
      <c r="I184" s="60">
        <f>'Generic Metadata Schema'!P314</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x14ac:dyDescent="0.3">
      <c r="I185" s="60">
        <f>'Generic Metadata Schema'!P315</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x14ac:dyDescent="0.3">
      <c r="I186" s="60">
        <f>'Generic Metadata Schema'!P316</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x14ac:dyDescent="0.3">
      <c r="I187" s="60">
        <f>'Generic Metadata Schema'!P317</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x14ac:dyDescent="0.3">
      <c r="I188" s="60">
        <f>'Generic Metadata Schema'!P318</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x14ac:dyDescent="0.3">
      <c r="I189" s="60">
        <f>'Generic Metadata Schema'!P319</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x14ac:dyDescent="0.3">
      <c r="I190" s="60">
        <f>'Generic Metadata Schema'!P320</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x14ac:dyDescent="0.3">
      <c r="I191" s="60">
        <f>'Generic Metadata Schema'!P321</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x14ac:dyDescent="0.3">
      <c r="I192" s="60">
        <f>'Generic Metadata Schema'!P322</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x14ac:dyDescent="0.3">
      <c r="I193" s="60">
        <f>'Generic Metadata Schema'!P323</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x14ac:dyDescent="0.3">
      <c r="I194" s="60">
        <f>'Generic Metadata Schema'!P324</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x14ac:dyDescent="0.3">
      <c r="I195" s="60">
        <f>'Generic Metadata Schema'!P325</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x14ac:dyDescent="0.3">
      <c r="I196" s="60">
        <f>'Generic Metadata Schema'!P326</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x14ac:dyDescent="0.3">
      <c r="I197" s="60">
        <f>'Generic Metadata Schema'!P327</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x14ac:dyDescent="0.3">
      <c r="I198" s="60">
        <f>'Generic Metadata Schema'!P328</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x14ac:dyDescent="0.3">
      <c r="I199" s="60">
        <f>'Generic Metadata Schema'!P329</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x14ac:dyDescent="0.3">
      <c r="I200" s="60">
        <f>'Generic Metadata Schema'!P330</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x14ac:dyDescent="0.3">
      <c r="I201" s="60">
        <f>'Generic Metadata Schema'!P331</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x14ac:dyDescent="0.3">
      <c r="I202" s="60">
        <f>'Generic Metadata Schema'!P332</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x14ac:dyDescent="0.3">
      <c r="I203" s="60">
        <f>'Generic Metadata Schema'!P333</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x14ac:dyDescent="0.3">
      <c r="I204" s="60">
        <f>'Generic Metadata Schema'!P334</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x14ac:dyDescent="0.3">
      <c r="I205" s="60">
        <f>'Generic Metadata Schema'!P335</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x14ac:dyDescent="0.3">
      <c r="I206" s="60">
        <f>'Generic Metadata Schema'!P336</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x14ac:dyDescent="0.3">
      <c r="I207" s="60">
        <f>'Generic Metadata Schema'!P337</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x14ac:dyDescent="0.3">
      <c r="I208" s="60">
        <f>'Generic Metadata Schema'!P338</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x14ac:dyDescent="0.3">
      <c r="I209" s="60">
        <f>'Generic Metadata Schema'!P339</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x14ac:dyDescent="0.3">
      <c r="I210" s="60">
        <f>'Generic Metadata Schema'!P340</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x14ac:dyDescent="0.3">
      <c r="I211" s="60">
        <f>'Generic Metadata Schema'!P341</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x14ac:dyDescent="0.3">
      <c r="I212" s="60">
        <f>'Generic Metadata Schema'!P342</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x14ac:dyDescent="0.3">
      <c r="I213" s="60">
        <f>'Generic Metadata Schema'!P343</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x14ac:dyDescent="0.3">
      <c r="I214" s="60">
        <f>'Generic Metadata Schema'!P344</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x14ac:dyDescent="0.3">
      <c r="I215" s="60">
        <f>'Generic Metadata Schema'!P345</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x14ac:dyDescent="0.3">
      <c r="I216" s="60">
        <f>'Generic Metadata Schema'!P346</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x14ac:dyDescent="0.3">
      <c r="I217" s="60">
        <f>'Generic Metadata Schema'!P347</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x14ac:dyDescent="0.3">
      <c r="I218" s="60">
        <f>'Generic Metadata Schema'!P348</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x14ac:dyDescent="0.3">
      <c r="I219" s="60">
        <f>'Generic Metadata Schema'!P349</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x14ac:dyDescent="0.3">
      <c r="I220" s="60">
        <f>'Generic Metadata Schema'!P350</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x14ac:dyDescent="0.3">
      <c r="I221" s="60">
        <f>'Generic Metadata Schema'!P351</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x14ac:dyDescent="0.3">
      <c r="I222" s="60">
        <f>'Generic Metadata Schema'!P352</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x14ac:dyDescent="0.3">
      <c r="I223" s="60">
        <f>'Generic Metadata Schema'!P353</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x14ac:dyDescent="0.3">
      <c r="I224" s="60">
        <f>'Generic Metadata Schema'!P354</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x14ac:dyDescent="0.3">
      <c r="I225" s="60">
        <f>'Generic Metadata Schema'!P355</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x14ac:dyDescent="0.3">
      <c r="I226" s="60">
        <f>'Generic Metadata Schema'!P356</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x14ac:dyDescent="0.3">
      <c r="I227" s="60">
        <f>'Generic Metadata Schema'!P357</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x14ac:dyDescent="0.3">
      <c r="I228" s="60">
        <f>'Generic Metadata Schema'!P358</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x14ac:dyDescent="0.3">
      <c r="I229" s="60">
        <f>'Generic Metadata Schema'!P359</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x14ac:dyDescent="0.3">
      <c r="I230" s="60">
        <f>'Generic Metadata Schema'!P360</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x14ac:dyDescent="0.3">
      <c r="I231" s="60">
        <f>'Generic Metadata Schema'!P361</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x14ac:dyDescent="0.3">
      <c r="I232" s="60">
        <f>'Generic Metadata Schema'!P362</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x14ac:dyDescent="0.3">
      <c r="I233" s="60">
        <f>'Generic Metadata Schema'!P363</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x14ac:dyDescent="0.3">
      <c r="I234" s="60">
        <f>'Generic Metadata Schema'!P364</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x14ac:dyDescent="0.3">
      <c r="I235" s="60">
        <f>'Generic Metadata Schema'!P365</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x14ac:dyDescent="0.3">
      <c r="I236" s="60">
        <f>'Generic Metadata Schema'!P366</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x14ac:dyDescent="0.3">
      <c r="I237" s="60">
        <f>'Generic Metadata Schema'!P367</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x14ac:dyDescent="0.3">
      <c r="I238" s="60">
        <f>'Generic Metadata Schema'!P368</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x14ac:dyDescent="0.3">
      <c r="I239" s="60">
        <f>'Generic Metadata Schema'!P369</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x14ac:dyDescent="0.3">
      <c r="I240" s="60">
        <f>'Generic Metadata Schema'!P370</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x14ac:dyDescent="0.3">
      <c r="I241" s="60">
        <f>'Generic Metadata Schema'!P371</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x14ac:dyDescent="0.3">
      <c r="I242" s="60">
        <f>'Generic Metadata Schema'!P372</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x14ac:dyDescent="0.3">
      <c r="I243" s="60">
        <f>'Generic Metadata Schema'!P373</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x14ac:dyDescent="0.3">
      <c r="I244" s="60">
        <f>'Generic Metadata Schema'!P374</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x14ac:dyDescent="0.3">
      <c r="I245" s="60">
        <f>'Generic Metadata Schema'!P375</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x14ac:dyDescent="0.3">
      <c r="I246" s="60">
        <f>'Generic Metadata Schema'!P376</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x14ac:dyDescent="0.3">
      <c r="I247" s="60">
        <f>'Generic Metadata Schema'!P377</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x14ac:dyDescent="0.3">
      <c r="I248" s="60">
        <f>'Generic Metadata Schema'!P378</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x14ac:dyDescent="0.3">
      <c r="I249" s="60">
        <f>'Generic Metadata Schema'!P379</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x14ac:dyDescent="0.3">
      <c r="I250" s="60">
        <f>'Generic Metadata Schema'!P380</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x14ac:dyDescent="0.3">
      <c r="I251" s="60">
        <f>'Generic Metadata Schema'!P381</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x14ac:dyDescent="0.3">
      <c r="I252" s="60">
        <f>'Generic Metadata Schema'!P382</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x14ac:dyDescent="0.3">
      <c r="I253" s="60">
        <f>'Generic Metadata Schema'!P383</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x14ac:dyDescent="0.3">
      <c r="I254" s="60">
        <f>'Generic Metadata Schema'!P384</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x14ac:dyDescent="0.3">
      <c r="I255" s="60">
        <f>'Generic Metadata Schema'!P385</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x14ac:dyDescent="0.3">
      <c r="I256" s="60">
        <f>'Generic Metadata Schema'!P386</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x14ac:dyDescent="0.3">
      <c r="I257" s="60">
        <f>'Generic Metadata Schema'!P387</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x14ac:dyDescent="0.3">
      <c r="I258" s="60">
        <f>'Generic Metadata Schema'!P388</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x14ac:dyDescent="0.3">
      <c r="I259" s="60">
        <f>'Generic Metadata Schema'!P389</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x14ac:dyDescent="0.3">
      <c r="I260" s="60">
        <f>'Generic Metadata Schema'!P390</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x14ac:dyDescent="0.3">
      <c r="I261" s="60">
        <f>'Generic Metadata Schema'!P391</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x14ac:dyDescent="0.3">
      <c r="I262" s="60">
        <f>'Generic Metadata Schema'!P392</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x14ac:dyDescent="0.3">
      <c r="I263" s="60">
        <f>'Generic Metadata Schema'!P393</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x14ac:dyDescent="0.3">
      <c r="I264" s="60">
        <f>'Generic Metadata Schema'!P394</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x14ac:dyDescent="0.3">
      <c r="I265" s="60">
        <f>'Generic Metadata Schema'!P395</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x14ac:dyDescent="0.3">
      <c r="I266" s="60">
        <f>'Generic Metadata Schema'!P396</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x14ac:dyDescent="0.3">
      <c r="I267" s="60">
        <f>'Generic Metadata Schema'!P397</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x14ac:dyDescent="0.3">
      <c r="I268" s="60">
        <f>'Generic Metadata Schema'!P398</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x14ac:dyDescent="0.3">
      <c r="I269" s="60">
        <f>'Generic Metadata Schema'!P399</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x14ac:dyDescent="0.3">
      <c r="I270" s="60">
        <f>'Generic Metadata Schema'!P400</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x14ac:dyDescent="0.3">
      <c r="I271" s="60">
        <f>'Generic Metadata Schema'!P401</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x14ac:dyDescent="0.3">
      <c r="I272" s="60">
        <f>'Generic Metadata Schema'!P402</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x14ac:dyDescent="0.3">
      <c r="I273" s="60">
        <f>'Generic Metadata Schema'!P403</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x14ac:dyDescent="0.3">
      <c r="I274" s="60">
        <f>'Generic Metadata Schema'!P404</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x14ac:dyDescent="0.3">
      <c r="I275" s="60">
        <f>'Generic Metadata Schema'!P405</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x14ac:dyDescent="0.3">
      <c r="I276" s="60">
        <f>'Generic Metadata Schema'!P406</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x14ac:dyDescent="0.3">
      <c r="I277" s="60">
        <f>'Generic Metadata Schema'!P407</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x14ac:dyDescent="0.3">
      <c r="I278" s="60">
        <f>'Generic Metadata Schema'!P408</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x14ac:dyDescent="0.3">
      <c r="I279" s="60">
        <f>'Generic Metadata Schema'!P409</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x14ac:dyDescent="0.3">
      <c r="I280" s="60">
        <f>'Generic Metadata Schema'!P410</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x14ac:dyDescent="0.3">
      <c r="I281" s="60">
        <f>'Generic Metadata Schema'!P411</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x14ac:dyDescent="0.3">
      <c r="I282" s="60">
        <f>'Generic Metadata Schema'!P412</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x14ac:dyDescent="0.3">
      <c r="I283" s="60">
        <f>'Generic Metadata Schema'!P413</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x14ac:dyDescent="0.3">
      <c r="I284" s="60">
        <f>'Generic Metadata Schema'!P414</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x14ac:dyDescent="0.3">
      <c r="I285" s="60">
        <f>'Generic Metadata Schema'!P415</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x14ac:dyDescent="0.3">
      <c r="I286" s="60">
        <f>'Generic Metadata Schema'!P416</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x14ac:dyDescent="0.3">
      <c r="I287" s="60">
        <f>'Generic Metadata Schema'!P417</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x14ac:dyDescent="0.3">
      <c r="I288" s="60">
        <f>'Generic Metadata Schema'!P418</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x14ac:dyDescent="0.3">
      <c r="I289" s="60">
        <f>'Generic Metadata Schema'!P419</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x14ac:dyDescent="0.3">
      <c r="I290" s="60">
        <f>'Generic Metadata Schema'!P420</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x14ac:dyDescent="0.3">
      <c r="I291" s="60">
        <f>'Generic Metadata Schema'!P421</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x14ac:dyDescent="0.3">
      <c r="I292" s="60">
        <f>'Generic Metadata Schema'!P422</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x14ac:dyDescent="0.3">
      <c r="I293" s="60">
        <f>'Generic Metadata Schema'!P423</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x14ac:dyDescent="0.3">
      <c r="I294" s="60">
        <f>'Generic Metadata Schema'!P424</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x14ac:dyDescent="0.3">
      <c r="I295" s="60">
        <f>'Generic Metadata Schema'!P425</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x14ac:dyDescent="0.3">
      <c r="I296" s="60">
        <f>'Generic Metadata Schema'!P426</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x14ac:dyDescent="0.3">
      <c r="I297" s="60">
        <f>'Generic Metadata Schema'!P427</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x14ac:dyDescent="0.3">
      <c r="E298" s="45"/>
      <c r="I298" s="60">
        <f>'Generic Metadata Schema'!P428</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x14ac:dyDescent="0.3">
      <c r="A299" s="45"/>
      <c r="I299" s="60">
        <f>'Generic Metadata Schema'!P429</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x14ac:dyDescent="0.3">
      <c r="I300" s="60">
        <f>'Generic Metadata Schema'!P430</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x14ac:dyDescent="0.3">
      <c r="I301" s="60">
        <f>'Generic Metadata Schema'!P431</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x14ac:dyDescent="0.3">
      <c r="I302" s="60">
        <f>'Generic Metadata Schema'!P432</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x14ac:dyDescent="0.3">
      <c r="I303" s="60">
        <f>'Generic Metadata Schema'!P433</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x14ac:dyDescent="0.3">
      <c r="I304" s="60">
        <f>'Generic Metadata Schema'!P434</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x14ac:dyDescent="0.3">
      <c r="I305" s="60">
        <f>'Generic Metadata Schema'!P435</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x14ac:dyDescent="0.3">
      <c r="I306" s="60">
        <f>'Generic Metadata Schema'!P436</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x14ac:dyDescent="0.3">
      <c r="I307" s="60">
        <f>'Generic Metadata Schema'!P437</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x14ac:dyDescent="0.3">
      <c r="I308" s="60">
        <f>'Generic Metadata Schema'!P438</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x14ac:dyDescent="0.3">
      <c r="I309" s="60">
        <f>'Generic Metadata Schema'!P439</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x14ac:dyDescent="0.3">
      <c r="I310" s="60">
        <f>'Generic Metadata Schema'!P440</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x14ac:dyDescent="0.3">
      <c r="I311" s="60">
        <f>'Generic Metadata Schema'!P441</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x14ac:dyDescent="0.3">
      <c r="I312" s="60">
        <f>'Generic Metadata Schema'!P442</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x14ac:dyDescent="0.3">
      <c r="I313" s="60">
        <f>'Generic Metadata Schema'!P443</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x14ac:dyDescent="0.3">
      <c r="I314" s="60">
        <f>'Generic Metadata Schema'!P444</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x14ac:dyDescent="0.3">
      <c r="I315" s="60">
        <f>'Generic Metadata Schema'!P445</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x14ac:dyDescent="0.3">
      <c r="I316" s="60">
        <f>'Generic Metadata Schema'!P446</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x14ac:dyDescent="0.3">
      <c r="I317" s="60">
        <f>'Generic Metadata Schema'!P447</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x14ac:dyDescent="0.3">
      <c r="I318" s="60">
        <f>'Generic Metadata Schema'!P448</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x14ac:dyDescent="0.3">
      <c r="I319" s="60">
        <f>'Generic Metadata Schema'!P449</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x14ac:dyDescent="0.3">
      <c r="A320" s="45"/>
      <c r="I320" s="60">
        <f>'Generic Metadata Schema'!P450</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x14ac:dyDescent="0.3">
      <c r="I321" s="60">
        <f>'Generic Metadata Schema'!P451</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x14ac:dyDescent="0.3">
      <c r="I322" s="60">
        <f>'Generic Metadata Schema'!P452</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x14ac:dyDescent="0.3">
      <c r="I323" s="60">
        <f>'Generic Metadata Schema'!P453</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x14ac:dyDescent="0.3">
      <c r="I324" s="60">
        <f>'Generic Metadata Schema'!P454</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x14ac:dyDescent="0.3">
      <c r="I325" s="60">
        <f>'Generic Metadata Schema'!P455</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x14ac:dyDescent="0.3">
      <c r="I326" s="60">
        <f>'Generic Metadata Schema'!P456</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x14ac:dyDescent="0.3">
      <c r="I327" s="60">
        <f>'Generic Metadata Schema'!P457</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x14ac:dyDescent="0.3">
      <c r="I328" s="60">
        <f>'Generic Metadata Schema'!P458</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x14ac:dyDescent="0.3">
      <c r="I329" s="60">
        <f>'Generic Metadata Schema'!P459</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x14ac:dyDescent="0.3">
      <c r="I330" s="60">
        <f>'Generic Metadata Schema'!P460</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x14ac:dyDescent="0.3">
      <c r="I331" s="60">
        <f>'Generic Metadata Schema'!P461</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x14ac:dyDescent="0.3">
      <c r="I332" s="60">
        <f>'Generic Metadata Schema'!P462</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x14ac:dyDescent="0.3">
      <c r="I333" s="60">
        <f>'Generic Metadata Schema'!P463</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x14ac:dyDescent="0.3">
      <c r="I334" s="60">
        <f>'Generic Metadata Schema'!P464</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x14ac:dyDescent="0.3">
      <c r="I335" s="60">
        <f>'Generic Metadata Schema'!P465</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x14ac:dyDescent="0.3">
      <c r="I336" s="60">
        <f>'Generic Metadata Schema'!P466</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x14ac:dyDescent="0.3">
      <c r="I337" s="60">
        <f>'Generic Metadata Schema'!P467</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x14ac:dyDescent="0.3">
      <c r="I338" s="60">
        <f>'Generic Metadata Schema'!P468</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x14ac:dyDescent="0.3">
      <c r="I339" s="60">
        <f>'Generic Metadata Schema'!P469</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x14ac:dyDescent="0.3">
      <c r="I340" s="60">
        <f>'Generic Metadata Schema'!P470</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x14ac:dyDescent="0.3">
      <c r="I341" s="60">
        <f>'Generic Metadata Schema'!P471</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x14ac:dyDescent="0.3">
      <c r="I342" s="60">
        <f>'Generic Metadata Schema'!P472</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x14ac:dyDescent="0.3">
      <c r="I343" s="60">
        <f>'Generic Metadata Schema'!P473</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x14ac:dyDescent="0.3">
      <c r="I344" s="60">
        <f>'Generic Metadata Schema'!P474</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x14ac:dyDescent="0.3">
      <c r="I345" s="60">
        <f>'Generic Metadata Schema'!P475</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x14ac:dyDescent="0.3">
      <c r="I346" s="60">
        <f>'Generic Metadata Schema'!P476</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x14ac:dyDescent="0.3">
      <c r="I347" s="60">
        <f>'Generic Metadata Schema'!P477</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x14ac:dyDescent="0.3">
      <c r="I348" s="60">
        <f>'Generic Metadata Schema'!P478</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x14ac:dyDescent="0.3">
      <c r="I349" s="60">
        <f>'Generic Metadata Schema'!P479</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x14ac:dyDescent="0.3">
      <c r="I350" s="60">
        <f>'Generic Metadata Schema'!P480</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x14ac:dyDescent="0.3">
      <c r="I351" s="60">
        <f>'Generic Metadata Schema'!P481</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x14ac:dyDescent="0.3">
      <c r="I352" s="60">
        <f>'Generic Metadata Schema'!P482</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x14ac:dyDescent="0.3">
      <c r="I353" s="60">
        <f>'Generic Metadata Schema'!P483</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x14ac:dyDescent="0.3">
      <c r="I354" s="60">
        <f>'Generic Metadata Schema'!P484</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x14ac:dyDescent="0.3">
      <c r="I355" s="60">
        <f>'Generic Metadata Schema'!P485</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x14ac:dyDescent="0.3">
      <c r="I356" s="60">
        <f>'Generic Metadata Schema'!P486</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x14ac:dyDescent="0.3">
      <c r="I357" s="60">
        <f>'Generic Metadata Schema'!P487</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x14ac:dyDescent="0.3">
      <c r="I358" s="60">
        <f>'Generic Metadata Schema'!P488</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x14ac:dyDescent="0.3">
      <c r="I359" s="60">
        <f>'Generic Metadata Schema'!P489</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x14ac:dyDescent="0.3">
      <c r="I360" s="60">
        <f>'Generic Metadata Schema'!P490</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x14ac:dyDescent="0.3">
      <c r="I361" s="60">
        <f>'Generic Metadata Schema'!P491</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x14ac:dyDescent="0.3">
      <c r="I362" s="60">
        <f>'Generic Metadata Schema'!P492</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x14ac:dyDescent="0.3">
      <c r="I363" s="60">
        <f>'Generic Metadata Schema'!P493</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x14ac:dyDescent="0.3">
      <c r="I364" s="60">
        <f>'Generic Metadata Schema'!P494</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x14ac:dyDescent="0.3">
      <c r="I365" s="60">
        <f>'Generic Metadata Schema'!P495</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x14ac:dyDescent="0.3">
      <c r="I366" s="60">
        <f>'Generic Metadata Schema'!P496</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x14ac:dyDescent="0.3">
      <c r="I367" s="60">
        <f>'Generic Metadata Schema'!P497</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x14ac:dyDescent="0.3">
      <c r="I368" s="60">
        <f>'Generic Metadata Schema'!P498</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x14ac:dyDescent="0.3">
      <c r="I369" s="60">
        <f>'Generic Metadata Schema'!P499</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x14ac:dyDescent="0.3">
      <c r="I370" s="60">
        <f>'Generic Metadata Schema'!P500</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x14ac:dyDescent="0.3">
      <c r="I371" s="60">
        <f>'Generic Metadata Schema'!P501</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x14ac:dyDescent="0.3">
      <c r="I372" s="60">
        <f>'Generic Metadata Schema'!P502</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x14ac:dyDescent="0.3">
      <c r="I373" s="60">
        <f>'Generic Metadata Schema'!P503</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x14ac:dyDescent="0.3">
      <c r="I374" s="60">
        <f>'Generic Metadata Schema'!P504</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x14ac:dyDescent="0.3">
      <c r="I375" s="60">
        <f>'Generic Metadata Schema'!P505</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x14ac:dyDescent="0.3">
      <c r="I376" s="60">
        <f>'Generic Metadata Schema'!P506</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x14ac:dyDescent="0.3">
      <c r="I377" s="60">
        <f>'Generic Metadata Schema'!P507</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x14ac:dyDescent="0.3">
      <c r="I378" s="60">
        <f>'Generic Metadata Schema'!P508</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x14ac:dyDescent="0.3">
      <c r="I379" s="60">
        <f>'Generic Metadata Schema'!P509</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x14ac:dyDescent="0.3">
      <c r="I380" s="60">
        <f>'Generic Metadata Schema'!P510</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x14ac:dyDescent="0.3">
      <c r="I381" s="60">
        <f>'Generic Metadata Schema'!P511</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x14ac:dyDescent="0.3">
      <c r="I382" s="60">
        <f>'Generic Metadata Schema'!P512</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x14ac:dyDescent="0.3">
      <c r="I383" s="60">
        <f>'Generic Metadata Schema'!P513</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x14ac:dyDescent="0.3">
      <c r="I384" s="60">
        <f>'Generic Metadata Schema'!P514</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x14ac:dyDescent="0.3">
      <c r="I385" s="60">
        <f>'Generic Metadata Schema'!P515</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x14ac:dyDescent="0.3">
      <c r="I386" s="60">
        <f>'Generic Metadata Schema'!P516</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x14ac:dyDescent="0.3">
      <c r="I387" s="60">
        <f>'Generic Metadata Schema'!P517</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x14ac:dyDescent="0.3">
      <c r="I388" s="60">
        <f>'Generic Metadata Schema'!P518</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x14ac:dyDescent="0.3">
      <c r="I389" s="60">
        <f>'Generic Metadata Schema'!P519</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x14ac:dyDescent="0.3">
      <c r="I390" s="60">
        <f>'Generic Metadata Schema'!P520</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x14ac:dyDescent="0.3">
      <c r="I391" s="60">
        <f>'Generic Metadata Schema'!P521</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x14ac:dyDescent="0.3">
      <c r="I392" s="60">
        <f>'Generic Metadata Schema'!P522</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x14ac:dyDescent="0.3">
      <c r="I393" s="60">
        <f>'Generic Metadata Schema'!P523</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x14ac:dyDescent="0.3">
      <c r="I394" s="60">
        <f>'Generic Metadata Schema'!P524</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x14ac:dyDescent="0.3">
      <c r="I395" s="60">
        <f>'Generic Metadata Schema'!P525</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x14ac:dyDescent="0.3">
      <c r="I396" s="60">
        <f>'Generic Metadata Schema'!P526</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x14ac:dyDescent="0.3">
      <c r="I397" s="60">
        <f>'Generic Metadata Schema'!P527</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x14ac:dyDescent="0.3">
      <c r="I398" s="60">
        <f>'Generic Metadata Schema'!P528</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x14ac:dyDescent="0.3">
      <c r="I399" s="60">
        <f>'Generic Metadata Schema'!P529</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x14ac:dyDescent="0.3">
      <c r="I400" s="60">
        <f>'Generic Metadata Schema'!P530</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x14ac:dyDescent="0.3">
      <c r="I401" s="60">
        <f>'Generic Metadata Schema'!P531</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x14ac:dyDescent="0.3">
      <c r="I402" s="60">
        <f>'Generic Metadata Schema'!P532</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x14ac:dyDescent="0.3">
      <c r="I403" s="60">
        <f>'Generic Metadata Schema'!P533</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x14ac:dyDescent="0.3">
      <c r="I404" s="60">
        <f>'Generic Metadata Schema'!P534</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x14ac:dyDescent="0.3">
      <c r="I405" s="60">
        <f>'Generic Metadata Schema'!P535</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x14ac:dyDescent="0.3">
      <c r="I406" s="60">
        <f>'Generic Metadata Schema'!P536</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x14ac:dyDescent="0.3">
      <c r="I407" s="60">
        <f>'Generic Metadata Schema'!P537</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x14ac:dyDescent="0.3">
      <c r="I408" s="60">
        <f>'Generic Metadata Schema'!P538</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x14ac:dyDescent="0.3">
      <c r="I409" s="60">
        <f>'Generic Metadata Schema'!P539</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x14ac:dyDescent="0.3">
      <c r="I410" s="60">
        <f>'Generic Metadata Schema'!P540</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x14ac:dyDescent="0.3">
      <c r="I411" s="60">
        <f>'Generic Metadata Schema'!P541</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x14ac:dyDescent="0.3">
      <c r="I412" s="60">
        <f>'Generic Metadata Schema'!P542</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x14ac:dyDescent="0.3">
      <c r="I413" s="60">
        <f>'Generic Metadata Schema'!P543</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x14ac:dyDescent="0.3">
      <c r="I414" s="60">
        <f>'Generic Metadata Schema'!P544</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x14ac:dyDescent="0.3">
      <c r="I415" s="60">
        <f>'Generic Metadata Schema'!P545</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x14ac:dyDescent="0.3">
      <c r="I416" s="60">
        <f>'Generic Metadata Schema'!P546</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x14ac:dyDescent="0.3">
      <c r="I417" s="60">
        <f>'Generic Metadata Schema'!P547</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x14ac:dyDescent="0.3">
      <c r="I418" s="60">
        <f>'Generic Metadata Schema'!P548</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x14ac:dyDescent="0.3">
      <c r="I419" s="60">
        <f>'Generic Metadata Schema'!P549</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x14ac:dyDescent="0.3">
      <c r="I420" s="60">
        <f>'Generic Metadata Schema'!P550</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x14ac:dyDescent="0.3">
      <c r="I421" s="60">
        <f>'Generic Metadata Schema'!P551</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x14ac:dyDescent="0.3">
      <c r="I422" s="60">
        <f>'Generic Metadata Schema'!P552</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x14ac:dyDescent="0.3">
      <c r="I423" s="60">
        <f>'Generic Metadata Schema'!P553</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x14ac:dyDescent="0.3">
      <c r="I424" s="60">
        <f>'Generic Metadata Schema'!P554</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x14ac:dyDescent="0.3">
      <c r="I425" s="60">
        <f>'Generic Metadata Schema'!P555</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x14ac:dyDescent="0.3">
      <c r="I426" s="60">
        <f>'Generic Metadata Schema'!P556</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x14ac:dyDescent="0.3">
      <c r="I427" s="60">
        <f>'Generic Metadata Schema'!P557</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x14ac:dyDescent="0.3">
      <c r="I428" s="60">
        <f>'Generic Metadata Schema'!P558</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x14ac:dyDescent="0.3">
      <c r="I429" s="60">
        <f>'Generic Metadata Schema'!P559</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x14ac:dyDescent="0.3">
      <c r="I430" s="60">
        <f>'Generic Metadata Schema'!P560</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x14ac:dyDescent="0.3">
      <c r="I431" s="60">
        <f>'Generic Metadata Schema'!P561</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x14ac:dyDescent="0.3">
      <c r="I432" s="60">
        <f>'Generic Metadata Schema'!P562</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x14ac:dyDescent="0.3">
      <c r="I433" s="60">
        <f>'Generic Metadata Schema'!P563</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x14ac:dyDescent="0.3">
      <c r="I434" s="60">
        <f>'Generic Metadata Schema'!P564</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x14ac:dyDescent="0.3">
      <c r="I435" s="60">
        <f>'Generic Metadata Schema'!P565</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x14ac:dyDescent="0.3">
      <c r="I436" s="60">
        <f>'Generic Metadata Schema'!P566</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x14ac:dyDescent="0.3">
      <c r="I437" s="60">
        <f>'Generic Metadata Schema'!P567</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x14ac:dyDescent="0.3">
      <c r="I438" s="60">
        <f>'Generic Metadata Schema'!P568</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x14ac:dyDescent="0.3">
      <c r="I439" s="60">
        <f>'Generic Metadata Schema'!P569</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x14ac:dyDescent="0.3">
      <c r="I440" s="60">
        <f>'Generic Metadata Schema'!P570</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x14ac:dyDescent="0.3">
      <c r="I441" s="60">
        <f>'Generic Metadata Schema'!P571</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x14ac:dyDescent="0.3">
      <c r="I442" s="60">
        <f>'Generic Metadata Schema'!P572</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x14ac:dyDescent="0.3">
      <c r="I443" s="60">
        <f>'Generic Metadata Schema'!P573</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x14ac:dyDescent="0.3">
      <c r="I444" s="60">
        <f>'Generic Metadata Schema'!P574</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x14ac:dyDescent="0.3">
      <c r="I445" s="60">
        <f>'Generic Metadata Schema'!P575</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x14ac:dyDescent="0.3">
      <c r="I446" s="60">
        <f>'Generic Metadata Schema'!P576</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x14ac:dyDescent="0.3">
      <c r="I447" s="60">
        <f>'Generic Metadata Schema'!P577</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x14ac:dyDescent="0.3">
      <c r="I448" s="60">
        <f>'Generic Metadata Schema'!P578</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x14ac:dyDescent="0.3">
      <c r="I449" s="60">
        <f>'Generic Metadata Schema'!P579</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x14ac:dyDescent="0.3">
      <c r="I450" s="60">
        <f>'Generic Metadata Schema'!P580</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x14ac:dyDescent="0.3">
      <c r="I451" s="60">
        <f>'Generic Metadata Schema'!P581</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x14ac:dyDescent="0.3">
      <c r="I452" s="60">
        <f>'Generic Metadata Schema'!P582</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x14ac:dyDescent="0.3">
      <c r="I453" s="60">
        <f>'Generic Metadata Schema'!P583</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x14ac:dyDescent="0.3">
      <c r="I454" s="60">
        <f>'Generic Metadata Schema'!P584</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x14ac:dyDescent="0.3">
      <c r="I455" s="60">
        <f>'Generic Metadata Schema'!P585</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x14ac:dyDescent="0.3">
      <c r="I456" s="60">
        <f>'Generic Metadata Schema'!P586</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x14ac:dyDescent="0.3">
      <c r="I457" s="60">
        <f>'Generic Metadata Schema'!P587</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x14ac:dyDescent="0.3">
      <c r="I458" s="60">
        <f>'Generic Metadata Schema'!P588</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x14ac:dyDescent="0.3">
      <c r="I459" s="60">
        <f>'Generic Metadata Schema'!P589</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x14ac:dyDescent="0.3">
      <c r="I460" s="60">
        <f>'Generic Metadata Schema'!P590</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x14ac:dyDescent="0.3">
      <c r="I461" s="60">
        <f>'Generic Metadata Schema'!P591</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x14ac:dyDescent="0.3">
      <c r="I462" s="60">
        <f>'Generic Metadata Schema'!P592</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x14ac:dyDescent="0.3">
      <c r="I463" s="60">
        <f>'Generic Metadata Schema'!P593</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x14ac:dyDescent="0.3">
      <c r="I464" s="60">
        <f>'Generic Metadata Schema'!P594</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x14ac:dyDescent="0.3">
      <c r="I465" s="60">
        <f>'Generic Metadata Schema'!P595</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x14ac:dyDescent="0.3">
      <c r="I466" s="60">
        <f>'Generic Metadata Schema'!P596</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x14ac:dyDescent="0.3">
      <c r="I467" s="60">
        <f>'Generic Metadata Schema'!P597</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x14ac:dyDescent="0.3">
      <c r="I468" s="60">
        <f>'Generic Metadata Schema'!P598</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x14ac:dyDescent="0.3">
      <c r="I469" s="60">
        <f>'Generic Metadata Schema'!P599</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x14ac:dyDescent="0.3">
      <c r="I470" s="60">
        <f>'Generic Metadata Schema'!P600</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x14ac:dyDescent="0.3">
      <c r="I471" s="60">
        <f>'Generic Metadata Schema'!P601</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x14ac:dyDescent="0.3">
      <c r="I472" s="60">
        <f>'Generic Metadata Schema'!P602</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x14ac:dyDescent="0.3">
      <c r="I473" s="60">
        <f>'Generic Metadata Schema'!P603</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x14ac:dyDescent="0.3">
      <c r="I474" s="60">
        <f>'Generic Metadata Schema'!P604</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x14ac:dyDescent="0.3">
      <c r="I475" s="60">
        <f>'Generic Metadata Schema'!P605</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x14ac:dyDescent="0.3">
      <c r="I476" s="60">
        <f>'Generic Metadata Schema'!P606</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x14ac:dyDescent="0.3">
      <c r="I477" s="60">
        <f>'Generic Metadata Schema'!P607</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x14ac:dyDescent="0.3">
      <c r="I478" s="60">
        <f>'Generic Metadata Schema'!P608</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x14ac:dyDescent="0.3">
      <c r="I479" s="60">
        <f>'Generic Metadata Schema'!P609</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x14ac:dyDescent="0.3">
      <c r="I480" s="60">
        <f>'Generic Metadata Schema'!P610</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x14ac:dyDescent="0.3">
      <c r="I481" s="60">
        <f>'Generic Metadata Schema'!P611</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x14ac:dyDescent="0.3">
      <c r="I482" s="60">
        <f>'Generic Metadata Schema'!P612</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x14ac:dyDescent="0.3">
      <c r="I483" s="60">
        <f>'Generic Metadata Schema'!P613</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x14ac:dyDescent="0.3">
      <c r="I484" s="60">
        <f>'Generic Metadata Schema'!P614</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x14ac:dyDescent="0.3">
      <c r="I485" s="60">
        <f>'Generic Metadata Schema'!P615</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x14ac:dyDescent="0.3">
      <c r="I486" s="60">
        <f>'Generic Metadata Schema'!P616</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x14ac:dyDescent="0.3">
      <c r="I487" s="60">
        <f>'Generic Metadata Schema'!P617</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x14ac:dyDescent="0.3">
      <c r="I488" s="60">
        <f>'Generic Metadata Schema'!P618</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x14ac:dyDescent="0.3">
      <c r="I489" s="60">
        <f>'Generic Metadata Schema'!P619</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x14ac:dyDescent="0.3">
      <c r="I490" s="60">
        <f>'Generic Metadata Schema'!P620</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x14ac:dyDescent="0.3">
      <c r="I491" s="60">
        <f>'Generic Metadata Schema'!P621</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x14ac:dyDescent="0.3">
      <c r="I492" s="60">
        <f>'Generic Metadata Schema'!P622</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x14ac:dyDescent="0.3">
      <c r="I493" s="60">
        <f>'Generic Metadata Schema'!P623</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x14ac:dyDescent="0.3">
      <c r="I494" s="60">
        <f>'Generic Metadata Schema'!P624</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x14ac:dyDescent="0.3">
      <c r="I495" s="60">
        <f>'Generic Metadata Schema'!P625</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x14ac:dyDescent="0.3">
      <c r="I496" s="60">
        <f>'Generic Metadata Schema'!P626</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x14ac:dyDescent="0.3">
      <c r="I497" s="60">
        <f>'Generic Metadata Schema'!P627</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x14ac:dyDescent="0.3">
      <c r="I498" s="60">
        <f>'Generic Metadata Schema'!P628</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x14ac:dyDescent="0.3">
      <c r="I499" s="60">
        <f>'Generic Metadata Schema'!P629</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x14ac:dyDescent="0.3">
      <c r="A500" s="45" t="s">
        <v>25</v>
      </c>
      <c r="I500" s="60">
        <f>'Generic Metadata Schema'!P630</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x14ac:dyDescent="0.3">
      <c r="I501" s="60">
        <f>'Generic Metadata Schema'!P631</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x14ac:dyDescent="0.3">
      <c r="I502" s="60">
        <f>'Generic Metadata Schema'!P632</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x14ac:dyDescent="0.3">
      <c r="I503" s="60">
        <f>'Generic Metadata Schema'!P633</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x14ac:dyDescent="0.3">
      <c r="I504" s="60">
        <f>'Generic Metadata Schema'!P634</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x14ac:dyDescent="0.3">
      <c r="I505" s="60">
        <f>'Generic Metadata Schema'!P635</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x14ac:dyDescent="0.3">
      <c r="I506" s="60">
        <f>'Generic Metadata Schema'!P636</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x14ac:dyDescent="0.3">
      <c r="I507" s="60">
        <f>'Generic Metadata Schema'!P637</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x14ac:dyDescent="0.3">
      <c r="I508" s="60">
        <f>'Generic Metadata Schema'!P638</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x14ac:dyDescent="0.3">
      <c r="I509" s="60">
        <f>'Generic Metadata Schema'!P639</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x14ac:dyDescent="0.3">
      <c r="I510" s="60">
        <f>'Generic Metadata Schema'!P640</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x14ac:dyDescent="0.3">
      <c r="I511" s="60">
        <f>'Generic Metadata Schema'!P641</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x14ac:dyDescent="0.3">
      <c r="I512" s="60">
        <f>'Generic Metadata Schema'!P642</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x14ac:dyDescent="0.3">
      <c r="I513" s="60">
        <f>'Generic Metadata Schema'!P643</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x14ac:dyDescent="0.3">
      <c r="I514" s="60">
        <f>'Generic Metadata Schema'!P644</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x14ac:dyDescent="0.3">
      <c r="I515" s="60">
        <f>'Generic Metadata Schema'!P645</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x14ac:dyDescent="0.3">
      <c r="I516" s="60">
        <f>'Generic Metadata Schema'!P646</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x14ac:dyDescent="0.3">
      <c r="I517" s="60">
        <f>'Generic Metadata Schema'!P647</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x14ac:dyDescent="0.3">
      <c r="I518" s="60">
        <f>'Generic Metadata Schema'!P648</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x14ac:dyDescent="0.3">
      <c r="I519" s="60">
        <f>'Generic Metadata Schema'!P649</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x14ac:dyDescent="0.3">
      <c r="I520" s="60">
        <f>'Generic Metadata Schema'!P650</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x14ac:dyDescent="0.3">
      <c r="I521" s="60">
        <f>'Generic Metadata Schema'!P651</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x14ac:dyDescent="0.3">
      <c r="I522" s="60">
        <f>'Generic Metadata Schema'!P652</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x14ac:dyDescent="0.3">
      <c r="I523" s="60">
        <f>'Generic Metadata Schema'!P653</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x14ac:dyDescent="0.3">
      <c r="I524" s="60">
        <f>'Generic Metadata Schema'!P654</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x14ac:dyDescent="0.3">
      <c r="I525" s="60">
        <f>'Generic Metadata Schema'!P655</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x14ac:dyDescent="0.3">
      <c r="I526" s="60">
        <f>'Generic Metadata Schema'!P656</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x14ac:dyDescent="0.3">
      <c r="I527" s="60">
        <f>'Generic Metadata Schema'!P657</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x14ac:dyDescent="0.3">
      <c r="I528" s="60">
        <f>'Generic Metadata Schema'!P658</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x14ac:dyDescent="0.3">
      <c r="I529" s="60">
        <f>'Generic Metadata Schema'!P659</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x14ac:dyDescent="0.3">
      <c r="I530" s="60">
        <f>'Generic Metadata Schema'!P660</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x14ac:dyDescent="0.3">
      <c r="I531" s="60">
        <f>'Generic Metadata Schema'!P661</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x14ac:dyDescent="0.3">
      <c r="I532" s="60">
        <f>'Generic Metadata Schema'!P662</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x14ac:dyDescent="0.3">
      <c r="I533" s="60">
        <f>'Generic Metadata Schema'!P663</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x14ac:dyDescent="0.3">
      <c r="I534" s="60">
        <f>'Generic Metadata Schema'!P664</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x14ac:dyDescent="0.3">
      <c r="I535" s="60">
        <f>'Generic Metadata Schema'!P665</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x14ac:dyDescent="0.3">
      <c r="I536" s="60">
        <f>'Generic Metadata Schema'!P666</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x14ac:dyDescent="0.3">
      <c r="I537" s="60">
        <f>'Generic Metadata Schema'!P667</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x14ac:dyDescent="0.3">
      <c r="I538" s="60">
        <f>'Generic Metadata Schema'!P668</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x14ac:dyDescent="0.3">
      <c r="I539" s="60">
        <f>'Generic Metadata Schema'!P669</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x14ac:dyDescent="0.3">
      <c r="I540" s="60">
        <f>'Generic Metadata Schema'!P670</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x14ac:dyDescent="0.3">
      <c r="I541" s="60">
        <f>'Generic Metadata Schema'!P671</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x14ac:dyDescent="0.3">
      <c r="I542" s="60">
        <f>'Generic Metadata Schema'!P672</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x14ac:dyDescent="0.3">
      <c r="I543" s="60">
        <f>'Generic Metadata Schema'!P673</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x14ac:dyDescent="0.3">
      <c r="I544" s="60">
        <f>'Generic Metadata Schema'!P674</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x14ac:dyDescent="0.3">
      <c r="I545" s="60">
        <f>'Generic Metadata Schema'!P675</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x14ac:dyDescent="0.3">
      <c r="I546" s="60">
        <f>'Generic Metadata Schema'!P676</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x14ac:dyDescent="0.3">
      <c r="I547" s="60">
        <f>'Generic Metadata Schema'!P677</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x14ac:dyDescent="0.3">
      <c r="I548" s="60">
        <f>'Generic Metadata Schema'!P678</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x14ac:dyDescent="0.3">
      <c r="I549" s="60">
        <f>'Generic Metadata Schema'!P679</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x14ac:dyDescent="0.3">
      <c r="I550" s="60">
        <f>'Generic Metadata Schema'!P680</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x14ac:dyDescent="0.3">
      <c r="I551" s="60">
        <f>'Generic Metadata Schema'!P681</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x14ac:dyDescent="0.3">
      <c r="I552" s="60">
        <f>'Generic Metadata Schema'!P682</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x14ac:dyDescent="0.3">
      <c r="I553" s="60">
        <f>'Generic Metadata Schema'!P683</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x14ac:dyDescent="0.3">
      <c r="I554" s="60">
        <f>'Generic Metadata Schema'!P684</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x14ac:dyDescent="0.3">
      <c r="I555" s="60">
        <f>'Generic Metadata Schema'!P685</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x14ac:dyDescent="0.3">
      <c r="I556" s="60">
        <f>'Generic Metadata Schema'!P686</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x14ac:dyDescent="0.3">
      <c r="I557" s="60">
        <f>'Generic Metadata Schema'!P687</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x14ac:dyDescent="0.3">
      <c r="I558" s="60">
        <f>'Generic Metadata Schema'!P688</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x14ac:dyDescent="0.3">
      <c r="I559" s="60">
        <f>'Generic Metadata Schema'!P689</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x14ac:dyDescent="0.3">
      <c r="I560" s="60">
        <f>'Generic Metadata Schema'!P690</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x14ac:dyDescent="0.3">
      <c r="I561" s="60">
        <f>'Generic Metadata Schema'!P691</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x14ac:dyDescent="0.3">
      <c r="I562" s="60">
        <f>'Generic Metadata Schema'!P692</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x14ac:dyDescent="0.3">
      <c r="I563" s="60">
        <f>'Generic Metadata Schema'!P693</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x14ac:dyDescent="0.3">
      <c r="I564" s="60">
        <f>'Generic Metadata Schema'!P694</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x14ac:dyDescent="0.3">
      <c r="I565" s="60">
        <f>'Generic Metadata Schema'!P695</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x14ac:dyDescent="0.3">
      <c r="I566" s="60">
        <f>'Generic Metadata Schema'!P696</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x14ac:dyDescent="0.3">
      <c r="I567" s="60">
        <f>'Generic Metadata Schema'!P697</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x14ac:dyDescent="0.3">
      <c r="I568" s="60">
        <f>'Generic Metadata Schema'!P698</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x14ac:dyDescent="0.3">
      <c r="I569" s="60">
        <f>'Generic Metadata Schema'!P699</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x14ac:dyDescent="0.3">
      <c r="I570" s="60">
        <f>'Generic Metadata Schema'!P700</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x14ac:dyDescent="0.3">
      <c r="I571" s="60">
        <f>'Generic Metadata Schema'!P701</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x14ac:dyDescent="0.3">
      <c r="I572" s="60">
        <f>'Generic Metadata Schema'!P702</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x14ac:dyDescent="0.3">
      <c r="I573" s="60">
        <f>'Generic Metadata Schema'!P703</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x14ac:dyDescent="0.3">
      <c r="I574" s="60">
        <f>'Generic Metadata Schema'!P704</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x14ac:dyDescent="0.3">
      <c r="I575" s="60">
        <f>'Generic Metadata Schema'!P705</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x14ac:dyDescent="0.3">
      <c r="I576" s="60">
        <f>'Generic Metadata Schema'!P706</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x14ac:dyDescent="0.3">
      <c r="I577" s="60">
        <f>'Generic Metadata Schema'!P707</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x14ac:dyDescent="0.3">
      <c r="I578" s="60">
        <f>'Generic Metadata Schema'!P708</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x14ac:dyDescent="0.3">
      <c r="I579" s="60">
        <f>'Generic Metadata Schema'!P709</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x14ac:dyDescent="0.3">
      <c r="I580" s="60">
        <f>'Generic Metadata Schema'!P710</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x14ac:dyDescent="0.3">
      <c r="I581" s="60">
        <f>'Generic Metadata Schema'!P711</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x14ac:dyDescent="0.3">
      <c r="I582" s="60">
        <f>'Generic Metadata Schema'!P712</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x14ac:dyDescent="0.3">
      <c r="I583" s="60">
        <f>'Generic Metadata Schema'!P713</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x14ac:dyDescent="0.3">
      <c r="I584" s="60">
        <f>'Generic Metadata Schema'!P714</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x14ac:dyDescent="0.3">
      <c r="I585" s="60">
        <f>'Generic Metadata Schema'!P715</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x14ac:dyDescent="0.3">
      <c r="I586" s="60">
        <f>'Generic Metadata Schema'!P716</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x14ac:dyDescent="0.3">
      <c r="I587" s="60">
        <f>'Generic Metadata Schema'!P717</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x14ac:dyDescent="0.3">
      <c r="I588" s="60">
        <f>'Generic Metadata Schema'!P718</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x14ac:dyDescent="0.3">
      <c r="I589" s="60">
        <f>'Generic Metadata Schema'!P719</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x14ac:dyDescent="0.3">
      <c r="I590" s="60">
        <f>'Generic Metadata Schema'!P720</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x14ac:dyDescent="0.3">
      <c r="I591" s="60">
        <f>'Generic Metadata Schema'!P721</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x14ac:dyDescent="0.3">
      <c r="I592" s="60">
        <f>'Generic Metadata Schema'!P722</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x14ac:dyDescent="0.3">
      <c r="I593" s="60">
        <f>'Generic Metadata Schema'!P723</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x14ac:dyDescent="0.3">
      <c r="I594" s="60">
        <f>'Generic Metadata Schema'!P724</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x14ac:dyDescent="0.3">
      <c r="I595" s="60">
        <f>'Generic Metadata Schema'!P725</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x14ac:dyDescent="0.3">
      <c r="I596" s="60">
        <f>'Generic Metadata Schema'!P726</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x14ac:dyDescent="0.3">
      <c r="I597" s="60">
        <f>'Generic Metadata Schema'!P727</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x14ac:dyDescent="0.3">
      <c r="I598" s="60">
        <f>'Generic Metadata Schema'!P728</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x14ac:dyDescent="0.3">
      <c r="I599" s="60">
        <f>'Generic Metadata Schema'!P729</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x14ac:dyDescent="0.3">
      <c r="I600" s="60">
        <f>'Generic Metadata Schema'!P730</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x14ac:dyDescent="0.3">
      <c r="I601" s="60">
        <f>'Generic Metadata Schema'!P731</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x14ac:dyDescent="0.3">
      <c r="I602" s="60">
        <f>'Generic Metadata Schema'!P732</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x14ac:dyDescent="0.3">
      <c r="I603" s="60">
        <f>'Generic Metadata Schema'!P733</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x14ac:dyDescent="0.3">
      <c r="I604" s="60">
        <f>'Generic Metadata Schema'!P734</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x14ac:dyDescent="0.3">
      <c r="I605" s="60">
        <f>'Generic Metadata Schema'!P735</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x14ac:dyDescent="0.3">
      <c r="I606" s="60">
        <f>'Generic Metadata Schema'!P736</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x14ac:dyDescent="0.3">
      <c r="I607" s="60">
        <f>'Generic Metadata Schema'!P737</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x14ac:dyDescent="0.3">
      <c r="I608" s="60">
        <f>'Generic Metadata Schema'!P738</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x14ac:dyDescent="0.3">
      <c r="I609" s="60">
        <f>'Generic Metadata Schema'!P739</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x14ac:dyDescent="0.3">
      <c r="I610" s="60">
        <f>'Generic Metadata Schema'!P740</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x14ac:dyDescent="0.3">
      <c r="I611" s="60">
        <f>'Generic Metadata Schema'!P741</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x14ac:dyDescent="0.3">
      <c r="I612" s="60">
        <f>'Generic Metadata Schema'!P742</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x14ac:dyDescent="0.3">
      <c r="I613" s="60">
        <f>'Generic Metadata Schema'!P743</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x14ac:dyDescent="0.3">
      <c r="I614" s="60">
        <f>'Generic Metadata Schema'!P744</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x14ac:dyDescent="0.3">
      <c r="I615" s="60">
        <f>'Generic Metadata Schema'!P745</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x14ac:dyDescent="0.3">
      <c r="I616" s="60">
        <f>'Generic Metadata Schema'!P746</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x14ac:dyDescent="0.3">
      <c r="I617" s="60">
        <f>'Generic Metadata Schema'!P747</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x14ac:dyDescent="0.3">
      <c r="I618" s="60">
        <f>'Generic Metadata Schema'!P748</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x14ac:dyDescent="0.3">
      <c r="I619" s="60">
        <f>'Generic Metadata Schema'!P749</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x14ac:dyDescent="0.3">
      <c r="I620" s="60">
        <f>'Generic Metadata Schema'!P750</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x14ac:dyDescent="0.3">
      <c r="I621" s="60">
        <f>'Generic Metadata Schema'!P751</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x14ac:dyDescent="0.3">
      <c r="I622" s="60">
        <f>'Generic Metadata Schema'!P752</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x14ac:dyDescent="0.3">
      <c r="I623" s="60">
        <f>'Generic Metadata Schema'!P753</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x14ac:dyDescent="0.3">
      <c r="I624" s="60">
        <f>'Generic Metadata Schema'!P754</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x14ac:dyDescent="0.3">
      <c r="I625" s="60">
        <f>'Generic Metadata Schema'!P755</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x14ac:dyDescent="0.3">
      <c r="I626" s="60">
        <f>'Generic Metadata Schema'!P756</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x14ac:dyDescent="0.3">
      <c r="I627" s="60">
        <f>'Generic Metadata Schema'!P757</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x14ac:dyDescent="0.3">
      <c r="I628" s="60">
        <f>'Generic Metadata Schema'!P758</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x14ac:dyDescent="0.3">
      <c r="I629" s="60">
        <f>'Generic Metadata Schema'!P759</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x14ac:dyDescent="0.3">
      <c r="I630" s="60">
        <f>'Generic Metadata Schema'!P760</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x14ac:dyDescent="0.3">
      <c r="I631" s="60">
        <f>'Generic Metadata Schema'!P761</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x14ac:dyDescent="0.3">
      <c r="I632" s="60">
        <f>'Generic Metadata Schema'!P762</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x14ac:dyDescent="0.3">
      <c r="I633" s="60">
        <f>'Generic Metadata Schema'!P763</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x14ac:dyDescent="0.3">
      <c r="I634" s="60">
        <f>'Generic Metadata Schema'!P764</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x14ac:dyDescent="0.3">
      <c r="I635" s="60">
        <f>'Generic Metadata Schema'!P765</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x14ac:dyDescent="0.3">
      <c r="I636" s="60">
        <f>'Generic Metadata Schema'!P766</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x14ac:dyDescent="0.3">
      <c r="I637" s="60">
        <f>'Generic Metadata Schema'!P767</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x14ac:dyDescent="0.3">
      <c r="I638" s="60">
        <f>'Generic Metadata Schema'!P768</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x14ac:dyDescent="0.3">
      <c r="I639" s="60">
        <f>'Generic Metadata Schema'!P769</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x14ac:dyDescent="0.3">
      <c r="I640" s="60">
        <f>'Generic Metadata Schema'!P770</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x14ac:dyDescent="0.3">
      <c r="I641" s="60">
        <f>'Generic Metadata Schema'!P771</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x14ac:dyDescent="0.3">
      <c r="I642" s="60">
        <f>'Generic Metadata Schema'!P772</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x14ac:dyDescent="0.3">
      <c r="I643" s="60">
        <f>'Generic Metadata Schema'!P773</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x14ac:dyDescent="0.3">
      <c r="I644" s="60">
        <f>'Generic Metadata Schema'!P774</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x14ac:dyDescent="0.3">
      <c r="I645" s="60">
        <f>'Generic Metadata Schema'!P775</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x14ac:dyDescent="0.3">
      <c r="I646" s="60">
        <f>'Generic Metadata Schema'!P776</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x14ac:dyDescent="0.3">
      <c r="I647" s="60">
        <f>'Generic Metadata Schema'!P777</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x14ac:dyDescent="0.3">
      <c r="I648" s="60">
        <f>'Generic Metadata Schema'!P778</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x14ac:dyDescent="0.3">
      <c r="I649" s="60">
        <f>'Generic Metadata Schema'!P779</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x14ac:dyDescent="0.3">
      <c r="I650" s="60">
        <f>'Generic Metadata Schema'!P780</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x14ac:dyDescent="0.3">
      <c r="I651" s="60">
        <f>'Generic Metadata Schema'!P781</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x14ac:dyDescent="0.3">
      <c r="I652" s="60">
        <f>'Generic Metadata Schema'!P782</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x14ac:dyDescent="0.3">
      <c r="I653" s="60">
        <f>'Generic Metadata Schema'!P783</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x14ac:dyDescent="0.3">
      <c r="I654" s="60">
        <f>'Generic Metadata Schema'!P784</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x14ac:dyDescent="0.3">
      <c r="I655" s="60">
        <f>'Generic Metadata Schema'!P785</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x14ac:dyDescent="0.3">
      <c r="I656" s="60">
        <f>'Generic Metadata Schema'!P786</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x14ac:dyDescent="0.3">
      <c r="I657" s="60">
        <f>'Generic Metadata Schema'!P787</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x14ac:dyDescent="0.3">
      <c r="I658" s="60">
        <f>'Generic Metadata Schema'!P788</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x14ac:dyDescent="0.3">
      <c r="I659" s="60">
        <f>'Generic Metadata Schema'!P789</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x14ac:dyDescent="0.3">
      <c r="I660" s="60">
        <f>'Generic Metadata Schema'!P790</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x14ac:dyDescent="0.3">
      <c r="I661" s="60">
        <f>'Generic Metadata Schema'!P791</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x14ac:dyDescent="0.3">
      <c r="I662" s="60">
        <f>'Generic Metadata Schema'!P792</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x14ac:dyDescent="0.3">
      <c r="I663" s="60">
        <f>'Generic Metadata Schema'!P793</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x14ac:dyDescent="0.3">
      <c r="I664" s="60">
        <f>'Generic Metadata Schema'!P794</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x14ac:dyDescent="0.3">
      <c r="I665" s="60">
        <f>'Generic Metadata Schema'!P795</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x14ac:dyDescent="0.3">
      <c r="I666" s="60">
        <f>'Generic Metadata Schema'!P796</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x14ac:dyDescent="0.3">
      <c r="I667" s="60">
        <f>'Generic Metadata Schema'!P797</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x14ac:dyDescent="0.3">
      <c r="I668" s="60">
        <f>'Generic Metadata Schema'!P798</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x14ac:dyDescent="0.3">
      <c r="I669" s="60">
        <f>'Generic Metadata Schema'!P799</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x14ac:dyDescent="0.3">
      <c r="I670" s="60">
        <f>'Generic Metadata Schema'!P800</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x14ac:dyDescent="0.3">
      <c r="I671" s="60">
        <f>'Generic Metadata Schema'!P801</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x14ac:dyDescent="0.3">
      <c r="I672" s="60">
        <f>'Generic Metadata Schema'!P802</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x14ac:dyDescent="0.3">
      <c r="I673" s="60">
        <f>'Generic Metadata Schema'!P803</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x14ac:dyDescent="0.3">
      <c r="I674" s="60">
        <f>'Generic Metadata Schema'!P804</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x14ac:dyDescent="0.3">
      <c r="I675" s="60">
        <f>'Generic Metadata Schema'!P805</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x14ac:dyDescent="0.3">
      <c r="I676" s="60">
        <f>'Generic Metadata Schema'!P806</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x14ac:dyDescent="0.3">
      <c r="I677" s="60">
        <f>'Generic Metadata Schema'!P807</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x14ac:dyDescent="0.3">
      <c r="I678" s="60">
        <f>'Generic Metadata Schema'!P808</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x14ac:dyDescent="0.3">
      <c r="I679" s="60">
        <f>'Generic Metadata Schema'!P809</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x14ac:dyDescent="0.3">
      <c r="I680" s="60">
        <f>'Generic Metadata Schema'!P810</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x14ac:dyDescent="0.3">
      <c r="T681" s="56"/>
      <c r="V681" s="56">
        <f>'Toxicological reference value M'!P795</f>
        <v>0</v>
      </c>
      <c r="Y681" s="56">
        <f>'Other Empirical Model'!P806</f>
        <v>0</v>
      </c>
      <c r="AA681" s="56">
        <f>'Predictive Model'!P793</f>
        <v>0</v>
      </c>
      <c r="AC681" s="56">
        <f>'Consumption Model'!P798</f>
        <v>0</v>
      </c>
    </row>
    <row r="682" spans="9:35" ht="14" x14ac:dyDescent="0.3">
      <c r="T682" s="56"/>
      <c r="V682" s="56">
        <f>'Toxicological reference value M'!P796</f>
        <v>0</v>
      </c>
      <c r="Y682" s="56">
        <f>'Other Empirical Model'!P807</f>
        <v>0</v>
      </c>
      <c r="AA682" s="56">
        <f>'Predictive Model'!P794</f>
        <v>0</v>
      </c>
      <c r="AC682" s="56">
        <f>'Consumption Model'!P799</f>
        <v>0</v>
      </c>
    </row>
    <row r="683" spans="9:35" ht="14" x14ac:dyDescent="0.3">
      <c r="T683" s="56"/>
      <c r="V683" s="56">
        <f>'Toxicological reference value M'!P797</f>
        <v>0</v>
      </c>
      <c r="Y683" s="56">
        <f>'Other Empirical Model'!P808</f>
        <v>0</v>
      </c>
      <c r="AA683" s="56">
        <f>'Predictive Model'!P795</f>
        <v>0</v>
      </c>
      <c r="AC683" s="56">
        <f>'Consumption Model'!P800</f>
        <v>0</v>
      </c>
    </row>
    <row r="684" spans="9:35" ht="14" x14ac:dyDescent="0.3">
      <c r="T684" s="56"/>
      <c r="V684" s="56">
        <f>'Toxicological reference value M'!P798</f>
        <v>0</v>
      </c>
      <c r="Y684" s="56">
        <f>'Other Empirical Model'!P809</f>
        <v>0</v>
      </c>
      <c r="AA684" s="56">
        <f>'Predictive Model'!P796</f>
        <v>0</v>
      </c>
      <c r="AC684" s="56">
        <f>'Consumption Model'!P801</f>
        <v>0</v>
      </c>
    </row>
    <row r="685" spans="9:35" ht="14" x14ac:dyDescent="0.3">
      <c r="T685" s="56"/>
      <c r="V685" s="56">
        <f>'Toxicological reference value M'!P799</f>
        <v>0</v>
      </c>
      <c r="Y685" s="56">
        <f>'Other Empirical Model'!P810</f>
        <v>0</v>
      </c>
      <c r="AA685" s="56">
        <f>'Predictive Model'!P797</f>
        <v>0</v>
      </c>
      <c r="AC685" s="56">
        <f>'Consumption Model'!P802</f>
        <v>0</v>
      </c>
    </row>
    <row r="686" spans="9:35" ht="14" x14ac:dyDescent="0.3">
      <c r="T686" s="56"/>
      <c r="V686" s="56">
        <f>'Toxicological reference value M'!P800</f>
        <v>0</v>
      </c>
      <c r="Y686" s="56">
        <f>'Other Empirical Model'!P811</f>
        <v>0</v>
      </c>
      <c r="AA686" s="56">
        <f>'Predictive Model'!P798</f>
        <v>0</v>
      </c>
      <c r="AC686" s="56">
        <f>'Consumption Model'!P803</f>
        <v>0</v>
      </c>
    </row>
    <row r="687" spans="9:35" ht="14" x14ac:dyDescent="0.3">
      <c r="T687" s="56"/>
      <c r="V687" s="56">
        <f>'Toxicological reference value M'!P801</f>
        <v>0</v>
      </c>
      <c r="Y687" s="56">
        <f>'Other Empirical Model'!P812</f>
        <v>0</v>
      </c>
      <c r="AA687" s="56">
        <f>'Predictive Model'!P799</f>
        <v>0</v>
      </c>
      <c r="AC687" s="56">
        <f>'Consumption Model'!P804</f>
        <v>0</v>
      </c>
    </row>
    <row r="688" spans="9:35" ht="14" x14ac:dyDescent="0.3">
      <c r="T688" s="56"/>
      <c r="V688" s="56">
        <f>'Toxicological reference value M'!P802</f>
        <v>0</v>
      </c>
      <c r="Y688" s="56">
        <f>'Other Empirical Model'!P813</f>
        <v>0</v>
      </c>
      <c r="AA688" s="56">
        <f>'Predictive Model'!P800</f>
        <v>0</v>
      </c>
      <c r="AC688" s="56">
        <f>'Consumption Model'!P805</f>
        <v>0</v>
      </c>
    </row>
    <row r="689" spans="20:29" ht="14" x14ac:dyDescent="0.3">
      <c r="T689" s="56"/>
      <c r="V689" s="56">
        <f>'Toxicological reference value M'!P803</f>
        <v>0</v>
      </c>
      <c r="Y689" s="56">
        <f>'Other Empirical Model'!P814</f>
        <v>0</v>
      </c>
      <c r="AA689" s="56">
        <f>'Predictive Model'!P801</f>
        <v>0</v>
      </c>
      <c r="AC689" s="56">
        <f>'Consumption Model'!P806</f>
        <v>0</v>
      </c>
    </row>
    <row r="690" spans="20:29" ht="14" x14ac:dyDescent="0.3">
      <c r="T690" s="56"/>
      <c r="V690" s="56">
        <f>'Toxicological reference value M'!P804</f>
        <v>0</v>
      </c>
      <c r="Y690" s="56">
        <f>'Other Empirical Model'!P815</f>
        <v>0</v>
      </c>
      <c r="AA690" s="56">
        <f>'Predictive Model'!P802</f>
        <v>0</v>
      </c>
      <c r="AC690" s="56">
        <f>'Consumption Model'!P807</f>
        <v>0</v>
      </c>
    </row>
    <row r="691" spans="20:29" ht="14" x14ac:dyDescent="0.3">
      <c r="T691" s="56"/>
      <c r="V691" s="56">
        <f>'Toxicological reference value M'!P805</f>
        <v>0</v>
      </c>
      <c r="Y691" s="56">
        <f>'Other Empirical Model'!P816</f>
        <v>0</v>
      </c>
      <c r="AA691" s="56">
        <f>'Predictive Model'!P803</f>
        <v>0</v>
      </c>
      <c r="AC691" s="56">
        <f>'Consumption Model'!P808</f>
        <v>0</v>
      </c>
    </row>
    <row r="692" spans="20:29" ht="14" x14ac:dyDescent="0.3">
      <c r="T692" s="56"/>
      <c r="V692" s="56">
        <f>'Toxicological reference value M'!P806</f>
        <v>0</v>
      </c>
      <c r="Y692" s="56">
        <f>'Other Empirical Model'!P817</f>
        <v>0</v>
      </c>
      <c r="AA692" s="56">
        <f>'Predictive Model'!P804</f>
        <v>0</v>
      </c>
      <c r="AC692" s="56">
        <f>'Consumption Model'!P809</f>
        <v>0</v>
      </c>
    </row>
    <row r="693" spans="20:29" ht="14" x14ac:dyDescent="0.3">
      <c r="T693" s="56"/>
      <c r="V693" s="56">
        <f>'Toxicological reference value M'!P807</f>
        <v>0</v>
      </c>
      <c r="Y693" s="56">
        <f>'Other Empirical Model'!P818</f>
        <v>0</v>
      </c>
      <c r="AA693" s="56">
        <f>'Predictive Model'!P805</f>
        <v>0</v>
      </c>
      <c r="AC693" s="56">
        <f>'Consumption Model'!P810</f>
        <v>0</v>
      </c>
    </row>
    <row r="694" spans="20:29" ht="14" x14ac:dyDescent="0.3">
      <c r="T694" s="56"/>
      <c r="V694" s="56">
        <f>'Toxicological reference value M'!P808</f>
        <v>0</v>
      </c>
      <c r="Y694" s="56">
        <f>'Other Empirical Model'!P819</f>
        <v>0</v>
      </c>
      <c r="AA694" s="56">
        <f>'Predictive Model'!P806</f>
        <v>0</v>
      </c>
      <c r="AC694" s="56">
        <f>'Consumption Model'!P811</f>
        <v>0</v>
      </c>
    </row>
    <row r="695" spans="20:29" ht="14" x14ac:dyDescent="0.3">
      <c r="T695" s="56"/>
      <c r="V695" s="56">
        <f>'Toxicological reference value M'!P809</f>
        <v>0</v>
      </c>
      <c r="Y695" s="56">
        <f>'Other Empirical Model'!P820</f>
        <v>0</v>
      </c>
      <c r="AA695" s="56">
        <f>'Predictive Model'!P807</f>
        <v>0</v>
      </c>
    </row>
    <row r="696" spans="20:29" ht="14" x14ac:dyDescent="0.3">
      <c r="T696" s="56"/>
      <c r="V696" s="56">
        <f>'Toxicological reference value M'!P810</f>
        <v>0</v>
      </c>
      <c r="Y696" s="56">
        <f>'Other Empirical Model'!P821</f>
        <v>0</v>
      </c>
    </row>
    <row r="697" spans="20:29" ht="14" x14ac:dyDescent="0.3">
      <c r="T697" s="56"/>
      <c r="V697" s="56">
        <f>'Toxicological reference value M'!P811</f>
        <v>0</v>
      </c>
    </row>
    <row r="698" spans="20:29" ht="14" x14ac:dyDescent="0.3">
      <c r="T698" s="56"/>
    </row>
    <row r="699" spans="20:29" ht="14" x14ac:dyDescent="0.3">
      <c r="T699" s="56"/>
    </row>
    <row r="700" spans="20:29" ht="14" x14ac:dyDescent="0.3">
      <c r="T700" s="56"/>
    </row>
    <row r="701" spans="20:29" ht="14" x14ac:dyDescent="0.3">
      <c r="T701" s="56"/>
    </row>
    <row r="702" spans="20:29" ht="14" x14ac:dyDescent="0.3">
      <c r="T702" s="56"/>
    </row>
    <row r="703" spans="20:29" ht="14" x14ac:dyDescent="0.3">
      <c r="T703" s="56"/>
    </row>
    <row r="704" spans="20:29" ht="14" x14ac:dyDescent="0.3">
      <c r="T704" s="56"/>
    </row>
    <row r="705" spans="20:20" ht="14" x14ac:dyDescent="0.3">
      <c r="T705" s="56"/>
    </row>
    <row r="706" spans="20:20" ht="14" x14ac:dyDescent="0.3">
      <c r="T706" s="56"/>
    </row>
    <row r="707" spans="20:20" ht="14" x14ac:dyDescent="0.3">
      <c r="T707" s="56"/>
    </row>
    <row r="708" spans="20:20" ht="14" x14ac:dyDescent="0.3">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x14ac:dyDescent="0.25"/>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x14ac:dyDescent="0.3">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9" t="str">
        <f ca="1">E6</f>
        <v>Creator</v>
      </c>
      <c r="L1" s="98"/>
      <c r="M1" s="98"/>
      <c r="N1" s="98"/>
      <c r="O1" s="98"/>
      <c r="P1" s="98"/>
      <c r="Q1" s="98"/>
      <c r="R1" s="98"/>
      <c r="S1" s="98"/>
      <c r="T1" s="98"/>
      <c r="U1" s="98"/>
      <c r="V1" s="98"/>
      <c r="W1" s="98"/>
      <c r="X1" s="98"/>
      <c r="Y1" s="98"/>
      <c r="Z1" s="4"/>
      <c r="AA1" s="99" t="str">
        <f ca="1">E5</f>
        <v>Author</v>
      </c>
      <c r="AB1" s="98"/>
      <c r="AC1" s="98"/>
      <c r="AD1" s="98"/>
      <c r="AE1" s="98"/>
      <c r="AF1" s="98"/>
      <c r="AG1" s="98"/>
      <c r="AH1" s="98"/>
      <c r="AI1" s="98"/>
      <c r="AJ1" s="98"/>
      <c r="AK1" s="98"/>
      <c r="AL1" s="98"/>
      <c r="AM1" s="98"/>
      <c r="AN1" s="98"/>
      <c r="AO1" s="98"/>
      <c r="AP1" s="4"/>
      <c r="AQ1" s="4"/>
      <c r="AR1" s="4"/>
      <c r="AS1" s="4"/>
      <c r="AT1" s="4"/>
      <c r="AU1" s="4"/>
      <c r="AV1" s="4"/>
    </row>
    <row r="2" spans="1:48"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x14ac:dyDescent="0.25">
      <c r="A6" s="4" t="str">
        <f ca="1">IFERROR(__xludf.DUMMYFUNCTION("""COMPUTED_VALUE"""),"Yes")</f>
        <v>Yes</v>
      </c>
      <c r="B6" s="4" t="str">
        <f ca="1">IFERROR(__xludf.DUMMYFUNCTION("""COMPUTED_VALUE"""),"Yes")</f>
        <v>Yes</v>
      </c>
      <c r="C6" s="98"/>
      <c r="D6" s="98"/>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x14ac:dyDescent="0.25">
      <c r="A7" s="4" t="str">
        <f ca="1">IFERROR(__xludf.DUMMYFUNCTION("""COMPUTED_VALUE"""),"Yes")</f>
        <v>Yes</v>
      </c>
      <c r="B7" s="4" t="str">
        <f ca="1">IFERROR(__xludf.DUMMYFUNCTION("""COMPUTED_VALUE"""),"Yes")</f>
        <v>Yes</v>
      </c>
      <c r="C7" s="98"/>
      <c r="D7" s="98"/>
      <c r="E7" s="99" t="str">
        <f ca="1">IFERROR(__xludf.DUMMYFUNCTION("""COMPUTED_VALUE"""),"Date")</f>
        <v>Date</v>
      </c>
      <c r="F7" s="99"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x14ac:dyDescent="0.25">
      <c r="A8" s="4" t="str">
        <f ca="1">IFERROR(__xludf.DUMMYFUNCTION("""COMPUTED_VALUE"""),"Yes")</f>
        <v>Yes</v>
      </c>
      <c r="B8" s="4" t="str">
        <f ca="1">IFERROR(__xludf.DUMMYFUNCTION("""COMPUTED_VALUE"""),"No")</f>
        <v>No</v>
      </c>
      <c r="C8" s="98"/>
      <c r="D8" s="98"/>
      <c r="E8" s="98"/>
      <c r="F8" s="98"/>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10"/>
      <c r="J12" s="4"/>
      <c r="K12" s="101" t="str">
        <f ca="1">E13</f>
        <v>References</v>
      </c>
      <c r="L12" s="98"/>
      <c r="M12" s="98"/>
      <c r="N12" s="98"/>
      <c r="O12" s="98"/>
      <c r="P12" s="98"/>
      <c r="Q12" s="98"/>
      <c r="R12" s="98"/>
      <c r="S12" s="98"/>
      <c r="T12" s="98"/>
      <c r="U12" s="98"/>
      <c r="V12" s="98"/>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x14ac:dyDescent="0.25">
      <c r="A14" s="4" t="str">
        <f ca="1">IFERROR(__xludf.DUMMYFUNCTION("""COMPUTED_VALUE"""),"Yes")</f>
        <v>Yes</v>
      </c>
      <c r="B14" s="4" t="str">
        <f ca="1">IFERROR(__xludf.DUMMYFUNCTION("""COMPUTED_VALUE"""),"Yes")</f>
        <v>Yes</v>
      </c>
      <c r="C14" s="98"/>
      <c r="D14" s="98"/>
      <c r="E14" s="98"/>
      <c r="F14" s="98"/>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x14ac:dyDescent="0.25">
      <c r="A15" s="4" t="str">
        <f ca="1">IFERROR(__xludf.DUMMYFUNCTION("""COMPUTED_VALUE"""),"Yes")</f>
        <v>Yes</v>
      </c>
      <c r="B15" s="4" t="str">
        <f ca="1">IFERROR(__xludf.DUMMYFUNCTION("""COMPUTED_VALUE"""),"No")</f>
        <v>No</v>
      </c>
      <c r="C15" s="98"/>
      <c r="D15" s="98"/>
      <c r="E15" s="98"/>
      <c r="F15" s="98"/>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x14ac:dyDescent="0.25">
      <c r="A16" s="4" t="str">
        <f ca="1">IFERROR(__xludf.DUMMYFUNCTION("""COMPUTED_VALUE"""),"Yes")</f>
        <v>Yes</v>
      </c>
      <c r="B16" s="4" t="str">
        <f ca="1">IFERROR(__xludf.DUMMYFUNCTION("""COMPUTED_VALUE"""),"No")</f>
        <v>No</v>
      </c>
      <c r="C16" s="98"/>
      <c r="D16" s="98"/>
      <c r="E16" s="98"/>
      <c r="F16" s="98"/>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x14ac:dyDescent="0.25">
      <c r="A17" s="4" t="str">
        <f ca="1">IFERROR(__xludf.DUMMYFUNCTION("""COMPUTED_VALUE"""),"Yes")</f>
        <v>Yes</v>
      </c>
      <c r="B17" s="4" t="str">
        <f ca="1">IFERROR(__xludf.DUMMYFUNCTION("""COMPUTED_VALUE"""),"Yes")</f>
        <v>Yes</v>
      </c>
      <c r="C17" s="98"/>
      <c r="D17" s="98"/>
      <c r="E17" s="98"/>
      <c r="F17" s="98"/>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x14ac:dyDescent="0.25">
      <c r="A18" s="4" t="str">
        <f ca="1">IFERROR(__xludf.DUMMYFUNCTION("""COMPUTED_VALUE"""),"Yes")</f>
        <v>Yes</v>
      </c>
      <c r="B18" s="4" t="str">
        <f ca="1">IFERROR(__xludf.DUMMYFUNCTION("""COMPUTED_VALUE"""),"No")</f>
        <v>No</v>
      </c>
      <c r="C18" s="98"/>
      <c r="D18" s="98"/>
      <c r="E18" s="98"/>
      <c r="F18" s="98"/>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x14ac:dyDescent="0.25">
      <c r="A19" s="4" t="str">
        <f ca="1">IFERROR(__xludf.DUMMYFUNCTION("""COMPUTED_VALUE"""),"Yes")</f>
        <v>Yes</v>
      </c>
      <c r="B19" s="4" t="str">
        <f ca="1">IFERROR(__xludf.DUMMYFUNCTION("""COMPUTED_VALUE"""),"Yes")</f>
        <v>Yes</v>
      </c>
      <c r="C19" s="98"/>
      <c r="D19" s="98"/>
      <c r="E19" s="98"/>
      <c r="F19" s="98"/>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x14ac:dyDescent="0.25">
      <c r="A20" s="4" t="str">
        <f ca="1">IFERROR(__xludf.DUMMYFUNCTION("""COMPUTED_VALUE"""),"Yes")</f>
        <v>Yes</v>
      </c>
      <c r="B20" s="4" t="str">
        <f ca="1">IFERROR(__xludf.DUMMYFUNCTION("""COMPUTED_VALUE"""),"No")</f>
        <v>No</v>
      </c>
      <c r="C20" s="98"/>
      <c r="D20" s="98"/>
      <c r="E20" s="98"/>
      <c r="F20" s="98"/>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x14ac:dyDescent="0.25">
      <c r="A21" s="4" t="str">
        <f ca="1">IFERROR(__xludf.DUMMYFUNCTION("""COMPUTED_VALUE"""),"Yes")</f>
        <v>Yes</v>
      </c>
      <c r="B21" s="4" t="str">
        <f ca="1">IFERROR(__xludf.DUMMYFUNCTION("""COMPUTED_VALUE"""),"No")</f>
        <v>No</v>
      </c>
      <c r="C21" s="98"/>
      <c r="D21" s="98"/>
      <c r="E21" s="98"/>
      <c r="F21" s="98"/>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x14ac:dyDescent="0.25">
      <c r="A22" s="4" t="str">
        <f ca="1">IFERROR(__xludf.DUMMYFUNCTION("""COMPUTED_VALUE"""),"Yes")</f>
        <v>Yes</v>
      </c>
      <c r="B22" s="4" t="str">
        <f ca="1">IFERROR(__xludf.DUMMYFUNCTION("""COMPUTED_VALUE"""),"No")</f>
        <v>No</v>
      </c>
      <c r="C22" s="98"/>
      <c r="D22" s="98"/>
      <c r="E22" s="98"/>
      <c r="F22" s="98"/>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x14ac:dyDescent="0.25">
      <c r="A23" s="4" t="str">
        <f ca="1">IFERROR(__xludf.DUMMYFUNCTION("""COMPUTED_VALUE"""),"Yes")</f>
        <v>Yes</v>
      </c>
      <c r="B23" s="4" t="str">
        <f ca="1">IFERROR(__xludf.DUMMYFUNCTION("""COMPUTED_VALUE"""),"No")</f>
        <v>No</v>
      </c>
      <c r="C23" s="98"/>
      <c r="D23" s="98"/>
      <c r="E23" s="98"/>
      <c r="F23" s="98"/>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x14ac:dyDescent="0.25">
      <c r="A24" s="4" t="str">
        <f ca="1">IFERROR(__xludf.DUMMYFUNCTION("""COMPUTED_VALUE"""),"Yes")</f>
        <v>Yes</v>
      </c>
      <c r="B24" s="4" t="str">
        <f ca="1">IFERROR(__xludf.DUMMYFUNCTION("""COMPUTED_VALUE"""),"No")</f>
        <v>No</v>
      </c>
      <c r="C24" s="98"/>
      <c r="D24" s="98"/>
      <c r="E24" s="98"/>
      <c r="F24" s="98"/>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99" t="str">
        <f ca="1">IFERROR(__xludf.DUMMYFUNCTION("""COMPUTED_VALUE"""),"0:1")</f>
        <v>0:1</v>
      </c>
      <c r="G26" s="98"/>
      <c r="H26" s="98"/>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x14ac:dyDescent="0.25">
      <c r="A29" s="4" t="str">
        <f ca="1">IFERROR(__xludf.DUMMYFUNCTION("""COMPUTED_VALUE"""),"Yes")</f>
        <v>Yes</v>
      </c>
      <c r="B29" s="4" t="str">
        <f ca="1">IFERROR(__xludf.DUMMYFUNCTION("""COMPUTED_VALUE"""),"No")</f>
        <v>No</v>
      </c>
      <c r="C29" s="98"/>
      <c r="D29" s="98"/>
      <c r="E29" s="98"/>
      <c r="F29" s="98"/>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x14ac:dyDescent="0.25">
      <c r="A30" s="4" t="str">
        <f ca="1">IFERROR(__xludf.DUMMYFUNCTION("""COMPUTED_VALUE"""),"Yes")</f>
        <v>Yes</v>
      </c>
      <c r="B30" s="4" t="str">
        <f ca="1">IFERROR(__xludf.DUMMYFUNCTION("""COMPUTED_VALUE"""),"No")</f>
        <v>No</v>
      </c>
      <c r="C30" s="98"/>
      <c r="D30" s="98"/>
      <c r="E30" s="98"/>
      <c r="F30" s="98"/>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x14ac:dyDescent="0.25">
      <c r="A31" s="4" t="str">
        <f ca="1">IFERROR(__xludf.DUMMYFUNCTION("""COMPUTED_VALUE"""),"Yes")</f>
        <v>Yes</v>
      </c>
      <c r="B31" s="4" t="str">
        <f ca="1">IFERROR(__xludf.DUMMYFUNCTION("""COMPUTED_VALUE"""),"No")</f>
        <v>No</v>
      </c>
      <c r="C31" s="98"/>
      <c r="D31" s="98"/>
      <c r="E31" s="98"/>
      <c r="F31" s="98"/>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x14ac:dyDescent="0.25">
      <c r="A32" s="4" t="str">
        <f ca="1">IFERROR(__xludf.DUMMYFUNCTION("""COMPUTED_VALUE"""),"Yes")</f>
        <v>Yes</v>
      </c>
      <c r="B32" s="4" t="str">
        <f ca="1">IFERROR(__xludf.DUMMYFUNCTION("""COMPUTED_VALUE"""),"No")</f>
        <v>No</v>
      </c>
      <c r="C32" s="98"/>
      <c r="D32" s="98"/>
      <c r="E32" s="98"/>
      <c r="F32" s="98"/>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x14ac:dyDescent="0.25">
      <c r="A36" s="4" t="str">
        <f ca="1">IFERROR(__xludf.DUMMYFUNCTION("""COMPUTED_VALUE"""),"Yes")</f>
        <v>Yes</v>
      </c>
      <c r="B36" s="4" t="str">
        <f ca="1">IFERROR(__xludf.DUMMYFUNCTION("""COMPUTED_VALUE"""),"Yes")</f>
        <v>Yes</v>
      </c>
      <c r="C36" s="97" t="str">
        <f ca="1">IFERROR(__xludf.DUMMYFUNCTION("""COMPUTED_VALUE"""),"Scope")</f>
        <v>Scope</v>
      </c>
      <c r="D36" s="97" t="str">
        <f ca="1">IFERROR(__xludf.DUMMYFUNCTION("""COMPUTED_VALUE"""),"1")</f>
        <v>1</v>
      </c>
      <c r="E36" s="99" t="str">
        <f ca="1">IFERROR(__xludf.DUMMYFUNCTION("""COMPUTED_VALUE"""),"Product / matrix")</f>
        <v>Product / matrix</v>
      </c>
      <c r="F36" s="99" t="str">
        <f ca="1">IFERROR(__xludf.DUMMYFUNCTION("""COMPUTED_VALUE"""),"1:N")</f>
        <v>1:N</v>
      </c>
      <c r="G36" s="5" t="str">
        <f ca="1">IFERROR(__xludf.DUMMYFUNCTION("""COMPUTED_VALUE"""),"Product/matrix name")</f>
        <v>Product/matrix name</v>
      </c>
      <c r="H36" s="5" t="str">
        <f ca="1">IFERROR(__xludf.DUMMYFUNCTION("""COMPUTED_VALUE"""),"1")</f>
        <v>1</v>
      </c>
      <c r="I36" s="13"/>
      <c r="J36" s="4"/>
      <c r="K36" s="101" t="str">
        <f ca="1">E36</f>
        <v>Product / matrix</v>
      </c>
      <c r="L36" s="98"/>
      <c r="M36" s="98"/>
      <c r="N36" s="98"/>
      <c r="O36" s="98"/>
      <c r="P36" s="98"/>
      <c r="Q36" s="98"/>
      <c r="R36" s="98"/>
      <c r="S36" s="98"/>
      <c r="T36" s="98"/>
      <c r="U36" s="98"/>
      <c r="V36" s="101" t="str">
        <f ca="1">E47</f>
        <v>Hazard</v>
      </c>
      <c r="W36" s="98"/>
      <c r="X36" s="98"/>
      <c r="Y36" s="98"/>
      <c r="Z36" s="98"/>
      <c r="AA36" s="98"/>
      <c r="AB36" s="98"/>
      <c r="AC36" s="98"/>
      <c r="AD36" s="98"/>
      <c r="AE36" s="98"/>
      <c r="AF36" s="98"/>
      <c r="AG36" s="98"/>
      <c r="AH36" s="98"/>
      <c r="AI36" s="98"/>
      <c r="AJ36" s="101" t="str">
        <f ca="1">E61</f>
        <v>Population Group</v>
      </c>
      <c r="AK36" s="98"/>
      <c r="AL36" s="98"/>
      <c r="AM36" s="98"/>
      <c r="AN36" s="98"/>
      <c r="AO36" s="98"/>
      <c r="AP36" s="98"/>
      <c r="AQ36" s="98"/>
      <c r="AR36" s="98"/>
      <c r="AS36" s="98"/>
      <c r="AT36" s="98"/>
      <c r="AU36" s="98"/>
      <c r="AV36" s="98"/>
    </row>
    <row r="37" spans="1:48" ht="12.5" x14ac:dyDescent="0.25">
      <c r="A37" s="4" t="str">
        <f ca="1">IFERROR(__xludf.DUMMYFUNCTION("""COMPUTED_VALUE"""),"Yes")</f>
        <v>Yes</v>
      </c>
      <c r="B37" s="4" t="str">
        <f ca="1">IFERROR(__xludf.DUMMYFUNCTION("""COMPUTED_VALUE"""),"Yes")</f>
        <v>Yes</v>
      </c>
      <c r="C37" s="98"/>
      <c r="D37" s="98"/>
      <c r="E37" s="98"/>
      <c r="F37" s="98"/>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x14ac:dyDescent="0.25">
      <c r="A38" s="4" t="str">
        <f ca="1">IFERROR(__xludf.DUMMYFUNCTION("""COMPUTED_VALUE"""),"Yes")</f>
        <v>Yes</v>
      </c>
      <c r="B38" s="4" t="str">
        <f ca="1">IFERROR(__xludf.DUMMYFUNCTION("""COMPUTED_VALUE"""),"Yes")</f>
        <v>Yes</v>
      </c>
      <c r="C38" s="98"/>
      <c r="D38" s="98"/>
      <c r="E38" s="98"/>
      <c r="F38" s="98"/>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x14ac:dyDescent="0.25">
      <c r="A39" s="4" t="str">
        <f ca="1">IFERROR(__xludf.DUMMYFUNCTION("""COMPUTED_VALUE"""),"Yes")</f>
        <v>Yes</v>
      </c>
      <c r="B39" s="4" t="str">
        <f ca="1">IFERROR(__xludf.DUMMYFUNCTION("""COMPUTED_VALUE"""),"No")</f>
        <v>No</v>
      </c>
      <c r="C39" s="98"/>
      <c r="D39" s="98"/>
      <c r="E39" s="98"/>
      <c r="F39" s="98"/>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x14ac:dyDescent="0.25">
      <c r="A40" s="4" t="str">
        <f ca="1">IFERROR(__xludf.DUMMYFUNCTION("""COMPUTED_VALUE"""),"Yes")</f>
        <v>Yes</v>
      </c>
      <c r="B40" s="4" t="str">
        <f ca="1">IFERROR(__xludf.DUMMYFUNCTION("""COMPUTED_VALUE"""),"No")</f>
        <v>No</v>
      </c>
      <c r="C40" s="98"/>
      <c r="D40" s="98"/>
      <c r="E40" s="98"/>
      <c r="F40" s="98"/>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x14ac:dyDescent="0.25">
      <c r="A41" s="4" t="str">
        <f ca="1">IFERROR(__xludf.DUMMYFUNCTION("""COMPUTED_VALUE"""),"Yes")</f>
        <v>Yes</v>
      </c>
      <c r="B41" s="4" t="str">
        <f ca="1">IFERROR(__xludf.DUMMYFUNCTION("""COMPUTED_VALUE"""),"No")</f>
        <v>No</v>
      </c>
      <c r="C41" s="98"/>
      <c r="D41" s="98"/>
      <c r="E41" s="98"/>
      <c r="F41" s="98"/>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x14ac:dyDescent="0.25">
      <c r="A42" s="4" t="str">
        <f ca="1">IFERROR(__xludf.DUMMYFUNCTION("""COMPUTED_VALUE"""),"Yes")</f>
        <v>Yes</v>
      </c>
      <c r="B42" s="4" t="str">
        <f ca="1">IFERROR(__xludf.DUMMYFUNCTION("""COMPUTED_VALUE"""),"No")</f>
        <v>No</v>
      </c>
      <c r="C42" s="98"/>
      <c r="D42" s="98"/>
      <c r="E42" s="98"/>
      <c r="F42" s="98"/>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x14ac:dyDescent="0.25">
      <c r="A43" s="4" t="str">
        <f ca="1">IFERROR(__xludf.DUMMYFUNCTION("""COMPUTED_VALUE"""),"Yes")</f>
        <v>Yes</v>
      </c>
      <c r="B43" s="4" t="str">
        <f ca="1">IFERROR(__xludf.DUMMYFUNCTION("""COMPUTED_VALUE"""),"No")</f>
        <v>No</v>
      </c>
      <c r="C43" s="98"/>
      <c r="D43" s="98"/>
      <c r="E43" s="98"/>
      <c r="F43" s="98"/>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x14ac:dyDescent="0.25">
      <c r="A44" s="4" t="str">
        <f ca="1">IFERROR(__xludf.DUMMYFUNCTION("""COMPUTED_VALUE"""),"Yes")</f>
        <v>Yes</v>
      </c>
      <c r="B44" s="4" t="str">
        <f ca="1">IFERROR(__xludf.DUMMYFUNCTION("""COMPUTED_VALUE"""),"No")</f>
        <v>No</v>
      </c>
      <c r="C44" s="98"/>
      <c r="D44" s="98"/>
      <c r="E44" s="98"/>
      <c r="F44" s="98"/>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x14ac:dyDescent="0.25">
      <c r="A45" s="4" t="str">
        <f ca="1">IFERROR(__xludf.DUMMYFUNCTION("""COMPUTED_VALUE"""),"Yes")</f>
        <v>Yes</v>
      </c>
      <c r="B45" s="4" t="str">
        <f ca="1">IFERROR(__xludf.DUMMYFUNCTION("""COMPUTED_VALUE"""),"No")</f>
        <v>No</v>
      </c>
      <c r="C45" s="98"/>
      <c r="D45" s="98"/>
      <c r="E45" s="98"/>
      <c r="F45" s="98"/>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x14ac:dyDescent="0.25">
      <c r="A46" s="4" t="str">
        <f ca="1">IFERROR(__xludf.DUMMYFUNCTION("""COMPUTED_VALUE"""),"Yes")</f>
        <v>Yes</v>
      </c>
      <c r="B46" s="4" t="str">
        <f ca="1">IFERROR(__xludf.DUMMYFUNCTION("""COMPUTED_VALUE"""),"No")</f>
        <v>No</v>
      </c>
      <c r="C46" s="98"/>
      <c r="D46" s="98"/>
      <c r="E46" s="98"/>
      <c r="F46" s="98"/>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x14ac:dyDescent="0.25">
      <c r="A47" s="4" t="str">
        <f ca="1">IFERROR(__xludf.DUMMYFUNCTION("""COMPUTED_VALUE"""),"Yes")</f>
        <v>Yes</v>
      </c>
      <c r="B47" s="4" t="str">
        <f ca="1">IFERROR(__xludf.DUMMYFUNCTION("""COMPUTED_VALUE"""),"No")</f>
        <v>No</v>
      </c>
      <c r="C47" s="98"/>
      <c r="D47" s="98"/>
      <c r="E47" s="99" t="str">
        <f ca="1">IFERROR(__xludf.DUMMYFUNCTION("""COMPUTED_VALUE"""),"Hazard")</f>
        <v>Hazard</v>
      </c>
      <c r="F47" s="99"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x14ac:dyDescent="0.25">
      <c r="A48" s="4" t="str">
        <f ca="1">IFERROR(__xludf.DUMMYFUNCTION("""COMPUTED_VALUE"""),"Yes")</f>
        <v>Yes</v>
      </c>
      <c r="B48" s="4" t="str">
        <f ca="1">IFERROR(__xludf.DUMMYFUNCTION("""COMPUTED_VALUE"""),"Yes")</f>
        <v>Yes</v>
      </c>
      <c r="C48" s="98"/>
      <c r="D48" s="98"/>
      <c r="E48" s="98"/>
      <c r="F48" s="98"/>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x14ac:dyDescent="0.25">
      <c r="A49" s="4" t="str">
        <f ca="1">IFERROR(__xludf.DUMMYFUNCTION("""COMPUTED_VALUE"""),"Yes")</f>
        <v>Yes</v>
      </c>
      <c r="B49" s="4" t="str">
        <f ca="1">IFERROR(__xludf.DUMMYFUNCTION("""COMPUTED_VALUE"""),"No")</f>
        <v>No</v>
      </c>
      <c r="C49" s="98"/>
      <c r="D49" s="98"/>
      <c r="E49" s="98"/>
      <c r="F49" s="98"/>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x14ac:dyDescent="0.25">
      <c r="A50" s="4" t="str">
        <f ca="1">IFERROR(__xludf.DUMMYFUNCTION("""COMPUTED_VALUE"""),"Yes")</f>
        <v>Yes</v>
      </c>
      <c r="B50" s="4" t="str">
        <f ca="1">IFERROR(__xludf.DUMMYFUNCTION("""COMPUTED_VALUE"""),"No")</f>
        <v>No</v>
      </c>
      <c r="C50" s="98"/>
      <c r="D50" s="98"/>
      <c r="E50" s="98"/>
      <c r="F50" s="98"/>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x14ac:dyDescent="0.25">
      <c r="A51" s="4" t="str">
        <f ca="1">IFERROR(__xludf.DUMMYFUNCTION("""COMPUTED_VALUE"""),"Yes")</f>
        <v>Yes</v>
      </c>
      <c r="B51" s="4" t="str">
        <f ca="1">IFERROR(__xludf.DUMMYFUNCTION("""COMPUTED_VALUE"""),"No")</f>
        <v>No</v>
      </c>
      <c r="C51" s="98"/>
      <c r="D51" s="98"/>
      <c r="E51" s="98"/>
      <c r="F51" s="98"/>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x14ac:dyDescent="0.25">
      <c r="A52" s="4" t="str">
        <f ca="1">IFERROR(__xludf.DUMMYFUNCTION("""COMPUTED_VALUE"""),"Yes")</f>
        <v>Yes</v>
      </c>
      <c r="B52" s="4" t="str">
        <f ca="1">IFERROR(__xludf.DUMMYFUNCTION("""COMPUTED_VALUE"""),"No")</f>
        <v>No</v>
      </c>
      <c r="C52" s="98"/>
      <c r="D52" s="98"/>
      <c r="E52" s="98"/>
      <c r="F52" s="98"/>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x14ac:dyDescent="0.25">
      <c r="A53" s="4" t="str">
        <f ca="1">IFERROR(__xludf.DUMMYFUNCTION("""COMPUTED_VALUE"""),"Yes")</f>
        <v>Yes</v>
      </c>
      <c r="B53" s="4" t="str">
        <f ca="1">IFERROR(__xludf.DUMMYFUNCTION("""COMPUTED_VALUE"""),"No")</f>
        <v>No</v>
      </c>
      <c r="C53" s="98"/>
      <c r="D53" s="98"/>
      <c r="E53" s="98"/>
      <c r="F53" s="98"/>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x14ac:dyDescent="0.25">
      <c r="A54" s="4" t="str">
        <f ca="1">IFERROR(__xludf.DUMMYFUNCTION("""COMPUTED_VALUE"""),"Yes")</f>
        <v>Yes</v>
      </c>
      <c r="B54" s="4" t="str">
        <f ca="1">IFERROR(__xludf.DUMMYFUNCTION("""COMPUTED_VALUE"""),"No")</f>
        <v>No</v>
      </c>
      <c r="C54" s="98"/>
      <c r="D54" s="98"/>
      <c r="E54" s="98"/>
      <c r="F54" s="98"/>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x14ac:dyDescent="0.25">
      <c r="A55" s="4" t="str">
        <f ca="1">IFERROR(__xludf.DUMMYFUNCTION("""COMPUTED_VALUE"""),"Yes")</f>
        <v>Yes</v>
      </c>
      <c r="B55" s="4" t="str">
        <f ca="1">IFERROR(__xludf.DUMMYFUNCTION("""COMPUTED_VALUE"""),"No")</f>
        <v>No</v>
      </c>
      <c r="C55" s="98"/>
      <c r="D55" s="98"/>
      <c r="E55" s="98"/>
      <c r="F55" s="98"/>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x14ac:dyDescent="0.25">
      <c r="A56" s="4" t="str">
        <f ca="1">IFERROR(__xludf.DUMMYFUNCTION("""COMPUTED_VALUE"""),"Yes")</f>
        <v>Yes</v>
      </c>
      <c r="B56" s="4" t="str">
        <f ca="1">IFERROR(__xludf.DUMMYFUNCTION("""COMPUTED_VALUE"""),"No")</f>
        <v>No</v>
      </c>
      <c r="C56" s="98"/>
      <c r="D56" s="98"/>
      <c r="E56" s="98"/>
      <c r="F56" s="98"/>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x14ac:dyDescent="0.25">
      <c r="A57" s="4" t="str">
        <f ca="1">IFERROR(__xludf.DUMMYFUNCTION("""COMPUTED_VALUE"""),"Yes")</f>
        <v>Yes</v>
      </c>
      <c r="B57" s="4" t="str">
        <f ca="1">IFERROR(__xludf.DUMMYFUNCTION("""COMPUTED_VALUE"""),"No")</f>
        <v>No</v>
      </c>
      <c r="C57" s="98"/>
      <c r="D57" s="98"/>
      <c r="E57" s="98"/>
      <c r="F57" s="98"/>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x14ac:dyDescent="0.25">
      <c r="A58" s="4" t="str">
        <f ca="1">IFERROR(__xludf.DUMMYFUNCTION("""COMPUTED_VALUE"""),"Yes")</f>
        <v>Yes</v>
      </c>
      <c r="B58" s="4" t="str">
        <f ca="1">IFERROR(__xludf.DUMMYFUNCTION("""COMPUTED_VALUE"""),"No")</f>
        <v>No</v>
      </c>
      <c r="C58" s="98"/>
      <c r="D58" s="98"/>
      <c r="E58" s="98"/>
      <c r="F58" s="98"/>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x14ac:dyDescent="0.25">
      <c r="A59" s="4" t="str">
        <f ca="1">IFERROR(__xludf.DUMMYFUNCTION("""COMPUTED_VALUE"""),"Yes")</f>
        <v>Yes</v>
      </c>
      <c r="B59" s="4" t="str">
        <f ca="1">IFERROR(__xludf.DUMMYFUNCTION("""COMPUTED_VALUE"""),"No")</f>
        <v>No</v>
      </c>
      <c r="C59" s="98"/>
      <c r="D59" s="98"/>
      <c r="E59" s="98"/>
      <c r="F59" s="98"/>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x14ac:dyDescent="0.25">
      <c r="A60" s="4" t="str">
        <f ca="1">IFERROR(__xludf.DUMMYFUNCTION("""COMPUTED_VALUE"""),"Yes")</f>
        <v>Yes</v>
      </c>
      <c r="B60" s="4" t="str">
        <f ca="1">IFERROR(__xludf.DUMMYFUNCTION("""COMPUTED_VALUE"""),"No")</f>
        <v>No</v>
      </c>
      <c r="C60" s="98"/>
      <c r="D60" s="98"/>
      <c r="E60" s="98"/>
      <c r="F60" s="98"/>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x14ac:dyDescent="0.25">
      <c r="A61" s="4" t="str">
        <f ca="1">IFERROR(__xludf.DUMMYFUNCTION("""COMPUTED_VALUE"""),"Yes")</f>
        <v>Yes</v>
      </c>
      <c r="B61" s="4" t="str">
        <f ca="1">IFERROR(__xludf.DUMMYFUNCTION("""COMPUTED_VALUE"""),"Yes")</f>
        <v>Yes</v>
      </c>
      <c r="C61" s="98"/>
      <c r="D61" s="98"/>
      <c r="E61" s="99" t="str">
        <f ca="1">IFERROR(__xludf.DUMMYFUNCTION("""COMPUTED_VALUE"""),"Population Group")</f>
        <v>Population Group</v>
      </c>
      <c r="F61" s="99"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x14ac:dyDescent="0.25">
      <c r="A62" s="4" t="str">
        <f ca="1">IFERROR(__xludf.DUMMYFUNCTION("""COMPUTED_VALUE"""),"Yes")</f>
        <v>Yes</v>
      </c>
      <c r="B62" s="4" t="str">
        <f ca="1">IFERROR(__xludf.DUMMYFUNCTION("""COMPUTED_VALUE"""),"No")</f>
        <v>No</v>
      </c>
      <c r="C62" s="98"/>
      <c r="D62" s="98"/>
      <c r="E62" s="98"/>
      <c r="F62" s="98"/>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x14ac:dyDescent="0.25">
      <c r="A63" s="4" t="str">
        <f ca="1">IFERROR(__xludf.DUMMYFUNCTION("""COMPUTED_VALUE"""),"Yes")</f>
        <v>Yes</v>
      </c>
      <c r="B63" s="4" t="str">
        <f ca="1">IFERROR(__xludf.DUMMYFUNCTION("""COMPUTED_VALUE"""),"No")</f>
        <v>No</v>
      </c>
      <c r="C63" s="98"/>
      <c r="D63" s="98"/>
      <c r="E63" s="98"/>
      <c r="F63" s="98"/>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x14ac:dyDescent="0.25">
      <c r="A64" s="4" t="str">
        <f ca="1">IFERROR(__xludf.DUMMYFUNCTION("""COMPUTED_VALUE"""),"Yes")</f>
        <v>Yes</v>
      </c>
      <c r="B64" s="4" t="str">
        <f ca="1">IFERROR(__xludf.DUMMYFUNCTION("""COMPUTED_VALUE"""),"No")</f>
        <v>No</v>
      </c>
      <c r="C64" s="98"/>
      <c r="D64" s="98"/>
      <c r="E64" s="98"/>
      <c r="F64" s="98"/>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x14ac:dyDescent="0.25">
      <c r="A65" s="4" t="str">
        <f ca="1">IFERROR(__xludf.DUMMYFUNCTION("""COMPUTED_VALUE"""),"Yes")</f>
        <v>Yes</v>
      </c>
      <c r="B65" s="4" t="str">
        <f ca="1">IFERROR(__xludf.DUMMYFUNCTION("""COMPUTED_VALUE"""),"No")</f>
        <v>No</v>
      </c>
      <c r="C65" s="98"/>
      <c r="D65" s="98"/>
      <c r="E65" s="98"/>
      <c r="F65" s="98"/>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x14ac:dyDescent="0.25">
      <c r="A66" s="4" t="str">
        <f ca="1">IFERROR(__xludf.DUMMYFUNCTION("""COMPUTED_VALUE"""),"Yes")</f>
        <v>Yes</v>
      </c>
      <c r="B66" s="4" t="str">
        <f ca="1">IFERROR(__xludf.DUMMYFUNCTION("""COMPUTED_VALUE"""),"No")</f>
        <v>No</v>
      </c>
      <c r="C66" s="98"/>
      <c r="D66" s="98"/>
      <c r="E66" s="98"/>
      <c r="F66" s="98"/>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x14ac:dyDescent="0.25">
      <c r="A67" s="4" t="str">
        <f ca="1">IFERROR(__xludf.DUMMYFUNCTION("""COMPUTED_VALUE"""),"Yes")</f>
        <v>Yes</v>
      </c>
      <c r="B67" s="4" t="str">
        <f ca="1">IFERROR(__xludf.DUMMYFUNCTION("""COMPUTED_VALUE"""),"No")</f>
        <v>No</v>
      </c>
      <c r="C67" s="98"/>
      <c r="D67" s="98"/>
      <c r="E67" s="98"/>
      <c r="F67" s="98"/>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x14ac:dyDescent="0.25">
      <c r="A68" s="4" t="str">
        <f ca="1">IFERROR(__xludf.DUMMYFUNCTION("""COMPUTED_VALUE"""),"Yes")</f>
        <v>Yes</v>
      </c>
      <c r="B68" s="4" t="str">
        <f ca="1">IFERROR(__xludf.DUMMYFUNCTION("""COMPUTED_VALUE"""),"No")</f>
        <v>No</v>
      </c>
      <c r="C68" s="98"/>
      <c r="D68" s="98"/>
      <c r="E68" s="98"/>
      <c r="F68" s="98"/>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x14ac:dyDescent="0.25">
      <c r="A69" s="4" t="str">
        <f ca="1">IFERROR(__xludf.DUMMYFUNCTION("""COMPUTED_VALUE"""),"Yes")</f>
        <v>Yes</v>
      </c>
      <c r="B69" s="4" t="str">
        <f ca="1">IFERROR(__xludf.DUMMYFUNCTION("""COMPUTED_VALUE"""),"No")</f>
        <v>No</v>
      </c>
      <c r="C69" s="98"/>
      <c r="D69" s="98"/>
      <c r="E69" s="98"/>
      <c r="F69" s="98"/>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x14ac:dyDescent="0.25">
      <c r="A70" s="4" t="str">
        <f ca="1">IFERROR(__xludf.DUMMYFUNCTION("""COMPUTED_VALUE"""),"Yes")</f>
        <v>Yes</v>
      </c>
      <c r="B70" s="4" t="str">
        <f ca="1">IFERROR(__xludf.DUMMYFUNCTION("""COMPUTED_VALUE"""),"No")</f>
        <v>No</v>
      </c>
      <c r="C70" s="98"/>
      <c r="D70" s="98"/>
      <c r="E70" s="98"/>
      <c r="F70" s="98"/>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x14ac:dyDescent="0.25">
      <c r="A71" s="4" t="str">
        <f ca="1">IFERROR(__xludf.DUMMYFUNCTION("""COMPUTED_VALUE"""),"Yes")</f>
        <v>Yes</v>
      </c>
      <c r="B71" s="4" t="str">
        <f ca="1">IFERROR(__xludf.DUMMYFUNCTION("""COMPUTED_VALUE"""),"No")</f>
        <v>No</v>
      </c>
      <c r="C71" s="98"/>
      <c r="D71" s="98"/>
      <c r="E71" s="98"/>
      <c r="F71" s="98"/>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x14ac:dyDescent="0.25">
      <c r="A72" s="4" t="str">
        <f ca="1">IFERROR(__xludf.DUMMYFUNCTION("""COMPUTED_VALUE"""),"Yes")</f>
        <v>Yes</v>
      </c>
      <c r="B72" s="4" t="str">
        <f ca="1">IFERROR(__xludf.DUMMYFUNCTION("""COMPUTED_VALUE"""),"No")</f>
        <v>No</v>
      </c>
      <c r="C72" s="98"/>
      <c r="D72" s="98"/>
      <c r="E72" s="98"/>
      <c r="F72" s="98"/>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x14ac:dyDescent="0.25">
      <c r="A73" s="4" t="str">
        <f ca="1">IFERROR(__xludf.DUMMYFUNCTION("""COMPUTED_VALUE"""),"Yes")</f>
        <v>Yes</v>
      </c>
      <c r="B73" s="4" t="str">
        <f ca="1">IFERROR(__xludf.DUMMYFUNCTION("""COMPUTED_VALUE"""),"No")</f>
        <v>No</v>
      </c>
      <c r="C73" s="98"/>
      <c r="D73" s="98"/>
      <c r="E73" s="98"/>
      <c r="F73" s="98"/>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x14ac:dyDescent="0.25">
      <c r="A74" s="4" t="str">
        <f ca="1">IFERROR(__xludf.DUMMYFUNCTION("""COMPUTED_VALUE"""),"Yes")</f>
        <v>Yes</v>
      </c>
      <c r="B74" s="4" t="str">
        <f ca="1">IFERROR(__xludf.DUMMYFUNCTION("""COMPUTED_VALUE"""),"No")</f>
        <v>No</v>
      </c>
      <c r="C74" s="98"/>
      <c r="D74" s="98"/>
      <c r="E74" s="5" t="str">
        <f ca="1">IFERROR(__xludf.DUMMYFUNCTION("""COMPUTED_VALUE"""),"General comment")</f>
        <v>General comment</v>
      </c>
      <c r="F74" s="99" t="str">
        <f ca="1">IFERROR(__xludf.DUMMYFUNCTION("""COMPUTED_VALUE"""),"0:1")</f>
        <v>0:1</v>
      </c>
      <c r="G74" s="98"/>
      <c r="H74" s="98"/>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x14ac:dyDescent="0.25">
      <c r="A75" s="4" t="str">
        <f ca="1">IFERROR(__xludf.DUMMYFUNCTION("""COMPUTED_VALUE"""),"Yes")</f>
        <v>Yes</v>
      </c>
      <c r="B75" s="4" t="str">
        <f ca="1">IFERROR(__xludf.DUMMYFUNCTION("""COMPUTED_VALUE"""),"No")</f>
        <v>No</v>
      </c>
      <c r="C75" s="98"/>
      <c r="D75" s="98"/>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x14ac:dyDescent="0.25">
      <c r="A76" s="4" t="str">
        <f ca="1">IFERROR(__xludf.DUMMYFUNCTION("""COMPUTED_VALUE"""),"Yes")</f>
        <v>Yes</v>
      </c>
      <c r="B76" s="4" t="str">
        <f ca="1">IFERROR(__xludf.DUMMYFUNCTION("""COMPUTED_VALUE"""),"No")</f>
        <v>No</v>
      </c>
      <c r="C76" s="98"/>
      <c r="D76" s="98"/>
      <c r="E76" s="99" t="str">
        <f ca="1">IFERROR(__xludf.DUMMYFUNCTION("""COMPUTED_VALUE"""),"Spatial information")</f>
        <v>Spatial information</v>
      </c>
      <c r="F76" s="99"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x14ac:dyDescent="0.25">
      <c r="A77" s="4" t="str">
        <f ca="1">IFERROR(__xludf.DUMMYFUNCTION("""COMPUTED_VALUE"""),"Yes")</f>
        <v>Yes</v>
      </c>
      <c r="B77" s="4" t="str">
        <f ca="1">IFERROR(__xludf.DUMMYFUNCTION("""COMPUTED_VALUE"""),"No")</f>
        <v>No</v>
      </c>
      <c r="C77" s="98"/>
      <c r="D77" s="98"/>
      <c r="E77" s="98"/>
      <c r="F77" s="98"/>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x14ac:dyDescent="0.25">
      <c r="A78" s="4" t="str">
        <f ca="1">IFERROR(__xludf.DUMMYFUNCTION("""COMPUTED_VALUE"""),"Yes")</f>
        <v>Yes</v>
      </c>
      <c r="B78" s="4" t="str">
        <f ca="1">IFERROR(__xludf.DUMMYFUNCTION("""COMPUTED_VALUE"""),"No")</f>
        <v>No</v>
      </c>
      <c r="C78" s="97" t="str">
        <f ca="1">IFERROR(__xludf.DUMMYFUNCTION("""COMPUTED_VALUE"""),"Data_background")</f>
        <v>Data_background</v>
      </c>
      <c r="D78" s="97" t="str">
        <f ca="1">IFERROR(__xludf.DUMMYFUNCTION("""COMPUTED_VALUE"""),"0:1")</f>
        <v>0:1</v>
      </c>
      <c r="E78" s="99" t="str">
        <f ca="1">IFERROR(__xludf.DUMMYFUNCTION("""COMPUTED_VALUE"""),"Study")</f>
        <v>Study</v>
      </c>
      <c r="F78" s="99"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x14ac:dyDescent="0.25">
      <c r="A79" s="4" t="str">
        <f ca="1">IFERROR(__xludf.DUMMYFUNCTION("""COMPUTED_VALUE"""),"Yes")</f>
        <v>Yes</v>
      </c>
      <c r="B79" s="4" t="str">
        <f ca="1">IFERROR(__xludf.DUMMYFUNCTION("""COMPUTED_VALUE"""),"No")</f>
        <v>No</v>
      </c>
      <c r="C79" s="98"/>
      <c r="D79" s="98"/>
      <c r="E79" s="98"/>
      <c r="F79" s="98"/>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x14ac:dyDescent="0.25">
      <c r="A80" s="4" t="str">
        <f ca="1">IFERROR(__xludf.DUMMYFUNCTION("""COMPUTED_VALUE"""),"Yes")</f>
        <v>Yes</v>
      </c>
      <c r="B80" s="4" t="str">
        <f ca="1">IFERROR(__xludf.DUMMYFUNCTION("""COMPUTED_VALUE"""),"No")</f>
        <v>No</v>
      </c>
      <c r="C80" s="98"/>
      <c r="D80" s="98"/>
      <c r="E80" s="98"/>
      <c r="F80" s="98"/>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x14ac:dyDescent="0.25">
      <c r="A81" s="4" t="str">
        <f ca="1">IFERROR(__xludf.DUMMYFUNCTION("""COMPUTED_VALUE"""),"Yes")</f>
        <v>Yes</v>
      </c>
      <c r="B81" s="4" t="str">
        <f ca="1">IFERROR(__xludf.DUMMYFUNCTION("""COMPUTED_VALUE"""),"No")</f>
        <v>No</v>
      </c>
      <c r="C81" s="98"/>
      <c r="D81" s="98"/>
      <c r="E81" s="98"/>
      <c r="F81" s="98"/>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x14ac:dyDescent="0.25">
      <c r="A82" s="4" t="str">
        <f ca="1">IFERROR(__xludf.DUMMYFUNCTION("""COMPUTED_VALUE"""),"Yes")</f>
        <v>Yes</v>
      </c>
      <c r="B82" s="4" t="str">
        <f ca="1">IFERROR(__xludf.DUMMYFUNCTION("""COMPUTED_VALUE"""),"No")</f>
        <v>No</v>
      </c>
      <c r="C82" s="98"/>
      <c r="D82" s="98"/>
      <c r="E82" s="98"/>
      <c r="F82" s="98"/>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x14ac:dyDescent="0.25">
      <c r="A83" s="4" t="str">
        <f ca="1">IFERROR(__xludf.DUMMYFUNCTION("""COMPUTED_VALUE"""),"Yes")</f>
        <v>Yes</v>
      </c>
      <c r="B83" s="4" t="str">
        <f ca="1">IFERROR(__xludf.DUMMYFUNCTION("""COMPUTED_VALUE"""),"No")</f>
        <v>No</v>
      </c>
      <c r="C83" s="98"/>
      <c r="D83" s="98"/>
      <c r="E83" s="98"/>
      <c r="F83" s="98"/>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x14ac:dyDescent="0.25">
      <c r="A84" s="4" t="str">
        <f ca="1">IFERROR(__xludf.DUMMYFUNCTION("""COMPUTED_VALUE"""),"Yes")</f>
        <v>Yes</v>
      </c>
      <c r="B84" s="4" t="str">
        <f ca="1">IFERROR(__xludf.DUMMYFUNCTION("""COMPUTED_VALUE"""),"No")</f>
        <v>No</v>
      </c>
      <c r="C84" s="98"/>
      <c r="D84" s="98"/>
      <c r="E84" s="98"/>
      <c r="F84" s="98"/>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x14ac:dyDescent="0.25">
      <c r="A85" s="4" t="str">
        <f ca="1">IFERROR(__xludf.DUMMYFUNCTION("""COMPUTED_VALUE"""),"Yes")</f>
        <v>Yes</v>
      </c>
      <c r="B85" s="4" t="str">
        <f ca="1">IFERROR(__xludf.DUMMYFUNCTION("""COMPUTED_VALUE"""),"No")</f>
        <v>No</v>
      </c>
      <c r="C85" s="98"/>
      <c r="D85" s="98"/>
      <c r="E85" s="98"/>
      <c r="F85" s="98"/>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x14ac:dyDescent="0.25">
      <c r="A86" s="4" t="str">
        <f ca="1">IFERROR(__xludf.DUMMYFUNCTION("""COMPUTED_VALUE"""),"Yes")</f>
        <v>Yes</v>
      </c>
      <c r="B86" s="4" t="str">
        <f ca="1">IFERROR(__xludf.DUMMYFUNCTION("""COMPUTED_VALUE"""),"No")</f>
        <v>No</v>
      </c>
      <c r="C86" s="98"/>
      <c r="D86" s="98"/>
      <c r="E86" s="98"/>
      <c r="F86" s="98"/>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x14ac:dyDescent="0.25">
      <c r="A87" s="4" t="str">
        <f ca="1">IFERROR(__xludf.DUMMYFUNCTION("""COMPUTED_VALUE"""),"Yes")</f>
        <v>Yes</v>
      </c>
      <c r="B87" s="4" t="str">
        <f ca="1">IFERROR(__xludf.DUMMYFUNCTION("""COMPUTED_VALUE"""),"No")</f>
        <v>No</v>
      </c>
      <c r="C87" s="98"/>
      <c r="D87" s="98"/>
      <c r="E87" s="98"/>
      <c r="F87" s="98"/>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x14ac:dyDescent="0.25">
      <c r="A88" s="4" t="str">
        <f ca="1">IFERROR(__xludf.DUMMYFUNCTION("""COMPUTED_VALUE"""),"Yes")</f>
        <v>Yes</v>
      </c>
      <c r="B88" s="4" t="str">
        <f ca="1">IFERROR(__xludf.DUMMYFUNCTION("""COMPUTED_VALUE"""),"No")</f>
        <v>No</v>
      </c>
      <c r="C88" s="98"/>
      <c r="D88" s="98"/>
      <c r="E88" s="98"/>
      <c r="F88" s="98"/>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x14ac:dyDescent="0.25">
      <c r="A89" s="4" t="str">
        <f ca="1">IFERROR(__xludf.DUMMYFUNCTION("""COMPUTED_VALUE"""),"Yes")</f>
        <v>Yes</v>
      </c>
      <c r="B89" s="4" t="str">
        <f ca="1">IFERROR(__xludf.DUMMYFUNCTION("""COMPUTED_VALUE"""),"No")</f>
        <v>No</v>
      </c>
      <c r="C89" s="98"/>
      <c r="D89" s="98"/>
      <c r="E89" s="98"/>
      <c r="F89" s="98"/>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x14ac:dyDescent="0.25">
      <c r="A90" s="4" t="str">
        <f ca="1">IFERROR(__xludf.DUMMYFUNCTION("""COMPUTED_VALUE"""),"Yes")</f>
        <v>Yes</v>
      </c>
      <c r="B90" s="4" t="str">
        <f ca="1">IFERROR(__xludf.DUMMYFUNCTION("""COMPUTED_VALUE"""),"No")</f>
        <v>No</v>
      </c>
      <c r="C90" s="98"/>
      <c r="D90" s="98"/>
      <c r="E90" s="98"/>
      <c r="F90" s="98"/>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x14ac:dyDescent="0.25">
      <c r="A91" s="4" t="str">
        <f ca="1">IFERROR(__xludf.DUMMYFUNCTION("""COMPUTED_VALUE"""),"Yes")</f>
        <v>Yes</v>
      </c>
      <c r="B91" s="4" t="str">
        <f ca="1">IFERROR(__xludf.DUMMYFUNCTION("""COMPUTED_VALUE"""),"No")</f>
        <v>No</v>
      </c>
      <c r="C91" s="98"/>
      <c r="D91" s="98"/>
      <c r="E91" s="98"/>
      <c r="F91" s="98"/>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x14ac:dyDescent="0.25">
      <c r="A92" s="4" t="str">
        <f ca="1">IFERROR(__xludf.DUMMYFUNCTION("""COMPUTED_VALUE"""),"Yes")</f>
        <v>Yes</v>
      </c>
      <c r="B92" s="4" t="str">
        <f ca="1">IFERROR(__xludf.DUMMYFUNCTION("""COMPUTED_VALUE"""),"No")</f>
        <v>No</v>
      </c>
      <c r="C92" s="98"/>
      <c r="D92" s="98"/>
      <c r="E92" s="98"/>
      <c r="F92" s="98"/>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x14ac:dyDescent="0.25">
      <c r="A93" s="4" t="str">
        <f ca="1">IFERROR(__xludf.DUMMYFUNCTION("""COMPUTED_VALUE"""),"Yes")</f>
        <v>Yes</v>
      </c>
      <c r="B93" s="4" t="str">
        <f ca="1">IFERROR(__xludf.DUMMYFUNCTION("""COMPUTED_VALUE"""),"No")</f>
        <v>No</v>
      </c>
      <c r="C93" s="98"/>
      <c r="D93" s="98"/>
      <c r="E93" s="98"/>
      <c r="F93" s="98"/>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x14ac:dyDescent="0.25">
      <c r="A94" s="4" t="str">
        <f ca="1">IFERROR(__xludf.DUMMYFUNCTION("""COMPUTED_VALUE"""),"Yes")</f>
        <v>Yes</v>
      </c>
      <c r="B94" s="4" t="str">
        <f ca="1">IFERROR(__xludf.DUMMYFUNCTION("""COMPUTED_VALUE"""),"No")</f>
        <v>No</v>
      </c>
      <c r="C94" s="98"/>
      <c r="D94" s="98"/>
      <c r="E94" s="99" t="str">
        <f ca="1">IFERROR(__xludf.DUMMYFUNCTION("""COMPUTED_VALUE"""),"Study Sample")</f>
        <v>Study Sample</v>
      </c>
      <c r="F94" s="99" t="str">
        <f ca="1">IFERROR(__xludf.DUMMYFUNCTION("""COMPUTED_VALUE"""),"0:N")</f>
        <v>0:N</v>
      </c>
      <c r="G94" s="7" t="str">
        <f ca="1">IFERROR(__xludf.DUMMYFUNCTION("""COMPUTED_VALUE"""),"Sample Name (ID)")</f>
        <v>Sample Name (ID)</v>
      </c>
      <c r="H94" s="5" t="str">
        <f ca="1">IFERROR(__xludf.DUMMYFUNCTION("""COMPUTED_VALUE"""),"1")</f>
        <v>1</v>
      </c>
      <c r="I94" s="13"/>
      <c r="J94" s="4"/>
      <c r="K94" s="101" t="str">
        <f ca="1">E94</f>
        <v>Study Sample</v>
      </c>
      <c r="L94" s="98"/>
      <c r="M94" s="98"/>
      <c r="N94" s="98"/>
      <c r="O94" s="98"/>
      <c r="P94" s="98"/>
      <c r="Q94" s="98"/>
      <c r="R94" s="98"/>
      <c r="S94" s="98"/>
      <c r="T94" s="98"/>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x14ac:dyDescent="0.25">
      <c r="A95" s="4" t="str">
        <f ca="1">IFERROR(__xludf.DUMMYFUNCTION("""COMPUTED_VALUE"""),"Yes")</f>
        <v>Yes</v>
      </c>
      <c r="B95" s="4" t="str">
        <f ca="1">IFERROR(__xludf.DUMMYFUNCTION("""COMPUTED_VALUE"""),"No")</f>
        <v>No</v>
      </c>
      <c r="C95" s="98"/>
      <c r="D95" s="98"/>
      <c r="E95" s="98"/>
      <c r="F95" s="98"/>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x14ac:dyDescent="0.25">
      <c r="A96" s="4" t="str">
        <f ca="1">IFERROR(__xludf.DUMMYFUNCTION("""COMPUTED_VALUE"""),"Yes")</f>
        <v>Yes</v>
      </c>
      <c r="B96" s="4" t="str">
        <f ca="1">IFERROR(__xludf.DUMMYFUNCTION("""COMPUTED_VALUE"""),"No")</f>
        <v>No</v>
      </c>
      <c r="C96" s="98"/>
      <c r="D96" s="98"/>
      <c r="E96" s="98"/>
      <c r="F96" s="98"/>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x14ac:dyDescent="0.25">
      <c r="A97" s="4" t="str">
        <f ca="1">IFERROR(__xludf.DUMMYFUNCTION("""COMPUTED_VALUE"""),"Yes")</f>
        <v>Yes</v>
      </c>
      <c r="B97" s="4" t="str">
        <f ca="1">IFERROR(__xludf.DUMMYFUNCTION("""COMPUTED_VALUE"""),"No")</f>
        <v>No</v>
      </c>
      <c r="C97" s="98"/>
      <c r="D97" s="98"/>
      <c r="E97" s="98"/>
      <c r="F97" s="98"/>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x14ac:dyDescent="0.25">
      <c r="A98" s="4" t="str">
        <f ca="1">IFERROR(__xludf.DUMMYFUNCTION("""COMPUTED_VALUE"""),"Yes")</f>
        <v>Yes</v>
      </c>
      <c r="B98" s="4" t="str">
        <f ca="1">IFERROR(__xludf.DUMMYFUNCTION("""COMPUTED_VALUE"""),"No")</f>
        <v>No</v>
      </c>
      <c r="C98" s="98"/>
      <c r="D98" s="98"/>
      <c r="E98" s="98"/>
      <c r="F98" s="98"/>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x14ac:dyDescent="0.25">
      <c r="A99" s="4" t="str">
        <f ca="1">IFERROR(__xludf.DUMMYFUNCTION("""COMPUTED_VALUE"""),"Yes")</f>
        <v>Yes</v>
      </c>
      <c r="B99" s="4" t="str">
        <f ca="1">IFERROR(__xludf.DUMMYFUNCTION("""COMPUTED_VALUE"""),"No")</f>
        <v>No</v>
      </c>
      <c r="C99" s="98"/>
      <c r="D99" s="98"/>
      <c r="E99" s="98"/>
      <c r="F99" s="98"/>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x14ac:dyDescent="0.25">
      <c r="A100" s="4" t="str">
        <f ca="1">IFERROR(__xludf.DUMMYFUNCTION("""COMPUTED_VALUE"""),"Yes")</f>
        <v>Yes</v>
      </c>
      <c r="B100" s="4" t="str">
        <f ca="1">IFERROR(__xludf.DUMMYFUNCTION("""COMPUTED_VALUE"""),"No")</f>
        <v>No</v>
      </c>
      <c r="C100" s="98"/>
      <c r="D100" s="98"/>
      <c r="E100" s="98"/>
      <c r="F100" s="98"/>
      <c r="G100" s="7" t="str">
        <f ca="1">IFERROR(__xludf.DUMMYFUNCTION("""COMPUTED_VALUE"""),"Sampling weight")</f>
        <v>Sampling weight</v>
      </c>
      <c r="H100" s="5" t="str">
        <f ca="1">IFERROR(__xludf.DUMMYFUNCTION("""COMPUTED_VALUE"""),"1")</f>
        <v>1</v>
      </c>
      <c r="I100" s="13"/>
      <c r="J100" s="4"/>
      <c r="K100" s="101" t="str">
        <f ca="1">E104</f>
        <v>Dietary assessment method</v>
      </c>
      <c r="L100" s="98"/>
      <c r="M100" s="98"/>
      <c r="N100" s="98"/>
      <c r="O100" s="98"/>
      <c r="P100" s="98"/>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x14ac:dyDescent="0.25">
      <c r="A101" s="4" t="str">
        <f ca="1">IFERROR(__xludf.DUMMYFUNCTION("""COMPUTED_VALUE"""),"Yes")</f>
        <v>Yes</v>
      </c>
      <c r="B101" s="4" t="str">
        <f ca="1">IFERROR(__xludf.DUMMYFUNCTION("""COMPUTED_VALUE"""),"No")</f>
        <v>No</v>
      </c>
      <c r="C101" s="98"/>
      <c r="D101" s="98"/>
      <c r="E101" s="98"/>
      <c r="F101" s="98"/>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x14ac:dyDescent="0.25">
      <c r="A102" s="4" t="str">
        <f ca="1">IFERROR(__xludf.DUMMYFUNCTION("""COMPUTED_VALUE"""),"Yes")</f>
        <v>Yes</v>
      </c>
      <c r="B102" s="4" t="str">
        <f ca="1">IFERROR(__xludf.DUMMYFUNCTION("""COMPUTED_VALUE"""),"No")</f>
        <v>No</v>
      </c>
      <c r="C102" s="98"/>
      <c r="D102" s="98"/>
      <c r="E102" s="98"/>
      <c r="F102" s="98"/>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x14ac:dyDescent="0.25">
      <c r="A103" s="4" t="str">
        <f ca="1">IFERROR(__xludf.DUMMYFUNCTION("""COMPUTED_VALUE"""),"Yes")</f>
        <v>Yes</v>
      </c>
      <c r="B103" s="4" t="str">
        <f ca="1">IFERROR(__xludf.DUMMYFUNCTION("""COMPUTED_VALUE"""),"No")</f>
        <v>No</v>
      </c>
      <c r="C103" s="98"/>
      <c r="D103" s="98"/>
      <c r="E103" s="98"/>
      <c r="F103" s="98"/>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x14ac:dyDescent="0.25">
      <c r="A104" s="4" t="str">
        <f ca="1">IFERROR(__xludf.DUMMYFUNCTION("""COMPUTED_VALUE"""),"Yes")</f>
        <v>Yes</v>
      </c>
      <c r="B104" s="4" t="str">
        <f ca="1">IFERROR(__xludf.DUMMYFUNCTION("""COMPUTED_VALUE"""),"No")</f>
        <v>No</v>
      </c>
      <c r="C104" s="98"/>
      <c r="D104" s="98"/>
      <c r="E104" s="99" t="str">
        <f ca="1">IFERROR(__xludf.DUMMYFUNCTION("""COMPUTED_VALUE"""),"Dietary assessment method")</f>
        <v>Dietary assessment method</v>
      </c>
      <c r="F104" s="99"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x14ac:dyDescent="0.25">
      <c r="A105" s="4" t="str">
        <f ca="1">IFERROR(__xludf.DUMMYFUNCTION("""COMPUTED_VALUE"""),"Yes")</f>
        <v>Yes</v>
      </c>
      <c r="B105" s="4" t="str">
        <f ca="1">IFERROR(__xludf.DUMMYFUNCTION("""COMPUTED_VALUE"""),"No")</f>
        <v>No</v>
      </c>
      <c r="C105" s="98"/>
      <c r="D105" s="98"/>
      <c r="E105" s="98"/>
      <c r="F105" s="98"/>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x14ac:dyDescent="0.25">
      <c r="A106" s="4" t="str">
        <f ca="1">IFERROR(__xludf.DUMMYFUNCTION("""COMPUTED_VALUE"""),"Yes")</f>
        <v>Yes</v>
      </c>
      <c r="B106" s="4" t="str">
        <f ca="1">IFERROR(__xludf.DUMMYFUNCTION("""COMPUTED_VALUE"""),"No")</f>
        <v>No</v>
      </c>
      <c r="C106" s="98"/>
      <c r="D106" s="98"/>
      <c r="E106" s="98"/>
      <c r="F106" s="98"/>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x14ac:dyDescent="0.25">
      <c r="A107" s="4" t="str">
        <f ca="1">IFERROR(__xludf.DUMMYFUNCTION("""COMPUTED_VALUE"""),"Yes")</f>
        <v>Yes</v>
      </c>
      <c r="B107" s="4" t="str">
        <f ca="1">IFERROR(__xludf.DUMMYFUNCTION("""COMPUTED_VALUE"""),"No")</f>
        <v>No</v>
      </c>
      <c r="C107" s="98"/>
      <c r="D107" s="98"/>
      <c r="E107" s="98"/>
      <c r="F107" s="98"/>
      <c r="G107" s="7" t="str">
        <f ca="1">IFERROR(__xludf.DUMMYFUNCTION("""COMPUTED_VALUE"""),"Number of food items")</f>
        <v>Number of food items</v>
      </c>
      <c r="H107" s="5" t="str">
        <f ca="1">IFERROR(__xludf.DUMMYFUNCTION("""COMPUTED_VALUE"""),"1:N")</f>
        <v>1:N</v>
      </c>
      <c r="I107" s="13"/>
      <c r="J107" s="4"/>
      <c r="K107" s="101" t="str">
        <f ca="1">E110</f>
        <v>Laboratory</v>
      </c>
      <c r="L107" s="98"/>
      <c r="M107" s="98"/>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x14ac:dyDescent="0.25">
      <c r="A108" s="4" t="str">
        <f ca="1">IFERROR(__xludf.DUMMYFUNCTION("""COMPUTED_VALUE"""),"Yes")</f>
        <v>Yes</v>
      </c>
      <c r="B108" s="4" t="str">
        <f ca="1">IFERROR(__xludf.DUMMYFUNCTION("""COMPUTED_VALUE"""),"No")</f>
        <v>No</v>
      </c>
      <c r="C108" s="98"/>
      <c r="D108" s="98"/>
      <c r="E108" s="98"/>
      <c r="F108" s="98"/>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x14ac:dyDescent="0.25">
      <c r="A109" s="4" t="str">
        <f ca="1">IFERROR(__xludf.DUMMYFUNCTION("""COMPUTED_VALUE"""),"Yes")</f>
        <v>Yes</v>
      </c>
      <c r="B109" s="4" t="str">
        <f ca="1">IFERROR(__xludf.DUMMYFUNCTION("""COMPUTED_VALUE"""),"No")</f>
        <v>No</v>
      </c>
      <c r="C109" s="98"/>
      <c r="D109" s="98"/>
      <c r="E109" s="98"/>
      <c r="F109" s="98"/>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x14ac:dyDescent="0.25">
      <c r="A110" s="4" t="str">
        <f ca="1">IFERROR(__xludf.DUMMYFUNCTION("""COMPUTED_VALUE"""),"Yes")</f>
        <v>Yes</v>
      </c>
      <c r="B110" s="4" t="str">
        <f ca="1">IFERROR(__xludf.DUMMYFUNCTION("""COMPUTED_VALUE"""),"No")</f>
        <v>No</v>
      </c>
      <c r="C110" s="98"/>
      <c r="D110" s="98"/>
      <c r="E110" s="99" t="str">
        <f ca="1">IFERROR(__xludf.DUMMYFUNCTION("""COMPUTED_VALUE"""),"Laboratory")</f>
        <v>Laboratory</v>
      </c>
      <c r="F110" s="99"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x14ac:dyDescent="0.25">
      <c r="A111" s="4" t="str">
        <f ca="1">IFERROR(__xludf.DUMMYFUNCTION("""COMPUTED_VALUE"""),"Yes")</f>
        <v>Yes</v>
      </c>
      <c r="B111" s="4" t="str">
        <f ca="1">IFERROR(__xludf.DUMMYFUNCTION("""COMPUTED_VALUE"""),"No")</f>
        <v>No</v>
      </c>
      <c r="C111" s="98"/>
      <c r="D111" s="98"/>
      <c r="E111" s="98"/>
      <c r="F111" s="98"/>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x14ac:dyDescent="0.25">
      <c r="A112" s="4" t="str">
        <f ca="1">IFERROR(__xludf.DUMMYFUNCTION("""COMPUTED_VALUE"""),"Yes")</f>
        <v>Yes</v>
      </c>
      <c r="B112" s="4" t="str">
        <f ca="1">IFERROR(__xludf.DUMMYFUNCTION("""COMPUTED_VALUE"""),"No")</f>
        <v>No</v>
      </c>
      <c r="C112" s="98"/>
      <c r="D112" s="98"/>
      <c r="E112" s="98"/>
      <c r="F112" s="98"/>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x14ac:dyDescent="0.25">
      <c r="A113" s="4" t="str">
        <f ca="1">IFERROR(__xludf.DUMMYFUNCTION("""COMPUTED_VALUE"""),"Yes")</f>
        <v>Yes</v>
      </c>
      <c r="B113" s="4" t="str">
        <f ca="1">IFERROR(__xludf.DUMMYFUNCTION("""COMPUTED_VALUE"""),"No")</f>
        <v>No</v>
      </c>
      <c r="C113" s="98"/>
      <c r="D113" s="98"/>
      <c r="E113" s="99" t="str">
        <f ca="1">IFERROR(__xludf.DUMMYFUNCTION("""COMPUTED_VALUE"""),"Assay")</f>
        <v>Assay</v>
      </c>
      <c r="F113" s="99" t="str">
        <f ca="1">IFERROR(__xludf.DUMMYFUNCTION("""COMPUTED_VALUE"""),"0:N")</f>
        <v>0:N</v>
      </c>
      <c r="G113" s="7" t="str">
        <f ca="1">IFERROR(__xludf.DUMMYFUNCTION("""COMPUTED_VALUE"""),"Assay Name")</f>
        <v>Assay Name</v>
      </c>
      <c r="H113" s="5" t="str">
        <f ca="1">IFERROR(__xludf.DUMMYFUNCTION("""COMPUTED_VALUE"""),"1")</f>
        <v>1</v>
      </c>
      <c r="I113" s="13"/>
      <c r="J113" s="4"/>
      <c r="K113" s="101" t="str">
        <f ca="1">E113</f>
        <v>Assay</v>
      </c>
      <c r="L113" s="98"/>
      <c r="M113" s="98"/>
      <c r="N113" s="98"/>
      <c r="O113" s="98"/>
      <c r="P113" s="98"/>
      <c r="Q113" s="98"/>
      <c r="R113" s="98"/>
      <c r="S113" s="98"/>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x14ac:dyDescent="0.25">
      <c r="A114" s="4" t="str">
        <f ca="1">IFERROR(__xludf.DUMMYFUNCTION("""COMPUTED_VALUE"""),"Yes")</f>
        <v>Yes</v>
      </c>
      <c r="B114" s="4" t="str">
        <f ca="1">IFERROR(__xludf.DUMMYFUNCTION("""COMPUTED_VALUE"""),"No")</f>
        <v>No</v>
      </c>
      <c r="C114" s="98"/>
      <c r="D114" s="98"/>
      <c r="E114" s="98"/>
      <c r="F114" s="98"/>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x14ac:dyDescent="0.25">
      <c r="A115" s="4" t="str">
        <f ca="1">IFERROR(__xludf.DUMMYFUNCTION("""COMPUTED_VALUE"""),"Yes")</f>
        <v>Yes</v>
      </c>
      <c r="B115" s="4" t="str">
        <f ca="1">IFERROR(__xludf.DUMMYFUNCTION("""COMPUTED_VALUE"""),"No")</f>
        <v>No</v>
      </c>
      <c r="C115" s="98"/>
      <c r="D115" s="98"/>
      <c r="E115" s="98"/>
      <c r="F115" s="98"/>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x14ac:dyDescent="0.25">
      <c r="A116" s="4" t="str">
        <f ca="1">IFERROR(__xludf.DUMMYFUNCTION("""COMPUTED_VALUE"""),"Yes")</f>
        <v>Yes</v>
      </c>
      <c r="B116" s="4" t="str">
        <f ca="1">IFERROR(__xludf.DUMMYFUNCTION("""COMPUTED_VALUE"""),"No")</f>
        <v>No</v>
      </c>
      <c r="C116" s="98"/>
      <c r="D116" s="98"/>
      <c r="E116" s="98"/>
      <c r="F116" s="98"/>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x14ac:dyDescent="0.25">
      <c r="A117" s="4" t="str">
        <f ca="1">IFERROR(__xludf.DUMMYFUNCTION("""COMPUTED_VALUE"""),"Yes")</f>
        <v>Yes</v>
      </c>
      <c r="B117" s="4" t="str">
        <f ca="1">IFERROR(__xludf.DUMMYFUNCTION("""COMPUTED_VALUE"""),"No")</f>
        <v>No</v>
      </c>
      <c r="C117" s="98"/>
      <c r="D117" s="98"/>
      <c r="E117" s="98"/>
      <c r="F117" s="98"/>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x14ac:dyDescent="0.25">
      <c r="A118" s="4" t="str">
        <f ca="1">IFERROR(__xludf.DUMMYFUNCTION("""COMPUTED_VALUE"""),"Yes")</f>
        <v>Yes</v>
      </c>
      <c r="B118" s="4" t="str">
        <f ca="1">IFERROR(__xludf.DUMMYFUNCTION("""COMPUTED_VALUE"""),"No")</f>
        <v>No</v>
      </c>
      <c r="C118" s="98"/>
      <c r="D118" s="98"/>
      <c r="E118" s="98"/>
      <c r="F118" s="98"/>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x14ac:dyDescent="0.25">
      <c r="A119" s="4" t="str">
        <f ca="1">IFERROR(__xludf.DUMMYFUNCTION("""COMPUTED_VALUE"""),"Yes")</f>
        <v>Yes</v>
      </c>
      <c r="B119" s="4" t="str">
        <f ca="1">IFERROR(__xludf.DUMMYFUNCTION("""COMPUTED_VALUE"""),"No")</f>
        <v>No</v>
      </c>
      <c r="C119" s="98"/>
      <c r="D119" s="98"/>
      <c r="E119" s="98"/>
      <c r="F119" s="98"/>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x14ac:dyDescent="0.25">
      <c r="A120" s="4" t="str">
        <f ca="1">IFERROR(__xludf.DUMMYFUNCTION("""COMPUTED_VALUE"""),"Yes")</f>
        <v>Yes</v>
      </c>
      <c r="B120" s="4" t="str">
        <f ca="1">IFERROR(__xludf.DUMMYFUNCTION("""COMPUTED_VALUE"""),"No")</f>
        <v>No</v>
      </c>
      <c r="C120" s="98"/>
      <c r="D120" s="98"/>
      <c r="E120" s="98"/>
      <c r="F120" s="98"/>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x14ac:dyDescent="0.25">
      <c r="A121" s="4" t="str">
        <f ca="1">IFERROR(__xludf.DUMMYFUNCTION("""COMPUTED_VALUE"""),"Yes")</f>
        <v>Yes</v>
      </c>
      <c r="B121" s="4" t="str">
        <f ca="1">IFERROR(__xludf.DUMMYFUNCTION("""COMPUTED_VALUE"""),"No")</f>
        <v>No</v>
      </c>
      <c r="C121" s="98"/>
      <c r="D121" s="98"/>
      <c r="E121" s="98"/>
      <c r="F121" s="98"/>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x14ac:dyDescent="0.25">
      <c r="A122" s="4" t="str">
        <f ca="1">IFERROR(__xludf.DUMMYFUNCTION("""COMPUTED_VALUE"""),"Yes")</f>
        <v>Yes</v>
      </c>
      <c r="B122" s="4" t="str">
        <f ca="1">IFERROR(__xludf.DUMMYFUNCTION("""COMPUTED_VALUE"""),"Yes")</f>
        <v>Yes</v>
      </c>
      <c r="C122" s="97" t="str">
        <f ca="1">IFERROR(__xludf.DUMMYFUNCTION("""COMPUTED_VALUE"""),"Model math / Data definition")</f>
        <v>Model math / Data definition</v>
      </c>
      <c r="D122" s="97" t="str">
        <f ca="1">IFERROR(__xludf.DUMMYFUNCTION("""COMPUTED_VALUE"""),"1")</f>
        <v>1</v>
      </c>
      <c r="E122" s="99" t="str">
        <f ca="1">IFERROR(__xludf.DUMMYFUNCTION("""COMPUTED_VALUE"""),"Parameter / Factor / Input / Output / ""Data column""")</f>
        <v>Parameter / Factor / Input / Output / "Data column"</v>
      </c>
      <c r="F122" s="99" t="str">
        <f ca="1">IFERROR(__xludf.DUMMYFUNCTION("""COMPUTED_VALUE"""),"1:N")</f>
        <v>1:N</v>
      </c>
      <c r="G122" s="7" t="str">
        <f ca="1">IFERROR(__xludf.DUMMYFUNCTION("""COMPUTED_VALUE"""),"Parameter ID")</f>
        <v>Parameter ID</v>
      </c>
      <c r="H122" s="5" t="str">
        <f ca="1">IFERROR(__xludf.DUMMYFUNCTION("""COMPUTED_VALUE"""),"1")</f>
        <v>1</v>
      </c>
      <c r="I122" s="41"/>
      <c r="J122" s="4"/>
      <c r="K122" s="23"/>
      <c r="L122" s="100" t="str">
        <f ca="1">E140</f>
        <v>Quality measures</v>
      </c>
      <c r="M122" s="98"/>
      <c r="N122" s="23"/>
      <c r="O122" s="100" t="str">
        <f ca="1">E142</f>
        <v>Model equation</v>
      </c>
      <c r="P122" s="98"/>
      <c r="Q122" s="98"/>
      <c r="R122" s="98"/>
      <c r="S122" s="98"/>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x14ac:dyDescent="0.25">
      <c r="A123" s="4" t="str">
        <f ca="1">IFERROR(__xludf.DUMMYFUNCTION("""COMPUTED_VALUE"""),"Yes")</f>
        <v>Yes</v>
      </c>
      <c r="B123" s="4" t="str">
        <f ca="1">IFERROR(__xludf.DUMMYFUNCTION("""COMPUTED_VALUE"""),"Yes")</f>
        <v>Yes</v>
      </c>
      <c r="C123" s="98"/>
      <c r="D123" s="98"/>
      <c r="E123" s="98"/>
      <c r="F123" s="98"/>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x14ac:dyDescent="0.25">
      <c r="A124" s="4" t="str">
        <f ca="1">IFERROR(__xludf.DUMMYFUNCTION("""COMPUTED_VALUE"""),"Yes")</f>
        <v>Yes</v>
      </c>
      <c r="B124" s="4" t="str">
        <f ca="1">IFERROR(__xludf.DUMMYFUNCTION("""COMPUTED_VALUE"""),"Yes")</f>
        <v>Yes</v>
      </c>
      <c r="C124" s="98"/>
      <c r="D124" s="98"/>
      <c r="E124" s="98"/>
      <c r="F124" s="98"/>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x14ac:dyDescent="0.25">
      <c r="A125" s="4" t="str">
        <f ca="1">IFERROR(__xludf.DUMMYFUNCTION("""COMPUTED_VALUE"""),"Yes")</f>
        <v>Yes</v>
      </c>
      <c r="B125" s="4" t="str">
        <f ca="1">IFERROR(__xludf.DUMMYFUNCTION("""COMPUTED_VALUE"""),"No")</f>
        <v>No</v>
      </c>
      <c r="C125" s="98"/>
      <c r="D125" s="98"/>
      <c r="E125" s="98"/>
      <c r="F125" s="98"/>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x14ac:dyDescent="0.25">
      <c r="A126" s="4" t="str">
        <f ca="1">IFERROR(__xludf.DUMMYFUNCTION("""COMPUTED_VALUE"""),"Yes")</f>
        <v>Yes</v>
      </c>
      <c r="B126" s="4" t="str">
        <f ca="1">IFERROR(__xludf.DUMMYFUNCTION("""COMPUTED_VALUE"""),"Yes")</f>
        <v>Yes</v>
      </c>
      <c r="C126" s="98"/>
      <c r="D126" s="98"/>
      <c r="E126" s="98"/>
      <c r="F126" s="98"/>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x14ac:dyDescent="0.25">
      <c r="A127" s="4" t="str">
        <f ca="1">IFERROR(__xludf.DUMMYFUNCTION("""COMPUTED_VALUE"""),"Yes")</f>
        <v>Yes</v>
      </c>
      <c r="B127" s="4" t="str">
        <f ca="1">IFERROR(__xludf.DUMMYFUNCTION("""COMPUTED_VALUE"""),"No")</f>
        <v>No</v>
      </c>
      <c r="C127" s="98"/>
      <c r="D127" s="98"/>
      <c r="E127" s="98"/>
      <c r="F127" s="98"/>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x14ac:dyDescent="0.25">
      <c r="A128" s="4" t="str">
        <f ca="1">IFERROR(__xludf.DUMMYFUNCTION("""COMPUTED_VALUE"""),"Yes")</f>
        <v>Yes</v>
      </c>
      <c r="B128" s="4" t="str">
        <f ca="1">IFERROR(__xludf.DUMMYFUNCTION("""COMPUTED_VALUE"""),"Yes")</f>
        <v>Yes</v>
      </c>
      <c r="C128" s="98"/>
      <c r="D128" s="98"/>
      <c r="E128" s="98"/>
      <c r="F128" s="98"/>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8"/>
      <c r="D129" s="98"/>
      <c r="E129" s="98"/>
      <c r="F129" s="98"/>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IFERROR(__xludf.DUMMYFUNCTION("""COMPUTED_VALUE"""),"Yes")</f>
        <v>Yes</v>
      </c>
      <c r="C130" s="98"/>
      <c r="D130" s="98"/>
      <c r="E130" s="98"/>
      <c r="F130" s="98"/>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x14ac:dyDescent="0.25">
      <c r="A131" s="4" t="str">
        <f ca="1">IFERROR(__xludf.DUMMYFUNCTION("""COMPUTED_VALUE"""),"Yes")</f>
        <v>Yes</v>
      </c>
      <c r="B131" s="4" t="str">
        <f ca="1">IFERROR(__xludf.DUMMYFUNCTION("""COMPUTED_VALUE"""),"Yes")</f>
        <v>Yes</v>
      </c>
      <c r="C131" s="98"/>
      <c r="D131" s="98"/>
      <c r="E131" s="98"/>
      <c r="F131" s="98"/>
      <c r="G131" s="7" t="str">
        <f ca="1">IFERROR(__xludf.DUMMYFUNCTION("""COMPUTED_VALUE"""),"Parameter distribution")</f>
        <v>Parameter distribution</v>
      </c>
      <c r="H131" s="5" t="str">
        <f ca="1">IFERROR(__xludf.DUMMYFUNCTION("""COMPUTED_VALUE"""),"0:1")</f>
        <v>0:1</v>
      </c>
      <c r="I131" s="41"/>
      <c r="J131" s="35" t="s">
        <v>23</v>
      </c>
      <c r="K131" s="100" t="str">
        <f ca="1">E122</f>
        <v>Parameter / Factor / Input / Output / "Data column"</v>
      </c>
      <c r="L131" s="98"/>
      <c r="M131" s="98"/>
      <c r="N131" s="98"/>
      <c r="O131" s="98"/>
      <c r="P131" s="98"/>
      <c r="Q131" s="98"/>
      <c r="R131" s="98"/>
      <c r="S131" s="98"/>
      <c r="T131" s="98"/>
      <c r="U131" s="98"/>
      <c r="V131" s="98"/>
      <c r="W131" s="98"/>
      <c r="X131" s="98"/>
      <c r="Y131" s="98"/>
      <c r="Z131" s="98"/>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x14ac:dyDescent="0.25">
      <c r="A132" s="4" t="str">
        <f ca="1">IFERROR(__xludf.DUMMYFUNCTION("""COMPUTED_VALUE"""),"Yes")</f>
        <v>Yes</v>
      </c>
      <c r="B132" s="4" t="str">
        <f ca="1">IFERROR(__xludf.DUMMYFUNCTION("""COMPUTED_VALUE"""),"Yes")</f>
        <v>Yes</v>
      </c>
      <c r="C132" s="98"/>
      <c r="D132" s="98"/>
      <c r="E132" s="98"/>
      <c r="F132" s="98"/>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x14ac:dyDescent="0.25">
      <c r="A133" s="4" t="str">
        <f ca="1">IFERROR(__xludf.DUMMYFUNCTION("""COMPUTED_VALUE"""),"Yes")</f>
        <v>Yes</v>
      </c>
      <c r="B133" s="4" t="str">
        <f ca="1">IFERROR(__xludf.DUMMYFUNCTION("""COMPUTED_VALUE"""),"Yes")</f>
        <v>Yes</v>
      </c>
      <c r="C133" s="98"/>
      <c r="D133" s="98"/>
      <c r="E133" s="98"/>
      <c r="F133" s="98"/>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x14ac:dyDescent="0.25">
      <c r="A134" s="4" t="str">
        <f ca="1">IFERROR(__xludf.DUMMYFUNCTION("""COMPUTED_VALUE"""),"Yes")</f>
        <v>Yes</v>
      </c>
      <c r="B134" s="4" t="str">
        <f ca="1">IFERROR(__xludf.DUMMYFUNCTION("""COMPUTED_VALUE"""),"No")</f>
        <v>No</v>
      </c>
      <c r="C134" s="98"/>
      <c r="D134" s="98"/>
      <c r="E134" s="98"/>
      <c r="F134" s="98"/>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x14ac:dyDescent="0.25">
      <c r="A135" s="4" t="str">
        <f ca="1">IFERROR(__xludf.DUMMYFUNCTION("""COMPUTED_VALUE"""),"Yes")</f>
        <v>Yes</v>
      </c>
      <c r="B135" s="4" t="str">
        <f ca="1">IFERROR(__xludf.DUMMYFUNCTION("""COMPUTED_VALUE"""),"No")</f>
        <v>No</v>
      </c>
      <c r="C135" s="98"/>
      <c r="D135" s="98"/>
      <c r="E135" s="98"/>
      <c r="F135" s="98"/>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x14ac:dyDescent="0.25">
      <c r="A136" s="4" t="str">
        <f ca="1">IFERROR(__xludf.DUMMYFUNCTION("""COMPUTED_VALUE"""),"Yes")</f>
        <v>Yes</v>
      </c>
      <c r="B136" s="4" t="str">
        <f ca="1">IFERROR(__xludf.DUMMYFUNCTION("""COMPUTED_VALUE"""),"No")</f>
        <v>No</v>
      </c>
      <c r="C136" s="98"/>
      <c r="D136" s="98"/>
      <c r="E136" s="98"/>
      <c r="F136" s="98"/>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x14ac:dyDescent="0.25">
      <c r="A137" s="4" t="str">
        <f ca="1">IFERROR(__xludf.DUMMYFUNCTION("""COMPUTED_VALUE"""),"Yes")</f>
        <v>Yes</v>
      </c>
      <c r="B137" s="4" t="str">
        <f ca="1">IFERROR(__xludf.DUMMYFUNCTION("""COMPUTED_VALUE"""),"No")</f>
        <v>No</v>
      </c>
      <c r="C137" s="98"/>
      <c r="D137" s="98"/>
      <c r="E137" s="98"/>
      <c r="F137" s="98"/>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x14ac:dyDescent="0.25">
      <c r="A138" s="4" t="str">
        <f ca="1">IFERROR(__xludf.DUMMYFUNCTION("""COMPUTED_VALUE"""),"Yes")</f>
        <v>Yes</v>
      </c>
      <c r="B138" s="4" t="str">
        <f ca="1">IFERROR(__xludf.DUMMYFUNCTION("""COMPUTED_VALUE"""),"No")</f>
        <v>No</v>
      </c>
      <c r="C138" s="98"/>
      <c r="D138" s="98"/>
      <c r="E138" s="98"/>
      <c r="F138" s="98"/>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x14ac:dyDescent="0.25">
      <c r="A139" s="4" t="str">
        <f ca="1">IFERROR(__xludf.DUMMYFUNCTION("""COMPUTED_VALUE"""),"Yes")</f>
        <v>Yes</v>
      </c>
      <c r="B139" s="4" t="str">
        <f ca="1">IFERROR(__xludf.DUMMYFUNCTION("""COMPUTED_VALUE"""),"No")</f>
        <v>No</v>
      </c>
      <c r="C139" s="98"/>
      <c r="D139" s="98"/>
      <c r="E139" s="98"/>
      <c r="F139" s="98"/>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x14ac:dyDescent="0.25">
      <c r="A140" s="4" t="str">
        <f ca="1">IFERROR(__xludf.DUMMYFUNCTION("""COMPUTED_VALUE"""),"Yes")</f>
        <v>Yes</v>
      </c>
      <c r="B140" s="4" t="str">
        <f ca="1">IFERROR(__xludf.DUMMYFUNCTION("""COMPUTED_VALUE"""),"No")</f>
        <v>No</v>
      </c>
      <c r="C140" s="98"/>
      <c r="D140" s="98"/>
      <c r="E140" s="99" t="str">
        <f ca="1">IFERROR(__xludf.DUMMYFUNCTION("""COMPUTED_VALUE"""),"Quality measures")</f>
        <v>Quality measures</v>
      </c>
      <c r="F140" s="99"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x14ac:dyDescent="0.25">
      <c r="A141" s="4" t="str">
        <f ca="1">IFERROR(__xludf.DUMMYFUNCTION("""COMPUTED_VALUE"""),"Yes")</f>
        <v>Yes</v>
      </c>
      <c r="B141" s="4" t="str">
        <f ca="1">IFERROR(__xludf.DUMMYFUNCTION("""COMPUTED_VALUE"""),"No")</f>
        <v>No</v>
      </c>
      <c r="C141" s="98"/>
      <c r="D141" s="98"/>
      <c r="E141" s="98"/>
      <c r="F141" s="98"/>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x14ac:dyDescent="0.25">
      <c r="A142" s="4" t="str">
        <f ca="1">IFERROR(__xludf.DUMMYFUNCTION("""COMPUTED_VALUE"""),"Yes")</f>
        <v>Yes</v>
      </c>
      <c r="B142" s="4" t="str">
        <f ca="1">IFERROR(__xludf.DUMMYFUNCTION("""COMPUTED_VALUE"""),"No")</f>
        <v>No</v>
      </c>
      <c r="C142" s="98"/>
      <c r="D142" s="98"/>
      <c r="E142" s="99" t="str">
        <f ca="1">IFERROR(__xludf.DUMMYFUNCTION("""COMPUTED_VALUE"""),"Model equation")</f>
        <v>Model equation</v>
      </c>
      <c r="F142" s="99"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x14ac:dyDescent="0.25">
      <c r="A143" s="4" t="str">
        <f ca="1">IFERROR(__xludf.DUMMYFUNCTION("""COMPUTED_VALUE"""),"Yes")</f>
        <v>Yes</v>
      </c>
      <c r="B143" s="4" t="str">
        <f ca="1">IFERROR(__xludf.DUMMYFUNCTION("""COMPUTED_VALUE"""),"No")</f>
        <v>No</v>
      </c>
      <c r="C143" s="98"/>
      <c r="D143" s="98"/>
      <c r="E143" s="98"/>
      <c r="F143" s="98"/>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x14ac:dyDescent="0.25">
      <c r="A144" s="4" t="str">
        <f ca="1">IFERROR(__xludf.DUMMYFUNCTION("""COMPUTED_VALUE"""),"Yes")</f>
        <v>Yes</v>
      </c>
      <c r="B144" s="4" t="str">
        <f ca="1">IFERROR(__xludf.DUMMYFUNCTION("""COMPUTED_VALUE"""),"No")</f>
        <v>No</v>
      </c>
      <c r="C144" s="98"/>
      <c r="D144" s="98"/>
      <c r="E144" s="98"/>
      <c r="F144" s="98"/>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x14ac:dyDescent="0.25">
      <c r="A145" s="4" t="str">
        <f ca="1">IFERROR(__xludf.DUMMYFUNCTION("""COMPUTED_VALUE"""),"Yes")</f>
        <v>Yes</v>
      </c>
      <c r="B145" s="4" t="str">
        <f ca="1">IFERROR(__xludf.DUMMYFUNCTION("""COMPUTED_VALUE"""),"No")</f>
        <v>No</v>
      </c>
      <c r="C145" s="98"/>
      <c r="D145" s="98"/>
      <c r="E145" s="98"/>
      <c r="F145" s="98"/>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x14ac:dyDescent="0.25">
      <c r="A146" s="4" t="str">
        <f ca="1">IFERROR(__xludf.DUMMYFUNCTION("""COMPUTED_VALUE"""),"Yes")</f>
        <v>Yes</v>
      </c>
      <c r="B146" s="4" t="str">
        <f ca="1">IFERROR(__xludf.DUMMYFUNCTION("""COMPUTED_VALUE"""),"No")</f>
        <v>No</v>
      </c>
      <c r="C146" s="98"/>
      <c r="D146" s="98"/>
      <c r="E146" s="98"/>
      <c r="F146" s="98"/>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x14ac:dyDescent="0.25">
      <c r="A147" s="4" t="str">
        <f ca="1">IFERROR(__xludf.DUMMYFUNCTION("""COMPUTED_VALUE"""),"Yes")</f>
        <v>Yes</v>
      </c>
      <c r="B147" s="4" t="str">
        <f ca="1">IFERROR(__xludf.DUMMYFUNCTION("""COMPUTED_VALUE"""),"No")</f>
        <v>No</v>
      </c>
      <c r="C147" s="98"/>
      <c r="D147" s="98"/>
      <c r="E147" s="98"/>
      <c r="F147" s="98"/>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x14ac:dyDescent="0.25">
      <c r="A148" s="4" t="str">
        <f ca="1">IFERROR(__xludf.DUMMYFUNCTION("""COMPUTED_VALUE"""),"Yes")</f>
        <v>Yes</v>
      </c>
      <c r="B148" s="4" t="str">
        <f ca="1">IFERROR(__xludf.DUMMYFUNCTION("""COMPUTED_VALUE"""),"No")</f>
        <v>No</v>
      </c>
      <c r="C148" s="98"/>
      <c r="D148" s="98"/>
      <c r="E148" s="98"/>
      <c r="F148" s="98"/>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x14ac:dyDescent="0.25">
      <c r="A149" s="4" t="str">
        <f ca="1">IFERROR(__xludf.DUMMYFUNCTION("""COMPUTED_VALUE"""),"Yes")</f>
        <v>Yes</v>
      </c>
      <c r="B149" s="4" t="str">
        <f ca="1">IFERROR(__xludf.DUMMYFUNCTION("""COMPUTED_VALUE"""),"No")</f>
        <v>No</v>
      </c>
      <c r="C149" s="98"/>
      <c r="D149" s="98"/>
      <c r="E149" s="98"/>
      <c r="F149" s="98"/>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x14ac:dyDescent="0.25">
      <c r="A150" s="4" t="str">
        <f ca="1">IFERROR(__xludf.DUMMYFUNCTION("""COMPUTED_VALUE"""),"Yes")</f>
        <v>Yes</v>
      </c>
      <c r="B150" s="4" t="str">
        <f ca="1">IFERROR(__xludf.DUMMYFUNCTION("""COMPUTED_VALUE"""),"No")</f>
        <v>No</v>
      </c>
      <c r="C150" s="98"/>
      <c r="D150" s="98"/>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x14ac:dyDescent="0.25">
      <c r="A151" s="4" t="str">
        <f ca="1">IFERROR(__xludf.DUMMYFUNCTION("""COMPUTED_VALUE"""),"Yes")</f>
        <v>Yes</v>
      </c>
      <c r="B151" s="4" t="str">
        <f ca="1">IFERROR(__xludf.DUMMYFUNCTION("""COMPUTED_VALUE"""),"No")</f>
        <v>No</v>
      </c>
      <c r="C151" s="98"/>
      <c r="D151" s="98"/>
      <c r="E151" s="99" t="str">
        <f ca="1">IFERROR(__xludf.DUMMYFUNCTION("""COMPUTED_VALUE"""),"Exposure")</f>
        <v>Exposure</v>
      </c>
      <c r="F151" s="99"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x14ac:dyDescent="0.25">
      <c r="A152" s="4" t="str">
        <f ca="1">IFERROR(__xludf.DUMMYFUNCTION("""COMPUTED_VALUE"""),"Yes")</f>
        <v>Yes</v>
      </c>
      <c r="B152" s="4" t="str">
        <f ca="1">IFERROR(__xludf.DUMMYFUNCTION("""COMPUTED_VALUE"""),"No")</f>
        <v>No</v>
      </c>
      <c r="C152" s="98"/>
      <c r="D152" s="98"/>
      <c r="E152" s="98"/>
      <c r="F152" s="98"/>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x14ac:dyDescent="0.25">
      <c r="A153" s="4" t="str">
        <f ca="1">IFERROR(__xludf.DUMMYFUNCTION("""COMPUTED_VALUE"""),"Yes")</f>
        <v>Yes</v>
      </c>
      <c r="B153" s="4" t="str">
        <f ca="1">IFERROR(__xludf.DUMMYFUNCTION("""COMPUTED_VALUE"""),"No")</f>
        <v>No</v>
      </c>
      <c r="C153" s="98"/>
      <c r="D153" s="98"/>
      <c r="E153" s="98"/>
      <c r="F153" s="98"/>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x14ac:dyDescent="0.25">
      <c r="A154" s="4" t="str">
        <f ca="1">IFERROR(__xludf.DUMMYFUNCTION("""COMPUTED_VALUE"""),"Yes")</f>
        <v>Yes</v>
      </c>
      <c r="B154" s="4" t="str">
        <f ca="1">IFERROR(__xludf.DUMMYFUNCTION("""COMPUTED_VALUE"""),"No")</f>
        <v>No</v>
      </c>
      <c r="C154" s="98"/>
      <c r="D154" s="98"/>
      <c r="E154" s="98"/>
      <c r="F154" s="98"/>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x14ac:dyDescent="0.25">
      <c r="A155" s="4" t="str">
        <f ca="1">IFERROR(__xludf.DUMMYFUNCTION("""COMPUTED_VALUE"""),"Yes")</f>
        <v>Yes</v>
      </c>
      <c r="B155" s="4" t="str">
        <f ca="1">IFERROR(__xludf.DUMMYFUNCTION("""COMPUTED_VALUE"""),"No")</f>
        <v>No</v>
      </c>
      <c r="C155" s="98"/>
      <c r="D155" s="98"/>
      <c r="E155" s="98"/>
      <c r="F155" s="98"/>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x14ac:dyDescent="0.25">
      <c r="A156" s="4" t="str">
        <f ca="1">IFERROR(__xludf.DUMMYFUNCTION("""COMPUTED_VALUE"""),"Yes")</f>
        <v>Yes</v>
      </c>
      <c r="B156" s="4" t="str">
        <f ca="1">IFERROR(__xludf.DUMMYFUNCTION("""COMPUTED_VALUE"""),"No")</f>
        <v>No</v>
      </c>
      <c r="C156" s="98"/>
      <c r="D156" s="98"/>
      <c r="E156" s="5" t="str">
        <f ca="1">IFERROR(__xludf.DUMMYFUNCTION("""COMPUTED_VALUE"""),"Events")</f>
        <v>Events</v>
      </c>
      <c r="F156" s="99" t="str">
        <f ca="1">IFERROR(__xludf.DUMMYFUNCTION("""COMPUTED_VALUE"""),"0:N")</f>
        <v>0:N</v>
      </c>
      <c r="G156" s="98"/>
      <c r="H156" s="98"/>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x14ac:dyDescent="0.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x14ac:dyDescent="0.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x14ac:dyDescent="0.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x14ac:dyDescent="0.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x14ac:dyDescent="0.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x14ac:dyDescent="0.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x14ac:dyDescent="0.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x14ac:dyDescent="0.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x14ac:dyDescent="0.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x14ac:dyDescent="0.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x14ac:dyDescent="0.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x14ac:dyDescent="0.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x14ac:dyDescent="0.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x14ac:dyDescent="0.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x14ac:dyDescent="0.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x14ac:dyDescent="0.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x14ac:dyDescent="0.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x14ac:dyDescent="0.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x14ac:dyDescent="0.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x14ac:dyDescent="0.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x14ac:dyDescent="0.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x14ac:dyDescent="0.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x14ac:dyDescent="0.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x14ac:dyDescent="0.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x14ac:dyDescent="0.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x14ac:dyDescent="0.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x14ac:dyDescent="0.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x14ac:dyDescent="0.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x14ac:dyDescent="0.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x14ac:dyDescent="0.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x14ac:dyDescent="0.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x14ac:dyDescent="0.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x14ac:dyDescent="0.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x14ac:dyDescent="0.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x14ac:dyDescent="0.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x14ac:dyDescent="0.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x14ac:dyDescent="0.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x14ac:dyDescent="0.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x14ac:dyDescent="0.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x14ac:dyDescent="0.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x14ac:dyDescent="0.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x14ac:dyDescent="0.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x14ac:dyDescent="0.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x14ac:dyDescent="0.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x14ac:dyDescent="0.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x14ac:dyDescent="0.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x14ac:dyDescent="0.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x14ac:dyDescent="0.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x14ac:dyDescent="0.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x14ac:dyDescent="0.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x14ac:dyDescent="0.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x14ac:dyDescent="0.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x14ac:dyDescent="0.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x14ac:dyDescent="0.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x14ac:dyDescent="0.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x14ac:dyDescent="0.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x14ac:dyDescent="0.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x14ac:dyDescent="0.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x14ac:dyDescent="0.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x14ac:dyDescent="0.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x14ac:dyDescent="0.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x14ac:dyDescent="0.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x14ac:dyDescent="0.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x14ac:dyDescent="0.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x14ac:dyDescent="0.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x14ac:dyDescent="0.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x14ac:dyDescent="0.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x14ac:dyDescent="0.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x14ac:dyDescent="0.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x14ac:dyDescent="0.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x14ac:dyDescent="0.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x14ac:dyDescent="0.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x14ac:dyDescent="0.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x14ac:dyDescent="0.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x14ac:dyDescent="0.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x14ac:dyDescent="0.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x14ac:dyDescent="0.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x14ac:dyDescent="0.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x14ac:dyDescent="0.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x14ac:dyDescent="0.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x14ac:dyDescent="0.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x14ac:dyDescent="0.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x14ac:dyDescent="0.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x14ac:dyDescent="0.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x14ac:dyDescent="0.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x14ac:dyDescent="0.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x14ac:dyDescent="0.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x14ac:dyDescent="0.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x14ac:dyDescent="0.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x14ac:dyDescent="0.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x14ac:dyDescent="0.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x14ac:dyDescent="0.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x14ac:dyDescent="0.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x14ac:dyDescent="0.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x14ac:dyDescent="0.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x14ac:dyDescent="0.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x14ac:dyDescent="0.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x14ac:dyDescent="0.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x14ac:dyDescent="0.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x14ac:dyDescent="0.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x14ac:dyDescent="0.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x14ac:dyDescent="0.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x14ac:dyDescent="0.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F156:H156"/>
    <mergeCell ref="F140:F141"/>
    <mergeCell ref="F122:F139"/>
    <mergeCell ref="F94:F103"/>
    <mergeCell ref="F104:F109"/>
    <mergeCell ref="D2:D35"/>
    <mergeCell ref="C2:C35"/>
    <mergeCell ref="E13:E24"/>
    <mergeCell ref="E28:E32"/>
    <mergeCell ref="D36:D77"/>
    <mergeCell ref="E76:E77"/>
    <mergeCell ref="E47:E60"/>
    <mergeCell ref="E36:E46"/>
    <mergeCell ref="E61:E73"/>
    <mergeCell ref="C36:C77"/>
    <mergeCell ref="C122:C156"/>
    <mergeCell ref="E94:E103"/>
    <mergeCell ref="D78:D121"/>
    <mergeCell ref="E104:E109"/>
    <mergeCell ref="E110:E112"/>
    <mergeCell ref="E78:E93"/>
    <mergeCell ref="D122:D156"/>
    <mergeCell ref="C78:C121"/>
    <mergeCell ref="E113:E121"/>
    <mergeCell ref="E151:E155"/>
    <mergeCell ref="E142:E149"/>
    <mergeCell ref="E140:E141"/>
    <mergeCell ref="E122:E139"/>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x14ac:dyDescent="0.25"/>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x14ac:dyDescent="0.3">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9" t="str">
        <f ca="1">E6</f>
        <v>Creator</v>
      </c>
      <c r="L1" s="98"/>
      <c r="M1" s="98"/>
      <c r="N1" s="98"/>
      <c r="O1" s="98"/>
      <c r="P1" s="98"/>
      <c r="Q1" s="98"/>
      <c r="R1" s="98"/>
      <c r="S1" s="98"/>
      <c r="T1" s="98"/>
      <c r="U1" s="98"/>
      <c r="V1" s="98"/>
      <c r="W1" s="98"/>
      <c r="X1" s="98"/>
      <c r="Y1" s="98"/>
      <c r="Z1" s="4"/>
      <c r="AA1" s="99" t="str">
        <f ca="1">E5</f>
        <v>Author</v>
      </c>
      <c r="AB1" s="98"/>
      <c r="AC1" s="98"/>
      <c r="AD1" s="98"/>
      <c r="AE1" s="98"/>
      <c r="AF1" s="98"/>
      <c r="AG1" s="98"/>
      <c r="AH1" s="98"/>
      <c r="AI1" s="98"/>
      <c r="AJ1" s="98"/>
      <c r="AK1" s="98"/>
      <c r="AL1" s="98"/>
      <c r="AM1" s="98"/>
      <c r="AN1" s="98"/>
      <c r="AO1" s="98"/>
    </row>
    <row r="2" spans="1:41"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x14ac:dyDescent="0.25">
      <c r="A6" s="4" t="str">
        <f ca="1">IFERROR(__xludf.DUMMYFUNCTION("""COMPUTED_VALUE"""),"Yes")</f>
        <v>Yes</v>
      </c>
      <c r="B6" s="4" t="str">
        <f ca="1">IFERROR(__xludf.DUMMYFUNCTION("""COMPUTED_VALUE"""),"Yes")</f>
        <v>Yes</v>
      </c>
      <c r="C6" s="98"/>
      <c r="D6" s="98"/>
      <c r="E6" s="99"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x14ac:dyDescent="0.25">
      <c r="A7" s="4" t="str">
        <f ca="1">IFERROR(__xludf.DUMMYFUNCTION("""COMPUTED_VALUE"""),"Yes")</f>
        <v>Yes</v>
      </c>
      <c r="B7" s="4" t="str">
        <f ca="1">IFERROR(__xludf.DUMMYFUNCTION("""COMPUTED_VALUE"""),"Yes")</f>
        <v>Yes</v>
      </c>
      <c r="C7" s="98"/>
      <c r="D7" s="98"/>
      <c r="E7" s="98"/>
      <c r="F7" s="99"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x14ac:dyDescent="0.25">
      <c r="A8" s="4" t="str">
        <f ca="1">IFERROR(__xludf.DUMMYFUNCTION("""COMPUTED_VALUE"""),"Yes")</f>
        <v>Yes</v>
      </c>
      <c r="B8" s="4" t="str">
        <f ca="1">IFERROR(__xludf.DUMMYFUNCTION("""COMPUTED_VALUE"""),"No")</f>
        <v>No</v>
      </c>
      <c r="C8" s="98"/>
      <c r="D8" s="98"/>
      <c r="E8" s="5"/>
      <c r="F8" s="98"/>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10"/>
      <c r="J12" s="4"/>
      <c r="K12" s="101" t="str">
        <f ca="1">E13</f>
        <v>References</v>
      </c>
      <c r="L12" s="98"/>
      <c r="M12" s="98"/>
      <c r="N12" s="98"/>
      <c r="O12" s="98"/>
      <c r="P12" s="98"/>
      <c r="Q12" s="98"/>
      <c r="R12" s="98"/>
      <c r="S12" s="98"/>
      <c r="T12" s="98"/>
      <c r="U12" s="98"/>
      <c r="V12" s="98"/>
      <c r="W12" s="4"/>
      <c r="X12" s="4"/>
      <c r="Y12" s="4"/>
      <c r="Z12" s="4"/>
      <c r="AA12" s="4"/>
      <c r="AB12" s="4"/>
      <c r="AC12" s="4"/>
      <c r="AD12" s="4"/>
      <c r="AE12" s="4"/>
      <c r="AF12" s="4"/>
      <c r="AG12" s="4"/>
      <c r="AH12" s="4"/>
      <c r="AI12" s="4"/>
      <c r="AJ12" s="4"/>
      <c r="AK12" s="4"/>
      <c r="AL12" s="4"/>
      <c r="AM12" s="4"/>
      <c r="AN12" s="4"/>
      <c r="AO12" s="4"/>
    </row>
    <row r="13" spans="1:41"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x14ac:dyDescent="0.25">
      <c r="A14" s="4" t="str">
        <f ca="1">IFERROR(__xludf.DUMMYFUNCTION("""COMPUTED_VALUE"""),"Yes")</f>
        <v>Yes</v>
      </c>
      <c r="B14" s="4"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x14ac:dyDescent="0.25">
      <c r="A15" s="4" t="str">
        <f ca="1">IFERROR(__xludf.DUMMYFUNCTION("""COMPUTED_VALUE"""),"Yes")</f>
        <v>Yes</v>
      </c>
      <c r="B15" s="4"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x14ac:dyDescent="0.25">
      <c r="A16" s="4" t="str">
        <f ca="1">IFERROR(__xludf.DUMMYFUNCTION("""COMPUTED_VALUE"""),"Yes")</f>
        <v>Yes</v>
      </c>
      <c r="B16" s="4" t="str">
        <f ca="1">IFERROR(__xludf.DUMMYFUNCTION("""COMPUTED_VALUE"""),"No")</f>
        <v>No</v>
      </c>
      <c r="C16" s="98"/>
      <c r="D16" s="98"/>
      <c r="E16" s="98"/>
      <c r="F16" s="98"/>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x14ac:dyDescent="0.25">
      <c r="A17" s="4" t="str">
        <f ca="1">IFERROR(__xludf.DUMMYFUNCTION("""COMPUTED_VALUE"""),"Yes")</f>
        <v>Yes</v>
      </c>
      <c r="B17" s="4"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x14ac:dyDescent="0.25">
      <c r="A18" s="4" t="str">
        <f ca="1">IFERROR(__xludf.DUMMYFUNCTION("""COMPUTED_VALUE"""),"Yes")</f>
        <v>Yes</v>
      </c>
      <c r="B18" s="4"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x14ac:dyDescent="0.25">
      <c r="A19" s="4" t="str">
        <f ca="1">IFERROR(__xludf.DUMMYFUNCTION("""COMPUTED_VALUE"""),"Yes")</f>
        <v>Yes</v>
      </c>
      <c r="B19" s="4"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x14ac:dyDescent="0.25">
      <c r="A20" s="4" t="str">
        <f ca="1">IFERROR(__xludf.DUMMYFUNCTION("""COMPUTED_VALUE"""),"Yes")</f>
        <v>Yes</v>
      </c>
      <c r="B20" s="4"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x14ac:dyDescent="0.25">
      <c r="A21" s="4" t="str">
        <f ca="1">IFERROR(__xludf.DUMMYFUNCTION("""COMPUTED_VALUE"""),"Yes")</f>
        <v>Yes</v>
      </c>
      <c r="B21" s="4"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x14ac:dyDescent="0.25">
      <c r="A22" s="4" t="str">
        <f ca="1">IFERROR(__xludf.DUMMYFUNCTION("""COMPUTED_VALUE"""),"Yes")</f>
        <v>Yes</v>
      </c>
      <c r="B22" s="4"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x14ac:dyDescent="0.3">
      <c r="A23" s="4" t="str">
        <f ca="1">IFERROR(__xludf.DUMMYFUNCTION("""COMPUTED_VALUE"""),"Yes")</f>
        <v>Yes</v>
      </c>
      <c r="B23" s="4"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x14ac:dyDescent="0.25">
      <c r="A24" s="4" t="str">
        <f ca="1">IFERROR(__xludf.DUMMYFUNCTION("""COMPUTED_VALUE"""),"Yes")</f>
        <v>Yes</v>
      </c>
      <c r="B24" s="4" t="str">
        <f ca="1">IFERROR(__xludf.DUMMYFUNCTION("""COMPUTED_VALUE"""),"No")</f>
        <v>No</v>
      </c>
      <c r="C24" s="98"/>
      <c r="D24" s="98"/>
      <c r="E24" s="98"/>
      <c r="F24" s="98"/>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x14ac:dyDescent="0.3">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99" t="str">
        <f ca="1">IFERROR(__xludf.DUMMYFUNCTION("""COMPUTED_VALUE"""),"0:1")</f>
        <v>0:1</v>
      </c>
      <c r="G26" s="98"/>
      <c r="H26" s="98"/>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x14ac:dyDescent="0.25">
      <c r="A29" s="4" t="str">
        <f ca="1">IFERROR(__xludf.DUMMYFUNCTION("""COMPUTED_VALUE"""),"Yes")</f>
        <v>Yes</v>
      </c>
      <c r="B29" s="4"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x14ac:dyDescent="0.25">
      <c r="A30" s="4" t="str">
        <f ca="1">IFERROR(__xludf.DUMMYFUNCTION("""COMPUTED_VALUE"""),"Yes")</f>
        <v>Yes</v>
      </c>
      <c r="B30" s="4"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x14ac:dyDescent="0.25">
      <c r="A31" s="4" t="str">
        <f ca="1">IFERROR(__xludf.DUMMYFUNCTION("""COMPUTED_VALUE"""),"Yes")</f>
        <v>Yes</v>
      </c>
      <c r="B31" s="4"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x14ac:dyDescent="0.25">
      <c r="A32" s="4" t="str">
        <f ca="1">IFERROR(__xludf.DUMMYFUNCTION("""COMPUTED_VALUE"""),"Yes")</f>
        <v>Yes</v>
      </c>
      <c r="B32" s="4" t="str">
        <f ca="1">IFERROR(__xludf.DUMMYFUNCTION("""COMPUTED_VALUE"""),"No")</f>
        <v>No</v>
      </c>
      <c r="C32" s="98"/>
      <c r="D32" s="98"/>
      <c r="E32" s="98"/>
      <c r="F32" s="98"/>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x14ac:dyDescent="0.25">
      <c r="A36" s="4" t="str">
        <f ca="1">IFERROR(__xludf.DUMMYFUNCTION("""COMPUTED_VALUE"""),"Yes")</f>
        <v>Yes</v>
      </c>
      <c r="B36" s="4" t="str">
        <f ca="1">IFERROR(__xludf.DUMMYFUNCTION("""COMPUTED_VALUE"""),"Yes")</f>
        <v>Yes</v>
      </c>
      <c r="C36" s="97" t="str">
        <f ca="1">IFERROR(__xludf.DUMMYFUNCTION("""COMPUTED_VALUE"""),"Scope")</f>
        <v>Scope</v>
      </c>
      <c r="D36" s="97" t="str">
        <f ca="1">IFERROR(__xludf.DUMMYFUNCTION("""COMPUTED_VALUE"""),"1")</f>
        <v>1</v>
      </c>
      <c r="E36" s="99" t="str">
        <f ca="1">IFERROR(__xludf.DUMMYFUNCTION("""COMPUTED_VALUE"""),"Product / matrix")</f>
        <v>Product / matrix</v>
      </c>
      <c r="F36" s="99" t="str">
        <f ca="1">IFERROR(__xludf.DUMMYFUNCTION("""COMPUTED_VALUE"""),"1:N")</f>
        <v>1:N</v>
      </c>
      <c r="G36" s="5" t="str">
        <f ca="1">IFERROR(__xludf.DUMMYFUNCTION("""COMPUTED_VALUE"""),"Product/matrix name")</f>
        <v>Product/matrix name</v>
      </c>
      <c r="H36" s="5" t="str">
        <f ca="1">IFERROR(__xludf.DUMMYFUNCTION("""COMPUTED_VALUE"""),"1")</f>
        <v>1</v>
      </c>
      <c r="I36" s="41"/>
      <c r="J36" s="4"/>
      <c r="K36" s="101" t="str">
        <f ca="1">E36</f>
        <v>Product / matrix</v>
      </c>
      <c r="L36" s="98"/>
      <c r="M36" s="98"/>
      <c r="N36" s="98"/>
      <c r="O36" s="98"/>
      <c r="P36" s="98"/>
      <c r="Q36" s="98"/>
      <c r="R36" s="98"/>
      <c r="S36" s="98"/>
      <c r="T36" s="98"/>
      <c r="U36" s="98"/>
      <c r="V36" s="101" t="str">
        <f ca="1">E47</f>
        <v>Hazard</v>
      </c>
      <c r="W36" s="98"/>
      <c r="X36" s="98"/>
      <c r="Y36" s="98"/>
      <c r="Z36" s="98"/>
      <c r="AA36" s="98"/>
      <c r="AB36" s="98"/>
      <c r="AC36" s="98"/>
      <c r="AD36" s="98"/>
      <c r="AE36" s="98"/>
      <c r="AF36" s="98"/>
      <c r="AG36" s="98"/>
      <c r="AH36" s="98"/>
      <c r="AI36" s="98"/>
      <c r="AJ36" s="4"/>
      <c r="AK36" s="4"/>
      <c r="AL36" s="4"/>
      <c r="AM36" s="4"/>
      <c r="AN36" s="4"/>
      <c r="AO36" s="4"/>
    </row>
    <row r="37" spans="1:41" ht="12.5" x14ac:dyDescent="0.25">
      <c r="A37" s="4" t="str">
        <f ca="1">IFERROR(__xludf.DUMMYFUNCTION("""COMPUTED_VALUE"""),"Yes")</f>
        <v>Yes</v>
      </c>
      <c r="B37" s="4" t="str">
        <f ca="1">IFERROR(__xludf.DUMMYFUNCTION("""COMPUTED_VALUE"""),"Yes")</f>
        <v>Yes</v>
      </c>
      <c r="C37" s="98"/>
      <c r="D37" s="98"/>
      <c r="E37" s="98"/>
      <c r="F37" s="98"/>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x14ac:dyDescent="0.25">
      <c r="A38" s="4" t="str">
        <f ca="1">IFERROR(__xludf.DUMMYFUNCTION("""COMPUTED_VALUE"""),"Yes")</f>
        <v>Yes</v>
      </c>
      <c r="B38" s="4" t="str">
        <f ca="1">IFERROR(__xludf.DUMMYFUNCTION("""COMPUTED_VALUE"""),"Yes")</f>
        <v>Yes</v>
      </c>
      <c r="C38" s="98"/>
      <c r="D38" s="98"/>
      <c r="E38" s="98"/>
      <c r="F38" s="98"/>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x14ac:dyDescent="0.25">
      <c r="A39" s="4" t="str">
        <f ca="1">IFERROR(__xludf.DUMMYFUNCTION("""COMPUTED_VALUE"""),"Yes")</f>
        <v>Yes</v>
      </c>
      <c r="B39" s="4" t="str">
        <f ca="1">IFERROR(__xludf.DUMMYFUNCTION("""COMPUTED_VALUE"""),"No")</f>
        <v>No</v>
      </c>
      <c r="C39" s="98"/>
      <c r="D39" s="98"/>
      <c r="E39" s="98"/>
      <c r="F39" s="98"/>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x14ac:dyDescent="0.25">
      <c r="A40" s="4" t="str">
        <f ca="1">IFERROR(__xludf.DUMMYFUNCTION("""COMPUTED_VALUE"""),"Yes")</f>
        <v>Yes</v>
      </c>
      <c r="B40" s="4" t="str">
        <f ca="1">IFERROR(__xludf.DUMMYFUNCTION("""COMPUTED_VALUE"""),"No")</f>
        <v>No</v>
      </c>
      <c r="C40" s="98"/>
      <c r="D40" s="98"/>
      <c r="E40" s="98"/>
      <c r="F40" s="98"/>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x14ac:dyDescent="0.25">
      <c r="A41" s="4" t="str">
        <f ca="1">IFERROR(__xludf.DUMMYFUNCTION("""COMPUTED_VALUE"""),"Yes")</f>
        <v>Yes</v>
      </c>
      <c r="B41" s="4" t="str">
        <f ca="1">IFERROR(__xludf.DUMMYFUNCTION("""COMPUTED_VALUE"""),"No")</f>
        <v>No</v>
      </c>
      <c r="C41" s="98"/>
      <c r="D41" s="98"/>
      <c r="E41" s="98"/>
      <c r="F41" s="98"/>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x14ac:dyDescent="0.25">
      <c r="A42" s="4" t="str">
        <f ca="1">IFERROR(__xludf.DUMMYFUNCTION("""COMPUTED_VALUE"""),"Yes")</f>
        <v>Yes</v>
      </c>
      <c r="B42" s="4" t="str">
        <f ca="1">IFERROR(__xludf.DUMMYFUNCTION("""COMPUTED_VALUE"""),"No")</f>
        <v>No</v>
      </c>
      <c r="C42" s="98"/>
      <c r="D42" s="98"/>
      <c r="E42" s="98"/>
      <c r="F42" s="98"/>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x14ac:dyDescent="0.25">
      <c r="A43" s="4" t="str">
        <f ca="1">IFERROR(__xludf.DUMMYFUNCTION("""COMPUTED_VALUE"""),"Yes")</f>
        <v>Yes</v>
      </c>
      <c r="B43" s="4" t="str">
        <f ca="1">IFERROR(__xludf.DUMMYFUNCTION("""COMPUTED_VALUE"""),"No")</f>
        <v>No</v>
      </c>
      <c r="C43" s="98"/>
      <c r="D43" s="98"/>
      <c r="E43" s="98"/>
      <c r="F43" s="98"/>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x14ac:dyDescent="0.25">
      <c r="A44" s="4" t="str">
        <f ca="1">IFERROR(__xludf.DUMMYFUNCTION("""COMPUTED_VALUE"""),"Yes")</f>
        <v>Yes</v>
      </c>
      <c r="B44" s="4" t="str">
        <f ca="1">IFERROR(__xludf.DUMMYFUNCTION("""COMPUTED_VALUE"""),"No")</f>
        <v>No</v>
      </c>
      <c r="C44" s="98"/>
      <c r="D44" s="98"/>
      <c r="E44" s="98"/>
      <c r="F44" s="98"/>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x14ac:dyDescent="0.25">
      <c r="A45" s="4" t="str">
        <f ca="1">IFERROR(__xludf.DUMMYFUNCTION("""COMPUTED_VALUE"""),"Yes")</f>
        <v>Yes</v>
      </c>
      <c r="B45" s="4" t="str">
        <f ca="1">IFERROR(__xludf.DUMMYFUNCTION("""COMPUTED_VALUE"""),"No")</f>
        <v>No</v>
      </c>
      <c r="C45" s="98"/>
      <c r="D45" s="98"/>
      <c r="E45" s="98"/>
      <c r="F45" s="98"/>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x14ac:dyDescent="0.25">
      <c r="A46" s="4" t="str">
        <f ca="1">IFERROR(__xludf.DUMMYFUNCTION("""COMPUTED_VALUE"""),"Yes")</f>
        <v>Yes</v>
      </c>
      <c r="B46" s="4" t="str">
        <f ca="1">IFERROR(__xludf.DUMMYFUNCTION("""COMPUTED_VALUE"""),"No")</f>
        <v>No</v>
      </c>
      <c r="C46" s="98"/>
      <c r="D46" s="98"/>
      <c r="E46" s="98"/>
      <c r="F46" s="98"/>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x14ac:dyDescent="0.25">
      <c r="A47" s="4" t="str">
        <f ca="1">IFERROR(__xludf.DUMMYFUNCTION("""COMPUTED_VALUE"""),"Yes")</f>
        <v>Yes</v>
      </c>
      <c r="B47" s="4" t="str">
        <f ca="1">IFERROR(__xludf.DUMMYFUNCTION("""COMPUTED_VALUE"""),"No")</f>
        <v>No</v>
      </c>
      <c r="C47" s="98"/>
      <c r="D47" s="98"/>
      <c r="E47" s="99" t="str">
        <f ca="1">IFERROR(__xludf.DUMMYFUNCTION("""COMPUTED_VALUE"""),"Hazard")</f>
        <v>Hazard</v>
      </c>
      <c r="F47" s="99"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x14ac:dyDescent="0.25">
      <c r="A48" s="4" t="str">
        <f ca="1">IFERROR(__xludf.DUMMYFUNCTION("""COMPUTED_VALUE"""),"Yes")</f>
        <v>Yes</v>
      </c>
      <c r="B48" s="4" t="str">
        <f ca="1">IFERROR(__xludf.DUMMYFUNCTION("""COMPUTED_VALUE"""),"Yes")</f>
        <v>Yes</v>
      </c>
      <c r="C48" s="98"/>
      <c r="D48" s="98"/>
      <c r="E48" s="98"/>
      <c r="F48" s="98"/>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x14ac:dyDescent="0.25">
      <c r="A49" s="4" t="str">
        <f ca="1">IFERROR(__xludf.DUMMYFUNCTION("""COMPUTED_VALUE"""),"Yes")</f>
        <v>Yes</v>
      </c>
      <c r="B49" s="4" t="str">
        <f ca="1">IFERROR(__xludf.DUMMYFUNCTION("""COMPUTED_VALUE"""),"No")</f>
        <v>No</v>
      </c>
      <c r="C49" s="98"/>
      <c r="D49" s="98"/>
      <c r="E49" s="98"/>
      <c r="F49" s="98"/>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x14ac:dyDescent="0.25">
      <c r="A50" s="4" t="str">
        <f ca="1">IFERROR(__xludf.DUMMYFUNCTION("""COMPUTED_VALUE"""),"Yes")</f>
        <v>Yes</v>
      </c>
      <c r="B50" s="4" t="str">
        <f ca="1">IFERROR(__xludf.DUMMYFUNCTION("""COMPUTED_VALUE"""),"No")</f>
        <v>No</v>
      </c>
      <c r="C50" s="98"/>
      <c r="D50" s="98"/>
      <c r="E50" s="98"/>
      <c r="F50" s="98"/>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x14ac:dyDescent="0.25">
      <c r="A51" s="4" t="str">
        <f ca="1">IFERROR(__xludf.DUMMYFUNCTION("""COMPUTED_VALUE"""),"Yes")</f>
        <v>Yes</v>
      </c>
      <c r="B51" s="4" t="str">
        <f ca="1">IFERROR(__xludf.DUMMYFUNCTION("""COMPUTED_VALUE"""),"No")</f>
        <v>No</v>
      </c>
      <c r="C51" s="98"/>
      <c r="D51" s="98"/>
      <c r="E51" s="98"/>
      <c r="F51" s="98"/>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x14ac:dyDescent="0.25">
      <c r="A52" s="4" t="str">
        <f ca="1">IFERROR(__xludf.DUMMYFUNCTION("""COMPUTED_VALUE"""),"Yes")</f>
        <v>Yes</v>
      </c>
      <c r="B52" s="4" t="str">
        <f ca="1">IFERROR(__xludf.DUMMYFUNCTION("""COMPUTED_VALUE"""),"No")</f>
        <v>No</v>
      </c>
      <c r="C52" s="98"/>
      <c r="D52" s="98"/>
      <c r="E52" s="98"/>
      <c r="F52" s="98"/>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x14ac:dyDescent="0.25">
      <c r="A53" s="4" t="str">
        <f ca="1">IFERROR(__xludf.DUMMYFUNCTION("""COMPUTED_VALUE"""),"Yes")</f>
        <v>Yes</v>
      </c>
      <c r="B53" s="4" t="str">
        <f ca="1">IFERROR(__xludf.DUMMYFUNCTION("""COMPUTED_VALUE"""),"No")</f>
        <v>No</v>
      </c>
      <c r="C53" s="98"/>
      <c r="D53" s="98"/>
      <c r="E53" s="98"/>
      <c r="F53" s="98"/>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x14ac:dyDescent="0.25">
      <c r="A54" s="4" t="str">
        <f ca="1">IFERROR(__xludf.DUMMYFUNCTION("""COMPUTED_VALUE"""),"Yes")</f>
        <v>Yes</v>
      </c>
      <c r="B54" s="4" t="str">
        <f ca="1">IFERROR(__xludf.DUMMYFUNCTION("""COMPUTED_VALUE"""),"No")</f>
        <v>No</v>
      </c>
      <c r="C54" s="98"/>
      <c r="D54" s="98"/>
      <c r="E54" s="98"/>
      <c r="F54" s="98"/>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x14ac:dyDescent="0.25">
      <c r="A55" s="4" t="str">
        <f ca="1">IFERROR(__xludf.DUMMYFUNCTION("""COMPUTED_VALUE"""),"Yes")</f>
        <v>Yes</v>
      </c>
      <c r="B55" s="4" t="str">
        <f ca="1">IFERROR(__xludf.DUMMYFUNCTION("""COMPUTED_VALUE"""),"No")</f>
        <v>No</v>
      </c>
      <c r="C55" s="98"/>
      <c r="D55" s="98"/>
      <c r="E55" s="98"/>
      <c r="F55" s="98"/>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x14ac:dyDescent="0.25">
      <c r="A56" s="4" t="str">
        <f ca="1">IFERROR(__xludf.DUMMYFUNCTION("""COMPUTED_VALUE"""),"Yes")</f>
        <v>Yes</v>
      </c>
      <c r="B56" s="4" t="str">
        <f ca="1">IFERROR(__xludf.DUMMYFUNCTION("""COMPUTED_VALUE"""),"No")</f>
        <v>No</v>
      </c>
      <c r="C56" s="98"/>
      <c r="D56" s="98"/>
      <c r="E56" s="98"/>
      <c r="F56" s="98"/>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x14ac:dyDescent="0.25">
      <c r="A57" s="4" t="str">
        <f ca="1">IFERROR(__xludf.DUMMYFUNCTION("""COMPUTED_VALUE"""),"Yes")</f>
        <v>Yes</v>
      </c>
      <c r="B57" s="4" t="str">
        <f ca="1">IFERROR(__xludf.DUMMYFUNCTION("""COMPUTED_VALUE"""),"No")</f>
        <v>No</v>
      </c>
      <c r="C57" s="98"/>
      <c r="D57" s="98"/>
      <c r="E57" s="98"/>
      <c r="F57" s="98"/>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x14ac:dyDescent="0.25">
      <c r="A58" s="4" t="str">
        <f ca="1">IFERROR(__xludf.DUMMYFUNCTION("""COMPUTED_VALUE"""),"Yes")</f>
        <v>Yes</v>
      </c>
      <c r="B58" s="4" t="str">
        <f ca="1">IFERROR(__xludf.DUMMYFUNCTION("""COMPUTED_VALUE"""),"No")</f>
        <v>No</v>
      </c>
      <c r="C58" s="98"/>
      <c r="D58" s="98"/>
      <c r="E58" s="98"/>
      <c r="F58" s="98"/>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x14ac:dyDescent="0.25">
      <c r="A59" s="4" t="str">
        <f ca="1">IFERROR(__xludf.DUMMYFUNCTION("""COMPUTED_VALUE"""),"Yes")</f>
        <v>Yes</v>
      </c>
      <c r="B59" s="4" t="str">
        <f ca="1">IFERROR(__xludf.DUMMYFUNCTION("""COMPUTED_VALUE"""),"No")</f>
        <v>No</v>
      </c>
      <c r="C59" s="98"/>
      <c r="D59" s="98"/>
      <c r="E59" s="98"/>
      <c r="F59" s="98"/>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x14ac:dyDescent="0.25">
      <c r="A60" s="4" t="str">
        <f ca="1">IFERROR(__xludf.DUMMYFUNCTION("""COMPUTED_VALUE"""),"Yes")</f>
        <v>Yes</v>
      </c>
      <c r="B60" s="4" t="str">
        <f ca="1">IFERROR(__xludf.DUMMYFUNCTION("""COMPUTED_VALUE"""),"No")</f>
        <v>No</v>
      </c>
      <c r="C60" s="98"/>
      <c r="D60" s="98"/>
      <c r="E60" s="98"/>
      <c r="F60" s="98"/>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x14ac:dyDescent="0.25">
      <c r="A61" s="4" t="str">
        <f ca="1">IFERROR(__xludf.DUMMYFUNCTION("""COMPUTED_VALUE"""),"Yes")</f>
        <v>Yes</v>
      </c>
      <c r="B61" s="4" t="str">
        <f ca="1">IFERROR(__xludf.DUMMYFUNCTION("""COMPUTED_VALUE"""),"No")</f>
        <v>No</v>
      </c>
      <c r="C61" s="98"/>
      <c r="D61" s="98"/>
      <c r="E61" s="5" t="str">
        <f ca="1">IFERROR(__xludf.DUMMYFUNCTION("""COMPUTED_VALUE"""),"General comment")</f>
        <v>General comment</v>
      </c>
      <c r="F61" s="99" t="str">
        <f ca="1">IFERROR(__xludf.DUMMYFUNCTION("""COMPUTED_VALUE"""),"0:1")</f>
        <v>0:1</v>
      </c>
      <c r="G61" s="98"/>
      <c r="H61" s="98"/>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x14ac:dyDescent="0.25">
      <c r="A62" s="4" t="str">
        <f ca="1">IFERROR(__xludf.DUMMYFUNCTION("""COMPUTED_VALUE"""),"Yes")</f>
        <v>Yes</v>
      </c>
      <c r="B62" s="4" t="str">
        <f ca="1">IFERROR(__xludf.DUMMYFUNCTION("""COMPUTED_VALUE"""),"No")</f>
        <v>No</v>
      </c>
      <c r="C62" s="98"/>
      <c r="D62" s="98"/>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x14ac:dyDescent="0.25">
      <c r="A63" s="4" t="str">
        <f ca="1">IFERROR(__xludf.DUMMYFUNCTION("""COMPUTED_VALUE"""),"Yes")</f>
        <v>Yes</v>
      </c>
      <c r="B63" s="4" t="str">
        <f ca="1">IFERROR(__xludf.DUMMYFUNCTION("""COMPUTED_VALUE"""),"No")</f>
        <v>No</v>
      </c>
      <c r="C63" s="98"/>
      <c r="D63" s="98"/>
      <c r="E63" s="99" t="str">
        <f ca="1">IFERROR(__xludf.DUMMYFUNCTION("""COMPUTED_VALUE"""),"Spatial information")</f>
        <v>Spatial information</v>
      </c>
      <c r="F63" s="99"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x14ac:dyDescent="0.25">
      <c r="A64" s="4" t="str">
        <f ca="1">IFERROR(__xludf.DUMMYFUNCTION("""COMPUTED_VALUE"""),"Yes")</f>
        <v>Yes</v>
      </c>
      <c r="B64" s="4" t="str">
        <f ca="1">IFERROR(__xludf.DUMMYFUNCTION("""COMPUTED_VALUE"""),"No")</f>
        <v>No</v>
      </c>
      <c r="C64" s="98"/>
      <c r="D64" s="98"/>
      <c r="E64" s="98"/>
      <c r="F64" s="98"/>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x14ac:dyDescent="0.25">
      <c r="A65" s="4" t="str">
        <f ca="1">IFERROR(__xludf.DUMMYFUNCTION("""COMPUTED_VALUE"""),"Yes")</f>
        <v>Yes</v>
      </c>
      <c r="B65" s="4" t="str">
        <f ca="1">IFERROR(__xludf.DUMMYFUNCTION("""COMPUTED_VALUE"""),"No")</f>
        <v>No</v>
      </c>
      <c r="C65" s="97" t="str">
        <f ca="1">IFERROR(__xludf.DUMMYFUNCTION("""COMPUTED_VALUE"""),"Data_background")</f>
        <v>Data_background</v>
      </c>
      <c r="D65" s="97" t="str">
        <f ca="1">IFERROR(__xludf.DUMMYFUNCTION("""COMPUTED_VALUE"""),"0:1")</f>
        <v>0:1</v>
      </c>
      <c r="E65" s="99" t="str">
        <f ca="1">IFERROR(__xludf.DUMMYFUNCTION("""COMPUTED_VALUE"""),"Study")</f>
        <v>Study</v>
      </c>
      <c r="F65" s="99"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x14ac:dyDescent="0.25">
      <c r="A66" s="4" t="str">
        <f ca="1">IFERROR(__xludf.DUMMYFUNCTION("""COMPUTED_VALUE"""),"Yes")</f>
        <v>Yes</v>
      </c>
      <c r="B66" s="4" t="str">
        <f ca="1">IFERROR(__xludf.DUMMYFUNCTION("""COMPUTED_VALUE"""),"No")</f>
        <v>No</v>
      </c>
      <c r="C66" s="98"/>
      <c r="D66" s="98"/>
      <c r="E66" s="98"/>
      <c r="F66" s="98"/>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x14ac:dyDescent="0.25">
      <c r="A67" s="4" t="str">
        <f ca="1">IFERROR(__xludf.DUMMYFUNCTION("""COMPUTED_VALUE"""),"Yes")</f>
        <v>Yes</v>
      </c>
      <c r="B67" s="4" t="str">
        <f ca="1">IFERROR(__xludf.DUMMYFUNCTION("""COMPUTED_VALUE"""),"No")</f>
        <v>No</v>
      </c>
      <c r="C67" s="98"/>
      <c r="D67" s="98"/>
      <c r="E67" s="98"/>
      <c r="F67" s="98"/>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x14ac:dyDescent="0.25">
      <c r="A68" s="4" t="str">
        <f ca="1">IFERROR(__xludf.DUMMYFUNCTION("""COMPUTED_VALUE"""),"Yes")</f>
        <v>Yes</v>
      </c>
      <c r="B68" s="4" t="str">
        <f ca="1">IFERROR(__xludf.DUMMYFUNCTION("""COMPUTED_VALUE"""),"No")</f>
        <v>No</v>
      </c>
      <c r="C68" s="98"/>
      <c r="D68" s="98"/>
      <c r="E68" s="98"/>
      <c r="F68" s="98"/>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x14ac:dyDescent="0.25">
      <c r="A69" s="4" t="str">
        <f ca="1">IFERROR(__xludf.DUMMYFUNCTION("""COMPUTED_VALUE"""),"Yes")</f>
        <v>Yes</v>
      </c>
      <c r="B69" s="4" t="str">
        <f ca="1">IFERROR(__xludf.DUMMYFUNCTION("""COMPUTED_VALUE"""),"No")</f>
        <v>No</v>
      </c>
      <c r="C69" s="98"/>
      <c r="D69" s="98"/>
      <c r="E69" s="98"/>
      <c r="F69" s="98"/>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x14ac:dyDescent="0.25">
      <c r="A70" s="4" t="str">
        <f ca="1">IFERROR(__xludf.DUMMYFUNCTION("""COMPUTED_VALUE"""),"Yes")</f>
        <v>Yes</v>
      </c>
      <c r="B70" s="4" t="str">
        <f ca="1">IFERROR(__xludf.DUMMYFUNCTION("""COMPUTED_VALUE"""),"No")</f>
        <v>No</v>
      </c>
      <c r="C70" s="98"/>
      <c r="D70" s="98"/>
      <c r="E70" s="98"/>
      <c r="F70" s="98"/>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x14ac:dyDescent="0.25">
      <c r="A71" s="4" t="str">
        <f ca="1">IFERROR(__xludf.DUMMYFUNCTION("""COMPUTED_VALUE"""),"Yes")</f>
        <v>Yes</v>
      </c>
      <c r="B71" s="4" t="str">
        <f ca="1">IFERROR(__xludf.DUMMYFUNCTION("""COMPUTED_VALUE"""),"No")</f>
        <v>No</v>
      </c>
      <c r="C71" s="98"/>
      <c r="D71" s="98"/>
      <c r="E71" s="98"/>
      <c r="F71" s="98"/>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x14ac:dyDescent="0.25">
      <c r="A72" s="4" t="str">
        <f ca="1">IFERROR(__xludf.DUMMYFUNCTION("""COMPUTED_VALUE"""),"Yes")</f>
        <v>Yes</v>
      </c>
      <c r="B72" s="4" t="str">
        <f ca="1">IFERROR(__xludf.DUMMYFUNCTION("""COMPUTED_VALUE"""),"No")</f>
        <v>No</v>
      </c>
      <c r="C72" s="98"/>
      <c r="D72" s="98"/>
      <c r="E72" s="98"/>
      <c r="F72" s="98"/>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x14ac:dyDescent="0.25">
      <c r="A73" s="4" t="str">
        <f ca="1">IFERROR(__xludf.DUMMYFUNCTION("""COMPUTED_VALUE"""),"Yes")</f>
        <v>Yes</v>
      </c>
      <c r="B73" s="4" t="str">
        <f ca="1">IFERROR(__xludf.DUMMYFUNCTION("""COMPUTED_VALUE"""),"No")</f>
        <v>No</v>
      </c>
      <c r="C73" s="98"/>
      <c r="D73" s="98"/>
      <c r="E73" s="98"/>
      <c r="F73" s="98"/>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x14ac:dyDescent="0.25">
      <c r="A74" s="4" t="str">
        <f ca="1">IFERROR(__xludf.DUMMYFUNCTION("""COMPUTED_VALUE"""),"Yes")</f>
        <v>Yes</v>
      </c>
      <c r="B74" s="4" t="str">
        <f ca="1">IFERROR(__xludf.DUMMYFUNCTION("""COMPUTED_VALUE"""),"No")</f>
        <v>No</v>
      </c>
      <c r="C74" s="98"/>
      <c r="D74" s="98"/>
      <c r="E74" s="98"/>
      <c r="F74" s="98"/>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x14ac:dyDescent="0.25">
      <c r="A75" s="4" t="str">
        <f ca="1">IFERROR(__xludf.DUMMYFUNCTION("""COMPUTED_VALUE"""),"Yes")</f>
        <v>Yes</v>
      </c>
      <c r="B75" s="4" t="str">
        <f ca="1">IFERROR(__xludf.DUMMYFUNCTION("""COMPUTED_VALUE"""),"No")</f>
        <v>No</v>
      </c>
      <c r="C75" s="98"/>
      <c r="D75" s="98"/>
      <c r="E75" s="98"/>
      <c r="F75" s="98"/>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x14ac:dyDescent="0.25">
      <c r="A76" s="4" t="str">
        <f ca="1">IFERROR(__xludf.DUMMYFUNCTION("""COMPUTED_VALUE"""),"Yes")</f>
        <v>Yes</v>
      </c>
      <c r="B76" s="4" t="str">
        <f ca="1">IFERROR(__xludf.DUMMYFUNCTION("""COMPUTED_VALUE"""),"No")</f>
        <v>No</v>
      </c>
      <c r="C76" s="98"/>
      <c r="D76" s="98"/>
      <c r="E76" s="98"/>
      <c r="F76" s="98"/>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x14ac:dyDescent="0.25">
      <c r="A77" s="4" t="str">
        <f ca="1">IFERROR(__xludf.DUMMYFUNCTION("""COMPUTED_VALUE"""),"Yes")</f>
        <v>Yes</v>
      </c>
      <c r="B77" s="4" t="str">
        <f ca="1">IFERROR(__xludf.DUMMYFUNCTION("""COMPUTED_VALUE"""),"No")</f>
        <v>No</v>
      </c>
      <c r="C77" s="98"/>
      <c r="D77" s="98"/>
      <c r="E77" s="98"/>
      <c r="F77" s="98"/>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x14ac:dyDescent="0.25">
      <c r="A78" s="4" t="str">
        <f ca="1">IFERROR(__xludf.DUMMYFUNCTION("""COMPUTED_VALUE"""),"Yes")</f>
        <v>Yes</v>
      </c>
      <c r="B78" s="4" t="str">
        <f ca="1">IFERROR(__xludf.DUMMYFUNCTION("""COMPUTED_VALUE"""),"No")</f>
        <v>No</v>
      </c>
      <c r="C78" s="98"/>
      <c r="D78" s="98"/>
      <c r="E78" s="98"/>
      <c r="F78" s="98"/>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x14ac:dyDescent="0.25">
      <c r="A79" s="4" t="str">
        <f ca="1">IFERROR(__xludf.DUMMYFUNCTION("""COMPUTED_VALUE"""),"Yes")</f>
        <v>Yes</v>
      </c>
      <c r="B79" s="4" t="str">
        <f ca="1">IFERROR(__xludf.DUMMYFUNCTION("""COMPUTED_VALUE"""),"No")</f>
        <v>No</v>
      </c>
      <c r="C79" s="98"/>
      <c r="D79" s="98"/>
      <c r="E79" s="98"/>
      <c r="F79" s="98"/>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x14ac:dyDescent="0.25">
      <c r="A80" s="4" t="str">
        <f ca="1">IFERROR(__xludf.DUMMYFUNCTION("""COMPUTED_VALUE"""),"Yes")</f>
        <v>Yes</v>
      </c>
      <c r="B80" s="4" t="str">
        <f ca="1">IFERROR(__xludf.DUMMYFUNCTION("""COMPUTED_VALUE"""),"No")</f>
        <v>No</v>
      </c>
      <c r="C80" s="98"/>
      <c r="D80" s="98"/>
      <c r="E80" s="98"/>
      <c r="F80" s="98"/>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x14ac:dyDescent="0.25">
      <c r="A81" s="4" t="str">
        <f ca="1">IFERROR(__xludf.DUMMYFUNCTION("""COMPUTED_VALUE"""),"Yes")</f>
        <v>Yes</v>
      </c>
      <c r="B81" s="4" t="str">
        <f ca="1">IFERROR(__xludf.DUMMYFUNCTION("""COMPUTED_VALUE"""),"No")</f>
        <v>No</v>
      </c>
      <c r="C81" s="98"/>
      <c r="D81" s="98"/>
      <c r="E81" s="99" t="str">
        <f ca="1">IFERROR(__xludf.DUMMYFUNCTION("""COMPUTED_VALUE"""),"Study Sample")</f>
        <v>Study Sample</v>
      </c>
      <c r="F81" s="99" t="str">
        <f ca="1">IFERROR(__xludf.DUMMYFUNCTION("""COMPUTED_VALUE"""),"0:N")</f>
        <v>0:N</v>
      </c>
      <c r="G81" s="5" t="str">
        <f ca="1">IFERROR(__xludf.DUMMYFUNCTION("""COMPUTED_VALUE"""),"Sample Name (ID)")</f>
        <v>Sample Name (ID)</v>
      </c>
      <c r="H81" s="5" t="str">
        <f ca="1">IFERROR(__xludf.DUMMYFUNCTION("""COMPUTED_VALUE"""),"1")</f>
        <v>1</v>
      </c>
      <c r="I81" s="13"/>
      <c r="J81" s="4"/>
      <c r="K81" s="101" t="str">
        <f ca="1">E81</f>
        <v>Study Sample</v>
      </c>
      <c r="L81" s="98"/>
      <c r="M81" s="98"/>
      <c r="N81" s="98"/>
      <c r="O81" s="98"/>
      <c r="P81" s="98"/>
      <c r="Q81" s="98"/>
      <c r="R81" s="98"/>
      <c r="S81" s="98"/>
      <c r="T81" s="98"/>
      <c r="U81" s="4"/>
      <c r="V81" s="4"/>
      <c r="W81" s="4"/>
      <c r="X81" s="4"/>
      <c r="Y81" s="4"/>
      <c r="Z81" s="4"/>
      <c r="AA81" s="4"/>
      <c r="AB81" s="4"/>
      <c r="AC81" s="4"/>
      <c r="AD81" s="4"/>
      <c r="AE81" s="4"/>
      <c r="AF81" s="4"/>
      <c r="AG81" s="4"/>
      <c r="AH81" s="4"/>
      <c r="AI81" s="4"/>
      <c r="AJ81" s="4"/>
      <c r="AK81" s="4"/>
      <c r="AL81" s="4"/>
      <c r="AM81" s="4"/>
      <c r="AN81" s="4"/>
      <c r="AO81" s="4"/>
    </row>
    <row r="82" spans="1:41" ht="12.5" x14ac:dyDescent="0.25">
      <c r="A82" s="4" t="str">
        <f ca="1">IFERROR(__xludf.DUMMYFUNCTION("""COMPUTED_VALUE"""),"Yes")</f>
        <v>Yes</v>
      </c>
      <c r="B82" s="4" t="str">
        <f ca="1">IFERROR(__xludf.DUMMYFUNCTION("""COMPUTED_VALUE"""),"No")</f>
        <v>No</v>
      </c>
      <c r="C82" s="98"/>
      <c r="D82" s="98"/>
      <c r="E82" s="98"/>
      <c r="F82" s="98"/>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x14ac:dyDescent="0.25">
      <c r="A83" s="4" t="str">
        <f ca="1">IFERROR(__xludf.DUMMYFUNCTION("""COMPUTED_VALUE"""),"Yes")</f>
        <v>Yes</v>
      </c>
      <c r="B83" s="4" t="str">
        <f ca="1">IFERROR(__xludf.DUMMYFUNCTION("""COMPUTED_VALUE"""),"No")</f>
        <v>No</v>
      </c>
      <c r="C83" s="98"/>
      <c r="D83" s="98"/>
      <c r="E83" s="98"/>
      <c r="F83" s="98"/>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x14ac:dyDescent="0.25">
      <c r="A84" s="4" t="str">
        <f ca="1">IFERROR(__xludf.DUMMYFUNCTION("""COMPUTED_VALUE"""),"Yes")</f>
        <v>Yes</v>
      </c>
      <c r="B84" s="4" t="str">
        <f ca="1">IFERROR(__xludf.DUMMYFUNCTION("""COMPUTED_VALUE"""),"No")</f>
        <v>No</v>
      </c>
      <c r="C84" s="98"/>
      <c r="D84" s="98"/>
      <c r="E84" s="98"/>
      <c r="F84" s="98"/>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x14ac:dyDescent="0.25">
      <c r="A85" s="4" t="str">
        <f ca="1">IFERROR(__xludf.DUMMYFUNCTION("""COMPUTED_VALUE"""),"Yes")</f>
        <v>Yes</v>
      </c>
      <c r="B85" s="4" t="str">
        <f ca="1">IFERROR(__xludf.DUMMYFUNCTION("""COMPUTED_VALUE"""),"No")</f>
        <v>No</v>
      </c>
      <c r="C85" s="98"/>
      <c r="D85" s="98"/>
      <c r="E85" s="98"/>
      <c r="F85" s="98"/>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x14ac:dyDescent="0.25">
      <c r="A86" s="4" t="str">
        <f ca="1">IFERROR(__xludf.DUMMYFUNCTION("""COMPUTED_VALUE"""),"Yes")</f>
        <v>Yes</v>
      </c>
      <c r="B86" s="4" t="str">
        <f ca="1">IFERROR(__xludf.DUMMYFUNCTION("""COMPUTED_VALUE"""),"No")</f>
        <v>No</v>
      </c>
      <c r="C86" s="98"/>
      <c r="D86" s="98"/>
      <c r="E86" s="98"/>
      <c r="F86" s="98"/>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x14ac:dyDescent="0.25">
      <c r="A87" s="4" t="str">
        <f ca="1">IFERROR(__xludf.DUMMYFUNCTION("""COMPUTED_VALUE"""),"Yes")</f>
        <v>Yes</v>
      </c>
      <c r="B87" s="4" t="str">
        <f ca="1">IFERROR(__xludf.DUMMYFUNCTION("""COMPUTED_VALUE"""),"No")</f>
        <v>No</v>
      </c>
      <c r="C87" s="98"/>
      <c r="D87" s="98"/>
      <c r="E87" s="98"/>
      <c r="F87" s="98"/>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x14ac:dyDescent="0.25">
      <c r="A88" s="4" t="str">
        <f ca="1">IFERROR(__xludf.DUMMYFUNCTION("""COMPUTED_VALUE"""),"Yes")</f>
        <v>Yes</v>
      </c>
      <c r="B88" s="4" t="str">
        <f ca="1">IFERROR(__xludf.DUMMYFUNCTION("""COMPUTED_VALUE"""),"No")</f>
        <v>No</v>
      </c>
      <c r="C88" s="98"/>
      <c r="D88" s="98"/>
      <c r="E88" s="98"/>
      <c r="F88" s="98"/>
      <c r="G88" s="5" t="str">
        <f ca="1">IFERROR(__xludf.DUMMYFUNCTION("""COMPUTED_VALUE"""),"Sampling size")</f>
        <v>Sampling size</v>
      </c>
      <c r="H88" s="5" t="str">
        <f ca="1">IFERROR(__xludf.DUMMYFUNCTION("""COMPUTED_VALUE"""),"1")</f>
        <v>1</v>
      </c>
      <c r="I88" s="13"/>
      <c r="J88" s="4"/>
      <c r="K88" s="101" t="str">
        <f ca="1">E91</f>
        <v>Laboratory</v>
      </c>
      <c r="L88" s="98"/>
      <c r="M88" s="98"/>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x14ac:dyDescent="0.25">
      <c r="A89" s="4" t="str">
        <f ca="1">IFERROR(__xludf.DUMMYFUNCTION("""COMPUTED_VALUE"""),"Yes")</f>
        <v>Yes</v>
      </c>
      <c r="B89" s="4" t="str">
        <f ca="1">IFERROR(__xludf.DUMMYFUNCTION("""COMPUTED_VALUE"""),"No")</f>
        <v>No</v>
      </c>
      <c r="C89" s="98"/>
      <c r="D89" s="98"/>
      <c r="E89" s="98"/>
      <c r="F89" s="98"/>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x14ac:dyDescent="0.25">
      <c r="A90" s="4" t="str">
        <f ca="1">IFERROR(__xludf.DUMMYFUNCTION("""COMPUTED_VALUE"""),"Yes")</f>
        <v>Yes</v>
      </c>
      <c r="B90" s="4" t="str">
        <f ca="1">IFERROR(__xludf.DUMMYFUNCTION("""COMPUTED_VALUE"""),"No")</f>
        <v>No</v>
      </c>
      <c r="C90" s="98"/>
      <c r="D90" s="98"/>
      <c r="E90" s="98"/>
      <c r="F90" s="98"/>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x14ac:dyDescent="0.25">
      <c r="A91" s="4" t="str">
        <f ca="1">IFERROR(__xludf.DUMMYFUNCTION("""COMPUTED_VALUE"""),"Yes")</f>
        <v>Yes</v>
      </c>
      <c r="B91" s="4" t="str">
        <f ca="1">IFERROR(__xludf.DUMMYFUNCTION("""COMPUTED_VALUE"""),"No")</f>
        <v>No</v>
      </c>
      <c r="C91" s="98"/>
      <c r="D91" s="98"/>
      <c r="E91" s="99" t="str">
        <f ca="1">IFERROR(__xludf.DUMMYFUNCTION("""COMPUTED_VALUE"""),"Laboratory")</f>
        <v>Laboratory</v>
      </c>
      <c r="F91" s="99"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x14ac:dyDescent="0.25">
      <c r="A92" s="4" t="str">
        <f ca="1">IFERROR(__xludf.DUMMYFUNCTION("""COMPUTED_VALUE"""),"Yes")</f>
        <v>Yes</v>
      </c>
      <c r="B92" s="4" t="str">
        <f ca="1">IFERROR(__xludf.DUMMYFUNCTION("""COMPUTED_VALUE"""),"No")</f>
        <v>No</v>
      </c>
      <c r="C92" s="98"/>
      <c r="D92" s="98"/>
      <c r="E92" s="98"/>
      <c r="F92" s="98"/>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x14ac:dyDescent="0.25">
      <c r="A93" s="4" t="str">
        <f ca="1">IFERROR(__xludf.DUMMYFUNCTION("""COMPUTED_VALUE"""),"Yes")</f>
        <v>Yes</v>
      </c>
      <c r="B93" s="4" t="str">
        <f ca="1">IFERROR(__xludf.DUMMYFUNCTION("""COMPUTED_VALUE"""),"No")</f>
        <v>No</v>
      </c>
      <c r="C93" s="98"/>
      <c r="D93" s="98"/>
      <c r="E93" s="98"/>
      <c r="F93" s="98"/>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x14ac:dyDescent="0.25">
      <c r="A94" s="4" t="str">
        <f ca="1">IFERROR(__xludf.DUMMYFUNCTION("""COMPUTED_VALUE"""),"Yes")</f>
        <v>Yes</v>
      </c>
      <c r="B94" s="4" t="str">
        <f ca="1">IFERROR(__xludf.DUMMYFUNCTION("""COMPUTED_VALUE"""),"No")</f>
        <v>No</v>
      </c>
      <c r="C94" s="98"/>
      <c r="D94" s="98"/>
      <c r="E94" s="99" t="str">
        <f ca="1">IFERROR(__xludf.DUMMYFUNCTION("""COMPUTED_VALUE"""),"Assay")</f>
        <v>Assay</v>
      </c>
      <c r="F94" s="99" t="str">
        <f ca="1">IFERROR(__xludf.DUMMYFUNCTION("""COMPUTED_VALUE"""),"0:N")</f>
        <v>0:N</v>
      </c>
      <c r="G94" s="5" t="str">
        <f ca="1">IFERROR(__xludf.DUMMYFUNCTION("""COMPUTED_VALUE"""),"Assay Name")</f>
        <v>Assay Name</v>
      </c>
      <c r="H94" s="5" t="str">
        <f ca="1">IFERROR(__xludf.DUMMYFUNCTION("""COMPUTED_VALUE"""),"1")</f>
        <v>1</v>
      </c>
      <c r="I94" s="13"/>
      <c r="J94" s="4"/>
      <c r="K94" s="101" t="str">
        <f ca="1">E94</f>
        <v>Assay</v>
      </c>
      <c r="L94" s="98"/>
      <c r="M94" s="98"/>
      <c r="N94" s="98"/>
      <c r="O94" s="98"/>
      <c r="P94" s="98"/>
      <c r="Q94" s="98"/>
      <c r="R94" s="98"/>
      <c r="S94" s="98"/>
      <c r="T94" s="4"/>
      <c r="U94" s="4"/>
      <c r="V94" s="4"/>
      <c r="W94" s="4"/>
      <c r="X94" s="4"/>
      <c r="Y94" s="4"/>
      <c r="Z94" s="4"/>
      <c r="AA94" s="4"/>
      <c r="AB94" s="4"/>
      <c r="AC94" s="4"/>
      <c r="AD94" s="4"/>
      <c r="AE94" s="4"/>
      <c r="AF94" s="4"/>
      <c r="AG94" s="4"/>
      <c r="AH94" s="4"/>
      <c r="AI94" s="4"/>
      <c r="AJ94" s="4"/>
      <c r="AK94" s="4"/>
      <c r="AL94" s="4"/>
      <c r="AM94" s="4"/>
      <c r="AN94" s="4"/>
      <c r="AO94" s="4"/>
    </row>
    <row r="95" spans="1:41" ht="12.5" x14ac:dyDescent="0.25">
      <c r="A95" s="4" t="str">
        <f ca="1">IFERROR(__xludf.DUMMYFUNCTION("""COMPUTED_VALUE"""),"Yes")</f>
        <v>Yes</v>
      </c>
      <c r="B95" s="4" t="str">
        <f ca="1">IFERROR(__xludf.DUMMYFUNCTION("""COMPUTED_VALUE"""),"No")</f>
        <v>No</v>
      </c>
      <c r="C95" s="98"/>
      <c r="D95" s="98"/>
      <c r="E95" s="98"/>
      <c r="F95" s="98"/>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x14ac:dyDescent="0.25">
      <c r="A96" s="4" t="str">
        <f ca="1">IFERROR(__xludf.DUMMYFUNCTION("""COMPUTED_VALUE"""),"Yes")</f>
        <v>Yes</v>
      </c>
      <c r="B96" s="4" t="str">
        <f ca="1">IFERROR(__xludf.DUMMYFUNCTION("""COMPUTED_VALUE"""),"No")</f>
        <v>No</v>
      </c>
      <c r="C96" s="98"/>
      <c r="D96" s="98"/>
      <c r="E96" s="98"/>
      <c r="F96" s="98"/>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x14ac:dyDescent="0.25">
      <c r="A97" s="4" t="str">
        <f ca="1">IFERROR(__xludf.DUMMYFUNCTION("""COMPUTED_VALUE"""),"Yes")</f>
        <v>Yes</v>
      </c>
      <c r="B97" s="4" t="str">
        <f ca="1">IFERROR(__xludf.DUMMYFUNCTION("""COMPUTED_VALUE"""),"No")</f>
        <v>No</v>
      </c>
      <c r="C97" s="98"/>
      <c r="D97" s="98"/>
      <c r="E97" s="98"/>
      <c r="F97" s="98"/>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x14ac:dyDescent="0.25">
      <c r="A98" s="4" t="str">
        <f ca="1">IFERROR(__xludf.DUMMYFUNCTION("""COMPUTED_VALUE"""),"Yes")</f>
        <v>Yes</v>
      </c>
      <c r="B98" s="4" t="str">
        <f ca="1">IFERROR(__xludf.DUMMYFUNCTION("""COMPUTED_VALUE"""),"No")</f>
        <v>No</v>
      </c>
      <c r="C98" s="98"/>
      <c r="D98" s="98"/>
      <c r="E98" s="98"/>
      <c r="F98" s="98"/>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x14ac:dyDescent="0.25">
      <c r="A99" s="4" t="str">
        <f ca="1">IFERROR(__xludf.DUMMYFUNCTION("""COMPUTED_VALUE"""),"Yes")</f>
        <v>Yes</v>
      </c>
      <c r="B99" s="4" t="str">
        <f ca="1">IFERROR(__xludf.DUMMYFUNCTION("""COMPUTED_VALUE"""),"No")</f>
        <v>No</v>
      </c>
      <c r="C99" s="98"/>
      <c r="D99" s="98"/>
      <c r="E99" s="98"/>
      <c r="F99" s="98"/>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x14ac:dyDescent="0.25">
      <c r="A100" s="4" t="str">
        <f ca="1">IFERROR(__xludf.DUMMYFUNCTION("""COMPUTED_VALUE"""),"Yes")</f>
        <v>Yes</v>
      </c>
      <c r="B100" s="4" t="str">
        <f ca="1">IFERROR(__xludf.DUMMYFUNCTION("""COMPUTED_VALUE"""),"No")</f>
        <v>No</v>
      </c>
      <c r="C100" s="98"/>
      <c r="D100" s="98"/>
      <c r="E100" s="98"/>
      <c r="F100" s="98"/>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x14ac:dyDescent="0.25">
      <c r="A101" s="4" t="str">
        <f ca="1">IFERROR(__xludf.DUMMYFUNCTION("""COMPUTED_VALUE"""),"Yes")</f>
        <v>Yes</v>
      </c>
      <c r="B101" s="4" t="str">
        <f ca="1">IFERROR(__xludf.DUMMYFUNCTION("""COMPUTED_VALUE"""),"No")</f>
        <v>No</v>
      </c>
      <c r="C101" s="98"/>
      <c r="D101" s="98"/>
      <c r="E101" s="98"/>
      <c r="F101" s="98"/>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x14ac:dyDescent="0.25">
      <c r="A102" s="4" t="str">
        <f ca="1">IFERROR(__xludf.DUMMYFUNCTION("""COMPUTED_VALUE"""),"Yes")</f>
        <v>Yes</v>
      </c>
      <c r="B102" s="4" t="str">
        <f ca="1">IFERROR(__xludf.DUMMYFUNCTION("""COMPUTED_VALUE"""),"No")</f>
        <v>No</v>
      </c>
      <c r="C102" s="98"/>
      <c r="D102" s="98"/>
      <c r="E102" s="98"/>
      <c r="F102" s="98"/>
      <c r="G102" s="5" t="str">
        <f ca="1">IFERROR(__xludf.DUMMYFUNCTION("""COMPUTED_VALUE"""),"Uncertainty value")</f>
        <v>Uncertainty value</v>
      </c>
      <c r="H102" s="5" t="str">
        <f ca="1">IFERROR(__xludf.DUMMYFUNCTION("""COMPUTED_VALUE"""),"0:1")</f>
        <v>0:1</v>
      </c>
      <c r="I102" s="13"/>
      <c r="J102" s="4"/>
      <c r="K102" s="23"/>
      <c r="L102" s="100" t="str">
        <f ca="1">E121</f>
        <v>Quality measures</v>
      </c>
      <c r="M102" s="98"/>
      <c r="N102" s="23"/>
      <c r="O102" s="100" t="str">
        <f ca="1">E123</f>
        <v>Model equation</v>
      </c>
      <c r="P102" s="98"/>
      <c r="Q102" s="98"/>
      <c r="R102" s="98"/>
      <c r="S102" s="98"/>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x14ac:dyDescent="0.25">
      <c r="A103" s="4" t="str">
        <f ca="1">IFERROR(__xludf.DUMMYFUNCTION("""COMPUTED_VALUE"""),"Yes")</f>
        <v>Yes</v>
      </c>
      <c r="B103" s="4" t="str">
        <f ca="1">IFERROR(__xludf.DUMMYFUNCTION("""COMPUTED_VALUE"""),"Yes")</f>
        <v>Yes</v>
      </c>
      <c r="C103" s="97" t="str">
        <f ca="1">IFERROR(__xludf.DUMMYFUNCTION("""COMPUTED_VALUE"""),"Model math / Data definition")</f>
        <v>Model math / Data definition</v>
      </c>
      <c r="D103" s="97" t="str">
        <f ca="1">IFERROR(__xludf.DUMMYFUNCTION("""COMPUTED_VALUE"""),"1")</f>
        <v>1</v>
      </c>
      <c r="E103" s="99" t="str">
        <f ca="1">IFERROR(__xludf.DUMMYFUNCTION("""COMPUTED_VALUE"""),"Parameter / Factor / Input / Output / ""Data column""")</f>
        <v>Parameter / Factor / Input / Output / "Data column"</v>
      </c>
      <c r="F103" s="99"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x14ac:dyDescent="0.25">
      <c r="A104" s="4" t="str">
        <f ca="1">IFERROR(__xludf.DUMMYFUNCTION("""COMPUTED_VALUE"""),"Yes")</f>
        <v>Yes</v>
      </c>
      <c r="B104" s="4" t="str">
        <f ca="1">IFERROR(__xludf.DUMMYFUNCTION("""COMPUTED_VALUE"""),"Yes")</f>
        <v>Yes</v>
      </c>
      <c r="C104" s="98"/>
      <c r="D104" s="98"/>
      <c r="E104" s="98"/>
      <c r="F104" s="98"/>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x14ac:dyDescent="0.25">
      <c r="A105" s="4" t="str">
        <f ca="1">IFERROR(__xludf.DUMMYFUNCTION("""COMPUTED_VALUE"""),"Yes")</f>
        <v>Yes</v>
      </c>
      <c r="B105" s="4" t="str">
        <f ca="1">IFERROR(__xludf.DUMMYFUNCTION("""COMPUTED_VALUE"""),"Yes")</f>
        <v>Yes</v>
      </c>
      <c r="C105" s="98"/>
      <c r="D105" s="98"/>
      <c r="E105" s="98"/>
      <c r="F105" s="98"/>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x14ac:dyDescent="0.25">
      <c r="A106" s="4" t="str">
        <f ca="1">IFERROR(__xludf.DUMMYFUNCTION("""COMPUTED_VALUE"""),"Yes")</f>
        <v>Yes</v>
      </c>
      <c r="B106" s="4" t="str">
        <f ca="1">IFERROR(__xludf.DUMMYFUNCTION("""COMPUTED_VALUE"""),"No")</f>
        <v>No</v>
      </c>
      <c r="C106" s="98"/>
      <c r="D106" s="98"/>
      <c r="E106" s="98"/>
      <c r="F106" s="98"/>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x14ac:dyDescent="0.25">
      <c r="A107" s="4" t="str">
        <f ca="1">IFERROR(__xludf.DUMMYFUNCTION("""COMPUTED_VALUE"""),"Yes")</f>
        <v>Yes</v>
      </c>
      <c r="B107" s="4" t="str">
        <f ca="1">IFERROR(__xludf.DUMMYFUNCTION("""COMPUTED_VALUE"""),"Yes")</f>
        <v>Yes</v>
      </c>
      <c r="C107" s="98"/>
      <c r="D107" s="98"/>
      <c r="E107" s="98"/>
      <c r="F107" s="98"/>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x14ac:dyDescent="0.25">
      <c r="A108" s="4" t="str">
        <f ca="1">IFERROR(__xludf.DUMMYFUNCTION("""COMPUTED_VALUE"""),"Yes")</f>
        <v>Yes</v>
      </c>
      <c r="B108" s="4" t="str">
        <f ca="1">IFERROR(__xludf.DUMMYFUNCTION("""COMPUTED_VALUE"""),"No")</f>
        <v>No</v>
      </c>
      <c r="C108" s="98"/>
      <c r="D108" s="98"/>
      <c r="E108" s="98"/>
      <c r="F108" s="98"/>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x14ac:dyDescent="0.25">
      <c r="A109" s="4" t="str">
        <f ca="1">IFERROR(__xludf.DUMMYFUNCTION("""COMPUTED_VALUE"""),"Yes")</f>
        <v>Yes</v>
      </c>
      <c r="B109" s="4" t="str">
        <f ca="1">IFERROR(__xludf.DUMMYFUNCTION("""COMPUTED_VALUE"""),"Yes")</f>
        <v>Yes</v>
      </c>
      <c r="C109" s="98"/>
      <c r="D109" s="98"/>
      <c r="E109" s="98"/>
      <c r="F109" s="98"/>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x14ac:dyDescent="0.25">
      <c r="A110" s="4" t="str">
        <f ca="1">IFERROR(__xludf.DUMMYFUNCTION("""COMPUTED_VALUE"""),"Yes")</f>
        <v>Yes</v>
      </c>
      <c r="B110" s="4" t="str">
        <f ca="1">IFERROR(__xludf.DUMMYFUNCTION("""COMPUTED_VALUE"""),"No")</f>
        <v>No</v>
      </c>
      <c r="C110" s="98"/>
      <c r="D110" s="98"/>
      <c r="E110" s="98"/>
      <c r="F110" s="98"/>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x14ac:dyDescent="0.25">
      <c r="A111" s="4" t="str">
        <f ca="1">IFERROR(__xludf.DUMMYFUNCTION("""COMPUTED_VALUE"""),"Yes")</f>
        <v>Yes</v>
      </c>
      <c r="B111" s="4" t="str">
        <f ca="1">IFERROR(__xludf.DUMMYFUNCTION("""COMPUTED_VALUE"""),"Yes")</f>
        <v>Yes</v>
      </c>
      <c r="C111" s="98"/>
      <c r="D111" s="98"/>
      <c r="E111" s="98"/>
      <c r="F111" s="98"/>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x14ac:dyDescent="0.25">
      <c r="A112" s="4" t="str">
        <f ca="1">IFERROR(__xludf.DUMMYFUNCTION("""COMPUTED_VALUE"""),"Yes")</f>
        <v>Yes</v>
      </c>
      <c r="B112" s="4" t="str">
        <f ca="1">IFERROR(__xludf.DUMMYFUNCTION("""COMPUTED_VALUE"""),"Yes")</f>
        <v>Yes</v>
      </c>
      <c r="C112" s="98"/>
      <c r="D112" s="98"/>
      <c r="E112" s="98"/>
      <c r="F112" s="98"/>
      <c r="G112" s="5" t="str">
        <f ca="1">IFERROR(__xludf.DUMMYFUNCTION("""COMPUTED_VALUE"""),"Parameter distribution")</f>
        <v>Parameter distribution</v>
      </c>
      <c r="H112" s="5" t="str">
        <f ca="1">IFERROR(__xludf.DUMMYFUNCTION("""COMPUTED_VALUE"""),"0:1")</f>
        <v>0:1</v>
      </c>
      <c r="I112" s="41"/>
      <c r="J112" s="35" t="s">
        <v>23</v>
      </c>
      <c r="K112" s="100" t="str">
        <f ca="1">E103</f>
        <v>Parameter / Factor / Input / Output / "Data column"</v>
      </c>
      <c r="L112" s="98"/>
      <c r="M112" s="98"/>
      <c r="N112" s="98"/>
      <c r="O112" s="98"/>
      <c r="P112" s="98"/>
      <c r="Q112" s="98"/>
      <c r="R112" s="98"/>
      <c r="S112" s="98"/>
      <c r="T112" s="98"/>
      <c r="U112" s="98"/>
      <c r="V112" s="98"/>
      <c r="W112" s="98"/>
      <c r="X112" s="98"/>
      <c r="Y112" s="98"/>
      <c r="Z112" s="98"/>
      <c r="AA112" s="4"/>
      <c r="AB112" s="4"/>
      <c r="AC112" s="23"/>
      <c r="AD112" s="23"/>
      <c r="AE112" s="23"/>
      <c r="AF112" s="23"/>
      <c r="AG112" s="23"/>
      <c r="AH112" s="23"/>
      <c r="AI112" s="23"/>
      <c r="AJ112" s="23"/>
      <c r="AK112" s="23"/>
      <c r="AL112" s="23"/>
      <c r="AM112" s="23"/>
      <c r="AN112" s="23"/>
      <c r="AO112" s="23"/>
    </row>
    <row r="113" spans="1:40" ht="12.5" x14ac:dyDescent="0.25">
      <c r="A113" s="4" t="str">
        <f ca="1">IFERROR(__xludf.DUMMYFUNCTION("""COMPUTED_VALUE"""),"Yes")</f>
        <v>Yes</v>
      </c>
      <c r="B113" s="4" t="str">
        <f ca="1">IFERROR(__xludf.DUMMYFUNCTION("""COMPUTED_VALUE"""),"Yes")</f>
        <v>Yes</v>
      </c>
      <c r="C113" s="98"/>
      <c r="D113" s="98"/>
      <c r="E113" s="98"/>
      <c r="F113" s="98"/>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x14ac:dyDescent="0.25">
      <c r="A114" s="4" t="str">
        <f ca="1">IFERROR(__xludf.DUMMYFUNCTION("""COMPUTED_VALUE"""),"Yes")</f>
        <v>Yes</v>
      </c>
      <c r="B114" s="4" t="str">
        <f ca="1">IFERROR(__xludf.DUMMYFUNCTION("""COMPUTED_VALUE"""),"Yes")</f>
        <v>Yes</v>
      </c>
      <c r="C114" s="98"/>
      <c r="D114" s="98"/>
      <c r="E114" s="98"/>
      <c r="F114" s="98"/>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x14ac:dyDescent="0.25">
      <c r="A115" s="4" t="str">
        <f ca="1">IFERROR(__xludf.DUMMYFUNCTION("""COMPUTED_VALUE"""),"Yes")</f>
        <v>Yes</v>
      </c>
      <c r="B115" s="4" t="str">
        <f ca="1">IFERROR(__xludf.DUMMYFUNCTION("""COMPUTED_VALUE"""),"No")</f>
        <v>No</v>
      </c>
      <c r="C115" s="98"/>
      <c r="D115" s="98"/>
      <c r="E115" s="98"/>
      <c r="F115" s="98"/>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x14ac:dyDescent="0.25">
      <c r="A116" s="4" t="str">
        <f ca="1">IFERROR(__xludf.DUMMYFUNCTION("""COMPUTED_VALUE"""),"Yes")</f>
        <v>Yes</v>
      </c>
      <c r="B116" s="4" t="str">
        <f ca="1">IFERROR(__xludf.DUMMYFUNCTION("""COMPUTED_VALUE"""),"No")</f>
        <v>No</v>
      </c>
      <c r="C116" s="98"/>
      <c r="D116" s="98"/>
      <c r="E116" s="98"/>
      <c r="F116" s="98"/>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x14ac:dyDescent="0.25">
      <c r="A117" s="4" t="str">
        <f ca="1">IFERROR(__xludf.DUMMYFUNCTION("""COMPUTED_VALUE"""),"Yes")</f>
        <v>Yes</v>
      </c>
      <c r="B117" s="4" t="str">
        <f ca="1">IFERROR(__xludf.DUMMYFUNCTION("""COMPUTED_VALUE"""),"No")</f>
        <v>No</v>
      </c>
      <c r="C117" s="98"/>
      <c r="D117" s="98"/>
      <c r="E117" s="98"/>
      <c r="F117" s="98"/>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x14ac:dyDescent="0.25">
      <c r="A118" s="4" t="str">
        <f ca="1">IFERROR(__xludf.DUMMYFUNCTION("""COMPUTED_VALUE"""),"Yes")</f>
        <v>Yes</v>
      </c>
      <c r="B118" s="4" t="str">
        <f ca="1">IFERROR(__xludf.DUMMYFUNCTION("""COMPUTED_VALUE"""),"No")</f>
        <v>No</v>
      </c>
      <c r="C118" s="98"/>
      <c r="D118" s="98"/>
      <c r="E118" s="98"/>
      <c r="F118" s="98"/>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x14ac:dyDescent="0.25">
      <c r="A119" s="4" t="str">
        <f ca="1">IFERROR(__xludf.DUMMYFUNCTION("""COMPUTED_VALUE"""),"Yes")</f>
        <v>Yes</v>
      </c>
      <c r="B119" s="4" t="str">
        <f ca="1">IFERROR(__xludf.DUMMYFUNCTION("""COMPUTED_VALUE"""),"No")</f>
        <v>No</v>
      </c>
      <c r="C119" s="98"/>
      <c r="D119" s="98"/>
      <c r="E119" s="98"/>
      <c r="F119" s="98"/>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x14ac:dyDescent="0.25">
      <c r="A120" s="4" t="str">
        <f ca="1">IFERROR(__xludf.DUMMYFUNCTION("""COMPUTED_VALUE"""),"Yes")</f>
        <v>Yes</v>
      </c>
      <c r="B120" s="4" t="str">
        <f ca="1">IFERROR(__xludf.DUMMYFUNCTION("""COMPUTED_VALUE"""),"No")</f>
        <v>No</v>
      </c>
      <c r="C120" s="98"/>
      <c r="D120" s="98"/>
      <c r="E120" s="98"/>
      <c r="F120" s="98"/>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x14ac:dyDescent="0.25">
      <c r="A121" s="4" t="str">
        <f ca="1">IFERROR(__xludf.DUMMYFUNCTION("""COMPUTED_VALUE"""),"Yes")</f>
        <v>Yes</v>
      </c>
      <c r="B121" s="4" t="str">
        <f ca="1">IFERROR(__xludf.DUMMYFUNCTION("""COMPUTED_VALUE"""),"No")</f>
        <v>No</v>
      </c>
      <c r="C121" s="98"/>
      <c r="D121" s="98"/>
      <c r="E121" s="99" t="str">
        <f ca="1">IFERROR(__xludf.DUMMYFUNCTION("""COMPUTED_VALUE"""),"Quality measures")</f>
        <v>Quality measures</v>
      </c>
      <c r="F121" s="99"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x14ac:dyDescent="0.25">
      <c r="A122" s="4" t="str">
        <f ca="1">IFERROR(__xludf.DUMMYFUNCTION("""COMPUTED_VALUE"""),"Yes")</f>
        <v>Yes</v>
      </c>
      <c r="B122" s="4" t="str">
        <f ca="1">IFERROR(__xludf.DUMMYFUNCTION("""COMPUTED_VALUE"""),"No")</f>
        <v>No</v>
      </c>
      <c r="C122" s="98"/>
      <c r="D122" s="98"/>
      <c r="E122" s="98"/>
      <c r="F122" s="98"/>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x14ac:dyDescent="0.25">
      <c r="A123" s="4" t="str">
        <f ca="1">IFERROR(__xludf.DUMMYFUNCTION("""COMPUTED_VALUE"""),"Yes")</f>
        <v>Yes</v>
      </c>
      <c r="B123" s="4" t="str">
        <f ca="1">IFERROR(__xludf.DUMMYFUNCTION("""COMPUTED_VALUE"""),"No")</f>
        <v>No</v>
      </c>
      <c r="C123" s="98"/>
      <c r="D123" s="98"/>
      <c r="E123" s="99" t="str">
        <f ca="1">IFERROR(__xludf.DUMMYFUNCTION("""COMPUTED_VALUE"""),"Model equation")</f>
        <v>Model equation</v>
      </c>
      <c r="F123" s="99"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x14ac:dyDescent="0.25">
      <c r="A124" s="4" t="str">
        <f ca="1">IFERROR(__xludf.DUMMYFUNCTION("""COMPUTED_VALUE"""),"Yes")</f>
        <v>Yes</v>
      </c>
      <c r="B124" s="4" t="str">
        <f ca="1">IFERROR(__xludf.DUMMYFUNCTION("""COMPUTED_VALUE"""),"No")</f>
        <v>No</v>
      </c>
      <c r="C124" s="98"/>
      <c r="D124" s="98"/>
      <c r="E124" s="98"/>
      <c r="F124" s="98"/>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x14ac:dyDescent="0.25">
      <c r="A125" s="4" t="str">
        <f ca="1">IFERROR(__xludf.DUMMYFUNCTION("""COMPUTED_VALUE"""),"Yes")</f>
        <v>Yes</v>
      </c>
      <c r="B125" s="4" t="str">
        <f ca="1">IFERROR(__xludf.DUMMYFUNCTION("""COMPUTED_VALUE"""),"No")</f>
        <v>No</v>
      </c>
      <c r="C125" s="98"/>
      <c r="D125" s="98"/>
      <c r="E125" s="98"/>
      <c r="F125" s="98"/>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x14ac:dyDescent="0.25">
      <c r="A126" s="4" t="str">
        <f ca="1">IFERROR(__xludf.DUMMYFUNCTION("""COMPUTED_VALUE"""),"Yes")</f>
        <v>Yes</v>
      </c>
      <c r="B126" s="4" t="str">
        <f ca="1">IFERROR(__xludf.DUMMYFUNCTION("""COMPUTED_VALUE"""),"No")</f>
        <v>No</v>
      </c>
      <c r="C126" s="98"/>
      <c r="D126" s="98"/>
      <c r="E126" s="98"/>
      <c r="F126" s="98"/>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x14ac:dyDescent="0.25">
      <c r="A127" s="4" t="str">
        <f ca="1">IFERROR(__xludf.DUMMYFUNCTION("""COMPUTED_VALUE"""),"Yes")</f>
        <v>Yes</v>
      </c>
      <c r="B127" s="4" t="str">
        <f ca="1">IFERROR(__xludf.DUMMYFUNCTION("""COMPUTED_VALUE"""),"No")</f>
        <v>No</v>
      </c>
      <c r="C127" s="98"/>
      <c r="D127" s="98"/>
      <c r="E127" s="98"/>
      <c r="F127" s="98"/>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x14ac:dyDescent="0.25">
      <c r="A128" s="4" t="str">
        <f ca="1">IFERROR(__xludf.DUMMYFUNCTION("""COMPUTED_VALUE"""),"Yes")</f>
        <v>Yes</v>
      </c>
      <c r="B128" s="4" t="str">
        <f ca="1">IFERROR(__xludf.DUMMYFUNCTION("""COMPUTED_VALUE"""),"No")</f>
        <v>No</v>
      </c>
      <c r="C128" s="98"/>
      <c r="D128" s="98"/>
      <c r="E128" s="98"/>
      <c r="F128" s="98"/>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x14ac:dyDescent="0.25">
      <c r="A129" s="4" t="str">
        <f ca="1">IFERROR(__xludf.DUMMYFUNCTION("""COMPUTED_VALUE"""),"Yes")</f>
        <v>Yes</v>
      </c>
      <c r="B129" s="4" t="str">
        <f ca="1">IFERROR(__xludf.DUMMYFUNCTION("""COMPUTED_VALUE"""),"No")</f>
        <v>No</v>
      </c>
      <c r="C129" s="98"/>
      <c r="D129" s="98"/>
      <c r="E129" s="98"/>
      <c r="F129" s="98"/>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x14ac:dyDescent="0.25">
      <c r="A130" s="4" t="str">
        <f ca="1">IFERROR(__xludf.DUMMYFUNCTION("""COMPUTED_VALUE"""),"Yes")</f>
        <v>Yes</v>
      </c>
      <c r="B130" s="4" t="str">
        <f ca="1">IFERROR(__xludf.DUMMYFUNCTION("""COMPUTED_VALUE"""),"No")</f>
        <v>No</v>
      </c>
      <c r="C130" s="98"/>
      <c r="D130" s="98"/>
      <c r="E130" s="98"/>
      <c r="F130" s="98"/>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x14ac:dyDescent="0.25">
      <c r="A131" s="4" t="str">
        <f ca="1">IFERROR(__xludf.DUMMYFUNCTION("""COMPUTED_VALUE"""),"Yes")</f>
        <v>Yes</v>
      </c>
      <c r="B131" s="4" t="str">
        <f ca="1">IFERROR(__xludf.DUMMYFUNCTION("""COMPUTED_VALUE"""),"No")</f>
        <v>No</v>
      </c>
      <c r="C131" s="98"/>
      <c r="D131" s="98"/>
      <c r="E131" s="5" t="str">
        <f ca="1">IFERROR(__xludf.DUMMYFUNCTION("""COMPUTED_VALUE"""),"Fitting procedure")</f>
        <v>Fitting procedure</v>
      </c>
      <c r="F131" s="99" t="str">
        <f ca="1">IFERROR(__xludf.DUMMYFUNCTION("""COMPUTED_VALUE"""),"0:1")</f>
        <v>0:1</v>
      </c>
      <c r="G131" s="98"/>
      <c r="H131" s="98"/>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x14ac:dyDescent="0.25">
      <c r="A132" s="4" t="str">
        <f ca="1">IFERROR(__xludf.DUMMYFUNCTION("""COMPUTED_VALUE"""),"Yes")</f>
        <v>Yes</v>
      </c>
      <c r="B132" s="4" t="str">
        <f ca="1">IFERROR(__xludf.DUMMYFUNCTION("""COMPUTED_VALUE"""),"No")</f>
        <v>No</v>
      </c>
      <c r="C132" s="98"/>
      <c r="D132" s="98"/>
      <c r="E132" s="5" t="str">
        <f ca="1">IFERROR(__xludf.DUMMYFUNCTION("""COMPUTED_VALUE"""),"Events")</f>
        <v>Events</v>
      </c>
      <c r="F132" s="99" t="str">
        <f ca="1">IFERROR(__xludf.DUMMYFUNCTION("""COMPUTED_VALUE"""),"0:N")</f>
        <v>0:N</v>
      </c>
      <c r="G132" s="98"/>
      <c r="H132" s="98"/>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x14ac:dyDescent="0.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x14ac:dyDescent="0.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x14ac:dyDescent="0.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x14ac:dyDescent="0.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x14ac:dyDescent="0.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x14ac:dyDescent="0.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x14ac:dyDescent="0.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x14ac:dyDescent="0.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x14ac:dyDescent="0.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x14ac:dyDescent="0.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x14ac:dyDescent="0.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x14ac:dyDescent="0.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x14ac:dyDescent="0.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x14ac:dyDescent="0.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x14ac:dyDescent="0.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x14ac:dyDescent="0.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x14ac:dyDescent="0.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x14ac:dyDescent="0.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x14ac:dyDescent="0.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x14ac:dyDescent="0.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x14ac:dyDescent="0.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x14ac:dyDescent="0.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x14ac:dyDescent="0.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x14ac:dyDescent="0.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x14ac:dyDescent="0.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x14ac:dyDescent="0.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x14ac:dyDescent="0.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x14ac:dyDescent="0.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x14ac:dyDescent="0.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x14ac:dyDescent="0.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x14ac:dyDescent="0.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x14ac:dyDescent="0.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x14ac:dyDescent="0.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x14ac:dyDescent="0.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x14ac:dyDescent="0.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x14ac:dyDescent="0.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x14ac:dyDescent="0.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x14ac:dyDescent="0.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x14ac:dyDescent="0.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x14ac:dyDescent="0.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x14ac:dyDescent="0.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x14ac:dyDescent="0.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x14ac:dyDescent="0.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x14ac:dyDescent="0.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x14ac:dyDescent="0.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x14ac:dyDescent="0.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x14ac:dyDescent="0.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x14ac:dyDescent="0.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x14ac:dyDescent="0.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x14ac:dyDescent="0.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x14ac:dyDescent="0.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x14ac:dyDescent="0.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x14ac:dyDescent="0.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x14ac:dyDescent="0.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x14ac:dyDescent="0.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x14ac:dyDescent="0.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x14ac:dyDescent="0.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x14ac:dyDescent="0.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x14ac:dyDescent="0.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x14ac:dyDescent="0.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x14ac:dyDescent="0.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x14ac:dyDescent="0.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x14ac:dyDescent="0.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x14ac:dyDescent="0.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x14ac:dyDescent="0.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x14ac:dyDescent="0.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x14ac:dyDescent="0.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x14ac:dyDescent="0.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x14ac:dyDescent="0.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x14ac:dyDescent="0.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x14ac:dyDescent="0.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x14ac:dyDescent="0.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x14ac:dyDescent="0.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x14ac:dyDescent="0.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x14ac:dyDescent="0.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x14ac:dyDescent="0.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x14ac:dyDescent="0.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x14ac:dyDescent="0.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x14ac:dyDescent="0.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x14ac:dyDescent="0.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x14ac:dyDescent="0.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x14ac:dyDescent="0.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x14ac:dyDescent="0.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x14ac:dyDescent="0.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x14ac:dyDescent="0.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x14ac:dyDescent="0.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x14ac:dyDescent="0.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x14ac:dyDescent="0.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x14ac:dyDescent="0.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x14ac:dyDescent="0.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x14ac:dyDescent="0.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x14ac:dyDescent="0.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x14ac:dyDescent="0.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x14ac:dyDescent="0.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x14ac:dyDescent="0.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x14ac:dyDescent="0.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x14ac:dyDescent="0.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x14ac:dyDescent="0.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x14ac:dyDescent="0.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x14ac:dyDescent="0.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x14ac:dyDescent="0.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x14ac:dyDescent="0.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x14ac:dyDescent="0.25"/>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x14ac:dyDescent="0.3">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9" t="str">
        <f ca="1">E6</f>
        <v>Creator</v>
      </c>
      <c r="M1" s="98"/>
      <c r="N1" s="98"/>
      <c r="O1" s="98"/>
      <c r="P1" s="98"/>
      <c r="Q1" s="98"/>
      <c r="R1" s="98"/>
      <c r="S1" s="98"/>
      <c r="T1" s="98"/>
      <c r="U1" s="98"/>
      <c r="V1" s="98"/>
      <c r="W1" s="98"/>
      <c r="X1" s="98"/>
      <c r="Y1" s="98"/>
      <c r="Z1" s="98"/>
      <c r="AA1" s="4"/>
      <c r="AB1" s="99" t="str">
        <f ca="1">E5</f>
        <v>Author</v>
      </c>
      <c r="AC1" s="98"/>
      <c r="AD1" s="98"/>
      <c r="AE1" s="98"/>
      <c r="AF1" s="98"/>
      <c r="AG1" s="98"/>
      <c r="AH1" s="98"/>
      <c r="AI1" s="98"/>
      <c r="AJ1" s="98"/>
      <c r="AK1" s="98"/>
      <c r="AL1" s="98"/>
      <c r="AM1" s="98"/>
      <c r="AN1" s="98"/>
      <c r="AO1" s="98"/>
      <c r="AP1" s="98"/>
    </row>
    <row r="2" spans="1:42"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8"/>
      <c r="D6" s="98"/>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8" t="str">
        <f ca="1">IFERROR(__xludf.DUMMYFUNCTION("""COMPUTED_VALUE"""),"Yes")</f>
        <v>Yes</v>
      </c>
      <c r="C7" s="98"/>
      <c r="D7" s="98"/>
      <c r="E7" s="99" t="str">
        <f ca="1">IFERROR(__xludf.DUMMYFUNCTION("""COMPUTED_VALUE"""),"Date")</f>
        <v>Date</v>
      </c>
      <c r="F7" s="99"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8"/>
      <c r="D8" s="98"/>
      <c r="E8" s="98"/>
      <c r="F8" s="98"/>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5"/>
      <c r="J11" s="15"/>
      <c r="K11" s="4"/>
      <c r="L11" s="4"/>
      <c r="M11" s="4"/>
      <c r="N11" s="4"/>
      <c r="O11" s="4"/>
      <c r="P11" s="4"/>
      <c r="Q11" s="4"/>
    </row>
    <row r="12" spans="1:42"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5"/>
      <c r="J12" s="10"/>
      <c r="K12" s="4"/>
      <c r="L12" s="101" t="str">
        <f ca="1">E13</f>
        <v>References</v>
      </c>
      <c r="M12" s="98"/>
      <c r="N12" s="98"/>
      <c r="O12" s="98"/>
      <c r="P12" s="98"/>
      <c r="Q12" s="98"/>
      <c r="R12" s="98"/>
      <c r="S12" s="98"/>
      <c r="T12" s="98"/>
      <c r="U12" s="98"/>
      <c r="V12" s="98"/>
      <c r="W12" s="98"/>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8"/>
      <c r="D16" s="98"/>
      <c r="E16" s="98"/>
      <c r="F16" s="98"/>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x14ac:dyDescent="0.3">
      <c r="A23" s="4" t="str">
        <f ca="1">IFERROR(__xludf.DUMMYFUNCTION("""COMPUTED_VALUE"""),"Yes")</f>
        <v>Yes</v>
      </c>
      <c r="B23" s="4"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8"/>
      <c r="D24" s="98"/>
      <c r="E24" s="98"/>
      <c r="F24" s="98"/>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99" t="str">
        <f ca="1">IFERROR(__xludf.DUMMYFUNCTION("""COMPUTED_VALUE"""),"0:1")</f>
        <v>0:1</v>
      </c>
      <c r="G26" s="98"/>
      <c r="H26" s="98"/>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8"/>
      <c r="D32" s="98"/>
      <c r="E32" s="98"/>
      <c r="F32" s="98"/>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7" t="str">
        <f ca="1">IFERROR(__xludf.DUMMYFUNCTION("""COMPUTED_VALUE"""),"Scope")</f>
        <v>Scope</v>
      </c>
      <c r="D36" s="97" t="str">
        <f ca="1">IFERROR(__xludf.DUMMYFUNCTION("""COMPUTED_VALUE"""),"1")</f>
        <v>1</v>
      </c>
      <c r="E36" s="99" t="str">
        <f ca="1">IFERROR(__xludf.DUMMYFUNCTION("""COMPUTED_VALUE"""),"Product / matrix")</f>
        <v>Product / matrix</v>
      </c>
      <c r="F36" s="99" t="str">
        <f ca="1">IFERROR(__xludf.DUMMYFUNCTION("""COMPUTED_VALUE"""),"1:N")</f>
        <v>1:N</v>
      </c>
      <c r="G36" s="5" t="str">
        <f ca="1">IFERROR(__xludf.DUMMYFUNCTION("""COMPUTED_VALUE"""),"Product/matrix name")</f>
        <v>Product/matrix name</v>
      </c>
      <c r="H36" s="5" t="str">
        <f ca="1">IFERROR(__xludf.DUMMYFUNCTION("""COMPUTED_VALUE"""),"1")</f>
        <v>1</v>
      </c>
      <c r="I36" s="5"/>
      <c r="J36" s="13"/>
      <c r="K36" s="4"/>
      <c r="L36" s="101" t="str">
        <f ca="1">E36</f>
        <v>Product / matrix</v>
      </c>
      <c r="M36" s="98"/>
      <c r="N36" s="98"/>
      <c r="O36" s="98"/>
      <c r="P36" s="98"/>
      <c r="Q36" s="98"/>
      <c r="R36" s="98"/>
      <c r="S36" s="98"/>
      <c r="T36" s="98"/>
      <c r="U36" s="98"/>
      <c r="V36" s="98"/>
      <c r="W36" s="101" t="str">
        <f ca="1">E47</f>
        <v>Hazard</v>
      </c>
      <c r="X36" s="98"/>
      <c r="Y36" s="98"/>
      <c r="Z36" s="98"/>
      <c r="AA36" s="98"/>
      <c r="AB36" s="98"/>
      <c r="AC36" s="98"/>
      <c r="AD36" s="98"/>
      <c r="AE36" s="98"/>
      <c r="AF36" s="98"/>
      <c r="AG36" s="98"/>
      <c r="AH36" s="98"/>
      <c r="AI36" s="98"/>
      <c r="AJ36" s="98"/>
      <c r="AK36" s="4"/>
      <c r="AL36" s="4"/>
      <c r="AM36" s="4"/>
      <c r="AN36" s="4"/>
      <c r="AO36" s="4"/>
      <c r="AP36" s="4"/>
    </row>
    <row r="37" spans="1:42" ht="12.5" x14ac:dyDescent="0.25">
      <c r="A37" s="4" t="str">
        <f ca="1">IFERROR(__xludf.DUMMYFUNCTION("""COMPUTED_VALUE"""),"Yes")</f>
        <v>Yes</v>
      </c>
      <c r="B37" s="4" t="str">
        <f ca="1">IFERROR(__xludf.DUMMYFUNCTION("""COMPUTED_VALUE"""),"Yes")</f>
        <v>Yes</v>
      </c>
      <c r="C37" s="98"/>
      <c r="D37" s="98"/>
      <c r="E37" s="98"/>
      <c r="F37" s="98"/>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x14ac:dyDescent="0.25">
      <c r="A38" s="4" t="str">
        <f ca="1">IFERROR(__xludf.DUMMYFUNCTION("""COMPUTED_VALUE"""),"Yes")</f>
        <v>Yes</v>
      </c>
      <c r="B38" s="4" t="str">
        <f ca="1">IFERROR(__xludf.DUMMYFUNCTION("""COMPUTED_VALUE"""),"Yes")</f>
        <v>Yes</v>
      </c>
      <c r="C38" s="98"/>
      <c r="D38" s="98"/>
      <c r="E38" s="98"/>
      <c r="F38" s="98"/>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x14ac:dyDescent="0.25">
      <c r="A39" s="4" t="str">
        <f ca="1">IFERROR(__xludf.DUMMYFUNCTION("""COMPUTED_VALUE"""),"Yes")</f>
        <v>Yes</v>
      </c>
      <c r="B39" s="4" t="str">
        <f ca="1">IFERROR(__xludf.DUMMYFUNCTION("""COMPUTED_VALUE"""),"No")</f>
        <v>No</v>
      </c>
      <c r="C39" s="98"/>
      <c r="D39" s="98"/>
      <c r="E39" s="98"/>
      <c r="F39" s="98"/>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x14ac:dyDescent="0.25">
      <c r="A40" s="4" t="str">
        <f ca="1">IFERROR(__xludf.DUMMYFUNCTION("""COMPUTED_VALUE"""),"Yes")</f>
        <v>Yes</v>
      </c>
      <c r="B40" s="4" t="str">
        <f ca="1">IFERROR(__xludf.DUMMYFUNCTION("""COMPUTED_VALUE"""),"No")</f>
        <v>No</v>
      </c>
      <c r="C40" s="98"/>
      <c r="D40" s="98"/>
      <c r="E40" s="98"/>
      <c r="F40" s="98"/>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x14ac:dyDescent="0.25">
      <c r="A41" s="4" t="str">
        <f ca="1">IFERROR(__xludf.DUMMYFUNCTION("""COMPUTED_VALUE"""),"Yes")</f>
        <v>Yes</v>
      </c>
      <c r="B41" s="4" t="str">
        <f ca="1">IFERROR(__xludf.DUMMYFUNCTION("""COMPUTED_VALUE"""),"No")</f>
        <v>No</v>
      </c>
      <c r="C41" s="98"/>
      <c r="D41" s="98"/>
      <c r="E41" s="98"/>
      <c r="F41" s="98"/>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x14ac:dyDescent="0.25">
      <c r="A42" s="4" t="str">
        <f ca="1">IFERROR(__xludf.DUMMYFUNCTION("""COMPUTED_VALUE"""),"Yes")</f>
        <v>Yes</v>
      </c>
      <c r="B42" s="4" t="str">
        <f ca="1">IFERROR(__xludf.DUMMYFUNCTION("""COMPUTED_VALUE"""),"No")</f>
        <v>No</v>
      </c>
      <c r="C42" s="98"/>
      <c r="D42" s="98"/>
      <c r="E42" s="98"/>
      <c r="F42" s="98"/>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x14ac:dyDescent="0.25">
      <c r="A43" s="4" t="str">
        <f ca="1">IFERROR(__xludf.DUMMYFUNCTION("""COMPUTED_VALUE"""),"Yes")</f>
        <v>Yes</v>
      </c>
      <c r="B43" s="4" t="str">
        <f ca="1">IFERROR(__xludf.DUMMYFUNCTION("""COMPUTED_VALUE"""),"No")</f>
        <v>No</v>
      </c>
      <c r="C43" s="98"/>
      <c r="D43" s="98"/>
      <c r="E43" s="98"/>
      <c r="F43" s="98"/>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x14ac:dyDescent="0.25">
      <c r="A44" s="4" t="str">
        <f ca="1">IFERROR(__xludf.DUMMYFUNCTION("""COMPUTED_VALUE"""),"Yes")</f>
        <v>Yes</v>
      </c>
      <c r="B44" s="4" t="str">
        <f ca="1">IFERROR(__xludf.DUMMYFUNCTION("""COMPUTED_VALUE"""),"No")</f>
        <v>No</v>
      </c>
      <c r="C44" s="98"/>
      <c r="D44" s="98"/>
      <c r="E44" s="98"/>
      <c r="F44" s="98"/>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x14ac:dyDescent="0.25">
      <c r="A45" s="4" t="str">
        <f ca="1">IFERROR(__xludf.DUMMYFUNCTION("""COMPUTED_VALUE"""),"Yes")</f>
        <v>Yes</v>
      </c>
      <c r="B45" s="4" t="str">
        <f ca="1">IFERROR(__xludf.DUMMYFUNCTION("""COMPUTED_VALUE"""),"No")</f>
        <v>No</v>
      </c>
      <c r="C45" s="98"/>
      <c r="D45" s="98"/>
      <c r="E45" s="98"/>
      <c r="F45" s="98"/>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x14ac:dyDescent="0.25">
      <c r="A46" s="4" t="str">
        <f ca="1">IFERROR(__xludf.DUMMYFUNCTION("""COMPUTED_VALUE"""),"Yes")</f>
        <v>Yes</v>
      </c>
      <c r="B46" s="4" t="str">
        <f ca="1">IFERROR(__xludf.DUMMYFUNCTION("""COMPUTED_VALUE"""),"No")</f>
        <v>No</v>
      </c>
      <c r="C46" s="98"/>
      <c r="D46" s="98"/>
      <c r="E46" s="98"/>
      <c r="F46" s="98"/>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x14ac:dyDescent="0.25">
      <c r="A47" s="4" t="str">
        <f ca="1">IFERROR(__xludf.DUMMYFUNCTION("""COMPUTED_VALUE"""),"Yes")</f>
        <v>Yes</v>
      </c>
      <c r="B47" s="4" t="str">
        <f ca="1">IFERROR(__xludf.DUMMYFUNCTION("""COMPUTED_VALUE"""),"No")</f>
        <v>No</v>
      </c>
      <c r="C47" s="98"/>
      <c r="D47" s="98"/>
      <c r="E47" s="99" t="str">
        <f ca="1">IFERROR(__xludf.DUMMYFUNCTION("""COMPUTED_VALUE"""),"Hazard")</f>
        <v>Hazard</v>
      </c>
      <c r="F47" s="99"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x14ac:dyDescent="0.25">
      <c r="A48" s="4" t="str">
        <f ca="1">IFERROR(__xludf.DUMMYFUNCTION("""COMPUTED_VALUE"""),"Yes")</f>
        <v>Yes</v>
      </c>
      <c r="B48" s="4" t="str">
        <f ca="1">IFERROR(__xludf.DUMMYFUNCTION("""COMPUTED_VALUE"""),"Yes")</f>
        <v>Yes</v>
      </c>
      <c r="C48" s="98"/>
      <c r="D48" s="98"/>
      <c r="E48" s="98"/>
      <c r="F48" s="98"/>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x14ac:dyDescent="0.25">
      <c r="A49" s="4" t="str">
        <f ca="1">IFERROR(__xludf.DUMMYFUNCTION("""COMPUTED_VALUE"""),"Yes")</f>
        <v>Yes</v>
      </c>
      <c r="B49" s="4" t="str">
        <f ca="1">IFERROR(__xludf.DUMMYFUNCTION("""COMPUTED_VALUE"""),"No")</f>
        <v>No</v>
      </c>
      <c r="C49" s="98"/>
      <c r="D49" s="98"/>
      <c r="E49" s="98"/>
      <c r="F49" s="98"/>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x14ac:dyDescent="0.25">
      <c r="A50" s="4" t="str">
        <f ca="1">IFERROR(__xludf.DUMMYFUNCTION("""COMPUTED_VALUE"""),"Yes")</f>
        <v>Yes</v>
      </c>
      <c r="B50" s="4" t="str">
        <f ca="1">IFERROR(__xludf.DUMMYFUNCTION("""COMPUTED_VALUE"""),"No")</f>
        <v>No</v>
      </c>
      <c r="C50" s="98"/>
      <c r="D50" s="98"/>
      <c r="E50" s="98"/>
      <c r="F50" s="98"/>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x14ac:dyDescent="0.25">
      <c r="A51" s="4" t="str">
        <f ca="1">IFERROR(__xludf.DUMMYFUNCTION("""COMPUTED_VALUE"""),"Yes")</f>
        <v>Yes</v>
      </c>
      <c r="B51" s="4" t="str">
        <f ca="1">IFERROR(__xludf.DUMMYFUNCTION("""COMPUTED_VALUE"""),"No")</f>
        <v>No</v>
      </c>
      <c r="C51" s="98"/>
      <c r="D51" s="98"/>
      <c r="E51" s="98"/>
      <c r="F51" s="98"/>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8"/>
      <c r="D52" s="98"/>
      <c r="E52" s="98"/>
      <c r="F52" s="98"/>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8"/>
      <c r="D53" s="98"/>
      <c r="E53" s="98"/>
      <c r="F53" s="98"/>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8"/>
      <c r="D54" s="98"/>
      <c r="E54" s="98"/>
      <c r="F54" s="98"/>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8"/>
      <c r="D55" s="98"/>
      <c r="E55" s="98"/>
      <c r="F55" s="98"/>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8"/>
      <c r="D56" s="98"/>
      <c r="E56" s="98"/>
      <c r="F56" s="98"/>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8"/>
      <c r="D57" s="98"/>
      <c r="E57" s="98"/>
      <c r="F57" s="98"/>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8"/>
      <c r="D58" s="98"/>
      <c r="E58" s="98"/>
      <c r="F58" s="98"/>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8"/>
      <c r="D59" s="98"/>
      <c r="E59" s="98"/>
      <c r="F59" s="98"/>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8"/>
      <c r="D60" s="98"/>
      <c r="E60" s="98"/>
      <c r="F60" s="98"/>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IFERROR(__xludf.DUMMYFUNCTION("""COMPUTED_VALUE"""),"No")</f>
        <v>No</v>
      </c>
      <c r="C61" s="98"/>
      <c r="D61" s="98"/>
      <c r="E61" s="5" t="str">
        <f ca="1">IFERROR(__xludf.DUMMYFUNCTION("""COMPUTED_VALUE"""),"General comment")</f>
        <v>General comment</v>
      </c>
      <c r="F61" s="99" t="str">
        <f ca="1">IFERROR(__xludf.DUMMYFUNCTION("""COMPUTED_VALUE"""),"0:1")</f>
        <v>0:1</v>
      </c>
      <c r="G61" s="98"/>
      <c r="H61" s="98"/>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IFERROR(__xludf.DUMMYFUNCTION("""COMPUTED_VALUE"""),"No")</f>
        <v>No</v>
      </c>
      <c r="C62" s="98"/>
      <c r="D62" s="98"/>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IFERROR(__xludf.DUMMYFUNCTION("""COMPUTED_VALUE"""),"No")</f>
        <v>No</v>
      </c>
      <c r="C63" s="98"/>
      <c r="D63" s="98"/>
      <c r="E63" s="99" t="str">
        <f ca="1">IFERROR(__xludf.DUMMYFUNCTION("""COMPUTED_VALUE"""),"Spatial information")</f>
        <v>Spatial information</v>
      </c>
      <c r="F63" s="99"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8"/>
      <c r="D64" s="98"/>
      <c r="E64" s="98"/>
      <c r="F64" s="98"/>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7" t="str">
        <f ca="1">IFERROR(__xludf.DUMMYFUNCTION("""COMPUTED_VALUE"""),"Data_background")</f>
        <v>Data_background</v>
      </c>
      <c r="D65" s="97" t="str">
        <f ca="1">IFERROR(__xludf.DUMMYFUNCTION("""COMPUTED_VALUE"""),"0:1")</f>
        <v>0:1</v>
      </c>
      <c r="E65" s="99" t="str">
        <f ca="1">IFERROR(__xludf.DUMMYFUNCTION("""COMPUTED_VALUE"""),"Study")</f>
        <v>Study</v>
      </c>
      <c r="F65" s="99"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8"/>
      <c r="D66" s="98"/>
      <c r="E66" s="98"/>
      <c r="F66" s="98"/>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8"/>
      <c r="D67" s="98"/>
      <c r="E67" s="98"/>
      <c r="F67" s="98"/>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8"/>
      <c r="D68" s="98"/>
      <c r="E68" s="98"/>
      <c r="F68" s="98"/>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8"/>
      <c r="D69" s="98"/>
      <c r="E69" s="98"/>
      <c r="F69" s="98"/>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8"/>
      <c r="D70" s="98"/>
      <c r="E70" s="98"/>
      <c r="F70" s="98"/>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8"/>
      <c r="D71" s="98"/>
      <c r="E71" s="98"/>
      <c r="F71" s="98"/>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8"/>
      <c r="D72" s="98"/>
      <c r="E72" s="98"/>
      <c r="F72" s="98"/>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8"/>
      <c r="D73" s="98"/>
      <c r="E73" s="98"/>
      <c r="F73" s="98"/>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8"/>
      <c r="D74" s="98"/>
      <c r="E74" s="98"/>
      <c r="F74" s="98"/>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8"/>
      <c r="D75" s="98"/>
      <c r="E75" s="98"/>
      <c r="F75" s="98"/>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8"/>
      <c r="D76" s="98"/>
      <c r="E76" s="98"/>
      <c r="F76" s="98"/>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8"/>
      <c r="D77" s="98"/>
      <c r="E77" s="98"/>
      <c r="F77" s="98"/>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8"/>
      <c r="D78" s="98"/>
      <c r="E78" s="98"/>
      <c r="F78" s="98"/>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8"/>
      <c r="D79" s="98"/>
      <c r="E79" s="98"/>
      <c r="F79" s="98"/>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8"/>
      <c r="D80" s="98"/>
      <c r="E80" s="98"/>
      <c r="F80" s="98"/>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8"/>
      <c r="D81" s="98"/>
      <c r="E81" s="99" t="str">
        <f ca="1">IFERROR(__xludf.DUMMYFUNCTION("""COMPUTED_VALUE"""),"Study Sample")</f>
        <v>Study Sample</v>
      </c>
      <c r="F81" s="99" t="str">
        <f ca="1">IFERROR(__xludf.DUMMYFUNCTION("""COMPUTED_VALUE"""),"0:N")</f>
        <v>0:N</v>
      </c>
      <c r="G81" s="5" t="str">
        <f ca="1">IFERROR(__xludf.DUMMYFUNCTION("""COMPUTED_VALUE"""),"Sample Name (ID)")</f>
        <v>Sample Name (ID)</v>
      </c>
      <c r="H81" s="5" t="str">
        <f ca="1">IFERROR(__xludf.DUMMYFUNCTION("""COMPUTED_VALUE"""),"1")</f>
        <v>1</v>
      </c>
      <c r="I81" s="5"/>
      <c r="J81" s="13"/>
      <c r="K81" s="4"/>
      <c r="L81" s="101" t="str">
        <f ca="1">E81</f>
        <v>Study Sample</v>
      </c>
      <c r="M81" s="98"/>
      <c r="N81" s="98"/>
      <c r="O81" s="98"/>
      <c r="P81" s="98"/>
      <c r="Q81" s="98"/>
      <c r="R81" s="98"/>
      <c r="S81" s="98"/>
      <c r="T81" s="98"/>
      <c r="U81" s="98"/>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8"/>
      <c r="D82" s="98"/>
      <c r="E82" s="98"/>
      <c r="F82" s="98"/>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8"/>
      <c r="D83" s="98"/>
      <c r="E83" s="98"/>
      <c r="F83" s="98"/>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8"/>
      <c r="D84" s="98"/>
      <c r="E84" s="98"/>
      <c r="F84" s="98"/>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8"/>
      <c r="D85" s="98"/>
      <c r="E85" s="98"/>
      <c r="F85" s="98"/>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8"/>
      <c r="D86" s="98"/>
      <c r="E86" s="98"/>
      <c r="F86" s="98"/>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8"/>
      <c r="D87" s="98"/>
      <c r="E87" s="98"/>
      <c r="F87" s="98"/>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8"/>
      <c r="D88" s="98"/>
      <c r="E88" s="98"/>
      <c r="F88" s="98"/>
      <c r="G88" s="5" t="str">
        <f ca="1">IFERROR(__xludf.DUMMYFUNCTION("""COMPUTED_VALUE"""),"Sampling size")</f>
        <v>Sampling size</v>
      </c>
      <c r="H88" s="5" t="str">
        <f ca="1">IFERROR(__xludf.DUMMYFUNCTION("""COMPUTED_VALUE"""),"1")</f>
        <v>1</v>
      </c>
      <c r="I88" s="5"/>
      <c r="J88" s="13"/>
      <c r="K88" s="4"/>
      <c r="L88" s="101" t="str">
        <f ca="1">E91</f>
        <v>Laboratory</v>
      </c>
      <c r="M88" s="98"/>
      <c r="N88" s="98"/>
      <c r="O88" s="4"/>
      <c r="P88" s="4"/>
      <c r="Q88" s="4"/>
      <c r="R88" s="4"/>
      <c r="S88" s="4"/>
      <c r="T88" s="4"/>
      <c r="U88" s="4"/>
      <c r="V88" s="4"/>
      <c r="W88" s="4"/>
      <c r="X88" s="4"/>
      <c r="Y88" s="4"/>
      <c r="Z88" s="4"/>
      <c r="AA88" s="4"/>
      <c r="AB88" s="4"/>
    </row>
    <row r="89" spans="1:42" ht="12.5" x14ac:dyDescent="0.25">
      <c r="A89" s="4" t="str">
        <f ca="1">IFERROR(__xludf.DUMMYFUNCTION("""COMPUTED_VALUE"""),"Yes")</f>
        <v>Yes</v>
      </c>
      <c r="B89" s="4" t="str">
        <f ca="1">IFERROR(__xludf.DUMMYFUNCTION("""COMPUTED_VALUE"""),"No")</f>
        <v>No</v>
      </c>
      <c r="C89" s="98"/>
      <c r="D89" s="98"/>
      <c r="E89" s="98"/>
      <c r="F89" s="98"/>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x14ac:dyDescent="0.25">
      <c r="A90" s="4" t="str">
        <f ca="1">IFERROR(__xludf.DUMMYFUNCTION("""COMPUTED_VALUE"""),"Yes")</f>
        <v>Yes</v>
      </c>
      <c r="B90" s="4" t="str">
        <f ca="1">IFERROR(__xludf.DUMMYFUNCTION("""COMPUTED_VALUE"""),"No")</f>
        <v>No</v>
      </c>
      <c r="C90" s="98"/>
      <c r="D90" s="98"/>
      <c r="E90" s="98"/>
      <c r="F90" s="98"/>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x14ac:dyDescent="0.25">
      <c r="A91" s="4" t="str">
        <f ca="1">IFERROR(__xludf.DUMMYFUNCTION("""COMPUTED_VALUE"""),"Yes")</f>
        <v>Yes</v>
      </c>
      <c r="B91" s="4" t="str">
        <f ca="1">IFERROR(__xludf.DUMMYFUNCTION("""COMPUTED_VALUE"""),"No")</f>
        <v>No</v>
      </c>
      <c r="C91" s="98"/>
      <c r="D91" s="98"/>
      <c r="E91" s="99" t="str">
        <f ca="1">IFERROR(__xludf.DUMMYFUNCTION("""COMPUTED_VALUE"""),"Laboratory")</f>
        <v>Laboratory</v>
      </c>
      <c r="F91" s="99"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x14ac:dyDescent="0.25">
      <c r="A92" s="4" t="str">
        <f ca="1">IFERROR(__xludf.DUMMYFUNCTION("""COMPUTED_VALUE"""),"Yes")</f>
        <v>Yes</v>
      </c>
      <c r="B92" s="4" t="str">
        <f ca="1">IFERROR(__xludf.DUMMYFUNCTION("""COMPUTED_VALUE"""),"No")</f>
        <v>No</v>
      </c>
      <c r="C92" s="98"/>
      <c r="D92" s="98"/>
      <c r="E92" s="98"/>
      <c r="F92" s="98"/>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x14ac:dyDescent="0.25">
      <c r="A93" s="4" t="str">
        <f ca="1">IFERROR(__xludf.DUMMYFUNCTION("""COMPUTED_VALUE"""),"Yes")</f>
        <v>Yes</v>
      </c>
      <c r="B93" s="4" t="str">
        <f ca="1">IFERROR(__xludf.DUMMYFUNCTION("""COMPUTED_VALUE"""),"No")</f>
        <v>No</v>
      </c>
      <c r="C93" s="98"/>
      <c r="D93" s="98"/>
      <c r="E93" s="98"/>
      <c r="F93" s="98"/>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x14ac:dyDescent="0.25">
      <c r="A94" s="4" t="str">
        <f ca="1">IFERROR(__xludf.DUMMYFUNCTION("""COMPUTED_VALUE"""),"Yes")</f>
        <v>Yes</v>
      </c>
      <c r="B94" s="4" t="str">
        <f ca="1">IFERROR(__xludf.DUMMYFUNCTION("""COMPUTED_VALUE"""),"No")</f>
        <v>No</v>
      </c>
      <c r="C94" s="98"/>
      <c r="D94" s="98"/>
      <c r="E94" s="99" t="str">
        <f ca="1">IFERROR(__xludf.DUMMYFUNCTION("""COMPUTED_VALUE"""),"Assay")</f>
        <v>Assay</v>
      </c>
      <c r="F94" s="99" t="str">
        <f ca="1">IFERROR(__xludf.DUMMYFUNCTION("""COMPUTED_VALUE"""),"0:N")</f>
        <v>0:N</v>
      </c>
      <c r="G94" s="5" t="str">
        <f ca="1">IFERROR(__xludf.DUMMYFUNCTION("""COMPUTED_VALUE"""),"Assay Name")</f>
        <v>Assay Name</v>
      </c>
      <c r="H94" s="5" t="str">
        <f ca="1">IFERROR(__xludf.DUMMYFUNCTION("""COMPUTED_VALUE"""),"1")</f>
        <v>1</v>
      </c>
      <c r="I94" s="5"/>
      <c r="J94" s="13"/>
      <c r="K94" s="4"/>
      <c r="L94" s="101" t="str">
        <f ca="1">E94</f>
        <v>Assay</v>
      </c>
      <c r="M94" s="98"/>
      <c r="N94" s="98"/>
      <c r="O94" s="98"/>
      <c r="P94" s="98"/>
      <c r="Q94" s="98"/>
      <c r="R94" s="98"/>
      <c r="S94" s="98"/>
      <c r="T94" s="98"/>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8"/>
      <c r="D95" s="98"/>
      <c r="E95" s="98"/>
      <c r="F95" s="98"/>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8"/>
      <c r="D96" s="98"/>
      <c r="E96" s="98"/>
      <c r="F96" s="98"/>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8"/>
      <c r="D97" s="98"/>
      <c r="E97" s="98"/>
      <c r="F97" s="98"/>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8"/>
      <c r="D98" s="98"/>
      <c r="E98" s="98"/>
      <c r="F98" s="98"/>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8"/>
      <c r="D99" s="98"/>
      <c r="E99" s="98"/>
      <c r="F99" s="98"/>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8"/>
      <c r="D100" s="98"/>
      <c r="E100" s="98"/>
      <c r="F100" s="98"/>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8"/>
      <c r="D101" s="98"/>
      <c r="E101" s="98"/>
      <c r="F101" s="98"/>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8"/>
      <c r="D102" s="98"/>
      <c r="E102" s="98"/>
      <c r="F102" s="98"/>
      <c r="G102" s="5" t="str">
        <f ca="1">IFERROR(__xludf.DUMMYFUNCTION("""COMPUTED_VALUE"""),"Uncertainty value")</f>
        <v>Uncertainty value</v>
      </c>
      <c r="H102" s="5" t="str">
        <f ca="1">IFERROR(__xludf.DUMMYFUNCTION("""COMPUTED_VALUE"""),"0:1")</f>
        <v>0:1</v>
      </c>
      <c r="I102" s="5"/>
      <c r="J102" s="13"/>
      <c r="K102" s="4"/>
      <c r="L102" s="23"/>
      <c r="M102" s="100" t="str">
        <f ca="1">E121</f>
        <v>Quality measures</v>
      </c>
      <c r="N102" s="98"/>
      <c r="O102" s="23"/>
      <c r="P102" s="100" t="str">
        <f ca="1">E123</f>
        <v>Model equation</v>
      </c>
      <c r="Q102" s="98"/>
      <c r="R102" s="98"/>
      <c r="S102" s="98"/>
      <c r="T102" s="98"/>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IFERROR(__xludf.DUMMYFUNCTION("""COMPUTED_VALUE"""),"Yes")</f>
        <v>Yes</v>
      </c>
      <c r="C103" s="97" t="str">
        <f ca="1">IFERROR(__xludf.DUMMYFUNCTION("""COMPUTED_VALUE"""),"Model math / Data definition")</f>
        <v>Model math / Data definition</v>
      </c>
      <c r="D103" s="97" t="str">
        <f ca="1">IFERROR(__xludf.DUMMYFUNCTION("""COMPUTED_VALUE"""),"1")</f>
        <v>1</v>
      </c>
      <c r="E103" s="99" t="str">
        <f ca="1">IFERROR(__xludf.DUMMYFUNCTION("""COMPUTED_VALUE"""),"Parameter / Factor / Input / Output / ""Data column""")</f>
        <v>Parameter / Factor / Input / Output / "Data column"</v>
      </c>
      <c r="F103" s="99"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IFERROR(__xludf.DUMMYFUNCTION("""COMPUTED_VALUE"""),"Yes")</f>
        <v>Yes</v>
      </c>
      <c r="C104" s="98"/>
      <c r="D104" s="98"/>
      <c r="E104" s="98"/>
      <c r="F104" s="98"/>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IFERROR(__xludf.DUMMYFUNCTION("""COMPUTED_VALUE"""),"Yes")</f>
        <v>Yes</v>
      </c>
      <c r="C105" s="98"/>
      <c r="D105" s="98"/>
      <c r="E105" s="98"/>
      <c r="F105" s="98"/>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IFERROR(__xludf.DUMMYFUNCTION("""COMPUTED_VALUE"""),"No")</f>
        <v>No</v>
      </c>
      <c r="C106" s="98"/>
      <c r="D106" s="98"/>
      <c r="E106" s="98"/>
      <c r="F106" s="98"/>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IFERROR(__xludf.DUMMYFUNCTION("""COMPUTED_VALUE"""),"Yes")</f>
        <v>Yes</v>
      </c>
      <c r="C107" s="98"/>
      <c r="D107" s="98"/>
      <c r="E107" s="98"/>
      <c r="F107" s="98"/>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IFERROR(__xludf.DUMMYFUNCTION("""COMPUTED_VALUE"""),"No")</f>
        <v>No</v>
      </c>
      <c r="C108" s="98"/>
      <c r="D108" s="98"/>
      <c r="E108" s="98"/>
      <c r="F108" s="98"/>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8"/>
      <c r="D109" s="98"/>
      <c r="E109" s="98"/>
      <c r="F109" s="98"/>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IFERROR(__xludf.DUMMYFUNCTION("""COMPUTED_VALUE"""),"No")</f>
        <v>No</v>
      </c>
      <c r="C110" s="98"/>
      <c r="D110" s="98"/>
      <c r="E110" s="98"/>
      <c r="F110" s="98"/>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IFERROR(__xludf.DUMMYFUNCTION("""COMPUTED_VALUE"""),"Yes")</f>
        <v>Yes</v>
      </c>
      <c r="C111" s="98"/>
      <c r="D111" s="98"/>
      <c r="E111" s="98"/>
      <c r="F111" s="98"/>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IFERROR(__xludf.DUMMYFUNCTION("""COMPUTED_VALUE"""),"Yes")</f>
        <v>Yes</v>
      </c>
      <c r="C112" s="98"/>
      <c r="D112" s="98"/>
      <c r="E112" s="98"/>
      <c r="F112" s="98"/>
      <c r="G112" s="5" t="str">
        <f ca="1">IFERROR(__xludf.DUMMYFUNCTION("""COMPUTED_VALUE"""),"Parameter distribution")</f>
        <v>Parameter distribution</v>
      </c>
      <c r="H112" s="5" t="str">
        <f ca="1">IFERROR(__xludf.DUMMYFUNCTION("""COMPUTED_VALUE"""),"0:1")</f>
        <v>0:1</v>
      </c>
      <c r="I112" s="5"/>
      <c r="J112" s="41"/>
      <c r="K112" s="35" t="s">
        <v>23</v>
      </c>
      <c r="L112" s="100" t="str">
        <f ca="1">E103</f>
        <v>Parameter / Factor / Input / Output / "Data column"</v>
      </c>
      <c r="M112" s="98"/>
      <c r="N112" s="98"/>
      <c r="O112" s="98"/>
      <c r="P112" s="98"/>
      <c r="Q112" s="98"/>
      <c r="R112" s="98"/>
      <c r="S112" s="98"/>
      <c r="T112" s="98"/>
      <c r="U112" s="98"/>
      <c r="V112" s="98"/>
      <c r="W112" s="98"/>
      <c r="X112" s="98"/>
      <c r="Y112" s="98"/>
      <c r="Z112" s="98"/>
      <c r="AA112" s="98"/>
      <c r="AB112" s="4"/>
      <c r="AC112" s="4"/>
      <c r="AD112" s="4"/>
      <c r="AE112" s="4"/>
      <c r="AF112" s="4"/>
      <c r="AG112" s="4"/>
      <c r="AH112" s="4"/>
      <c r="AI112" s="4"/>
      <c r="AJ112" s="4"/>
      <c r="AK112" s="4"/>
      <c r="AL112" s="4"/>
      <c r="AM112" s="4"/>
      <c r="AN112" s="4"/>
      <c r="AO112" s="4"/>
      <c r="AP112" s="4"/>
    </row>
    <row r="113" spans="1:41" ht="12.5" x14ac:dyDescent="0.25">
      <c r="A113" s="4" t="str">
        <f ca="1">IFERROR(__xludf.DUMMYFUNCTION("""COMPUTED_VALUE"""),"Yes")</f>
        <v>Yes</v>
      </c>
      <c r="B113" s="4" t="str">
        <f ca="1">IFERROR(__xludf.DUMMYFUNCTION("""COMPUTED_VALUE"""),"Yes")</f>
        <v>Yes</v>
      </c>
      <c r="C113" s="98"/>
      <c r="D113" s="98"/>
      <c r="E113" s="98"/>
      <c r="F113" s="98"/>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x14ac:dyDescent="0.25">
      <c r="A114" s="4" t="str">
        <f ca="1">IFERROR(__xludf.DUMMYFUNCTION("""COMPUTED_VALUE"""),"Yes")</f>
        <v>Yes</v>
      </c>
      <c r="B114" s="4" t="str">
        <f ca="1">IFERROR(__xludf.DUMMYFUNCTION("""COMPUTED_VALUE"""),"Yes")</f>
        <v>Yes</v>
      </c>
      <c r="C114" s="98"/>
      <c r="D114" s="98"/>
      <c r="E114" s="98"/>
      <c r="F114" s="98"/>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x14ac:dyDescent="0.25">
      <c r="A115" s="4" t="str">
        <f ca="1">IFERROR(__xludf.DUMMYFUNCTION("""COMPUTED_VALUE"""),"Yes")</f>
        <v>Yes</v>
      </c>
      <c r="B115" s="4" t="str">
        <f ca="1">IFERROR(__xludf.DUMMYFUNCTION("""COMPUTED_VALUE"""),"No")</f>
        <v>No</v>
      </c>
      <c r="C115" s="98"/>
      <c r="D115" s="98"/>
      <c r="E115" s="98"/>
      <c r="F115" s="98"/>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x14ac:dyDescent="0.25">
      <c r="A116" s="4" t="str">
        <f ca="1">IFERROR(__xludf.DUMMYFUNCTION("""COMPUTED_VALUE"""),"Yes")</f>
        <v>Yes</v>
      </c>
      <c r="B116" s="4" t="str">
        <f ca="1">IFERROR(__xludf.DUMMYFUNCTION("""COMPUTED_VALUE"""),"No")</f>
        <v>No</v>
      </c>
      <c r="C116" s="98"/>
      <c r="D116" s="98"/>
      <c r="E116" s="98"/>
      <c r="F116" s="98"/>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x14ac:dyDescent="0.25">
      <c r="A117" s="4" t="str">
        <f ca="1">IFERROR(__xludf.DUMMYFUNCTION("""COMPUTED_VALUE"""),"Yes")</f>
        <v>Yes</v>
      </c>
      <c r="B117" s="4" t="str">
        <f ca="1">IFERROR(__xludf.DUMMYFUNCTION("""COMPUTED_VALUE"""),"No")</f>
        <v>No</v>
      </c>
      <c r="C117" s="98"/>
      <c r="D117" s="98"/>
      <c r="E117" s="98"/>
      <c r="F117" s="98"/>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x14ac:dyDescent="0.25">
      <c r="A118" s="4" t="str">
        <f ca="1">IFERROR(__xludf.DUMMYFUNCTION("""COMPUTED_VALUE"""),"Yes")</f>
        <v>Yes</v>
      </c>
      <c r="B118" s="4" t="str">
        <f ca="1">IFERROR(__xludf.DUMMYFUNCTION("""COMPUTED_VALUE"""),"No")</f>
        <v>No</v>
      </c>
      <c r="C118" s="98"/>
      <c r="D118" s="98"/>
      <c r="E118" s="98"/>
      <c r="F118" s="98"/>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x14ac:dyDescent="0.25">
      <c r="A119" s="4" t="str">
        <f ca="1">IFERROR(__xludf.DUMMYFUNCTION("""COMPUTED_VALUE"""),"Yes")</f>
        <v>Yes</v>
      </c>
      <c r="B119" s="4" t="str">
        <f ca="1">IFERROR(__xludf.DUMMYFUNCTION("""COMPUTED_VALUE"""),"No")</f>
        <v>No</v>
      </c>
      <c r="C119" s="98"/>
      <c r="D119" s="98"/>
      <c r="E119" s="98"/>
      <c r="F119" s="98"/>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x14ac:dyDescent="0.25">
      <c r="A120" s="4" t="str">
        <f ca="1">IFERROR(__xludf.DUMMYFUNCTION("""COMPUTED_VALUE"""),"Yes")</f>
        <v>Yes</v>
      </c>
      <c r="B120" s="4" t="str">
        <f ca="1">IFERROR(__xludf.DUMMYFUNCTION("""COMPUTED_VALUE"""),"No")</f>
        <v>No</v>
      </c>
      <c r="C120" s="98"/>
      <c r="D120" s="98"/>
      <c r="E120" s="98"/>
      <c r="F120" s="98"/>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x14ac:dyDescent="0.25">
      <c r="A121" s="4" t="str">
        <f ca="1">IFERROR(__xludf.DUMMYFUNCTION("""COMPUTED_VALUE"""),"Yes")</f>
        <v>Yes</v>
      </c>
      <c r="B121" s="4" t="str">
        <f ca="1">IFERROR(__xludf.DUMMYFUNCTION("""COMPUTED_VALUE"""),"No")</f>
        <v>No</v>
      </c>
      <c r="C121" s="98"/>
      <c r="D121" s="98"/>
      <c r="E121" s="99" t="str">
        <f ca="1">IFERROR(__xludf.DUMMYFUNCTION("""COMPUTED_VALUE"""),"Quality measures")</f>
        <v>Quality measures</v>
      </c>
      <c r="F121" s="99"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x14ac:dyDescent="0.25">
      <c r="A122" s="4" t="str">
        <f ca="1">IFERROR(__xludf.DUMMYFUNCTION("""COMPUTED_VALUE"""),"Yes")</f>
        <v>Yes</v>
      </c>
      <c r="B122" s="4" t="str">
        <f ca="1">IFERROR(__xludf.DUMMYFUNCTION("""COMPUTED_VALUE"""),"No")</f>
        <v>No</v>
      </c>
      <c r="C122" s="98"/>
      <c r="D122" s="98"/>
      <c r="E122" s="98"/>
      <c r="F122" s="98"/>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x14ac:dyDescent="0.25">
      <c r="A123" s="4" t="str">
        <f ca="1">IFERROR(__xludf.DUMMYFUNCTION("""COMPUTED_VALUE"""),"Yes")</f>
        <v>Yes</v>
      </c>
      <c r="B123" s="4" t="str">
        <f ca="1">IFERROR(__xludf.DUMMYFUNCTION("""COMPUTED_VALUE"""),"No")</f>
        <v>No</v>
      </c>
      <c r="C123" s="98"/>
      <c r="D123" s="98"/>
      <c r="E123" s="99" t="str">
        <f ca="1">IFERROR(__xludf.DUMMYFUNCTION("""COMPUTED_VALUE"""),"Model equation")</f>
        <v>Model equation</v>
      </c>
      <c r="F123" s="99"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x14ac:dyDescent="0.25">
      <c r="A124" s="4" t="str">
        <f ca="1">IFERROR(__xludf.DUMMYFUNCTION("""COMPUTED_VALUE"""),"Yes")</f>
        <v>Yes</v>
      </c>
      <c r="B124" s="4" t="str">
        <f ca="1">IFERROR(__xludf.DUMMYFUNCTION("""COMPUTED_VALUE"""),"No")</f>
        <v>No</v>
      </c>
      <c r="C124" s="98"/>
      <c r="D124" s="98"/>
      <c r="E124" s="98"/>
      <c r="F124" s="98"/>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x14ac:dyDescent="0.25">
      <c r="A125" s="4" t="str">
        <f ca="1">IFERROR(__xludf.DUMMYFUNCTION("""COMPUTED_VALUE"""),"Yes")</f>
        <v>Yes</v>
      </c>
      <c r="B125" s="4" t="str">
        <f ca="1">IFERROR(__xludf.DUMMYFUNCTION("""COMPUTED_VALUE"""),"No")</f>
        <v>No</v>
      </c>
      <c r="C125" s="98"/>
      <c r="D125" s="98"/>
      <c r="E125" s="98"/>
      <c r="F125" s="98"/>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x14ac:dyDescent="0.25">
      <c r="A126" s="4" t="str">
        <f ca="1">IFERROR(__xludf.DUMMYFUNCTION("""COMPUTED_VALUE"""),"Yes")</f>
        <v>Yes</v>
      </c>
      <c r="B126" s="4" t="str">
        <f ca="1">IFERROR(__xludf.DUMMYFUNCTION("""COMPUTED_VALUE"""),"No")</f>
        <v>No</v>
      </c>
      <c r="C126" s="98"/>
      <c r="D126" s="98"/>
      <c r="E126" s="98"/>
      <c r="F126" s="98"/>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x14ac:dyDescent="0.25">
      <c r="A127" s="4" t="str">
        <f ca="1">IFERROR(__xludf.DUMMYFUNCTION("""COMPUTED_VALUE"""),"Yes")</f>
        <v>Yes</v>
      </c>
      <c r="B127" s="4" t="str">
        <f ca="1">IFERROR(__xludf.DUMMYFUNCTION("""COMPUTED_VALUE"""),"No")</f>
        <v>No</v>
      </c>
      <c r="C127" s="98"/>
      <c r="D127" s="98"/>
      <c r="E127" s="98"/>
      <c r="F127" s="98"/>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x14ac:dyDescent="0.25">
      <c r="A128" s="4" t="str">
        <f ca="1">IFERROR(__xludf.DUMMYFUNCTION("""COMPUTED_VALUE"""),"Yes")</f>
        <v>Yes</v>
      </c>
      <c r="B128" s="4" t="str">
        <f ca="1">IFERROR(__xludf.DUMMYFUNCTION("""COMPUTED_VALUE"""),"No")</f>
        <v>No</v>
      </c>
      <c r="C128" s="98"/>
      <c r="D128" s="98"/>
      <c r="E128" s="98"/>
      <c r="F128" s="98"/>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4" t="str">
        <f ca="1">IFERROR(__xludf.DUMMYFUNCTION("""COMPUTED_VALUE"""),"Yes")</f>
        <v>Yes</v>
      </c>
      <c r="B129" s="4" t="str">
        <f ca="1">IFERROR(__xludf.DUMMYFUNCTION("""COMPUTED_VALUE"""),"No")</f>
        <v>No</v>
      </c>
      <c r="C129" s="98"/>
      <c r="D129" s="98"/>
      <c r="E129" s="98"/>
      <c r="F129" s="98"/>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4" t="str">
        <f ca="1">IFERROR(__xludf.DUMMYFUNCTION("""COMPUTED_VALUE"""),"Yes")</f>
        <v>Yes</v>
      </c>
      <c r="B130" s="4" t="str">
        <f ca="1">IFERROR(__xludf.DUMMYFUNCTION("""COMPUTED_VALUE"""),"No")</f>
        <v>No</v>
      </c>
      <c r="C130" s="98"/>
      <c r="D130" s="98"/>
      <c r="E130" s="98"/>
      <c r="F130" s="98"/>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4" t="str">
        <f ca="1">IFERROR(__xludf.DUMMYFUNCTION("""COMPUTED_VALUE"""),"Yes")</f>
        <v>Yes</v>
      </c>
      <c r="B131" s="4" t="str">
        <f ca="1">IFERROR(__xludf.DUMMYFUNCTION("""COMPUTED_VALUE"""),"No")</f>
        <v>No</v>
      </c>
      <c r="C131" s="98"/>
      <c r="D131" s="98"/>
      <c r="E131" s="5" t="str">
        <f ca="1">IFERROR(__xludf.DUMMYFUNCTION("""COMPUTED_VALUE"""),"Fitting procedure")</f>
        <v>Fitting procedure</v>
      </c>
      <c r="F131" s="99" t="str">
        <f ca="1">IFERROR(__xludf.DUMMYFUNCTION("""COMPUTED_VALUE"""),"0:1")</f>
        <v>0:1</v>
      </c>
      <c r="G131" s="98"/>
      <c r="H131" s="98"/>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x14ac:dyDescent="0.25"/>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x14ac:dyDescent="0.3">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9" t="str">
        <f ca="1">E6</f>
        <v>Creator</v>
      </c>
      <c r="M1" s="98"/>
      <c r="N1" s="98"/>
      <c r="O1" s="98"/>
      <c r="P1" s="98"/>
      <c r="Q1" s="98"/>
      <c r="R1" s="98"/>
      <c r="S1" s="98"/>
      <c r="T1" s="98"/>
      <c r="U1" s="98"/>
      <c r="V1" s="98"/>
      <c r="W1" s="98"/>
      <c r="X1" s="98"/>
      <c r="Y1" s="98"/>
      <c r="Z1" s="98"/>
      <c r="AA1" s="4"/>
      <c r="AB1" s="99" t="str">
        <f ca="1">E5</f>
        <v>Author</v>
      </c>
      <c r="AC1" s="98"/>
      <c r="AD1" s="98"/>
      <c r="AE1" s="98"/>
      <c r="AF1" s="98"/>
      <c r="AG1" s="98"/>
      <c r="AH1" s="98"/>
      <c r="AI1" s="98"/>
      <c r="AJ1" s="98"/>
      <c r="AK1" s="98"/>
      <c r="AL1" s="98"/>
      <c r="AM1" s="98"/>
      <c r="AN1" s="98"/>
      <c r="AO1" s="98"/>
      <c r="AP1" s="98"/>
    </row>
    <row r="2" spans="1:42"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8"/>
      <c r="D6" s="98"/>
      <c r="E6" s="99"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4" t="str">
        <f ca="1">IFERROR(__xludf.DUMMYFUNCTION("""COMPUTED_VALUE"""),"Yes")</f>
        <v>Yes</v>
      </c>
      <c r="C7" s="98"/>
      <c r="D7" s="98"/>
      <c r="E7" s="98"/>
      <c r="F7" s="99"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8"/>
      <c r="D8" s="98"/>
      <c r="E8" s="5"/>
      <c r="F8" s="98"/>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5"/>
      <c r="J12" s="10"/>
      <c r="K12" s="4"/>
      <c r="L12" s="101" t="str">
        <f ca="1">E13</f>
        <v>References</v>
      </c>
      <c r="M12" s="98"/>
      <c r="N12" s="98"/>
      <c r="O12" s="98"/>
      <c r="P12" s="98"/>
      <c r="Q12" s="98"/>
      <c r="R12" s="98"/>
      <c r="S12" s="98"/>
      <c r="T12" s="98"/>
      <c r="U12" s="98"/>
      <c r="V12" s="98"/>
      <c r="W12" s="98"/>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8"/>
      <c r="D16" s="98"/>
      <c r="E16" s="98"/>
      <c r="F16" s="98"/>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x14ac:dyDescent="0.3">
      <c r="A23" s="4" t="str">
        <f ca="1">IFERROR(__xludf.DUMMYFUNCTION("""COMPUTED_VALUE"""),"Yes")</f>
        <v>Yes</v>
      </c>
      <c r="B23" s="4"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8"/>
      <c r="D24" s="98"/>
      <c r="E24" s="98"/>
      <c r="F24" s="98"/>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99" t="str">
        <f ca="1">IFERROR(__xludf.DUMMYFUNCTION("""COMPUTED_VALUE"""),"0:1")</f>
        <v>0:1</v>
      </c>
      <c r="G26" s="98"/>
      <c r="H26" s="98"/>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8"/>
      <c r="D32" s="98"/>
      <c r="E32" s="98"/>
      <c r="F32" s="98"/>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7" t="str">
        <f ca="1">IFERROR(__xludf.DUMMYFUNCTION("""COMPUTED_VALUE"""),"Scope")</f>
        <v>Scope</v>
      </c>
      <c r="D36" s="97" t="str">
        <f ca="1">IFERROR(__xludf.DUMMYFUNCTION("""COMPUTED_VALUE"""),"1")</f>
        <v>1</v>
      </c>
      <c r="E36" s="99" t="str">
        <f ca="1">IFERROR(__xludf.DUMMYFUNCTION("""COMPUTED_VALUE"""),"Hazard")</f>
        <v>Hazard</v>
      </c>
      <c r="F36" s="99" t="str">
        <f ca="1">IFERROR(__xludf.DUMMYFUNCTION("""COMPUTED_VALUE"""),"1:N")</f>
        <v>1:N</v>
      </c>
      <c r="G36" s="5" t="str">
        <f ca="1">IFERROR(__xludf.DUMMYFUNCTION("""COMPUTED_VALUE"""),"Hazard type")</f>
        <v>Hazard type</v>
      </c>
      <c r="H36" s="5" t="str">
        <f ca="1">IFERROR(__xludf.DUMMYFUNCTION("""COMPUTED_VALUE"""),"0:1")</f>
        <v>0:1</v>
      </c>
      <c r="I36" s="5"/>
      <c r="J36" s="13"/>
      <c r="K36" s="4"/>
      <c r="L36" s="101" t="str">
        <f ca="1">E36</f>
        <v>Hazard</v>
      </c>
      <c r="M36" s="98"/>
      <c r="N36" s="98"/>
      <c r="O36" s="98"/>
      <c r="P36" s="98"/>
      <c r="Q36" s="98"/>
      <c r="R36" s="98"/>
      <c r="S36" s="98"/>
      <c r="T36" s="98"/>
      <c r="U36" s="98"/>
      <c r="V36" s="98"/>
      <c r="W36" s="98"/>
      <c r="X36" s="98"/>
      <c r="Y36" s="98"/>
      <c r="Z36" s="101" t="str">
        <f ca="1">E50</f>
        <v>Population Group</v>
      </c>
      <c r="AA36" s="98"/>
      <c r="AB36" s="98"/>
      <c r="AC36" s="98"/>
      <c r="AD36" s="98"/>
      <c r="AE36" s="98"/>
      <c r="AF36" s="98"/>
      <c r="AG36" s="98"/>
      <c r="AH36" s="98"/>
      <c r="AI36" s="98"/>
      <c r="AJ36" s="98"/>
      <c r="AK36" s="98"/>
      <c r="AL36" s="98"/>
      <c r="AM36" s="4"/>
      <c r="AN36" s="4"/>
      <c r="AO36" s="4"/>
      <c r="AP36" s="4"/>
    </row>
    <row r="37" spans="1:42" ht="12.5" x14ac:dyDescent="0.25">
      <c r="A37" s="4" t="str">
        <f ca="1">IFERROR(__xludf.DUMMYFUNCTION("""COMPUTED_VALUE"""),"Yes")</f>
        <v>Yes</v>
      </c>
      <c r="B37" s="4" t="str">
        <f ca="1">IFERROR(__xludf.DUMMYFUNCTION("""COMPUTED_VALUE"""),"Yes")</f>
        <v>Yes</v>
      </c>
      <c r="C37" s="98"/>
      <c r="D37" s="98"/>
      <c r="E37" s="98"/>
      <c r="F37" s="98"/>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x14ac:dyDescent="0.25">
      <c r="A38" s="4" t="str">
        <f ca="1">IFERROR(__xludf.DUMMYFUNCTION("""COMPUTED_VALUE"""),"Yes")</f>
        <v>Yes</v>
      </c>
      <c r="B38" s="4" t="str">
        <f ca="1">IFERROR(__xludf.DUMMYFUNCTION("""COMPUTED_VALUE"""),"Yes")</f>
        <v>Yes</v>
      </c>
      <c r="C38" s="98"/>
      <c r="D38" s="98"/>
      <c r="E38" s="98"/>
      <c r="F38" s="98"/>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x14ac:dyDescent="0.25">
      <c r="A39" s="4" t="str">
        <f ca="1">IFERROR(__xludf.DUMMYFUNCTION("""COMPUTED_VALUE"""),"Yes")</f>
        <v>Yes</v>
      </c>
      <c r="B39" s="4" t="str">
        <f ca="1">IFERROR(__xludf.DUMMYFUNCTION("""COMPUTED_VALUE"""),"No")</f>
        <v>No</v>
      </c>
      <c r="C39" s="98"/>
      <c r="D39" s="98"/>
      <c r="E39" s="98"/>
      <c r="F39" s="98"/>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x14ac:dyDescent="0.25">
      <c r="A40" s="4" t="str">
        <f ca="1">IFERROR(__xludf.DUMMYFUNCTION("""COMPUTED_VALUE"""),"Yes")</f>
        <v>Yes</v>
      </c>
      <c r="B40" s="4" t="str">
        <f ca="1">IFERROR(__xludf.DUMMYFUNCTION("""COMPUTED_VALUE"""),"No")</f>
        <v>No</v>
      </c>
      <c r="C40" s="98"/>
      <c r="D40" s="98"/>
      <c r="E40" s="98"/>
      <c r="F40" s="98"/>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x14ac:dyDescent="0.25">
      <c r="A41" s="4" t="str">
        <f ca="1">IFERROR(__xludf.DUMMYFUNCTION("""COMPUTED_VALUE"""),"Yes")</f>
        <v>Yes</v>
      </c>
      <c r="B41" s="4" t="str">
        <f ca="1">IFERROR(__xludf.DUMMYFUNCTION("""COMPUTED_VALUE"""),"No")</f>
        <v>No</v>
      </c>
      <c r="C41" s="98"/>
      <c r="D41" s="98"/>
      <c r="E41" s="98"/>
      <c r="F41" s="98"/>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x14ac:dyDescent="0.25">
      <c r="A42" s="4" t="str">
        <f ca="1">IFERROR(__xludf.DUMMYFUNCTION("""COMPUTED_VALUE"""),"Yes")</f>
        <v>Yes</v>
      </c>
      <c r="B42" s="4" t="str">
        <f ca="1">IFERROR(__xludf.DUMMYFUNCTION("""COMPUTED_VALUE"""),"No")</f>
        <v>No</v>
      </c>
      <c r="C42" s="98"/>
      <c r="D42" s="98"/>
      <c r="E42" s="98"/>
      <c r="F42" s="98"/>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x14ac:dyDescent="0.25">
      <c r="A43" s="4" t="str">
        <f ca="1">IFERROR(__xludf.DUMMYFUNCTION("""COMPUTED_VALUE"""),"Yes")</f>
        <v>Yes</v>
      </c>
      <c r="B43" s="4" t="str">
        <f ca="1">IFERROR(__xludf.DUMMYFUNCTION("""COMPUTED_VALUE"""),"No")</f>
        <v>No</v>
      </c>
      <c r="C43" s="98"/>
      <c r="D43" s="98"/>
      <c r="E43" s="98"/>
      <c r="F43" s="98"/>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x14ac:dyDescent="0.25">
      <c r="A44" s="4" t="str">
        <f ca="1">IFERROR(__xludf.DUMMYFUNCTION("""COMPUTED_VALUE"""),"Yes")</f>
        <v>Yes</v>
      </c>
      <c r="B44" s="4" t="str">
        <f ca="1">IFERROR(__xludf.DUMMYFUNCTION("""COMPUTED_VALUE"""),"No")</f>
        <v>No</v>
      </c>
      <c r="C44" s="98"/>
      <c r="D44" s="98"/>
      <c r="E44" s="98"/>
      <c r="F44" s="98"/>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x14ac:dyDescent="0.25">
      <c r="A45" s="4" t="str">
        <f ca="1">IFERROR(__xludf.DUMMYFUNCTION("""COMPUTED_VALUE"""),"Yes")</f>
        <v>Yes</v>
      </c>
      <c r="B45" s="4" t="str">
        <f ca="1">IFERROR(__xludf.DUMMYFUNCTION("""COMPUTED_VALUE"""),"No")</f>
        <v>No</v>
      </c>
      <c r="C45" s="98"/>
      <c r="D45" s="98"/>
      <c r="E45" s="98"/>
      <c r="F45" s="98"/>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x14ac:dyDescent="0.25">
      <c r="A46" s="4" t="str">
        <f ca="1">IFERROR(__xludf.DUMMYFUNCTION("""COMPUTED_VALUE"""),"Yes")</f>
        <v>Yes</v>
      </c>
      <c r="B46" s="4" t="str">
        <f ca="1">IFERROR(__xludf.DUMMYFUNCTION("""COMPUTED_VALUE"""),"No")</f>
        <v>No</v>
      </c>
      <c r="C46" s="98"/>
      <c r="D46" s="98"/>
      <c r="E46" s="98"/>
      <c r="F46" s="98"/>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x14ac:dyDescent="0.25">
      <c r="A47" s="4" t="str">
        <f ca="1">IFERROR(__xludf.DUMMYFUNCTION("""COMPUTED_VALUE"""),"Yes")</f>
        <v>Yes</v>
      </c>
      <c r="B47" s="4" t="str">
        <f ca="1">IFERROR(__xludf.DUMMYFUNCTION("""COMPUTED_VALUE"""),"No")</f>
        <v>No</v>
      </c>
      <c r="C47" s="98"/>
      <c r="D47" s="98"/>
      <c r="E47" s="98"/>
      <c r="F47" s="98"/>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x14ac:dyDescent="0.25">
      <c r="A48" s="4" t="str">
        <f ca="1">IFERROR(__xludf.DUMMYFUNCTION("""COMPUTED_VALUE"""),"Yes")</f>
        <v>Yes</v>
      </c>
      <c r="B48" s="4" t="str">
        <f ca="1">IFERROR(__xludf.DUMMYFUNCTION("""COMPUTED_VALUE"""),"No")</f>
        <v>No</v>
      </c>
      <c r="C48" s="98"/>
      <c r="D48" s="98"/>
      <c r="E48" s="98"/>
      <c r="F48" s="98"/>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x14ac:dyDescent="0.25">
      <c r="A49" s="4" t="str">
        <f ca="1">IFERROR(__xludf.DUMMYFUNCTION("""COMPUTED_VALUE"""),"Yes")</f>
        <v>Yes</v>
      </c>
      <c r="B49" s="4" t="str">
        <f ca="1">IFERROR(__xludf.DUMMYFUNCTION("""COMPUTED_VALUE"""),"No")</f>
        <v>No</v>
      </c>
      <c r="C49" s="98"/>
      <c r="D49" s="98"/>
      <c r="E49" s="98"/>
      <c r="F49" s="98"/>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x14ac:dyDescent="0.25">
      <c r="A50" s="4" t="str">
        <f ca="1">IFERROR(__xludf.DUMMYFUNCTION("""COMPUTED_VALUE"""),"Yes")</f>
        <v>Yes</v>
      </c>
      <c r="B50" s="4" t="str">
        <f ca="1">IFERROR(__xludf.DUMMYFUNCTION("""COMPUTED_VALUE"""),"Yes")</f>
        <v>Yes</v>
      </c>
      <c r="C50" s="98"/>
      <c r="D50" s="98"/>
      <c r="E50" s="99" t="str">
        <f ca="1">IFERROR(__xludf.DUMMYFUNCTION("""COMPUTED_VALUE"""),"Population Group")</f>
        <v>Population Group</v>
      </c>
      <c r="F50" s="99"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x14ac:dyDescent="0.25">
      <c r="A51" s="4" t="str">
        <f ca="1">IFERROR(__xludf.DUMMYFUNCTION("""COMPUTED_VALUE"""),"Yes")</f>
        <v>Yes</v>
      </c>
      <c r="B51" s="4" t="str">
        <f ca="1">IFERROR(__xludf.DUMMYFUNCTION("""COMPUTED_VALUE"""),"No")</f>
        <v>No</v>
      </c>
      <c r="C51" s="98"/>
      <c r="D51" s="98"/>
      <c r="E51" s="98"/>
      <c r="F51" s="98"/>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8"/>
      <c r="D52" s="98"/>
      <c r="E52" s="98"/>
      <c r="F52" s="98"/>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8"/>
      <c r="D53" s="98"/>
      <c r="E53" s="98"/>
      <c r="F53" s="98"/>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8"/>
      <c r="D54" s="98"/>
      <c r="E54" s="98"/>
      <c r="F54" s="98"/>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8"/>
      <c r="D55" s="98"/>
      <c r="E55" s="98"/>
      <c r="F55" s="98"/>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8"/>
      <c r="D56" s="98"/>
      <c r="E56" s="98"/>
      <c r="F56" s="98"/>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8"/>
      <c r="D57" s="98"/>
      <c r="E57" s="98"/>
      <c r="F57" s="98"/>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8"/>
      <c r="D58" s="98"/>
      <c r="E58" s="98"/>
      <c r="F58" s="98"/>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8"/>
      <c r="D59" s="98"/>
      <c r="E59" s="98"/>
      <c r="F59" s="98"/>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8"/>
      <c r="D60" s="98"/>
      <c r="E60" s="98"/>
      <c r="F60" s="98"/>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IFERROR(__xludf.DUMMYFUNCTION("""COMPUTED_VALUE"""),"No")</f>
        <v>No</v>
      </c>
      <c r="C61" s="98"/>
      <c r="D61" s="98"/>
      <c r="E61" s="98"/>
      <c r="F61" s="98"/>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IFERROR(__xludf.DUMMYFUNCTION("""COMPUTED_VALUE"""),"No")</f>
        <v>No</v>
      </c>
      <c r="C62" s="98"/>
      <c r="D62" s="98"/>
      <c r="E62" s="98"/>
      <c r="F62" s="98"/>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IFERROR(__xludf.DUMMYFUNCTION("""COMPUTED_VALUE"""),"No")</f>
        <v>No</v>
      </c>
      <c r="C63" s="98"/>
      <c r="D63" s="98"/>
      <c r="E63" s="5" t="str">
        <f ca="1">IFERROR(__xludf.DUMMYFUNCTION("""COMPUTED_VALUE"""),"General comment")</f>
        <v>General comment</v>
      </c>
      <c r="F63" s="99" t="str">
        <f ca="1">IFERROR(__xludf.DUMMYFUNCTION("""COMPUTED_VALUE"""),"0:1")</f>
        <v>0:1</v>
      </c>
      <c r="G63" s="98"/>
      <c r="H63" s="98"/>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8"/>
      <c r="D64" s="98"/>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8"/>
      <c r="D65" s="98"/>
      <c r="E65" s="99" t="str">
        <f ca="1">IFERROR(__xludf.DUMMYFUNCTION("""COMPUTED_VALUE"""),"Spatial information")</f>
        <v>Spatial information</v>
      </c>
      <c r="F65" s="99"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8"/>
      <c r="D66" s="98"/>
      <c r="E66" s="98"/>
      <c r="F66" s="98"/>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7" t="str">
        <f ca="1">IFERROR(__xludf.DUMMYFUNCTION("""COMPUTED_VALUE"""),"Data_background")</f>
        <v>Data_background</v>
      </c>
      <c r="D67" s="97" t="str">
        <f ca="1">IFERROR(__xludf.DUMMYFUNCTION("""COMPUTED_VALUE"""),"0:1")</f>
        <v>0:1</v>
      </c>
      <c r="E67" s="99" t="str">
        <f ca="1">IFERROR(__xludf.DUMMYFUNCTION("""COMPUTED_VALUE"""),"Study")</f>
        <v>Study</v>
      </c>
      <c r="F67" s="99"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8"/>
      <c r="D68" s="98"/>
      <c r="E68" s="98"/>
      <c r="F68" s="98"/>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8"/>
      <c r="D69" s="98"/>
      <c r="E69" s="98"/>
      <c r="F69" s="98"/>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8"/>
      <c r="D70" s="98"/>
      <c r="E70" s="98"/>
      <c r="F70" s="98"/>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8"/>
      <c r="D71" s="98"/>
      <c r="E71" s="98"/>
      <c r="F71" s="98"/>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8"/>
      <c r="D72" s="98"/>
      <c r="E72" s="98"/>
      <c r="F72" s="98"/>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8"/>
      <c r="D73" s="98"/>
      <c r="E73" s="98"/>
      <c r="F73" s="98"/>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8"/>
      <c r="D74" s="98"/>
      <c r="E74" s="98"/>
      <c r="F74" s="98"/>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8"/>
      <c r="D75" s="98"/>
      <c r="E75" s="98"/>
      <c r="F75" s="98"/>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8"/>
      <c r="D76" s="98"/>
      <c r="E76" s="98"/>
      <c r="F76" s="98"/>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8"/>
      <c r="D77" s="98"/>
      <c r="E77" s="98"/>
      <c r="F77" s="98"/>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8"/>
      <c r="D78" s="98"/>
      <c r="E78" s="98"/>
      <c r="F78" s="98"/>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8"/>
      <c r="D79" s="98"/>
      <c r="E79" s="98"/>
      <c r="F79" s="98"/>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8"/>
      <c r="D80" s="98"/>
      <c r="E80" s="98"/>
      <c r="F80" s="98"/>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8"/>
      <c r="D81" s="98"/>
      <c r="E81" s="98"/>
      <c r="F81" s="98"/>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8"/>
      <c r="D82" s="98"/>
      <c r="E82" s="98"/>
      <c r="F82" s="98"/>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8"/>
      <c r="D83" s="98"/>
      <c r="E83" s="99" t="str">
        <f ca="1">IFERROR(__xludf.DUMMYFUNCTION("""COMPUTED_VALUE"""),"Study Sample")</f>
        <v>Study Sample</v>
      </c>
      <c r="F83" s="99" t="str">
        <f ca="1">IFERROR(__xludf.DUMMYFUNCTION("""COMPUTED_VALUE"""),"0:N")</f>
        <v>0:N</v>
      </c>
      <c r="G83" s="5" t="str">
        <f ca="1">IFERROR(__xludf.DUMMYFUNCTION("""COMPUTED_VALUE"""),"Sample Name (ID)")</f>
        <v>Sample Name (ID)</v>
      </c>
      <c r="H83" s="5" t="str">
        <f ca="1">IFERROR(__xludf.DUMMYFUNCTION("""COMPUTED_VALUE"""),"1")</f>
        <v>1</v>
      </c>
      <c r="I83" s="5"/>
      <c r="J83" s="13"/>
      <c r="K83" s="4"/>
      <c r="L83" s="101" t="str">
        <f ca="1">E83</f>
        <v>Study Sample</v>
      </c>
      <c r="M83" s="98"/>
      <c r="N83" s="98"/>
      <c r="O83" s="98"/>
      <c r="P83" s="98"/>
      <c r="Q83" s="98"/>
      <c r="R83" s="98"/>
      <c r="S83" s="98"/>
      <c r="T83" s="98"/>
      <c r="U83" s="98"/>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8"/>
      <c r="D84" s="98"/>
      <c r="E84" s="98"/>
      <c r="F84" s="98"/>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8"/>
      <c r="D85" s="98"/>
      <c r="E85" s="98"/>
      <c r="F85" s="98"/>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8"/>
      <c r="D86" s="98"/>
      <c r="E86" s="98"/>
      <c r="F86" s="98"/>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8"/>
      <c r="D87" s="98"/>
      <c r="E87" s="98"/>
      <c r="F87" s="98"/>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8"/>
      <c r="D88" s="98"/>
      <c r="E88" s="98"/>
      <c r="F88" s="98"/>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4" t="str">
        <f ca="1">IFERROR(__xludf.DUMMYFUNCTION("""COMPUTED_VALUE"""),"Yes")</f>
        <v>Yes</v>
      </c>
      <c r="B89" s="4" t="str">
        <f ca="1">IFERROR(__xludf.DUMMYFUNCTION("""COMPUTED_VALUE"""),"No")</f>
        <v>No</v>
      </c>
      <c r="C89" s="98"/>
      <c r="D89" s="98"/>
      <c r="E89" s="98"/>
      <c r="F89" s="98"/>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4" t="str">
        <f ca="1">IFERROR(__xludf.DUMMYFUNCTION("""COMPUTED_VALUE"""),"Yes")</f>
        <v>Yes</v>
      </c>
      <c r="B90" s="4" t="str">
        <f ca="1">IFERROR(__xludf.DUMMYFUNCTION("""COMPUTED_VALUE"""),"No")</f>
        <v>No</v>
      </c>
      <c r="C90" s="98"/>
      <c r="D90" s="98"/>
      <c r="E90" s="98"/>
      <c r="F90" s="98"/>
      <c r="G90" s="5" t="str">
        <f ca="1">IFERROR(__xludf.DUMMYFUNCTION("""COMPUTED_VALUE"""),"Sampling size")</f>
        <v>Sampling size</v>
      </c>
      <c r="H90" s="5" t="str">
        <f ca="1">IFERROR(__xludf.DUMMYFUNCTION("""COMPUTED_VALUE"""),"1")</f>
        <v>1</v>
      </c>
      <c r="I90" s="5"/>
      <c r="J90" s="13"/>
      <c r="K90" s="4"/>
      <c r="L90" s="101" t="str">
        <f ca="1">E93</f>
        <v>Laboratory</v>
      </c>
      <c r="M90" s="98"/>
      <c r="N90" s="98"/>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4" t="str">
        <f ca="1">IFERROR(__xludf.DUMMYFUNCTION("""COMPUTED_VALUE"""),"Yes")</f>
        <v>Yes</v>
      </c>
      <c r="B91" s="4" t="str">
        <f ca="1">IFERROR(__xludf.DUMMYFUNCTION("""COMPUTED_VALUE"""),"No")</f>
        <v>No</v>
      </c>
      <c r="C91" s="98"/>
      <c r="D91" s="98"/>
      <c r="E91" s="98"/>
      <c r="F91" s="98"/>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4" t="str">
        <f ca="1">IFERROR(__xludf.DUMMYFUNCTION("""COMPUTED_VALUE"""),"Yes")</f>
        <v>Yes</v>
      </c>
      <c r="B92" s="4" t="str">
        <f ca="1">IFERROR(__xludf.DUMMYFUNCTION("""COMPUTED_VALUE"""),"No")</f>
        <v>No</v>
      </c>
      <c r="C92" s="98"/>
      <c r="D92" s="98"/>
      <c r="E92" s="98"/>
      <c r="F92" s="98"/>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4" t="str">
        <f ca="1">IFERROR(__xludf.DUMMYFUNCTION("""COMPUTED_VALUE"""),"Yes")</f>
        <v>Yes</v>
      </c>
      <c r="B93" s="4" t="str">
        <f ca="1">IFERROR(__xludf.DUMMYFUNCTION("""COMPUTED_VALUE"""),"No")</f>
        <v>No</v>
      </c>
      <c r="C93" s="98"/>
      <c r="D93" s="98"/>
      <c r="E93" s="99" t="str">
        <f ca="1">IFERROR(__xludf.DUMMYFUNCTION("""COMPUTED_VALUE"""),"Laboratory")</f>
        <v>Laboratory</v>
      </c>
      <c r="F93" s="99"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4" t="str">
        <f ca="1">IFERROR(__xludf.DUMMYFUNCTION("""COMPUTED_VALUE"""),"Yes")</f>
        <v>Yes</v>
      </c>
      <c r="B94" s="4" t="str">
        <f ca="1">IFERROR(__xludf.DUMMYFUNCTION("""COMPUTED_VALUE"""),"No")</f>
        <v>No</v>
      </c>
      <c r="C94" s="98"/>
      <c r="D94" s="98"/>
      <c r="E94" s="98"/>
      <c r="F94" s="98"/>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8"/>
      <c r="D95" s="98"/>
      <c r="E95" s="98"/>
      <c r="F95" s="98"/>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8"/>
      <c r="D96" s="98"/>
      <c r="E96" s="99" t="str">
        <f ca="1">IFERROR(__xludf.DUMMYFUNCTION("""COMPUTED_VALUE"""),"Assay")</f>
        <v>Assay</v>
      </c>
      <c r="F96" s="99" t="str">
        <f ca="1">IFERROR(__xludf.DUMMYFUNCTION("""COMPUTED_VALUE"""),"0:N")</f>
        <v>0:N</v>
      </c>
      <c r="G96" s="5" t="str">
        <f ca="1">IFERROR(__xludf.DUMMYFUNCTION("""COMPUTED_VALUE"""),"Assay Name")</f>
        <v>Assay Name</v>
      </c>
      <c r="H96" s="5" t="str">
        <f ca="1">IFERROR(__xludf.DUMMYFUNCTION("""COMPUTED_VALUE"""),"1")</f>
        <v>1</v>
      </c>
      <c r="I96" s="5"/>
      <c r="J96" s="13"/>
      <c r="K96" s="4"/>
      <c r="L96" s="101" t="str">
        <f ca="1">E96</f>
        <v>Assay</v>
      </c>
      <c r="M96" s="98"/>
      <c r="N96" s="98"/>
      <c r="O96" s="98"/>
      <c r="P96" s="98"/>
      <c r="Q96" s="98"/>
      <c r="R96" s="98"/>
      <c r="S96" s="98"/>
      <c r="T96" s="98"/>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8"/>
      <c r="D97" s="98"/>
      <c r="E97" s="98"/>
      <c r="F97" s="98"/>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8"/>
      <c r="D98" s="98"/>
      <c r="E98" s="98"/>
      <c r="F98" s="98"/>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8"/>
      <c r="D99" s="98"/>
      <c r="E99" s="98"/>
      <c r="F99" s="98"/>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8"/>
      <c r="D100" s="98"/>
      <c r="E100" s="98"/>
      <c r="F100" s="98"/>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8"/>
      <c r="D101" s="98"/>
      <c r="E101" s="98"/>
      <c r="F101" s="98"/>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8"/>
      <c r="D102" s="98"/>
      <c r="E102" s="98"/>
      <c r="F102" s="98"/>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IFERROR(__xludf.DUMMYFUNCTION("""COMPUTED_VALUE"""),"No")</f>
        <v>No</v>
      </c>
      <c r="C103" s="98"/>
      <c r="D103" s="98"/>
      <c r="E103" s="98"/>
      <c r="F103" s="98"/>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IFERROR(__xludf.DUMMYFUNCTION("""COMPUTED_VALUE"""),"No")</f>
        <v>No</v>
      </c>
      <c r="C104" s="98"/>
      <c r="D104" s="98"/>
      <c r="E104" s="98"/>
      <c r="F104" s="98"/>
      <c r="G104" s="5" t="str">
        <f ca="1">IFERROR(__xludf.DUMMYFUNCTION("""COMPUTED_VALUE"""),"Uncertainty value")</f>
        <v>Uncertainty value</v>
      </c>
      <c r="H104" s="5" t="str">
        <f ca="1">IFERROR(__xludf.DUMMYFUNCTION("""COMPUTED_VALUE"""),"0:1")</f>
        <v>0:1</v>
      </c>
      <c r="I104" s="5"/>
      <c r="J104" s="13"/>
      <c r="K104" s="4"/>
      <c r="L104" s="23"/>
      <c r="M104" s="100" t="str">
        <f ca="1">E123</f>
        <v>Quality measures</v>
      </c>
      <c r="N104" s="98"/>
      <c r="O104" s="23"/>
      <c r="P104" s="100" t="str">
        <f ca="1">E125</f>
        <v>Model equation</v>
      </c>
      <c r="Q104" s="98"/>
      <c r="R104" s="98"/>
      <c r="S104" s="98"/>
      <c r="T104" s="98"/>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IFERROR(__xludf.DUMMYFUNCTION("""COMPUTED_VALUE"""),"Yes")</f>
        <v>Yes</v>
      </c>
      <c r="C105" s="97" t="str">
        <f ca="1">IFERROR(__xludf.DUMMYFUNCTION("""COMPUTED_VALUE"""),"Model math / Data definition")</f>
        <v>Model math / Data definition</v>
      </c>
      <c r="D105" s="97" t="str">
        <f ca="1">IFERROR(__xludf.DUMMYFUNCTION("""COMPUTED_VALUE"""),"1")</f>
        <v>1</v>
      </c>
      <c r="E105" s="99" t="str">
        <f ca="1">IFERROR(__xludf.DUMMYFUNCTION("""COMPUTED_VALUE"""),"Parameter / Factor / Input / Output / ""Data column""")</f>
        <v>Parameter / Factor / Input / Output / "Data column"</v>
      </c>
      <c r="F105" s="99"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IFERROR(__xludf.DUMMYFUNCTION("""COMPUTED_VALUE"""),"Yes")</f>
        <v>Yes</v>
      </c>
      <c r="C106" s="98"/>
      <c r="D106" s="98"/>
      <c r="E106" s="98"/>
      <c r="F106" s="98"/>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IFERROR(__xludf.DUMMYFUNCTION("""COMPUTED_VALUE"""),"Yes")</f>
        <v>Yes</v>
      </c>
      <c r="C107" s="98"/>
      <c r="D107" s="98"/>
      <c r="E107" s="98"/>
      <c r="F107" s="98"/>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IFERROR(__xludf.DUMMYFUNCTION("""COMPUTED_VALUE"""),"No")</f>
        <v>No</v>
      </c>
      <c r="C108" s="98"/>
      <c r="D108" s="98"/>
      <c r="E108" s="98"/>
      <c r="F108" s="98"/>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8"/>
      <c r="D109" s="98"/>
      <c r="E109" s="98"/>
      <c r="F109" s="98"/>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IFERROR(__xludf.DUMMYFUNCTION("""COMPUTED_VALUE"""),"No")</f>
        <v>No</v>
      </c>
      <c r="C110" s="98"/>
      <c r="D110" s="98"/>
      <c r="E110" s="98"/>
      <c r="F110" s="98"/>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IFERROR(__xludf.DUMMYFUNCTION("""COMPUTED_VALUE"""),"Yes")</f>
        <v>Yes</v>
      </c>
      <c r="C111" s="98"/>
      <c r="D111" s="98"/>
      <c r="E111" s="98"/>
      <c r="F111" s="98"/>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IFERROR(__xludf.DUMMYFUNCTION("""COMPUTED_VALUE"""),"No")</f>
        <v>No</v>
      </c>
      <c r="C112" s="98"/>
      <c r="D112" s="98"/>
      <c r="E112" s="98"/>
      <c r="F112" s="98"/>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x14ac:dyDescent="0.25">
      <c r="A113" s="4" t="str">
        <f ca="1">IFERROR(__xludf.DUMMYFUNCTION("""COMPUTED_VALUE"""),"Yes")</f>
        <v>Yes</v>
      </c>
      <c r="B113" s="4" t="str">
        <f ca="1">IFERROR(__xludf.DUMMYFUNCTION("""COMPUTED_VALUE"""),"Yes")</f>
        <v>Yes</v>
      </c>
      <c r="C113" s="98"/>
      <c r="D113" s="98"/>
      <c r="E113" s="98"/>
      <c r="F113" s="98"/>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x14ac:dyDescent="0.25">
      <c r="A114" s="4" t="str">
        <f ca="1">IFERROR(__xludf.DUMMYFUNCTION("""COMPUTED_VALUE"""),"Yes")</f>
        <v>Yes</v>
      </c>
      <c r="B114" s="4" t="str">
        <f ca="1">IFERROR(__xludf.DUMMYFUNCTION("""COMPUTED_VALUE"""),"Yes")</f>
        <v>Yes</v>
      </c>
      <c r="C114" s="98"/>
      <c r="D114" s="98"/>
      <c r="E114" s="98"/>
      <c r="F114" s="98"/>
      <c r="G114" s="5" t="str">
        <f ca="1">IFERROR(__xludf.DUMMYFUNCTION("""COMPUTED_VALUE"""),"Parameter distribution")</f>
        <v>Parameter distribution</v>
      </c>
      <c r="H114" s="5" t="str">
        <f ca="1">IFERROR(__xludf.DUMMYFUNCTION("""COMPUTED_VALUE"""),"0:1")</f>
        <v>0:1</v>
      </c>
      <c r="I114" s="5"/>
      <c r="J114" s="41"/>
      <c r="K114" s="35" t="s">
        <v>23</v>
      </c>
      <c r="L114" s="100" t="str">
        <f ca="1">E105</f>
        <v>Parameter / Factor / Input / Output / "Data column"</v>
      </c>
      <c r="M114" s="98"/>
      <c r="N114" s="98"/>
      <c r="O114" s="98"/>
      <c r="P114" s="98"/>
      <c r="Q114" s="98"/>
      <c r="R114" s="98"/>
      <c r="S114" s="98"/>
      <c r="T114" s="98"/>
      <c r="U114" s="98"/>
      <c r="V114" s="98"/>
      <c r="W114" s="98"/>
      <c r="X114" s="98"/>
      <c r="Y114" s="98"/>
      <c r="Z114" s="98"/>
      <c r="AA114" s="98"/>
      <c r="AB114" s="4"/>
      <c r="AC114" s="4"/>
      <c r="AD114" s="23"/>
      <c r="AE114" s="23"/>
      <c r="AF114" s="23"/>
      <c r="AG114" s="23"/>
      <c r="AH114" s="23"/>
      <c r="AI114" s="23"/>
      <c r="AJ114" s="23"/>
      <c r="AK114" s="23"/>
      <c r="AL114" s="23"/>
      <c r="AM114" s="23"/>
      <c r="AN114" s="23"/>
      <c r="AO114" s="23"/>
      <c r="AP114" s="23"/>
    </row>
    <row r="115" spans="1:42" ht="12.5" x14ac:dyDescent="0.25">
      <c r="A115" s="4" t="str">
        <f ca="1">IFERROR(__xludf.DUMMYFUNCTION("""COMPUTED_VALUE"""),"Yes")</f>
        <v>Yes</v>
      </c>
      <c r="B115" s="4" t="str">
        <f ca="1">IFERROR(__xludf.DUMMYFUNCTION("""COMPUTED_VALUE"""),"Yes")</f>
        <v>Yes</v>
      </c>
      <c r="C115" s="98"/>
      <c r="D115" s="98"/>
      <c r="E115" s="98"/>
      <c r="F115" s="98"/>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x14ac:dyDescent="0.25">
      <c r="A116" s="4" t="str">
        <f ca="1">IFERROR(__xludf.DUMMYFUNCTION("""COMPUTED_VALUE"""),"Yes")</f>
        <v>Yes</v>
      </c>
      <c r="B116" s="4" t="str">
        <f ca="1">IFERROR(__xludf.DUMMYFUNCTION("""COMPUTED_VALUE"""),"Yes")</f>
        <v>Yes</v>
      </c>
      <c r="C116" s="98"/>
      <c r="D116" s="98"/>
      <c r="E116" s="98"/>
      <c r="F116" s="98"/>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x14ac:dyDescent="0.25">
      <c r="A117" s="4" t="str">
        <f ca="1">IFERROR(__xludf.DUMMYFUNCTION("""COMPUTED_VALUE"""),"Yes")</f>
        <v>Yes</v>
      </c>
      <c r="B117" s="4" t="str">
        <f ca="1">IFERROR(__xludf.DUMMYFUNCTION("""COMPUTED_VALUE"""),"No")</f>
        <v>No</v>
      </c>
      <c r="C117" s="98"/>
      <c r="D117" s="98"/>
      <c r="E117" s="98"/>
      <c r="F117" s="98"/>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x14ac:dyDescent="0.25">
      <c r="A118" s="4" t="str">
        <f ca="1">IFERROR(__xludf.DUMMYFUNCTION("""COMPUTED_VALUE"""),"Yes")</f>
        <v>Yes</v>
      </c>
      <c r="B118" s="4" t="str">
        <f ca="1">IFERROR(__xludf.DUMMYFUNCTION("""COMPUTED_VALUE"""),"No")</f>
        <v>No</v>
      </c>
      <c r="C118" s="98"/>
      <c r="D118" s="98"/>
      <c r="E118" s="98"/>
      <c r="F118" s="98"/>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x14ac:dyDescent="0.25">
      <c r="A119" s="4" t="str">
        <f ca="1">IFERROR(__xludf.DUMMYFUNCTION("""COMPUTED_VALUE"""),"Yes")</f>
        <v>Yes</v>
      </c>
      <c r="B119" s="4" t="str">
        <f ca="1">IFERROR(__xludf.DUMMYFUNCTION("""COMPUTED_VALUE"""),"No")</f>
        <v>No</v>
      </c>
      <c r="C119" s="98"/>
      <c r="D119" s="98"/>
      <c r="E119" s="98"/>
      <c r="F119" s="98"/>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x14ac:dyDescent="0.25">
      <c r="A120" s="4" t="str">
        <f ca="1">IFERROR(__xludf.DUMMYFUNCTION("""COMPUTED_VALUE"""),"Yes")</f>
        <v>Yes</v>
      </c>
      <c r="B120" s="4" t="str">
        <f ca="1">IFERROR(__xludf.DUMMYFUNCTION("""COMPUTED_VALUE"""),"No")</f>
        <v>No</v>
      </c>
      <c r="C120" s="98"/>
      <c r="D120" s="98"/>
      <c r="E120" s="98"/>
      <c r="F120" s="98"/>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x14ac:dyDescent="0.25">
      <c r="A121" s="4" t="str">
        <f ca="1">IFERROR(__xludf.DUMMYFUNCTION("""COMPUTED_VALUE"""),"Yes")</f>
        <v>Yes</v>
      </c>
      <c r="B121" s="4" t="str">
        <f ca="1">IFERROR(__xludf.DUMMYFUNCTION("""COMPUTED_VALUE"""),"No")</f>
        <v>No</v>
      </c>
      <c r="C121" s="98"/>
      <c r="D121" s="98"/>
      <c r="E121" s="98"/>
      <c r="F121" s="98"/>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x14ac:dyDescent="0.25">
      <c r="A122" s="4" t="str">
        <f ca="1">IFERROR(__xludf.DUMMYFUNCTION("""COMPUTED_VALUE"""),"Yes")</f>
        <v>Yes</v>
      </c>
      <c r="B122" s="4" t="str">
        <f ca="1">IFERROR(__xludf.DUMMYFUNCTION("""COMPUTED_VALUE"""),"No")</f>
        <v>No</v>
      </c>
      <c r="C122" s="98"/>
      <c r="D122" s="98"/>
      <c r="E122" s="98"/>
      <c r="F122" s="98"/>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x14ac:dyDescent="0.25">
      <c r="A123" s="4" t="str">
        <f ca="1">IFERROR(__xludf.DUMMYFUNCTION("""COMPUTED_VALUE"""),"Yes")</f>
        <v>Yes</v>
      </c>
      <c r="B123" s="4" t="str">
        <f ca="1">IFERROR(__xludf.DUMMYFUNCTION("""COMPUTED_VALUE"""),"No")</f>
        <v>No</v>
      </c>
      <c r="C123" s="98"/>
      <c r="D123" s="98"/>
      <c r="E123" s="99" t="str">
        <f ca="1">IFERROR(__xludf.DUMMYFUNCTION("""COMPUTED_VALUE"""),"Quality measures")</f>
        <v>Quality measures</v>
      </c>
      <c r="F123" s="99"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x14ac:dyDescent="0.25">
      <c r="A124" s="4" t="str">
        <f ca="1">IFERROR(__xludf.DUMMYFUNCTION("""COMPUTED_VALUE"""),"Yes")</f>
        <v>Yes</v>
      </c>
      <c r="B124" s="4" t="str">
        <f ca="1">IFERROR(__xludf.DUMMYFUNCTION("""COMPUTED_VALUE"""),"No")</f>
        <v>No</v>
      </c>
      <c r="C124" s="98"/>
      <c r="D124" s="98"/>
      <c r="E124" s="98"/>
      <c r="F124" s="98"/>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x14ac:dyDescent="0.25">
      <c r="A125" s="4" t="str">
        <f ca="1">IFERROR(__xludf.DUMMYFUNCTION("""COMPUTED_VALUE"""),"Yes")</f>
        <v>Yes</v>
      </c>
      <c r="B125" s="4" t="str">
        <f ca="1">IFERROR(__xludf.DUMMYFUNCTION("""COMPUTED_VALUE"""),"No")</f>
        <v>No</v>
      </c>
      <c r="C125" s="98"/>
      <c r="D125" s="98"/>
      <c r="E125" s="99" t="str">
        <f ca="1">IFERROR(__xludf.DUMMYFUNCTION("""COMPUTED_VALUE"""),"Model equation")</f>
        <v>Model equation</v>
      </c>
      <c r="F125" s="99"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x14ac:dyDescent="0.25">
      <c r="A126" s="4" t="str">
        <f ca="1">IFERROR(__xludf.DUMMYFUNCTION("""COMPUTED_VALUE"""),"Yes")</f>
        <v>Yes</v>
      </c>
      <c r="B126" s="4" t="str">
        <f ca="1">IFERROR(__xludf.DUMMYFUNCTION("""COMPUTED_VALUE"""),"No")</f>
        <v>No</v>
      </c>
      <c r="C126" s="98"/>
      <c r="D126" s="98"/>
      <c r="E126" s="98"/>
      <c r="F126" s="98"/>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x14ac:dyDescent="0.25">
      <c r="A127" s="4" t="str">
        <f ca="1">IFERROR(__xludf.DUMMYFUNCTION("""COMPUTED_VALUE"""),"Yes")</f>
        <v>Yes</v>
      </c>
      <c r="B127" s="4" t="str">
        <f ca="1">IFERROR(__xludf.DUMMYFUNCTION("""COMPUTED_VALUE"""),"No")</f>
        <v>No</v>
      </c>
      <c r="C127" s="98"/>
      <c r="D127" s="98"/>
      <c r="E127" s="98"/>
      <c r="F127" s="98"/>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x14ac:dyDescent="0.25">
      <c r="A128" s="4" t="str">
        <f ca="1">IFERROR(__xludf.DUMMYFUNCTION("""COMPUTED_VALUE"""),"Yes")</f>
        <v>Yes</v>
      </c>
      <c r="B128" s="4" t="str">
        <f ca="1">IFERROR(__xludf.DUMMYFUNCTION("""COMPUTED_VALUE"""),"No")</f>
        <v>No</v>
      </c>
      <c r="C128" s="98"/>
      <c r="D128" s="98"/>
      <c r="E128" s="98"/>
      <c r="F128" s="98"/>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4" t="str">
        <f ca="1">IFERROR(__xludf.DUMMYFUNCTION("""COMPUTED_VALUE"""),"Yes")</f>
        <v>Yes</v>
      </c>
      <c r="B129" s="4" t="str">
        <f ca="1">IFERROR(__xludf.DUMMYFUNCTION("""COMPUTED_VALUE"""),"No")</f>
        <v>No</v>
      </c>
      <c r="C129" s="98"/>
      <c r="D129" s="98"/>
      <c r="E129" s="98"/>
      <c r="F129" s="98"/>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4" t="str">
        <f ca="1">IFERROR(__xludf.DUMMYFUNCTION("""COMPUTED_VALUE"""),"Yes")</f>
        <v>Yes</v>
      </c>
      <c r="B130" s="4" t="str">
        <f ca="1">IFERROR(__xludf.DUMMYFUNCTION("""COMPUTED_VALUE"""),"No")</f>
        <v>No</v>
      </c>
      <c r="C130" s="98"/>
      <c r="D130" s="98"/>
      <c r="E130" s="98"/>
      <c r="F130" s="98"/>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4" t="str">
        <f ca="1">IFERROR(__xludf.DUMMYFUNCTION("""COMPUTED_VALUE"""),"Yes")</f>
        <v>Yes</v>
      </c>
      <c r="B131" s="4" t="str">
        <f ca="1">IFERROR(__xludf.DUMMYFUNCTION("""COMPUTED_VALUE"""),"No")</f>
        <v>No</v>
      </c>
      <c r="C131" s="98"/>
      <c r="D131" s="98"/>
      <c r="E131" s="98"/>
      <c r="F131" s="98"/>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4" t="str">
        <f ca="1">IFERROR(__xludf.DUMMYFUNCTION("""COMPUTED_VALUE"""),"Yes")</f>
        <v>Yes</v>
      </c>
      <c r="B132" s="4" t="str">
        <f ca="1">IFERROR(__xludf.DUMMYFUNCTION("""COMPUTED_VALUE"""),"No")</f>
        <v>No</v>
      </c>
      <c r="C132" s="98"/>
      <c r="D132" s="98"/>
      <c r="E132" s="98"/>
      <c r="F132" s="98"/>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4" t="str">
        <f ca="1">IFERROR(__xludf.DUMMYFUNCTION("""COMPUTED_VALUE"""),"Yes")</f>
        <v>Yes</v>
      </c>
      <c r="B133" s="4" t="str">
        <f ca="1">IFERROR(__xludf.DUMMYFUNCTION("""COMPUTED_VALUE"""),"No")</f>
        <v>No</v>
      </c>
      <c r="C133" s="98"/>
      <c r="D133" s="98"/>
      <c r="E133" s="5" t="str">
        <f ca="1">IFERROR(__xludf.DUMMYFUNCTION("""COMPUTED_VALUE"""),"Fitting procedure")</f>
        <v>Fitting procedure</v>
      </c>
      <c r="F133" s="99" t="str">
        <f ca="1">IFERROR(__xludf.DUMMYFUNCTION("""COMPUTED_VALUE"""),"0:1")</f>
        <v>0:1</v>
      </c>
      <c r="G133" s="98"/>
      <c r="H133" s="98"/>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x14ac:dyDescent="0.25">
      <c r="A134" s="4" t="str">
        <f ca="1">IFERROR(__xludf.DUMMYFUNCTION("""COMPUTED_VALUE"""),"Yes")</f>
        <v>Yes</v>
      </c>
      <c r="B134" s="4" t="str">
        <f ca="1">IFERROR(__xludf.DUMMYFUNCTION("""COMPUTED_VALUE"""),"No")</f>
        <v>No</v>
      </c>
      <c r="C134" s="98"/>
      <c r="D134" s="98"/>
      <c r="E134" s="99" t="str">
        <f ca="1">IFERROR(__xludf.DUMMYFUNCTION("""COMPUTED_VALUE"""),"Exposure")</f>
        <v>Exposure</v>
      </c>
      <c r="F134" s="99"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x14ac:dyDescent="0.25">
      <c r="A135" s="4" t="str">
        <f ca="1">IFERROR(__xludf.DUMMYFUNCTION("""COMPUTED_VALUE"""),"Yes")</f>
        <v>Yes</v>
      </c>
      <c r="B135" s="4" t="str">
        <f ca="1">IFERROR(__xludf.DUMMYFUNCTION("""COMPUTED_VALUE"""),"No")</f>
        <v>No</v>
      </c>
      <c r="C135" s="98"/>
      <c r="D135" s="98"/>
      <c r="E135" s="98"/>
      <c r="F135" s="98"/>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x14ac:dyDescent="0.25">
      <c r="A136" s="4" t="str">
        <f ca="1">IFERROR(__xludf.DUMMYFUNCTION("""COMPUTED_VALUE"""),"Yes")</f>
        <v>Yes</v>
      </c>
      <c r="B136" s="4" t="str">
        <f ca="1">IFERROR(__xludf.DUMMYFUNCTION("""COMPUTED_VALUE"""),"No")</f>
        <v>No</v>
      </c>
      <c r="C136" s="98"/>
      <c r="D136" s="98"/>
      <c r="E136" s="98"/>
      <c r="F136" s="98"/>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x14ac:dyDescent="0.25">
      <c r="A137" s="4" t="str">
        <f ca="1">IFERROR(__xludf.DUMMYFUNCTION("""COMPUTED_VALUE"""),"Yes")</f>
        <v>Yes</v>
      </c>
      <c r="B137" s="4" t="str">
        <f ca="1">IFERROR(__xludf.DUMMYFUNCTION("""COMPUTED_VALUE"""),"No")</f>
        <v>No</v>
      </c>
      <c r="C137" s="98"/>
      <c r="D137" s="98"/>
      <c r="E137" s="98"/>
      <c r="F137" s="98"/>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4" t="str">
        <f ca="1">IFERROR(__xludf.DUMMYFUNCTION("""COMPUTED_VALUE"""),"Yes")</f>
        <v>Yes</v>
      </c>
      <c r="B138" s="4" t="str">
        <f ca="1">IFERROR(__xludf.DUMMYFUNCTION("""COMPUTED_VALUE"""),"No")</f>
        <v>No</v>
      </c>
      <c r="C138" s="98"/>
      <c r="D138" s="98"/>
      <c r="E138" s="98"/>
      <c r="F138" s="98"/>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4" t="str">
        <f ca="1">IFERROR(__xludf.DUMMYFUNCTION("""COMPUTED_VALUE"""),"Yes")</f>
        <v>Yes</v>
      </c>
      <c r="B139" s="4" t="str">
        <f ca="1">IFERROR(__xludf.DUMMYFUNCTION("""COMPUTED_VALUE"""),"No")</f>
        <v>No</v>
      </c>
      <c r="C139" s="98"/>
      <c r="D139" s="98"/>
      <c r="E139" s="5" t="str">
        <f ca="1">IFERROR(__xludf.DUMMYFUNCTION("""COMPUTED_VALUE"""),"Events")</f>
        <v>Events</v>
      </c>
      <c r="F139" s="99" t="str">
        <f ca="1">IFERROR(__xludf.DUMMYFUNCTION("""COMPUTED_VALUE"""),"0:N")</f>
        <v>0:N</v>
      </c>
      <c r="G139" s="98"/>
      <c r="H139" s="98"/>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x14ac:dyDescent="0.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x14ac:dyDescent="0.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x14ac:dyDescent="0.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x14ac:dyDescent="0.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x14ac:dyDescent="0.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x14ac:dyDescent="0.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x14ac:dyDescent="0.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x14ac:dyDescent="0.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x14ac:dyDescent="0.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x14ac:dyDescent="0.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x14ac:dyDescent="0.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x14ac:dyDescent="0.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x14ac:dyDescent="0.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x14ac:dyDescent="0.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x14ac:dyDescent="0.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x14ac:dyDescent="0.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x14ac:dyDescent="0.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x14ac:dyDescent="0.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x14ac:dyDescent="0.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x14ac:dyDescent="0.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x14ac:dyDescent="0.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x14ac:dyDescent="0.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x14ac:dyDescent="0.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x14ac:dyDescent="0.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x14ac:dyDescent="0.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x14ac:dyDescent="0.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x14ac:dyDescent="0.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x14ac:dyDescent="0.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x14ac:dyDescent="0.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x14ac:dyDescent="0.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x14ac:dyDescent="0.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x14ac:dyDescent="0.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x14ac:dyDescent="0.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x14ac:dyDescent="0.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x14ac:dyDescent="0.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x14ac:dyDescent="0.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x14ac:dyDescent="0.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x14ac:dyDescent="0.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x14ac:dyDescent="0.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x14ac:dyDescent="0.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x14ac:dyDescent="0.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x14ac:dyDescent="0.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x14ac:dyDescent="0.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x14ac:dyDescent="0.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x14ac:dyDescent="0.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x14ac:dyDescent="0.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x14ac:dyDescent="0.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x14ac:dyDescent="0.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x14ac:dyDescent="0.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x14ac:dyDescent="0.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x14ac:dyDescent="0.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x14ac:dyDescent="0.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x14ac:dyDescent="0.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x14ac:dyDescent="0.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x14ac:dyDescent="0.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x14ac:dyDescent="0.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x14ac:dyDescent="0.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x14ac:dyDescent="0.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x14ac:dyDescent="0.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x14ac:dyDescent="0.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x14ac:dyDescent="0.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x14ac:dyDescent="0.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x14ac:dyDescent="0.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x14ac:dyDescent="0.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x14ac:dyDescent="0.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x14ac:dyDescent="0.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x14ac:dyDescent="0.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x14ac:dyDescent="0.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x14ac:dyDescent="0.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x14ac:dyDescent="0.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x14ac:dyDescent="0.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x14ac:dyDescent="0.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x14ac:dyDescent="0.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x14ac:dyDescent="0.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x14ac:dyDescent="0.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x14ac:dyDescent="0.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x14ac:dyDescent="0.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x14ac:dyDescent="0.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x14ac:dyDescent="0.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x14ac:dyDescent="0.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x14ac:dyDescent="0.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x14ac:dyDescent="0.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x14ac:dyDescent="0.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x14ac:dyDescent="0.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x14ac:dyDescent="0.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x14ac:dyDescent="0.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x14ac:dyDescent="0.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x14ac:dyDescent="0.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x14ac:dyDescent="0.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x14ac:dyDescent="0.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x14ac:dyDescent="0.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x14ac:dyDescent="0.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x14ac:dyDescent="0.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x14ac:dyDescent="0.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x14ac:dyDescent="0.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x14ac:dyDescent="0.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x14ac:dyDescent="0.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x14ac:dyDescent="0.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x14ac:dyDescent="0.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x14ac:dyDescent="0.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50:E62"/>
    <mergeCell ref="C105:C139"/>
    <mergeCell ref="E125:E132"/>
    <mergeCell ref="E123:E124"/>
    <mergeCell ref="D67:D104"/>
    <mergeCell ref="C67:C104"/>
    <mergeCell ref="E134:E138"/>
    <mergeCell ref="F12:H12"/>
    <mergeCell ref="F34:H34"/>
    <mergeCell ref="E105:E122"/>
    <mergeCell ref="E96:E104"/>
    <mergeCell ref="D105:D139"/>
    <mergeCell ref="F96:F104"/>
    <mergeCell ref="F50:F62"/>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34:F138"/>
    <mergeCell ref="F139:H139"/>
    <mergeCell ref="F133:H133"/>
    <mergeCell ref="F125:F132"/>
    <mergeCell ref="F105:F122"/>
    <mergeCell ref="F123:F124"/>
    <mergeCell ref="F3:H3"/>
    <mergeCell ref="F93:F95"/>
    <mergeCell ref="E93:E95"/>
    <mergeCell ref="E67:E82"/>
    <mergeCell ref="E65:E66"/>
    <mergeCell ref="E83:E92"/>
    <mergeCell ref="F63:H63"/>
    <mergeCell ref="E6:E7"/>
    <mergeCell ref="F7:F8"/>
    <mergeCell ref="F11:H11"/>
    <mergeCell ref="F10:H10"/>
    <mergeCell ref="F35:H35"/>
    <mergeCell ref="F25:H25"/>
    <mergeCell ref="F33:H33"/>
    <mergeCell ref="F13:F24"/>
    <mergeCell ref="F27:H27"/>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x14ac:dyDescent="0.25"/>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x14ac:dyDescent="0.3">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9" t="str">
        <f ca="1">E6</f>
        <v>Creator</v>
      </c>
      <c r="M1" s="98"/>
      <c r="N1" s="98"/>
      <c r="O1" s="98"/>
      <c r="P1" s="98"/>
      <c r="Q1" s="98"/>
      <c r="R1" s="98"/>
      <c r="S1" s="98"/>
      <c r="T1" s="98"/>
      <c r="U1" s="98"/>
      <c r="V1" s="98"/>
      <c r="W1" s="98"/>
      <c r="X1" s="98"/>
      <c r="Y1" s="98"/>
      <c r="Z1" s="98"/>
      <c r="AA1" s="4"/>
      <c r="AB1" s="99" t="str">
        <f ca="1">E5</f>
        <v>Author</v>
      </c>
      <c r="AC1" s="98"/>
      <c r="AD1" s="98"/>
      <c r="AE1" s="98"/>
      <c r="AF1" s="98"/>
      <c r="AG1" s="98"/>
      <c r="AH1" s="98"/>
      <c r="AI1" s="98"/>
      <c r="AJ1" s="98"/>
      <c r="AK1" s="98"/>
      <c r="AL1" s="98"/>
      <c r="AM1" s="98"/>
      <c r="AN1" s="98"/>
      <c r="AO1" s="98"/>
      <c r="AP1" s="98"/>
      <c r="AQ1" s="4"/>
      <c r="AR1" s="4"/>
      <c r="AS1" s="4"/>
      <c r="AT1" s="4"/>
      <c r="AU1" s="4"/>
      <c r="AV1" s="4"/>
      <c r="AW1" s="4"/>
    </row>
    <row r="2" spans="1:49"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8"/>
      <c r="D6" s="98"/>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8"/>
      <c r="D7" s="98"/>
      <c r="E7" t="str">
        <f ca="1">IFERROR(__xludf.DUMMYFUNCTION("""COMPUTED_VALUE"""),"Date")</f>
        <v>Date</v>
      </c>
      <c r="F7" s="99"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8"/>
      <c r="D8" s="98"/>
      <c r="E8" s="5"/>
      <c r="F8" s="98"/>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5"/>
      <c r="J12" s="10"/>
      <c r="K12" s="4"/>
      <c r="L12" s="101" t="str">
        <f ca="1">E13</f>
        <v>References</v>
      </c>
      <c r="M12" s="98"/>
      <c r="N12" s="98"/>
      <c r="O12" s="98"/>
      <c r="P12" s="98"/>
      <c r="Q12" s="98"/>
      <c r="R12" s="98"/>
      <c r="S12" s="98"/>
      <c r="T12" s="98"/>
      <c r="U12" s="98"/>
      <c r="V12" s="98"/>
      <c r="W12" s="98"/>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8"/>
      <c r="D16" s="98"/>
      <c r="E16" s="98"/>
      <c r="F16" s="98"/>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8"/>
      <c r="D24" s="98"/>
      <c r="E24" s="98"/>
      <c r="F24" s="98"/>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8"/>
      <c r="D32" s="98"/>
      <c r="E32" s="98"/>
      <c r="F32" s="98"/>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7" t="str">
        <f ca="1">IFERROR(__xludf.DUMMYFUNCTION("""COMPUTED_VALUE"""),"Scope")</f>
        <v>Scope</v>
      </c>
      <c r="D36" s="97" t="str">
        <f ca="1">IFERROR(__xludf.DUMMYFUNCTION("""COMPUTED_VALUE"""),"1")</f>
        <v>1</v>
      </c>
      <c r="E36" s="99" t="str">
        <f ca="1">IFERROR(__xludf.DUMMYFUNCTION("""COMPUTED_VALUE"""),"Product / matrix")</f>
        <v>Product / matrix</v>
      </c>
      <c r="F36" s="99" t="str">
        <f ca="1">IFERROR(__xludf.DUMMYFUNCTION("""COMPUTED_VALUE"""),"1:N")</f>
        <v>1:N</v>
      </c>
      <c r="G36" s="5" t="str">
        <f ca="1">IFERROR(__xludf.DUMMYFUNCTION("""COMPUTED_VALUE"""),"Product/matrix name")</f>
        <v>Product/matrix name</v>
      </c>
      <c r="H36" s="5" t="str">
        <f ca="1">IFERROR(__xludf.DUMMYFUNCTION("""COMPUTED_VALUE"""),"1")</f>
        <v>1</v>
      </c>
      <c r="I36" s="5"/>
      <c r="J36" s="13"/>
      <c r="K36" s="4"/>
      <c r="L36" s="101" t="str">
        <f ca="1">E36</f>
        <v>Product / matrix</v>
      </c>
      <c r="M36" s="98"/>
      <c r="N36" s="98"/>
      <c r="O36" s="98"/>
      <c r="P36" s="98"/>
      <c r="Q36" s="98"/>
      <c r="R36" s="98"/>
      <c r="S36" s="98"/>
      <c r="T36" s="98"/>
      <c r="U36" s="98"/>
      <c r="V36" s="98"/>
      <c r="W36" s="101" t="str">
        <f ca="1">E47</f>
        <v>Hazard</v>
      </c>
      <c r="X36" s="98"/>
      <c r="Y36" s="98"/>
      <c r="Z36" s="98"/>
      <c r="AA36" s="98"/>
      <c r="AB36" s="98"/>
      <c r="AC36" s="98"/>
      <c r="AD36" s="98"/>
      <c r="AE36" s="98"/>
      <c r="AF36" s="98"/>
      <c r="AG36" s="98"/>
      <c r="AH36" s="98"/>
      <c r="AI36" s="98"/>
      <c r="AJ36" s="98"/>
      <c r="AK36" s="101" t="str">
        <f ca="1">E61</f>
        <v>Population Group</v>
      </c>
      <c r="AL36" s="98"/>
      <c r="AM36" s="98"/>
      <c r="AN36" s="98"/>
      <c r="AO36" s="98"/>
      <c r="AP36" s="98"/>
      <c r="AQ36" s="98"/>
      <c r="AR36" s="98"/>
      <c r="AS36" s="98"/>
      <c r="AT36" s="98"/>
      <c r="AU36" s="98"/>
      <c r="AV36" s="98"/>
      <c r="AW36" s="98"/>
    </row>
    <row r="37" spans="1:49" ht="12.5" x14ac:dyDescent="0.25">
      <c r="A37" s="4" t="str">
        <f ca="1">IFERROR(__xludf.DUMMYFUNCTION("""COMPUTED_VALUE"""),"Yes")</f>
        <v>Yes</v>
      </c>
      <c r="B37" s="4" t="str">
        <f ca="1">IFERROR(__xludf.DUMMYFUNCTION("""COMPUTED_VALUE"""),"Yes")</f>
        <v>Yes</v>
      </c>
      <c r="C37" s="98"/>
      <c r="D37" s="98"/>
      <c r="E37" s="98"/>
      <c r="F37" s="98"/>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8"/>
      <c r="D38" s="98"/>
      <c r="E38" s="98"/>
      <c r="F38" s="98"/>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8"/>
      <c r="D39" s="98"/>
      <c r="E39" s="98"/>
      <c r="F39" s="98"/>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8"/>
      <c r="D40" s="98"/>
      <c r="E40" s="98"/>
      <c r="F40" s="98"/>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8"/>
      <c r="D41" s="98"/>
      <c r="E41" s="98"/>
      <c r="F41" s="98"/>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8"/>
      <c r="D42" s="98"/>
      <c r="E42" s="98"/>
      <c r="F42" s="98"/>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8"/>
      <c r="D43" s="98"/>
      <c r="E43" s="98"/>
      <c r="F43" s="98"/>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8"/>
      <c r="D44" s="98"/>
      <c r="E44" s="98"/>
      <c r="F44" s="98"/>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8"/>
      <c r="D45" s="98"/>
      <c r="E45" s="98"/>
      <c r="F45" s="98"/>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8"/>
      <c r="D46" s="98"/>
      <c r="E46" s="98"/>
      <c r="F46" s="98"/>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8"/>
      <c r="D47" s="98"/>
      <c r="E47" s="99" t="str">
        <f ca="1">IFERROR(__xludf.DUMMYFUNCTION("""COMPUTED_VALUE"""),"Hazard")</f>
        <v>Hazard</v>
      </c>
      <c r="F47" s="99"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8"/>
      <c r="D48" s="98"/>
      <c r="E48" s="98"/>
      <c r="F48" s="98"/>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8"/>
      <c r="D49" s="98"/>
      <c r="E49" s="98"/>
      <c r="F49" s="98"/>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8"/>
      <c r="D50" s="98"/>
      <c r="E50" s="98"/>
      <c r="F50" s="98"/>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8"/>
      <c r="D51" s="98"/>
      <c r="E51" s="98"/>
      <c r="F51" s="98"/>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x14ac:dyDescent="0.25">
      <c r="A52" s="4" t="str">
        <f ca="1">IFERROR(__xludf.DUMMYFUNCTION("""COMPUTED_VALUE"""),"Yes")</f>
        <v>Yes</v>
      </c>
      <c r="B52" s="4" t="str">
        <f ca="1">IFERROR(__xludf.DUMMYFUNCTION("""COMPUTED_VALUE"""),"No")</f>
        <v>No</v>
      </c>
      <c r="C52" s="98"/>
      <c r="D52" s="98"/>
      <c r="E52" s="98"/>
      <c r="F52" s="98"/>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x14ac:dyDescent="0.25">
      <c r="A53" s="4" t="str">
        <f ca="1">IFERROR(__xludf.DUMMYFUNCTION("""COMPUTED_VALUE"""),"Yes")</f>
        <v>Yes</v>
      </c>
      <c r="B53" s="4" t="str">
        <f ca="1">IFERROR(__xludf.DUMMYFUNCTION("""COMPUTED_VALUE"""),"No")</f>
        <v>No</v>
      </c>
      <c r="C53" s="98"/>
      <c r="D53" s="98"/>
      <c r="E53" s="98"/>
      <c r="F53" s="98"/>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8"/>
      <c r="D54" s="98"/>
      <c r="E54" s="98"/>
      <c r="F54" s="98"/>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8"/>
      <c r="D55" s="98"/>
      <c r="E55" s="98"/>
      <c r="F55" s="98"/>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8"/>
      <c r="D56" s="98"/>
      <c r="E56" s="98"/>
      <c r="F56" s="98"/>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8"/>
      <c r="D57" s="98"/>
      <c r="E57" s="98"/>
      <c r="F57" s="98"/>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8"/>
      <c r="D58" s="98"/>
      <c r="E58" s="98"/>
      <c r="F58" s="98"/>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8"/>
      <c r="D59" s="98"/>
      <c r="E59" s="98"/>
      <c r="F59" s="98"/>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8"/>
      <c r="D60" s="98"/>
      <c r="E60" s="98"/>
      <c r="F60" s="98"/>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IFERROR(__xludf.DUMMYFUNCTION("""COMPUTED_VALUE"""),"Yes")</f>
        <v>Yes</v>
      </c>
      <c r="C61" s="98"/>
      <c r="D61" s="98"/>
      <c r="E61" s="99" t="str">
        <f ca="1">IFERROR(__xludf.DUMMYFUNCTION("""COMPUTED_VALUE"""),"Population Group")</f>
        <v>Population Group</v>
      </c>
      <c r="F61" s="99"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8"/>
      <c r="AT61" s="98"/>
      <c r="AU61" s="98"/>
      <c r="AV61" s="98"/>
      <c r="AW61" s="98"/>
    </row>
    <row r="62" spans="1:49" ht="12.5" x14ac:dyDescent="0.25">
      <c r="A62" s="4" t="str">
        <f ca="1">IFERROR(__xludf.DUMMYFUNCTION("""COMPUTED_VALUE"""),"Yes")</f>
        <v>Yes</v>
      </c>
      <c r="B62" s="4" t="str">
        <f ca="1">IFERROR(__xludf.DUMMYFUNCTION("""COMPUTED_VALUE"""),"No")</f>
        <v>No</v>
      </c>
      <c r="C62" s="98"/>
      <c r="D62" s="98"/>
      <c r="E62" s="98"/>
      <c r="F62" s="98"/>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8"/>
      <c r="D63" s="98"/>
      <c r="E63" s="98"/>
      <c r="F63" s="98"/>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8"/>
      <c r="D64" s="98"/>
      <c r="E64" s="98"/>
      <c r="F64" s="98"/>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8"/>
      <c r="D65" s="98"/>
      <c r="E65" s="98"/>
      <c r="F65" s="98"/>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8"/>
      <c r="D66" s="98"/>
      <c r="E66" s="98"/>
      <c r="F66" s="98"/>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8"/>
      <c r="D67" s="98"/>
      <c r="E67" s="98"/>
      <c r="F67" s="98"/>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8"/>
      <c r="D68" s="98"/>
      <c r="E68" s="98"/>
      <c r="F68" s="98"/>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8"/>
      <c r="D69" s="98"/>
      <c r="E69" s="98"/>
      <c r="F69" s="98"/>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8"/>
      <c r="D70" s="98"/>
      <c r="E70" s="98"/>
      <c r="F70" s="98"/>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8"/>
      <c r="D71" s="98"/>
      <c r="E71" s="98"/>
      <c r="F71" s="98"/>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8"/>
      <c r="D72" s="98"/>
      <c r="E72" s="98"/>
      <c r="F72" s="98"/>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8"/>
      <c r="D73" s="98"/>
      <c r="E73" s="98"/>
      <c r="F73" s="98"/>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8"/>
      <c r="D74" s="98"/>
      <c r="E74" s="5" t="str">
        <f ca="1">IFERROR(__xludf.DUMMYFUNCTION("""COMPUTED_VALUE"""),"General comment")</f>
        <v>General comment</v>
      </c>
      <c r="F74" s="99" t="str">
        <f ca="1">IFERROR(__xludf.DUMMYFUNCTION("""COMPUTED_VALUE"""),"0:1")</f>
        <v>0:1</v>
      </c>
      <c r="G74" s="98"/>
      <c r="H74" s="98"/>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8"/>
      <c r="D75" s="98"/>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8"/>
      <c r="D76" s="98"/>
      <c r="E76" s="99" t="str">
        <f ca="1">IFERROR(__xludf.DUMMYFUNCTION("""COMPUTED_VALUE"""),"Spatial information")</f>
        <v>Spatial information</v>
      </c>
      <c r="F76" s="99"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8"/>
      <c r="D77" s="98"/>
      <c r="E77" s="98"/>
      <c r="F77" s="98"/>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7" t="str">
        <f ca="1">IFERROR(__xludf.DUMMYFUNCTION("""COMPUTED_VALUE"""),"Data_background")</f>
        <v>Data_background</v>
      </c>
      <c r="D78" s="97" t="str">
        <f ca="1">IFERROR(__xludf.DUMMYFUNCTION("""COMPUTED_VALUE"""),"0:1")</f>
        <v>0:1</v>
      </c>
      <c r="E78" s="99" t="str">
        <f ca="1">IFERROR(__xludf.DUMMYFUNCTION("""COMPUTED_VALUE"""),"Study")</f>
        <v>Study</v>
      </c>
      <c r="F78" s="99"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8"/>
      <c r="D79" s="98"/>
      <c r="E79" s="98"/>
      <c r="F79" s="98"/>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8"/>
      <c r="D80" s="98"/>
      <c r="E80" s="98"/>
      <c r="F80" s="98"/>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8"/>
      <c r="D81" s="98"/>
      <c r="E81" s="98"/>
      <c r="F81" s="98"/>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8"/>
      <c r="D82" s="98"/>
      <c r="E82" s="98"/>
      <c r="F82" s="98"/>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8"/>
      <c r="D83" s="98"/>
      <c r="E83" s="98"/>
      <c r="F83" s="98"/>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8"/>
      <c r="D84" s="98"/>
      <c r="E84" s="98"/>
      <c r="F84" s="98"/>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8"/>
      <c r="D85" s="98"/>
      <c r="E85" s="98"/>
      <c r="F85" s="98"/>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8"/>
      <c r="D86" s="98"/>
      <c r="E86" s="98"/>
      <c r="F86" s="98"/>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8"/>
      <c r="D87" s="98"/>
      <c r="E87" s="98"/>
      <c r="F87" s="98"/>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8"/>
      <c r="D88" s="98"/>
      <c r="E88" s="98"/>
      <c r="F88" s="98"/>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8"/>
      <c r="D89" s="98"/>
      <c r="E89" s="98"/>
      <c r="F89" s="98"/>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8"/>
      <c r="D90" s="98"/>
      <c r="E90" s="98"/>
      <c r="F90" s="98"/>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8"/>
      <c r="D91" s="98"/>
      <c r="E91" s="98"/>
      <c r="F91" s="98"/>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8"/>
      <c r="D92" s="98"/>
      <c r="E92" s="98"/>
      <c r="F92" s="98"/>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8"/>
      <c r="D93" s="98"/>
      <c r="E93" s="98"/>
      <c r="F93" s="98"/>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8"/>
      <c r="D94" s="98"/>
      <c r="E94" s="99" t="str">
        <f ca="1">IFERROR(__xludf.DUMMYFUNCTION("""COMPUTED_VALUE"""),"Study Sample")</f>
        <v>Study Sample</v>
      </c>
      <c r="F94" s="99" t="str">
        <f ca="1">IFERROR(__xludf.DUMMYFUNCTION("""COMPUTED_VALUE"""),"0:N")</f>
        <v>0:N</v>
      </c>
      <c r="G94" s="5" t="str">
        <f ca="1">IFERROR(__xludf.DUMMYFUNCTION("""COMPUTED_VALUE"""),"Sample Name (ID)")</f>
        <v>Sample Name (ID)</v>
      </c>
      <c r="H94" s="5" t="str">
        <f ca="1">IFERROR(__xludf.DUMMYFUNCTION("""COMPUTED_VALUE"""),"1")</f>
        <v>1</v>
      </c>
      <c r="I94" s="5"/>
      <c r="J94" s="13"/>
      <c r="K94" s="4"/>
      <c r="L94" s="101" t="str">
        <f ca="1">E94</f>
        <v>Study Sample</v>
      </c>
      <c r="M94" s="98"/>
      <c r="N94" s="98"/>
      <c r="O94" s="98"/>
      <c r="P94" s="98"/>
      <c r="Q94" s="98"/>
      <c r="R94" s="98"/>
      <c r="S94" s="98"/>
      <c r="T94" s="98"/>
      <c r="U94" s="98"/>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8"/>
      <c r="D95" s="98"/>
      <c r="E95" s="98"/>
      <c r="F95" s="98"/>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8"/>
      <c r="D96" s="98"/>
      <c r="E96" s="98"/>
      <c r="F96" s="98"/>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8"/>
      <c r="D97" s="98"/>
      <c r="E97" s="98"/>
      <c r="F97" s="98"/>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8"/>
      <c r="D98" s="98"/>
      <c r="E98" s="98"/>
      <c r="F98" s="98"/>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8"/>
      <c r="D99" s="98"/>
      <c r="E99" s="98"/>
      <c r="F99" s="98"/>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8"/>
      <c r="D100" s="98"/>
      <c r="E100" s="98"/>
      <c r="F100" s="98"/>
      <c r="G100" s="5" t="str">
        <f ca="1">IFERROR(__xludf.DUMMYFUNCTION("""COMPUTED_VALUE"""),"Sampling weight")</f>
        <v>Sampling weight</v>
      </c>
      <c r="H100" s="5" t="str">
        <f ca="1">IFERROR(__xludf.DUMMYFUNCTION("""COMPUTED_VALUE"""),"1")</f>
        <v>1</v>
      </c>
      <c r="I100" s="5"/>
      <c r="J100" s="13"/>
      <c r="K100" s="4"/>
      <c r="L100" s="101" t="str">
        <f ca="1">E104</f>
        <v>Dietary assessment method</v>
      </c>
      <c r="M100" s="98"/>
      <c r="N100" s="98"/>
      <c r="O100" s="98"/>
      <c r="P100" s="98"/>
      <c r="Q100" s="98"/>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8"/>
      <c r="D101" s="98"/>
      <c r="E101" s="98"/>
      <c r="F101" s="98"/>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8"/>
      <c r="D102" s="98"/>
      <c r="E102" s="98"/>
      <c r="F102" s="98"/>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8"/>
      <c r="D103" s="98"/>
      <c r="E103" s="98"/>
      <c r="F103" s="98"/>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8"/>
      <c r="D104" s="98"/>
      <c r="E104" s="99" t="str">
        <f ca="1">IFERROR(__xludf.DUMMYFUNCTION("""COMPUTED_VALUE"""),"Dietary assessment method")</f>
        <v>Dietary assessment method</v>
      </c>
      <c r="F104" s="99"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8"/>
      <c r="D105" s="98"/>
      <c r="E105" s="98"/>
      <c r="F105" s="98"/>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8"/>
      <c r="D106" s="98"/>
      <c r="E106" s="98"/>
      <c r="F106" s="98"/>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8"/>
      <c r="D107" s="98"/>
      <c r="E107" s="98"/>
      <c r="F107" s="98"/>
      <c r="G107" s="5" t="str">
        <f ca="1">IFERROR(__xludf.DUMMYFUNCTION("""COMPUTED_VALUE"""),"Number of food items")</f>
        <v>Number of food items</v>
      </c>
      <c r="H107" s="5" t="str">
        <f ca="1">IFERROR(__xludf.DUMMYFUNCTION("""COMPUTED_VALUE"""),"1:N")</f>
        <v>1:N</v>
      </c>
      <c r="I107" s="5"/>
      <c r="J107" s="13"/>
      <c r="K107" s="4"/>
      <c r="L107" s="101" t="str">
        <f ca="1">E110</f>
        <v>Laboratory</v>
      </c>
      <c r="M107" s="98"/>
      <c r="N107" s="98"/>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8"/>
      <c r="D108" s="98"/>
      <c r="E108" s="98"/>
      <c r="F108" s="98"/>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8"/>
      <c r="D109" s="98"/>
      <c r="E109" s="98"/>
      <c r="F109" s="98"/>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8"/>
      <c r="D110" s="98"/>
      <c r="E110" s="99" t="str">
        <f ca="1">IFERROR(__xludf.DUMMYFUNCTION("""COMPUTED_VALUE"""),"Laboratory")</f>
        <v>Laboratory</v>
      </c>
      <c r="F110" s="99"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8"/>
      <c r="D111" s="98"/>
      <c r="E111" s="98"/>
      <c r="F111" s="98"/>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8"/>
      <c r="D112" s="98"/>
      <c r="E112" s="98"/>
      <c r="F112" s="98"/>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8"/>
      <c r="D113" s="98"/>
      <c r="E113" s="99" t="str">
        <f ca="1">IFERROR(__xludf.DUMMYFUNCTION("""COMPUTED_VALUE"""),"Assay")</f>
        <v>Assay</v>
      </c>
      <c r="F113" s="99" t="str">
        <f ca="1">IFERROR(__xludf.DUMMYFUNCTION("""COMPUTED_VALUE"""),"0:N")</f>
        <v>0:N</v>
      </c>
      <c r="G113" s="5" t="str">
        <f ca="1">IFERROR(__xludf.DUMMYFUNCTION("""COMPUTED_VALUE"""),"Assay Name")</f>
        <v>Assay Name</v>
      </c>
      <c r="H113" s="5" t="str">
        <f ca="1">IFERROR(__xludf.DUMMYFUNCTION("""COMPUTED_VALUE"""),"1")</f>
        <v>1</v>
      </c>
      <c r="I113" s="5"/>
      <c r="J113" s="13"/>
      <c r="K113" s="4"/>
      <c r="L113" s="101" t="str">
        <f ca="1">E113</f>
        <v>Assay</v>
      </c>
      <c r="M113" s="98"/>
      <c r="N113" s="98"/>
      <c r="O113" s="98"/>
      <c r="P113" s="98"/>
      <c r="Q113" s="98"/>
      <c r="R113" s="98"/>
      <c r="S113" s="98"/>
      <c r="T113" s="98"/>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8"/>
      <c r="D114" s="98"/>
      <c r="E114" s="98"/>
      <c r="F114" s="98"/>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8"/>
      <c r="D115" s="98"/>
      <c r="E115" s="98"/>
      <c r="F115" s="98"/>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IFERROR(__xludf.DUMMYFUNCTION("""COMPUTED_VALUE"""),"No")</f>
        <v>No</v>
      </c>
      <c r="C116" s="98"/>
      <c r="D116" s="98"/>
      <c r="E116" s="98"/>
      <c r="F116" s="98"/>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IFERROR(__xludf.DUMMYFUNCTION("""COMPUTED_VALUE"""),"No")</f>
        <v>No</v>
      </c>
      <c r="C117" s="98"/>
      <c r="D117" s="98"/>
      <c r="E117" s="98"/>
      <c r="F117" s="98"/>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IFERROR(__xludf.DUMMYFUNCTION("""COMPUTED_VALUE"""),"No")</f>
        <v>No</v>
      </c>
      <c r="C118" s="98"/>
      <c r="D118" s="98"/>
      <c r="E118" s="98"/>
      <c r="F118" s="98"/>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8"/>
      <c r="D119" s="98"/>
      <c r="E119" s="98"/>
      <c r="F119" s="98"/>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IFERROR(__xludf.DUMMYFUNCTION("""COMPUTED_VALUE"""),"No")</f>
        <v>No</v>
      </c>
      <c r="C120" s="98"/>
      <c r="D120" s="98"/>
      <c r="E120" s="98"/>
      <c r="F120" s="98"/>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8"/>
      <c r="D121" s="98"/>
      <c r="E121" s="98"/>
      <c r="F121" s="98"/>
      <c r="G121" s="5" t="str">
        <f ca="1">IFERROR(__xludf.DUMMYFUNCTION("""COMPUTED_VALUE"""),"Uncertainty value")</f>
        <v>Uncertainty value</v>
      </c>
      <c r="H121" s="5" t="str">
        <f ca="1">IFERROR(__xludf.DUMMYFUNCTION("""COMPUTED_VALUE"""),"0:1")</f>
        <v>0:1</v>
      </c>
      <c r="I121" s="5"/>
      <c r="J121" s="13"/>
      <c r="K121" s="4"/>
      <c r="L121" s="23"/>
      <c r="M121" s="100" t="str">
        <f ca="1">E140</f>
        <v>Quality measures</v>
      </c>
      <c r="N121" s="98"/>
      <c r="O121" s="23"/>
      <c r="P121" s="100" t="str">
        <f ca="1">E142</f>
        <v>Model equation</v>
      </c>
      <c r="Q121" s="98"/>
      <c r="R121" s="98"/>
      <c r="S121" s="98"/>
      <c r="T121" s="98"/>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7" t="str">
        <f ca="1">IFERROR(__xludf.DUMMYFUNCTION("""COMPUTED_VALUE"""),"Model math / Data definition")</f>
        <v>Model math / Data definition</v>
      </c>
      <c r="D122" s="97" t="str">
        <f ca="1">IFERROR(__xludf.DUMMYFUNCTION("""COMPUTED_VALUE"""),"1")</f>
        <v>1</v>
      </c>
      <c r="E122" s="99" t="str">
        <f ca="1">IFERROR(__xludf.DUMMYFUNCTION("""COMPUTED_VALUE"""),"Parameter / Factor / Input / Output / ""Data column""")</f>
        <v>Parameter / Factor / Input / Output / "Data column"</v>
      </c>
      <c r="F122" s="99"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IFERROR(__xludf.DUMMYFUNCTION("""COMPUTED_VALUE"""),"Yes")</f>
        <v>Yes</v>
      </c>
      <c r="C123" s="98"/>
      <c r="D123" s="98"/>
      <c r="E123" s="98"/>
      <c r="F123" s="98"/>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8"/>
      <c r="D124" s="98"/>
      <c r="E124" s="98"/>
      <c r="F124" s="98"/>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IFERROR(__xludf.DUMMYFUNCTION("""COMPUTED_VALUE"""),"No")</f>
        <v>No</v>
      </c>
      <c r="C125" s="98"/>
      <c r="D125" s="98"/>
      <c r="E125" s="98"/>
      <c r="F125" s="98"/>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x14ac:dyDescent="0.25">
      <c r="A126" s="4" t="str">
        <f ca="1">IFERROR(__xludf.DUMMYFUNCTION("""COMPUTED_VALUE"""),"Yes")</f>
        <v>Yes</v>
      </c>
      <c r="B126" s="4" t="str">
        <f ca="1">IFERROR(__xludf.DUMMYFUNCTION("""COMPUTED_VALUE"""),"Yes")</f>
        <v>Yes</v>
      </c>
      <c r="C126" s="98"/>
      <c r="D126" s="98"/>
      <c r="E126" s="98"/>
      <c r="F126" s="98"/>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x14ac:dyDescent="0.25">
      <c r="A127" s="4" t="str">
        <f ca="1">IFERROR(__xludf.DUMMYFUNCTION("""COMPUTED_VALUE"""),"Yes")</f>
        <v>Yes</v>
      </c>
      <c r="B127" s="4" t="str">
        <f ca="1">IFERROR(__xludf.DUMMYFUNCTION("""COMPUTED_VALUE"""),"No")</f>
        <v>No</v>
      </c>
      <c r="C127" s="98"/>
      <c r="D127" s="98"/>
      <c r="E127" s="98"/>
      <c r="F127" s="98"/>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x14ac:dyDescent="0.25">
      <c r="A128" s="4" t="str">
        <f ca="1">IFERROR(__xludf.DUMMYFUNCTION("""COMPUTED_VALUE"""),"Yes")</f>
        <v>Yes</v>
      </c>
      <c r="B128" s="4" t="str">
        <f ca="1">IFERROR(__xludf.DUMMYFUNCTION("""COMPUTED_VALUE"""),"Yes")</f>
        <v>Yes</v>
      </c>
      <c r="C128" s="98"/>
      <c r="D128" s="98"/>
      <c r="E128" s="98"/>
      <c r="F128" s="98"/>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x14ac:dyDescent="0.25">
      <c r="A129" s="4" t="str">
        <f ca="1">IFERROR(__xludf.DUMMYFUNCTION("""COMPUTED_VALUE"""),"Yes")</f>
        <v>Yes</v>
      </c>
      <c r="B129" s="4" t="str">
        <f ca="1">IFERROR(__xludf.DUMMYFUNCTION("""COMPUTED_VALUE"""),"No")</f>
        <v>No</v>
      </c>
      <c r="C129" s="98"/>
      <c r="D129" s="98"/>
      <c r="E129" s="98"/>
      <c r="F129" s="98"/>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x14ac:dyDescent="0.25">
      <c r="A130" s="4" t="str">
        <f ca="1">IFERROR(__xludf.DUMMYFUNCTION("""COMPUTED_VALUE"""),"Yes")</f>
        <v>Yes</v>
      </c>
      <c r="B130" s="4" t="str">
        <f ca="1">IFERROR(__xludf.DUMMYFUNCTION("""COMPUTED_VALUE"""),"Yes")</f>
        <v>Yes</v>
      </c>
      <c r="C130" s="98"/>
      <c r="D130" s="98"/>
      <c r="E130" s="98"/>
      <c r="F130" s="98"/>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x14ac:dyDescent="0.25">
      <c r="A131" s="4" t="str">
        <f ca="1">IFERROR(__xludf.DUMMYFUNCTION("""COMPUTED_VALUE"""),"Yes")</f>
        <v>Yes</v>
      </c>
      <c r="B131" s="4" t="str">
        <f ca="1">IFERROR(__xludf.DUMMYFUNCTION("""COMPUTED_VALUE"""),"Yes")</f>
        <v>Yes</v>
      </c>
      <c r="C131" s="98"/>
      <c r="D131" s="98"/>
      <c r="E131" s="98"/>
      <c r="F131" s="98"/>
      <c r="G131" s="5" t="str">
        <f ca="1">IFERROR(__xludf.DUMMYFUNCTION("""COMPUTED_VALUE"""),"Parameter distribution")</f>
        <v>Parameter distribution</v>
      </c>
      <c r="H131" s="5" t="str">
        <f ca="1">IFERROR(__xludf.DUMMYFUNCTION("""COMPUTED_VALUE"""),"0:1")</f>
        <v>0:1</v>
      </c>
      <c r="I131" s="5"/>
      <c r="J131" s="13"/>
      <c r="K131" s="35" t="s">
        <v>23</v>
      </c>
      <c r="L131" s="100" t="str">
        <f ca="1">E122</f>
        <v>Parameter / Factor / Input / Output / "Data column"</v>
      </c>
      <c r="M131" s="98"/>
      <c r="N131" s="98"/>
      <c r="O131" s="98"/>
      <c r="P131" s="98"/>
      <c r="Q131" s="98"/>
      <c r="R131" s="98"/>
      <c r="S131" s="98"/>
      <c r="T131" s="98"/>
      <c r="U131" s="98"/>
      <c r="V131" s="98"/>
      <c r="W131" s="98"/>
      <c r="X131" s="98"/>
      <c r="Y131" s="98"/>
      <c r="Z131" s="98"/>
      <c r="AA131" s="98"/>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x14ac:dyDescent="0.25">
      <c r="A132" s="4" t="str">
        <f ca="1">IFERROR(__xludf.DUMMYFUNCTION("""COMPUTED_VALUE"""),"Yes")</f>
        <v>Yes</v>
      </c>
      <c r="B132" s="4" t="str">
        <f ca="1">IFERROR(__xludf.DUMMYFUNCTION("""COMPUTED_VALUE"""),"Yes")</f>
        <v>Yes</v>
      </c>
      <c r="C132" s="98"/>
      <c r="D132" s="98"/>
      <c r="E132" s="98"/>
      <c r="F132" s="98"/>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x14ac:dyDescent="0.25">
      <c r="A133" s="4" t="str">
        <f ca="1">IFERROR(__xludf.DUMMYFUNCTION("""COMPUTED_VALUE"""),"Yes")</f>
        <v>Yes</v>
      </c>
      <c r="B133" s="4" t="str">
        <f ca="1">IFERROR(__xludf.DUMMYFUNCTION("""COMPUTED_VALUE"""),"Yes")</f>
        <v>Yes</v>
      </c>
      <c r="C133" s="98"/>
      <c r="D133" s="98"/>
      <c r="E133" s="98"/>
      <c r="F133" s="98"/>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x14ac:dyDescent="0.25">
      <c r="A134" s="4" t="str">
        <f ca="1">IFERROR(__xludf.DUMMYFUNCTION("""COMPUTED_VALUE"""),"Yes")</f>
        <v>Yes</v>
      </c>
      <c r="B134" s="4" t="str">
        <f ca="1">IFERROR(__xludf.DUMMYFUNCTION("""COMPUTED_VALUE"""),"No")</f>
        <v>No</v>
      </c>
      <c r="C134" s="98"/>
      <c r="D134" s="98"/>
      <c r="E134" s="98"/>
      <c r="F134" s="98"/>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x14ac:dyDescent="0.25">
      <c r="A135" s="4" t="str">
        <f ca="1">IFERROR(__xludf.DUMMYFUNCTION("""COMPUTED_VALUE"""),"Yes")</f>
        <v>Yes</v>
      </c>
      <c r="B135" s="4" t="str">
        <f ca="1">IFERROR(__xludf.DUMMYFUNCTION("""COMPUTED_VALUE"""),"No")</f>
        <v>No</v>
      </c>
      <c r="C135" s="98"/>
      <c r="D135" s="98"/>
      <c r="E135" s="98"/>
      <c r="F135" s="98"/>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x14ac:dyDescent="0.25">
      <c r="A136" s="4" t="str">
        <f ca="1">IFERROR(__xludf.DUMMYFUNCTION("""COMPUTED_VALUE"""),"Yes")</f>
        <v>Yes</v>
      </c>
      <c r="B136" s="4" t="str">
        <f ca="1">IFERROR(__xludf.DUMMYFUNCTION("""COMPUTED_VALUE"""),"No")</f>
        <v>No</v>
      </c>
      <c r="C136" s="98"/>
      <c r="D136" s="98"/>
      <c r="E136" s="98"/>
      <c r="F136" s="98"/>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x14ac:dyDescent="0.25">
      <c r="A137" s="4" t="str">
        <f ca="1">IFERROR(__xludf.DUMMYFUNCTION("""COMPUTED_VALUE"""),"Yes")</f>
        <v>Yes</v>
      </c>
      <c r="B137" s="4" t="str">
        <f ca="1">IFERROR(__xludf.DUMMYFUNCTION("""COMPUTED_VALUE"""),"No")</f>
        <v>No</v>
      </c>
      <c r="C137" s="98"/>
      <c r="D137" s="98"/>
      <c r="E137" s="98"/>
      <c r="F137" s="98"/>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x14ac:dyDescent="0.25">
      <c r="A138" s="4" t="str">
        <f ca="1">IFERROR(__xludf.DUMMYFUNCTION("""COMPUTED_VALUE"""),"Yes")</f>
        <v>Yes</v>
      </c>
      <c r="B138" s="4" t="str">
        <f ca="1">IFERROR(__xludf.DUMMYFUNCTION("""COMPUTED_VALUE"""),"No")</f>
        <v>No</v>
      </c>
      <c r="C138" s="98"/>
      <c r="D138" s="98"/>
      <c r="E138" s="98"/>
      <c r="F138" s="98"/>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x14ac:dyDescent="0.25">
      <c r="A139" s="4" t="str">
        <f ca="1">IFERROR(__xludf.DUMMYFUNCTION("""COMPUTED_VALUE"""),"Yes")</f>
        <v>Yes</v>
      </c>
      <c r="B139" s="4" t="str">
        <f ca="1">IFERROR(__xludf.DUMMYFUNCTION("""COMPUTED_VALUE"""),"No")</f>
        <v>No</v>
      </c>
      <c r="C139" s="98"/>
      <c r="D139" s="98"/>
      <c r="E139" s="98"/>
      <c r="F139" s="98"/>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x14ac:dyDescent="0.25">
      <c r="A140" s="4" t="str">
        <f ca="1">IFERROR(__xludf.DUMMYFUNCTION("""COMPUTED_VALUE"""),"Yes")</f>
        <v>Yes</v>
      </c>
      <c r="B140" s="4" t="str">
        <f ca="1">IFERROR(__xludf.DUMMYFUNCTION("""COMPUTED_VALUE"""),"No")</f>
        <v>No</v>
      </c>
      <c r="C140" s="98"/>
      <c r="D140" s="98"/>
      <c r="E140" s="99" t="str">
        <f ca="1">IFERROR(__xludf.DUMMYFUNCTION("""COMPUTED_VALUE"""),"Quality measures")</f>
        <v>Quality measures</v>
      </c>
      <c r="F140" s="99"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x14ac:dyDescent="0.25">
      <c r="A141" s="4" t="str">
        <f ca="1">IFERROR(__xludf.DUMMYFUNCTION("""COMPUTED_VALUE"""),"Yes")</f>
        <v>Yes</v>
      </c>
      <c r="B141" s="4" t="str">
        <f ca="1">IFERROR(__xludf.DUMMYFUNCTION("""COMPUTED_VALUE"""),"No")</f>
        <v>No</v>
      </c>
      <c r="C141" s="98"/>
      <c r="D141" s="98"/>
      <c r="E141" s="98"/>
      <c r="F141" s="98"/>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x14ac:dyDescent="0.25">
      <c r="A142" s="4" t="str">
        <f ca="1">IFERROR(__xludf.DUMMYFUNCTION("""COMPUTED_VALUE"""),"Yes")</f>
        <v>Yes</v>
      </c>
      <c r="B142" s="4" t="str">
        <f ca="1">IFERROR(__xludf.DUMMYFUNCTION("""COMPUTED_VALUE"""),"No")</f>
        <v>No</v>
      </c>
      <c r="C142" s="98"/>
      <c r="D142" s="98"/>
      <c r="E142" s="99" t="str">
        <f ca="1">IFERROR(__xludf.DUMMYFUNCTION("""COMPUTED_VALUE"""),"Model equation")</f>
        <v>Model equation</v>
      </c>
      <c r="F142" s="99"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x14ac:dyDescent="0.25">
      <c r="A143" s="4" t="str">
        <f ca="1">IFERROR(__xludf.DUMMYFUNCTION("""COMPUTED_VALUE"""),"Yes")</f>
        <v>Yes</v>
      </c>
      <c r="B143" s="4" t="str">
        <f ca="1">IFERROR(__xludf.DUMMYFUNCTION("""COMPUTED_VALUE"""),"No")</f>
        <v>No</v>
      </c>
      <c r="C143" s="98"/>
      <c r="D143" s="98"/>
      <c r="E143" s="98"/>
      <c r="F143" s="98"/>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x14ac:dyDescent="0.25">
      <c r="A144" s="4" t="str">
        <f ca="1">IFERROR(__xludf.DUMMYFUNCTION("""COMPUTED_VALUE"""),"Yes")</f>
        <v>Yes</v>
      </c>
      <c r="B144" s="4" t="str">
        <f ca="1">IFERROR(__xludf.DUMMYFUNCTION("""COMPUTED_VALUE"""),"No")</f>
        <v>No</v>
      </c>
      <c r="C144" s="98"/>
      <c r="D144" s="98"/>
      <c r="E144" s="98"/>
      <c r="F144" s="98"/>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t="str">
        <f ca="1">IFERROR(__xludf.DUMMYFUNCTION("""COMPUTED_VALUE"""),"Yes")</f>
        <v>Yes</v>
      </c>
      <c r="B145" s="4" t="str">
        <f ca="1">IFERROR(__xludf.DUMMYFUNCTION("""COMPUTED_VALUE"""),"No")</f>
        <v>No</v>
      </c>
      <c r="C145" s="98"/>
      <c r="D145" s="98"/>
      <c r="E145" s="98"/>
      <c r="F145" s="98"/>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t="str">
        <f ca="1">IFERROR(__xludf.DUMMYFUNCTION("""COMPUTED_VALUE"""),"Yes")</f>
        <v>Yes</v>
      </c>
      <c r="B146" s="4" t="str">
        <f ca="1">IFERROR(__xludf.DUMMYFUNCTION("""COMPUTED_VALUE"""),"No")</f>
        <v>No</v>
      </c>
      <c r="C146" s="98"/>
      <c r="D146" s="98"/>
      <c r="E146" s="98"/>
      <c r="F146" s="98"/>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t="str">
        <f ca="1">IFERROR(__xludf.DUMMYFUNCTION("""COMPUTED_VALUE"""),"Yes")</f>
        <v>Yes</v>
      </c>
      <c r="B147" s="4" t="str">
        <f ca="1">IFERROR(__xludf.DUMMYFUNCTION("""COMPUTED_VALUE"""),"No")</f>
        <v>No</v>
      </c>
      <c r="C147" s="98"/>
      <c r="D147" s="98"/>
      <c r="E147" s="98"/>
      <c r="F147" s="98"/>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t="str">
        <f ca="1">IFERROR(__xludf.DUMMYFUNCTION("""COMPUTED_VALUE"""),"Yes")</f>
        <v>Yes</v>
      </c>
      <c r="B148" s="4" t="str">
        <f ca="1">IFERROR(__xludf.DUMMYFUNCTION("""COMPUTED_VALUE"""),"No")</f>
        <v>No</v>
      </c>
      <c r="C148" s="98"/>
      <c r="D148" s="98"/>
      <c r="E148" s="98"/>
      <c r="F148" s="98"/>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t="str">
        <f ca="1">IFERROR(__xludf.DUMMYFUNCTION("""COMPUTED_VALUE"""),"Yes")</f>
        <v>Yes</v>
      </c>
      <c r="B149" s="4" t="str">
        <f ca="1">IFERROR(__xludf.DUMMYFUNCTION("""COMPUTED_VALUE"""),"No")</f>
        <v>No</v>
      </c>
      <c r="C149" s="98"/>
      <c r="D149" s="98"/>
      <c r="E149" s="98"/>
      <c r="F149" s="98"/>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t="str">
        <f ca="1">IFERROR(__xludf.DUMMYFUNCTION("""COMPUTED_VALUE"""),"Yes")</f>
        <v>Yes</v>
      </c>
      <c r="B150" s="4" t="str">
        <f ca="1">IFERROR(__xludf.DUMMYFUNCTION("""COMPUTED_VALUE"""),"No")</f>
        <v>No</v>
      </c>
      <c r="C150" s="98"/>
      <c r="D150" s="98"/>
      <c r="E150" s="5" t="str">
        <f ca="1">IFERROR(__xludf.DUMMYFUNCTION("""COMPUTED_VALUE"""),"Fitting procedure")</f>
        <v>Fitting procedure</v>
      </c>
      <c r="F150" s="99" t="str">
        <f ca="1">IFERROR(__xludf.DUMMYFUNCTION("""COMPUTED_VALUE"""),"0:1")</f>
        <v>0:1</v>
      </c>
      <c r="G150" s="98"/>
      <c r="H150" s="98"/>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t="str">
        <f ca="1">IFERROR(__xludf.DUMMYFUNCTION("""COMPUTED_VALUE"""),"Yes")</f>
        <v>Yes</v>
      </c>
      <c r="B151" s="4" t="str">
        <f ca="1">IFERROR(__xludf.DUMMYFUNCTION("""COMPUTED_VALUE"""),"No")</f>
        <v>No</v>
      </c>
      <c r="C151" s="98"/>
      <c r="D151" s="98"/>
      <c r="E151" s="99" t="str">
        <f ca="1">IFERROR(__xludf.DUMMYFUNCTION("""COMPUTED_VALUE"""),"Exposure")</f>
        <v>Exposure</v>
      </c>
      <c r="F151" s="99"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t="str">
        <f ca="1">IFERROR(__xludf.DUMMYFUNCTION("""COMPUTED_VALUE"""),"Yes")</f>
        <v>Yes</v>
      </c>
      <c r="B152" s="4" t="str">
        <f ca="1">IFERROR(__xludf.DUMMYFUNCTION("""COMPUTED_VALUE"""),"No")</f>
        <v>No</v>
      </c>
      <c r="C152" s="98"/>
      <c r="D152" s="98"/>
      <c r="E152" s="98"/>
      <c r="F152" s="98"/>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t="str">
        <f ca="1">IFERROR(__xludf.DUMMYFUNCTION("""COMPUTED_VALUE"""),"Yes")</f>
        <v>Yes</v>
      </c>
      <c r="B153" s="4" t="str">
        <f ca="1">IFERROR(__xludf.DUMMYFUNCTION("""COMPUTED_VALUE"""),"No")</f>
        <v>No</v>
      </c>
      <c r="C153" s="98"/>
      <c r="D153" s="98"/>
      <c r="E153" s="98"/>
      <c r="F153" s="98"/>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t="str">
        <f ca="1">IFERROR(__xludf.DUMMYFUNCTION("""COMPUTED_VALUE"""),"Yes")</f>
        <v>Yes</v>
      </c>
      <c r="B154" s="4" t="str">
        <f ca="1">IFERROR(__xludf.DUMMYFUNCTION("""COMPUTED_VALUE"""),"No")</f>
        <v>No</v>
      </c>
      <c r="C154" s="98"/>
      <c r="D154" s="98"/>
      <c r="E154" s="98"/>
      <c r="F154" s="98"/>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t="str">
        <f ca="1">IFERROR(__xludf.DUMMYFUNCTION("""COMPUTED_VALUE"""),"Yes")</f>
        <v>Yes</v>
      </c>
      <c r="B155" s="4" t="str">
        <f ca="1">IFERROR(__xludf.DUMMYFUNCTION("""COMPUTED_VALUE"""),"No")</f>
        <v>No</v>
      </c>
      <c r="C155" s="98"/>
      <c r="D155" s="98"/>
      <c r="E155" s="98"/>
      <c r="F155" s="98"/>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t="str">
        <f ca="1">IFERROR(__xludf.DUMMYFUNCTION("""COMPUTED_VALUE"""),"Yes")</f>
        <v>Yes</v>
      </c>
      <c r="B156" s="4" t="str">
        <f ca="1">IFERROR(__xludf.DUMMYFUNCTION("""COMPUTED_VALUE"""),"No")</f>
        <v>No</v>
      </c>
      <c r="C156" s="98"/>
      <c r="D156" s="98"/>
      <c r="E156" s="5" t="str">
        <f ca="1">IFERROR(__xludf.DUMMYFUNCTION("""COMPUTED_VALUE"""),"Events")</f>
        <v>Events</v>
      </c>
      <c r="F156" s="99" t="str">
        <f ca="1">IFERROR(__xludf.DUMMYFUNCTION("""COMPUTED_VALUE"""),"0:N")</f>
        <v>0:N</v>
      </c>
      <c r="G156" s="98"/>
      <c r="H156" s="98"/>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x14ac:dyDescent="0.25"/>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x14ac:dyDescent="0.3">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9" t="str">
        <f ca="1">E6</f>
        <v>Creator</v>
      </c>
      <c r="M1" s="98"/>
      <c r="N1" s="98"/>
      <c r="O1" s="98"/>
      <c r="P1" s="98"/>
      <c r="Q1" s="98"/>
      <c r="R1" s="98"/>
      <c r="S1" s="98"/>
      <c r="T1" s="98"/>
      <c r="U1" s="98"/>
      <c r="V1" s="98"/>
      <c r="W1" s="98"/>
      <c r="X1" s="98"/>
      <c r="Y1" s="98"/>
      <c r="Z1" s="98"/>
      <c r="AA1" s="4"/>
      <c r="AB1" s="99" t="str">
        <f ca="1">E5</f>
        <v>Author</v>
      </c>
      <c r="AC1" s="98"/>
      <c r="AD1" s="98"/>
      <c r="AE1" s="98"/>
      <c r="AF1" s="98"/>
      <c r="AG1" s="98"/>
      <c r="AH1" s="98"/>
      <c r="AI1" s="98"/>
      <c r="AJ1" s="98"/>
      <c r="AK1" s="98"/>
      <c r="AL1" s="98"/>
      <c r="AM1" s="98"/>
      <c r="AN1" s="98"/>
      <c r="AO1" s="98"/>
      <c r="AP1" s="98"/>
      <c r="AQ1" s="4"/>
      <c r="AR1" s="4"/>
      <c r="AS1" s="4"/>
      <c r="AT1" s="4"/>
      <c r="AU1" s="4"/>
      <c r="AV1" s="4"/>
      <c r="AW1" s="4"/>
    </row>
    <row r="2" spans="1:49"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8"/>
      <c r="D6" s="98"/>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8"/>
      <c r="D7" s="98"/>
      <c r="E7" t="str">
        <f ca="1">IFERROR(__xludf.DUMMYFUNCTION("""COMPUTED_VALUE"""),"Date")</f>
        <v>Date</v>
      </c>
      <c r="F7" s="99"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8"/>
      <c r="D8" s="98"/>
      <c r="E8" s="5"/>
      <c r="F8" s="98"/>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5"/>
      <c r="J12" s="10"/>
      <c r="K12" s="4"/>
      <c r="L12" s="101" t="str">
        <f ca="1">E13</f>
        <v>References</v>
      </c>
      <c r="M12" s="98"/>
      <c r="N12" s="98"/>
      <c r="O12" s="98"/>
      <c r="P12" s="98"/>
      <c r="Q12" s="98"/>
      <c r="R12" s="98"/>
      <c r="S12" s="98"/>
      <c r="T12" s="98"/>
      <c r="U12" s="98"/>
      <c r="V12" s="98"/>
      <c r="W12" s="98"/>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8"/>
      <c r="D16" s="98"/>
      <c r="E16" s="98"/>
      <c r="F16" s="98"/>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8"/>
      <c r="D24" s="98"/>
      <c r="E24" s="98"/>
      <c r="F24" s="98"/>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8"/>
      <c r="D32" s="98"/>
      <c r="E32" s="98"/>
      <c r="F32" s="98"/>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7" t="str">
        <f ca="1">IFERROR(__xludf.DUMMYFUNCTION("""COMPUTED_VALUE"""),"Scope")</f>
        <v>Scope</v>
      </c>
      <c r="D36" s="97" t="str">
        <f ca="1">IFERROR(__xludf.DUMMYFUNCTION("""COMPUTED_VALUE"""),"1")</f>
        <v>1</v>
      </c>
      <c r="E36" s="99" t="str">
        <f ca="1">IFERROR(__xludf.DUMMYFUNCTION("""COMPUTED_VALUE"""),"Product / matrix")</f>
        <v>Product / matrix</v>
      </c>
      <c r="F36" s="99" t="str">
        <f ca="1">IFERROR(__xludf.DUMMYFUNCTION("""COMPUTED_VALUE"""),"1:N")</f>
        <v>1:N</v>
      </c>
      <c r="G36" s="5" t="str">
        <f ca="1">IFERROR(__xludf.DUMMYFUNCTION("""COMPUTED_VALUE"""),"Product/matrix name")</f>
        <v>Product/matrix name</v>
      </c>
      <c r="H36" s="5" t="str">
        <f ca="1">IFERROR(__xludf.DUMMYFUNCTION("""COMPUTED_VALUE"""),"1")</f>
        <v>1</v>
      </c>
      <c r="I36" s="5"/>
      <c r="J36" s="13"/>
      <c r="K36" s="4"/>
      <c r="L36" s="101" t="str">
        <f ca="1">E36</f>
        <v>Product / matrix</v>
      </c>
      <c r="M36" s="98"/>
      <c r="N36" s="98"/>
      <c r="O36" s="98"/>
      <c r="P36" s="98"/>
      <c r="Q36" s="98"/>
      <c r="R36" s="98"/>
      <c r="S36" s="98"/>
      <c r="T36" s="98"/>
      <c r="U36" s="98"/>
      <c r="V36" s="98"/>
      <c r="W36" s="101" t="str">
        <f ca="1">E47</f>
        <v>Hazard</v>
      </c>
      <c r="X36" s="98"/>
      <c r="Y36" s="98"/>
      <c r="Z36" s="98"/>
      <c r="AA36" s="98"/>
      <c r="AB36" s="98"/>
      <c r="AC36" s="98"/>
      <c r="AD36" s="98"/>
      <c r="AE36" s="98"/>
      <c r="AF36" s="98"/>
      <c r="AG36" s="98"/>
      <c r="AH36" s="98"/>
      <c r="AI36" s="98"/>
      <c r="AJ36" s="98"/>
      <c r="AK36" s="101" t="str">
        <f ca="1">E61</f>
        <v>Population Group</v>
      </c>
      <c r="AL36" s="98"/>
      <c r="AM36" s="98"/>
      <c r="AN36" s="98"/>
      <c r="AO36" s="98"/>
      <c r="AP36" s="98"/>
      <c r="AQ36" s="98"/>
      <c r="AR36" s="98"/>
      <c r="AS36" s="98"/>
      <c r="AT36" s="98"/>
      <c r="AU36" s="98"/>
      <c r="AV36" s="98"/>
      <c r="AW36" s="98"/>
    </row>
    <row r="37" spans="1:49" ht="12.5" x14ac:dyDescent="0.25">
      <c r="A37" s="4" t="str">
        <f ca="1">IFERROR(__xludf.DUMMYFUNCTION("""COMPUTED_VALUE"""),"Yes")</f>
        <v>Yes</v>
      </c>
      <c r="B37" s="4" t="str">
        <f ca="1">IFERROR(__xludf.DUMMYFUNCTION("""COMPUTED_VALUE"""),"Yes")</f>
        <v>Yes</v>
      </c>
      <c r="C37" s="98"/>
      <c r="D37" s="98"/>
      <c r="E37" s="98"/>
      <c r="F37" s="98"/>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8"/>
      <c r="D38" s="98"/>
      <c r="E38" s="98"/>
      <c r="F38" s="98"/>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8"/>
      <c r="D39" s="98"/>
      <c r="E39" s="98"/>
      <c r="F39" s="98"/>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8"/>
      <c r="D40" s="98"/>
      <c r="E40" s="98"/>
      <c r="F40" s="98"/>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8"/>
      <c r="D41" s="98"/>
      <c r="E41" s="98"/>
      <c r="F41" s="98"/>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8"/>
      <c r="D42" s="98"/>
      <c r="E42" s="98"/>
      <c r="F42" s="98"/>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8"/>
      <c r="D43" s="98"/>
      <c r="E43" s="98"/>
      <c r="F43" s="98"/>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8"/>
      <c r="D44" s="98"/>
      <c r="E44" s="98"/>
      <c r="F44" s="98"/>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8"/>
      <c r="D45" s="98"/>
      <c r="E45" s="98"/>
      <c r="F45" s="98"/>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8"/>
      <c r="D46" s="98"/>
      <c r="E46" s="98"/>
      <c r="F46" s="98"/>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8"/>
      <c r="D47" s="98"/>
      <c r="E47" s="99" t="str">
        <f ca="1">IFERROR(__xludf.DUMMYFUNCTION("""COMPUTED_VALUE"""),"Hazard")</f>
        <v>Hazard</v>
      </c>
      <c r="F47" s="99"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8"/>
      <c r="D48" s="98"/>
      <c r="E48" s="98"/>
      <c r="F48" s="98"/>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8"/>
      <c r="D49" s="98"/>
      <c r="E49" s="98"/>
      <c r="F49" s="98"/>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8"/>
      <c r="D50" s="98"/>
      <c r="E50" s="98"/>
      <c r="F50" s="98"/>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8"/>
      <c r="D51" s="98"/>
      <c r="E51" s="98"/>
      <c r="F51" s="98"/>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x14ac:dyDescent="0.25">
      <c r="A52" s="4" t="str">
        <f ca="1">IFERROR(__xludf.DUMMYFUNCTION("""COMPUTED_VALUE"""),"Yes")</f>
        <v>Yes</v>
      </c>
      <c r="B52" s="4" t="str">
        <f ca="1">IFERROR(__xludf.DUMMYFUNCTION("""COMPUTED_VALUE"""),"No")</f>
        <v>No</v>
      </c>
      <c r="C52" s="98"/>
      <c r="D52" s="98"/>
      <c r="E52" s="98"/>
      <c r="F52" s="98"/>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x14ac:dyDescent="0.25">
      <c r="A53" s="4" t="str">
        <f ca="1">IFERROR(__xludf.DUMMYFUNCTION("""COMPUTED_VALUE"""),"Yes")</f>
        <v>Yes</v>
      </c>
      <c r="B53" s="4" t="str">
        <f ca="1">IFERROR(__xludf.DUMMYFUNCTION("""COMPUTED_VALUE"""),"No")</f>
        <v>No</v>
      </c>
      <c r="C53" s="98"/>
      <c r="D53" s="98"/>
      <c r="E53" s="98"/>
      <c r="F53" s="98"/>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8"/>
      <c r="D54" s="98"/>
      <c r="E54" s="98"/>
      <c r="F54" s="98"/>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8"/>
      <c r="D55" s="98"/>
      <c r="E55" s="98"/>
      <c r="F55" s="98"/>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8"/>
      <c r="D56" s="98"/>
      <c r="E56" s="98"/>
      <c r="F56" s="98"/>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8"/>
      <c r="D57" s="98"/>
      <c r="E57" s="98"/>
      <c r="F57" s="98"/>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8"/>
      <c r="D58" s="98"/>
      <c r="E58" s="98"/>
      <c r="F58" s="98"/>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8"/>
      <c r="D59" s="98"/>
      <c r="E59" s="98"/>
      <c r="F59" s="98"/>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8"/>
      <c r="D60" s="98"/>
      <c r="E60" s="98"/>
      <c r="F60" s="98"/>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IFERROR(__xludf.DUMMYFUNCTION("""COMPUTED_VALUE"""),"Yes")</f>
        <v>Yes</v>
      </c>
      <c r="C61" s="98"/>
      <c r="D61" s="98"/>
      <c r="E61" s="99" t="str">
        <f ca="1">IFERROR(__xludf.DUMMYFUNCTION("""COMPUTED_VALUE"""),"Population Group")</f>
        <v>Population Group</v>
      </c>
      <c r="F61" s="99"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8"/>
      <c r="AT61" s="98"/>
      <c r="AU61" s="98"/>
      <c r="AV61" s="98"/>
      <c r="AW61" s="98"/>
    </row>
    <row r="62" spans="1:49" ht="12.5" x14ac:dyDescent="0.25">
      <c r="A62" s="4" t="str">
        <f ca="1">IFERROR(__xludf.DUMMYFUNCTION("""COMPUTED_VALUE"""),"Yes")</f>
        <v>Yes</v>
      </c>
      <c r="B62" s="4" t="str">
        <f ca="1">IFERROR(__xludf.DUMMYFUNCTION("""COMPUTED_VALUE"""),"No")</f>
        <v>No</v>
      </c>
      <c r="C62" s="98"/>
      <c r="D62" s="98"/>
      <c r="E62" s="98"/>
      <c r="F62" s="98"/>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8"/>
      <c r="D63" s="98"/>
      <c r="E63" s="98"/>
      <c r="F63" s="98"/>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8"/>
      <c r="D64" s="98"/>
      <c r="E64" s="98"/>
      <c r="F64" s="98"/>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8"/>
      <c r="D65" s="98"/>
      <c r="E65" s="98"/>
      <c r="F65" s="98"/>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8"/>
      <c r="D66" s="98"/>
      <c r="E66" s="98"/>
      <c r="F66" s="98"/>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8"/>
      <c r="D67" s="98"/>
      <c r="E67" s="98"/>
      <c r="F67" s="98"/>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8"/>
      <c r="D68" s="98"/>
      <c r="E68" s="98"/>
      <c r="F68" s="98"/>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8"/>
      <c r="D69" s="98"/>
      <c r="E69" s="98"/>
      <c r="F69" s="98"/>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8"/>
      <c r="D70" s="98"/>
      <c r="E70" s="98"/>
      <c r="F70" s="98"/>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8"/>
      <c r="D71" s="98"/>
      <c r="E71" s="98"/>
      <c r="F71" s="98"/>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8"/>
      <c r="D72" s="98"/>
      <c r="E72" s="98"/>
      <c r="F72" s="98"/>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8"/>
      <c r="D73" s="98"/>
      <c r="E73" s="98"/>
      <c r="F73" s="98"/>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8"/>
      <c r="D74" s="98"/>
      <c r="E74" s="5" t="str">
        <f ca="1">IFERROR(__xludf.DUMMYFUNCTION("""COMPUTED_VALUE"""),"General comment")</f>
        <v>General comment</v>
      </c>
      <c r="F74" s="99" t="str">
        <f ca="1">IFERROR(__xludf.DUMMYFUNCTION("""COMPUTED_VALUE"""),"0:1")</f>
        <v>0:1</v>
      </c>
      <c r="G74" s="98"/>
      <c r="H74" s="98"/>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8"/>
      <c r="D75" s="98"/>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8"/>
      <c r="D76" s="98"/>
      <c r="E76" s="99" t="str">
        <f ca="1">IFERROR(__xludf.DUMMYFUNCTION("""COMPUTED_VALUE"""),"Spatial information")</f>
        <v>Spatial information</v>
      </c>
      <c r="F76" s="99"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8"/>
      <c r="D77" s="98"/>
      <c r="E77" s="98"/>
      <c r="F77" s="98"/>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7" t="str">
        <f ca="1">IFERROR(__xludf.DUMMYFUNCTION("""COMPUTED_VALUE"""),"Data_background")</f>
        <v>Data_background</v>
      </c>
      <c r="D78" s="97" t="str">
        <f ca="1">IFERROR(__xludf.DUMMYFUNCTION("""COMPUTED_VALUE"""),"0:1")</f>
        <v>0:1</v>
      </c>
      <c r="E78" s="99" t="str">
        <f ca="1">IFERROR(__xludf.DUMMYFUNCTION("""COMPUTED_VALUE"""),"Study")</f>
        <v>Study</v>
      </c>
      <c r="F78" s="99"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8"/>
      <c r="D79" s="98"/>
      <c r="E79" s="98"/>
      <c r="F79" s="98"/>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8"/>
      <c r="D80" s="98"/>
      <c r="E80" s="98"/>
      <c r="F80" s="98"/>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8"/>
      <c r="D81" s="98"/>
      <c r="E81" s="98"/>
      <c r="F81" s="98"/>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8"/>
      <c r="D82" s="98"/>
      <c r="E82" s="98"/>
      <c r="F82" s="98"/>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8"/>
      <c r="D83" s="98"/>
      <c r="E83" s="98"/>
      <c r="F83" s="98"/>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8"/>
      <c r="D84" s="98"/>
      <c r="E84" s="98"/>
      <c r="F84" s="98"/>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8"/>
      <c r="D85" s="98"/>
      <c r="E85" s="98"/>
      <c r="F85" s="98"/>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8"/>
      <c r="D86" s="98"/>
      <c r="E86" s="98"/>
      <c r="F86" s="98"/>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8"/>
      <c r="D87" s="98"/>
      <c r="E87" s="98"/>
      <c r="F87" s="98"/>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8"/>
      <c r="D88" s="98"/>
      <c r="E88" s="98"/>
      <c r="F88" s="98"/>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8"/>
      <c r="D89" s="98"/>
      <c r="E89" s="98"/>
      <c r="F89" s="98"/>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8"/>
      <c r="D90" s="98"/>
      <c r="E90" s="98"/>
      <c r="F90" s="98"/>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8"/>
      <c r="D91" s="98"/>
      <c r="E91" s="98"/>
      <c r="F91" s="98"/>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8"/>
      <c r="D92" s="98"/>
      <c r="E92" s="98"/>
      <c r="F92" s="98"/>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8"/>
      <c r="D93" s="98"/>
      <c r="E93" s="98"/>
      <c r="F93" s="98"/>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8"/>
      <c r="D94" s="98"/>
      <c r="E94" s="99" t="str">
        <f ca="1">IFERROR(__xludf.DUMMYFUNCTION("""COMPUTED_VALUE"""),"Study Sample")</f>
        <v>Study Sample</v>
      </c>
      <c r="F94" s="99" t="str">
        <f ca="1">IFERROR(__xludf.DUMMYFUNCTION("""COMPUTED_VALUE"""),"0:N")</f>
        <v>0:N</v>
      </c>
      <c r="G94" s="5" t="str">
        <f ca="1">IFERROR(__xludf.DUMMYFUNCTION("""COMPUTED_VALUE"""),"Sample Name (ID)")</f>
        <v>Sample Name (ID)</v>
      </c>
      <c r="H94" s="5" t="str">
        <f ca="1">IFERROR(__xludf.DUMMYFUNCTION("""COMPUTED_VALUE"""),"1")</f>
        <v>1</v>
      </c>
      <c r="I94" s="5"/>
      <c r="J94" s="13"/>
      <c r="K94" s="4"/>
      <c r="L94" s="101" t="str">
        <f ca="1">E94</f>
        <v>Study Sample</v>
      </c>
      <c r="M94" s="98"/>
      <c r="N94" s="98"/>
      <c r="O94" s="98"/>
      <c r="P94" s="98"/>
      <c r="Q94" s="98"/>
      <c r="R94" s="98"/>
      <c r="S94" s="98"/>
      <c r="T94" s="98"/>
      <c r="U94" s="98"/>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8"/>
      <c r="D95" s="98"/>
      <c r="E95" s="98"/>
      <c r="F95" s="98"/>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8"/>
      <c r="D96" s="98"/>
      <c r="E96" s="98"/>
      <c r="F96" s="98"/>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8"/>
      <c r="D97" s="98"/>
      <c r="E97" s="98"/>
      <c r="F97" s="98"/>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8"/>
      <c r="D98" s="98"/>
      <c r="E98" s="98"/>
      <c r="F98" s="98"/>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8"/>
      <c r="D99" s="98"/>
      <c r="E99" s="98"/>
      <c r="F99" s="98"/>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8"/>
      <c r="D100" s="98"/>
      <c r="E100" s="98"/>
      <c r="F100" s="98"/>
      <c r="G100" s="5" t="str">
        <f ca="1">IFERROR(__xludf.DUMMYFUNCTION("""COMPUTED_VALUE"""),"Sampling weight")</f>
        <v>Sampling weight</v>
      </c>
      <c r="H100" s="5" t="str">
        <f ca="1">IFERROR(__xludf.DUMMYFUNCTION("""COMPUTED_VALUE"""),"1")</f>
        <v>1</v>
      </c>
      <c r="I100" s="5"/>
      <c r="J100" s="13"/>
      <c r="K100" s="4"/>
      <c r="L100" s="101" t="str">
        <f ca="1">E104</f>
        <v>Dietary assessment method</v>
      </c>
      <c r="M100" s="98"/>
      <c r="N100" s="98"/>
      <c r="O100" s="98"/>
      <c r="P100" s="98"/>
      <c r="Q100" s="98"/>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8"/>
      <c r="D101" s="98"/>
      <c r="E101" s="98"/>
      <c r="F101" s="98"/>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8"/>
      <c r="D102" s="98"/>
      <c r="E102" s="98"/>
      <c r="F102" s="98"/>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8"/>
      <c r="D103" s="98"/>
      <c r="E103" s="98"/>
      <c r="F103" s="98"/>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8"/>
      <c r="D104" s="98"/>
      <c r="E104" s="99" t="str">
        <f ca="1">IFERROR(__xludf.DUMMYFUNCTION("""COMPUTED_VALUE"""),"Dietary assessment method")</f>
        <v>Dietary assessment method</v>
      </c>
      <c r="F104" s="99"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8"/>
      <c r="D105" s="98"/>
      <c r="E105" s="98"/>
      <c r="F105" s="98"/>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8"/>
      <c r="D106" s="98"/>
      <c r="E106" s="98"/>
      <c r="F106" s="98"/>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8"/>
      <c r="D107" s="98"/>
      <c r="E107" s="98"/>
      <c r="F107" s="98"/>
      <c r="G107" s="5" t="str">
        <f ca="1">IFERROR(__xludf.DUMMYFUNCTION("""COMPUTED_VALUE"""),"Number of food items")</f>
        <v>Number of food items</v>
      </c>
      <c r="H107" s="5" t="str">
        <f ca="1">IFERROR(__xludf.DUMMYFUNCTION("""COMPUTED_VALUE"""),"1:N")</f>
        <v>1:N</v>
      </c>
      <c r="I107" s="5"/>
      <c r="J107" s="13"/>
      <c r="K107" s="4"/>
      <c r="L107" s="101" t="str">
        <f ca="1">E110</f>
        <v>Laboratory</v>
      </c>
      <c r="M107" s="98"/>
      <c r="N107" s="98"/>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8"/>
      <c r="D108" s="98"/>
      <c r="E108" s="98"/>
      <c r="F108" s="98"/>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8"/>
      <c r="D109" s="98"/>
      <c r="E109" s="98"/>
      <c r="F109" s="98"/>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8"/>
      <c r="D110" s="98"/>
      <c r="E110" s="99" t="str">
        <f ca="1">IFERROR(__xludf.DUMMYFUNCTION("""COMPUTED_VALUE"""),"Laboratory")</f>
        <v>Laboratory</v>
      </c>
      <c r="F110" s="99"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8"/>
      <c r="D111" s="98"/>
      <c r="E111" s="98"/>
      <c r="F111" s="98"/>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8"/>
      <c r="D112" s="98"/>
      <c r="E112" s="98"/>
      <c r="F112" s="98"/>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8"/>
      <c r="D113" s="98"/>
      <c r="E113" s="99" t="str">
        <f ca="1">IFERROR(__xludf.DUMMYFUNCTION("""COMPUTED_VALUE"""),"Assay")</f>
        <v>Assay</v>
      </c>
      <c r="F113" s="99" t="str">
        <f ca="1">IFERROR(__xludf.DUMMYFUNCTION("""COMPUTED_VALUE"""),"0:N")</f>
        <v>0:N</v>
      </c>
      <c r="G113" s="5" t="str">
        <f ca="1">IFERROR(__xludf.DUMMYFUNCTION("""COMPUTED_VALUE"""),"Assay Name")</f>
        <v>Assay Name</v>
      </c>
      <c r="H113" s="5" t="str">
        <f ca="1">IFERROR(__xludf.DUMMYFUNCTION("""COMPUTED_VALUE"""),"1")</f>
        <v>1</v>
      </c>
      <c r="I113" s="5"/>
      <c r="J113" s="13"/>
      <c r="K113" s="4"/>
      <c r="L113" s="101" t="str">
        <f ca="1">E113</f>
        <v>Assay</v>
      </c>
      <c r="M113" s="98"/>
      <c r="N113" s="98"/>
      <c r="O113" s="98"/>
      <c r="P113" s="98"/>
      <c r="Q113" s="98"/>
      <c r="R113" s="98"/>
      <c r="S113" s="98"/>
      <c r="T113" s="98"/>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8"/>
      <c r="D114" s="98"/>
      <c r="E114" s="98"/>
      <c r="F114" s="98"/>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8"/>
      <c r="D115" s="98"/>
      <c r="E115" s="98"/>
      <c r="F115" s="98"/>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IFERROR(__xludf.DUMMYFUNCTION("""COMPUTED_VALUE"""),"No")</f>
        <v>No</v>
      </c>
      <c r="C116" s="98"/>
      <c r="D116" s="98"/>
      <c r="E116" s="98"/>
      <c r="F116" s="98"/>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IFERROR(__xludf.DUMMYFUNCTION("""COMPUTED_VALUE"""),"No")</f>
        <v>No</v>
      </c>
      <c r="C117" s="98"/>
      <c r="D117" s="98"/>
      <c r="E117" s="98"/>
      <c r="F117" s="98"/>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IFERROR(__xludf.DUMMYFUNCTION("""COMPUTED_VALUE"""),"No")</f>
        <v>No</v>
      </c>
      <c r="C118" s="98"/>
      <c r="D118" s="98"/>
      <c r="E118" s="98"/>
      <c r="F118" s="98"/>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8"/>
      <c r="D119" s="98"/>
      <c r="E119" s="98"/>
      <c r="F119" s="98"/>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IFERROR(__xludf.DUMMYFUNCTION("""COMPUTED_VALUE"""),"No")</f>
        <v>No</v>
      </c>
      <c r="C120" s="98"/>
      <c r="D120" s="98"/>
      <c r="E120" s="98"/>
      <c r="F120" s="98"/>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8"/>
      <c r="D121" s="98"/>
      <c r="E121" s="98"/>
      <c r="F121" s="98"/>
      <c r="G121" s="5" t="str">
        <f ca="1">IFERROR(__xludf.DUMMYFUNCTION("""COMPUTED_VALUE"""),"Uncertainty value")</f>
        <v>Uncertainty value</v>
      </c>
      <c r="H121" s="5" t="str">
        <f ca="1">IFERROR(__xludf.DUMMYFUNCTION("""COMPUTED_VALUE"""),"0:1")</f>
        <v>0:1</v>
      </c>
      <c r="I121" s="5"/>
      <c r="J121" s="13"/>
      <c r="K121" s="4"/>
      <c r="L121" s="23"/>
      <c r="M121" s="100" t="str">
        <f ca="1">E140</f>
        <v>Quality measures</v>
      </c>
      <c r="N121" s="98"/>
      <c r="O121" s="23"/>
      <c r="P121" s="100" t="str">
        <f ca="1">E142</f>
        <v>Model equation</v>
      </c>
      <c r="Q121" s="98"/>
      <c r="R121" s="98"/>
      <c r="S121" s="98"/>
      <c r="T121" s="98"/>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7" t="str">
        <f ca="1">IFERROR(__xludf.DUMMYFUNCTION("""COMPUTED_VALUE"""),"Model math / Data definition")</f>
        <v>Model math / Data definition</v>
      </c>
      <c r="D122" s="97" t="str">
        <f ca="1">IFERROR(__xludf.DUMMYFUNCTION("""COMPUTED_VALUE"""),"1")</f>
        <v>1</v>
      </c>
      <c r="E122" s="99" t="str">
        <f ca="1">IFERROR(__xludf.DUMMYFUNCTION("""COMPUTED_VALUE"""),"Parameter / Factor / Input / Output / ""Data column""")</f>
        <v>Parameter / Factor / Input / Output / "Data column"</v>
      </c>
      <c r="F122" s="99"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IFERROR(__xludf.DUMMYFUNCTION("""COMPUTED_VALUE"""),"Yes")</f>
        <v>Yes</v>
      </c>
      <c r="C123" s="98"/>
      <c r="D123" s="98"/>
      <c r="E123" s="98"/>
      <c r="F123" s="98"/>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8"/>
      <c r="D124" s="98"/>
      <c r="E124" s="98"/>
      <c r="F124" s="98"/>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IFERROR(__xludf.DUMMYFUNCTION("""COMPUTED_VALUE"""),"No")</f>
        <v>No</v>
      </c>
      <c r="C125" s="98"/>
      <c r="D125" s="98"/>
      <c r="E125" s="98"/>
      <c r="F125" s="98"/>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x14ac:dyDescent="0.25">
      <c r="A126" s="4" t="str">
        <f ca="1">IFERROR(__xludf.DUMMYFUNCTION("""COMPUTED_VALUE"""),"Yes")</f>
        <v>Yes</v>
      </c>
      <c r="B126" s="4" t="str">
        <f ca="1">IFERROR(__xludf.DUMMYFUNCTION("""COMPUTED_VALUE"""),"Yes")</f>
        <v>Yes</v>
      </c>
      <c r="C126" s="98"/>
      <c r="D126" s="98"/>
      <c r="E126" s="98"/>
      <c r="F126" s="98"/>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x14ac:dyDescent="0.25">
      <c r="A127" s="4" t="str">
        <f ca="1">IFERROR(__xludf.DUMMYFUNCTION("""COMPUTED_VALUE"""),"Yes")</f>
        <v>Yes</v>
      </c>
      <c r="B127" s="4" t="str">
        <f ca="1">IFERROR(__xludf.DUMMYFUNCTION("""COMPUTED_VALUE"""),"No")</f>
        <v>No</v>
      </c>
      <c r="C127" s="98"/>
      <c r="D127" s="98"/>
      <c r="E127" s="98"/>
      <c r="F127" s="98"/>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x14ac:dyDescent="0.25">
      <c r="A128" s="4" t="str">
        <f ca="1">IFERROR(__xludf.DUMMYFUNCTION("""COMPUTED_VALUE"""),"Yes")</f>
        <v>Yes</v>
      </c>
      <c r="B128" s="4" t="str">
        <f ca="1">IFERROR(__xludf.DUMMYFUNCTION("""COMPUTED_VALUE"""),"Yes")</f>
        <v>Yes</v>
      </c>
      <c r="C128" s="98"/>
      <c r="D128" s="98"/>
      <c r="E128" s="98"/>
      <c r="F128" s="98"/>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x14ac:dyDescent="0.25">
      <c r="A129" s="4" t="str">
        <f ca="1">IFERROR(__xludf.DUMMYFUNCTION("""COMPUTED_VALUE"""),"Yes")</f>
        <v>Yes</v>
      </c>
      <c r="B129" s="4" t="str">
        <f ca="1">IFERROR(__xludf.DUMMYFUNCTION("""COMPUTED_VALUE"""),"No")</f>
        <v>No</v>
      </c>
      <c r="C129" s="98"/>
      <c r="D129" s="98"/>
      <c r="E129" s="98"/>
      <c r="F129" s="98"/>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x14ac:dyDescent="0.25">
      <c r="A130" s="4" t="str">
        <f ca="1">IFERROR(__xludf.DUMMYFUNCTION("""COMPUTED_VALUE"""),"Yes")</f>
        <v>Yes</v>
      </c>
      <c r="B130" s="4" t="str">
        <f ca="1">IFERROR(__xludf.DUMMYFUNCTION("""COMPUTED_VALUE"""),"Yes")</f>
        <v>Yes</v>
      </c>
      <c r="C130" s="98"/>
      <c r="D130" s="98"/>
      <c r="E130" s="98"/>
      <c r="F130" s="98"/>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x14ac:dyDescent="0.25">
      <c r="A131" s="4" t="str">
        <f ca="1">IFERROR(__xludf.DUMMYFUNCTION("""COMPUTED_VALUE"""),"Yes")</f>
        <v>Yes</v>
      </c>
      <c r="B131" s="4" t="str">
        <f ca="1">IFERROR(__xludf.DUMMYFUNCTION("""COMPUTED_VALUE"""),"Yes")</f>
        <v>Yes</v>
      </c>
      <c r="C131" s="98"/>
      <c r="D131" s="98"/>
      <c r="E131" s="98"/>
      <c r="F131" s="98"/>
      <c r="G131" s="5" t="str">
        <f ca="1">IFERROR(__xludf.DUMMYFUNCTION("""COMPUTED_VALUE"""),"Parameter distribution")</f>
        <v>Parameter distribution</v>
      </c>
      <c r="H131" s="5" t="str">
        <f ca="1">IFERROR(__xludf.DUMMYFUNCTION("""COMPUTED_VALUE"""),"0:1")</f>
        <v>0:1</v>
      </c>
      <c r="I131" s="5"/>
      <c r="J131" s="13"/>
      <c r="K131" s="35" t="s">
        <v>23</v>
      </c>
      <c r="L131" s="100" t="str">
        <f ca="1">E122</f>
        <v>Parameter / Factor / Input / Output / "Data column"</v>
      </c>
      <c r="M131" s="98"/>
      <c r="N131" s="98"/>
      <c r="O131" s="98"/>
      <c r="P131" s="98"/>
      <c r="Q131" s="98"/>
      <c r="R131" s="98"/>
      <c r="S131" s="98"/>
      <c r="T131" s="98"/>
      <c r="U131" s="98"/>
      <c r="V131" s="98"/>
      <c r="W131" s="98"/>
      <c r="X131" s="98"/>
      <c r="Y131" s="98"/>
      <c r="Z131" s="98"/>
      <c r="AA131" s="98"/>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x14ac:dyDescent="0.25">
      <c r="A132" s="4" t="str">
        <f ca="1">IFERROR(__xludf.DUMMYFUNCTION("""COMPUTED_VALUE"""),"Yes")</f>
        <v>Yes</v>
      </c>
      <c r="B132" s="4" t="str">
        <f ca="1">IFERROR(__xludf.DUMMYFUNCTION("""COMPUTED_VALUE"""),"Yes")</f>
        <v>Yes</v>
      </c>
      <c r="C132" s="98"/>
      <c r="D132" s="98"/>
      <c r="E132" s="98"/>
      <c r="F132" s="98"/>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x14ac:dyDescent="0.25">
      <c r="A133" s="4" t="str">
        <f ca="1">IFERROR(__xludf.DUMMYFUNCTION("""COMPUTED_VALUE"""),"Yes")</f>
        <v>Yes</v>
      </c>
      <c r="B133" s="4" t="str">
        <f ca="1">IFERROR(__xludf.DUMMYFUNCTION("""COMPUTED_VALUE"""),"Yes")</f>
        <v>Yes</v>
      </c>
      <c r="C133" s="98"/>
      <c r="D133" s="98"/>
      <c r="E133" s="98"/>
      <c r="F133" s="98"/>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x14ac:dyDescent="0.25">
      <c r="A134" s="4" t="str">
        <f ca="1">IFERROR(__xludf.DUMMYFUNCTION("""COMPUTED_VALUE"""),"Yes")</f>
        <v>Yes</v>
      </c>
      <c r="B134" s="4" t="str">
        <f ca="1">IFERROR(__xludf.DUMMYFUNCTION("""COMPUTED_VALUE"""),"No")</f>
        <v>No</v>
      </c>
      <c r="C134" s="98"/>
      <c r="D134" s="98"/>
      <c r="E134" s="98"/>
      <c r="F134" s="98"/>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x14ac:dyDescent="0.25">
      <c r="A135" s="4" t="str">
        <f ca="1">IFERROR(__xludf.DUMMYFUNCTION("""COMPUTED_VALUE"""),"Yes")</f>
        <v>Yes</v>
      </c>
      <c r="B135" s="4" t="str">
        <f ca="1">IFERROR(__xludf.DUMMYFUNCTION("""COMPUTED_VALUE"""),"No")</f>
        <v>No</v>
      </c>
      <c r="C135" s="98"/>
      <c r="D135" s="98"/>
      <c r="E135" s="98"/>
      <c r="F135" s="98"/>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x14ac:dyDescent="0.25">
      <c r="A136" s="4" t="str">
        <f ca="1">IFERROR(__xludf.DUMMYFUNCTION("""COMPUTED_VALUE"""),"Yes")</f>
        <v>Yes</v>
      </c>
      <c r="B136" s="4" t="str">
        <f ca="1">IFERROR(__xludf.DUMMYFUNCTION("""COMPUTED_VALUE"""),"No")</f>
        <v>No</v>
      </c>
      <c r="C136" s="98"/>
      <c r="D136" s="98"/>
      <c r="E136" s="98"/>
      <c r="F136" s="98"/>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x14ac:dyDescent="0.25">
      <c r="A137" s="4" t="str">
        <f ca="1">IFERROR(__xludf.DUMMYFUNCTION("""COMPUTED_VALUE"""),"Yes")</f>
        <v>Yes</v>
      </c>
      <c r="B137" s="4" t="str">
        <f ca="1">IFERROR(__xludf.DUMMYFUNCTION("""COMPUTED_VALUE"""),"No")</f>
        <v>No</v>
      </c>
      <c r="C137" s="98"/>
      <c r="D137" s="98"/>
      <c r="E137" s="98"/>
      <c r="F137" s="98"/>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x14ac:dyDescent="0.25">
      <c r="A138" s="4" t="str">
        <f ca="1">IFERROR(__xludf.DUMMYFUNCTION("""COMPUTED_VALUE"""),"Yes")</f>
        <v>Yes</v>
      </c>
      <c r="B138" s="4" t="str">
        <f ca="1">IFERROR(__xludf.DUMMYFUNCTION("""COMPUTED_VALUE"""),"No")</f>
        <v>No</v>
      </c>
      <c r="C138" s="98"/>
      <c r="D138" s="98"/>
      <c r="E138" s="98"/>
      <c r="F138" s="98"/>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x14ac:dyDescent="0.25">
      <c r="A139" s="4" t="str">
        <f ca="1">IFERROR(__xludf.DUMMYFUNCTION("""COMPUTED_VALUE"""),"Yes")</f>
        <v>Yes</v>
      </c>
      <c r="B139" s="4" t="str">
        <f ca="1">IFERROR(__xludf.DUMMYFUNCTION("""COMPUTED_VALUE"""),"No")</f>
        <v>No</v>
      </c>
      <c r="C139" s="98"/>
      <c r="D139" s="98"/>
      <c r="E139" s="98"/>
      <c r="F139" s="98"/>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x14ac:dyDescent="0.25">
      <c r="A140" s="4" t="str">
        <f ca="1">IFERROR(__xludf.DUMMYFUNCTION("""COMPUTED_VALUE"""),"Yes")</f>
        <v>Yes</v>
      </c>
      <c r="B140" s="4" t="str">
        <f ca="1">IFERROR(__xludf.DUMMYFUNCTION("""COMPUTED_VALUE"""),"No")</f>
        <v>No</v>
      </c>
      <c r="C140" s="98"/>
      <c r="D140" s="98"/>
      <c r="E140" s="99" t="str">
        <f ca="1">IFERROR(__xludf.DUMMYFUNCTION("""COMPUTED_VALUE"""),"Quality measures")</f>
        <v>Quality measures</v>
      </c>
      <c r="F140" s="99"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x14ac:dyDescent="0.25">
      <c r="A141" s="4" t="str">
        <f ca="1">IFERROR(__xludf.DUMMYFUNCTION("""COMPUTED_VALUE"""),"Yes")</f>
        <v>Yes</v>
      </c>
      <c r="B141" s="4" t="str">
        <f ca="1">IFERROR(__xludf.DUMMYFUNCTION("""COMPUTED_VALUE"""),"No")</f>
        <v>No</v>
      </c>
      <c r="C141" s="98"/>
      <c r="D141" s="98"/>
      <c r="E141" s="98"/>
      <c r="F141" s="98"/>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x14ac:dyDescent="0.25">
      <c r="A142" s="4" t="str">
        <f ca="1">IFERROR(__xludf.DUMMYFUNCTION("""COMPUTED_VALUE"""),"Yes")</f>
        <v>Yes</v>
      </c>
      <c r="B142" s="4" t="str">
        <f ca="1">IFERROR(__xludf.DUMMYFUNCTION("""COMPUTED_VALUE"""),"No")</f>
        <v>No</v>
      </c>
      <c r="C142" s="98"/>
      <c r="D142" s="98"/>
      <c r="E142" s="99" t="str">
        <f ca="1">IFERROR(__xludf.DUMMYFUNCTION("""COMPUTED_VALUE"""),"Model equation")</f>
        <v>Model equation</v>
      </c>
      <c r="F142" s="99"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x14ac:dyDescent="0.25">
      <c r="A143" s="4" t="str">
        <f ca="1">IFERROR(__xludf.DUMMYFUNCTION("""COMPUTED_VALUE"""),"Yes")</f>
        <v>Yes</v>
      </c>
      <c r="B143" s="4" t="str">
        <f ca="1">IFERROR(__xludf.DUMMYFUNCTION("""COMPUTED_VALUE"""),"No")</f>
        <v>No</v>
      </c>
      <c r="C143" s="98"/>
      <c r="D143" s="98"/>
      <c r="E143" s="98"/>
      <c r="F143" s="98"/>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x14ac:dyDescent="0.25">
      <c r="A144" s="4" t="str">
        <f ca="1">IFERROR(__xludf.DUMMYFUNCTION("""COMPUTED_VALUE"""),"Yes")</f>
        <v>Yes</v>
      </c>
      <c r="B144" s="4" t="str">
        <f ca="1">IFERROR(__xludf.DUMMYFUNCTION("""COMPUTED_VALUE"""),"No")</f>
        <v>No</v>
      </c>
      <c r="C144" s="98"/>
      <c r="D144" s="98"/>
      <c r="E144" s="98"/>
      <c r="F144" s="98"/>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t="str">
        <f ca="1">IFERROR(__xludf.DUMMYFUNCTION("""COMPUTED_VALUE"""),"Yes")</f>
        <v>Yes</v>
      </c>
      <c r="B145" s="4" t="str">
        <f ca="1">IFERROR(__xludf.DUMMYFUNCTION("""COMPUTED_VALUE"""),"No")</f>
        <v>No</v>
      </c>
      <c r="C145" s="98"/>
      <c r="D145" s="98"/>
      <c r="E145" s="98"/>
      <c r="F145" s="98"/>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t="str">
        <f ca="1">IFERROR(__xludf.DUMMYFUNCTION("""COMPUTED_VALUE"""),"Yes")</f>
        <v>Yes</v>
      </c>
      <c r="B146" s="4" t="str">
        <f ca="1">IFERROR(__xludf.DUMMYFUNCTION("""COMPUTED_VALUE"""),"No")</f>
        <v>No</v>
      </c>
      <c r="C146" s="98"/>
      <c r="D146" s="98"/>
      <c r="E146" s="98"/>
      <c r="F146" s="98"/>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t="str">
        <f ca="1">IFERROR(__xludf.DUMMYFUNCTION("""COMPUTED_VALUE"""),"Yes")</f>
        <v>Yes</v>
      </c>
      <c r="B147" s="4" t="str">
        <f ca="1">IFERROR(__xludf.DUMMYFUNCTION("""COMPUTED_VALUE"""),"No")</f>
        <v>No</v>
      </c>
      <c r="C147" s="98"/>
      <c r="D147" s="98"/>
      <c r="E147" s="98"/>
      <c r="F147" s="98"/>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t="str">
        <f ca="1">IFERROR(__xludf.DUMMYFUNCTION("""COMPUTED_VALUE"""),"Yes")</f>
        <v>Yes</v>
      </c>
      <c r="B148" s="4" t="str">
        <f ca="1">IFERROR(__xludf.DUMMYFUNCTION("""COMPUTED_VALUE"""),"No")</f>
        <v>No</v>
      </c>
      <c r="C148" s="98"/>
      <c r="D148" s="98"/>
      <c r="E148" s="98"/>
      <c r="F148" s="98"/>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t="str">
        <f ca="1">IFERROR(__xludf.DUMMYFUNCTION("""COMPUTED_VALUE"""),"Yes")</f>
        <v>Yes</v>
      </c>
      <c r="B149" s="4" t="str">
        <f ca="1">IFERROR(__xludf.DUMMYFUNCTION("""COMPUTED_VALUE"""),"No")</f>
        <v>No</v>
      </c>
      <c r="C149" s="98"/>
      <c r="D149" s="98"/>
      <c r="E149" s="98"/>
      <c r="F149" s="98"/>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t="str">
        <f ca="1">IFERROR(__xludf.DUMMYFUNCTION("""COMPUTED_VALUE"""),"Yes")</f>
        <v>Yes</v>
      </c>
      <c r="B150" s="4" t="str">
        <f ca="1">IFERROR(__xludf.DUMMYFUNCTION("""COMPUTED_VALUE"""),"No")</f>
        <v>No</v>
      </c>
      <c r="C150" s="98"/>
      <c r="D150" s="98"/>
      <c r="E150" s="5" t="str">
        <f ca="1">IFERROR(__xludf.DUMMYFUNCTION("""COMPUTED_VALUE"""),"Fitting procedure")</f>
        <v>Fitting procedure</v>
      </c>
      <c r="F150" s="99" t="str">
        <f ca="1">IFERROR(__xludf.DUMMYFUNCTION("""COMPUTED_VALUE"""),"0:1")</f>
        <v>0:1</v>
      </c>
      <c r="G150" s="98"/>
      <c r="H150" s="98"/>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t="str">
        <f ca="1">IFERROR(__xludf.DUMMYFUNCTION("""COMPUTED_VALUE"""),"Yes")</f>
        <v>Yes</v>
      </c>
      <c r="B151" s="4" t="str">
        <f ca="1">IFERROR(__xludf.DUMMYFUNCTION("""COMPUTED_VALUE"""),"No")</f>
        <v>No</v>
      </c>
      <c r="C151" s="98"/>
      <c r="D151" s="98"/>
      <c r="E151" s="99" t="str">
        <f ca="1">IFERROR(__xludf.DUMMYFUNCTION("""COMPUTED_VALUE"""),"Exposure")</f>
        <v>Exposure</v>
      </c>
      <c r="F151" s="99"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t="str">
        <f ca="1">IFERROR(__xludf.DUMMYFUNCTION("""COMPUTED_VALUE"""),"Yes")</f>
        <v>Yes</v>
      </c>
      <c r="B152" s="4" t="str">
        <f ca="1">IFERROR(__xludf.DUMMYFUNCTION("""COMPUTED_VALUE"""),"No")</f>
        <v>No</v>
      </c>
      <c r="C152" s="98"/>
      <c r="D152" s="98"/>
      <c r="E152" s="98"/>
      <c r="F152" s="98"/>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t="str">
        <f ca="1">IFERROR(__xludf.DUMMYFUNCTION("""COMPUTED_VALUE"""),"Yes")</f>
        <v>Yes</v>
      </c>
      <c r="B153" s="4" t="str">
        <f ca="1">IFERROR(__xludf.DUMMYFUNCTION("""COMPUTED_VALUE"""),"No")</f>
        <v>No</v>
      </c>
      <c r="C153" s="98"/>
      <c r="D153" s="98"/>
      <c r="E153" s="98"/>
      <c r="F153" s="98"/>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t="str">
        <f ca="1">IFERROR(__xludf.DUMMYFUNCTION("""COMPUTED_VALUE"""),"Yes")</f>
        <v>Yes</v>
      </c>
      <c r="B154" s="4" t="str">
        <f ca="1">IFERROR(__xludf.DUMMYFUNCTION("""COMPUTED_VALUE"""),"No")</f>
        <v>No</v>
      </c>
      <c r="C154" s="98"/>
      <c r="D154" s="98"/>
      <c r="E154" s="98"/>
      <c r="F154" s="98"/>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t="str">
        <f ca="1">IFERROR(__xludf.DUMMYFUNCTION("""COMPUTED_VALUE"""),"Yes")</f>
        <v>Yes</v>
      </c>
      <c r="B155" s="4" t="str">
        <f ca="1">IFERROR(__xludf.DUMMYFUNCTION("""COMPUTED_VALUE"""),"No")</f>
        <v>No</v>
      </c>
      <c r="C155" s="98"/>
      <c r="D155" s="98"/>
      <c r="E155" s="98"/>
      <c r="F155" s="98"/>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t="str">
        <f ca="1">IFERROR(__xludf.DUMMYFUNCTION("""COMPUTED_VALUE"""),"Yes")</f>
        <v>Yes</v>
      </c>
      <c r="B156" s="4" t="str">
        <f ca="1">IFERROR(__xludf.DUMMYFUNCTION("""COMPUTED_VALUE"""),"No")</f>
        <v>No</v>
      </c>
      <c r="C156" s="98"/>
      <c r="D156" s="98"/>
      <c r="E156" s="5" t="str">
        <f ca="1">IFERROR(__xludf.DUMMYFUNCTION("""COMPUTED_VALUE"""),"Events")</f>
        <v>Events</v>
      </c>
      <c r="F156" s="99" t="str">
        <f ca="1">IFERROR(__xludf.DUMMYFUNCTION("""COMPUTED_VALUE"""),"0:N")</f>
        <v>0:N</v>
      </c>
      <c r="G156" s="98"/>
      <c r="H156" s="98"/>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F110:F11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F10:H10"/>
    <mergeCell ref="F7:F8"/>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E113:E121"/>
    <mergeCell ref="E110:E112"/>
    <mergeCell ref="F13:F24"/>
    <mergeCell ref="F25:H25"/>
    <mergeCell ref="F11:H11"/>
    <mergeCell ref="F12:H12"/>
    <mergeCell ref="E76:E77"/>
    <mergeCell ref="F74:H74"/>
    <mergeCell ref="F76:F77"/>
    <mergeCell ref="E28:E32"/>
    <mergeCell ref="F28:F32"/>
    <mergeCell ref="F34:H34"/>
    <mergeCell ref="F33:H33"/>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x14ac:dyDescent="0.25"/>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x14ac:dyDescent="0.3">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9" t="str">
        <f ca="1">E6</f>
        <v>Creator</v>
      </c>
      <c r="M1" s="98"/>
      <c r="N1" s="98"/>
      <c r="O1" s="98"/>
      <c r="P1" s="98"/>
      <c r="Q1" s="98"/>
      <c r="R1" s="98"/>
      <c r="S1" s="98"/>
      <c r="T1" s="98"/>
      <c r="U1" s="98"/>
      <c r="V1" s="98"/>
      <c r="W1" s="98"/>
      <c r="X1" s="98"/>
      <c r="Y1" s="98"/>
      <c r="Z1" s="98"/>
      <c r="AA1" s="4"/>
      <c r="AB1" s="99" t="str">
        <f ca="1">E5</f>
        <v>Author</v>
      </c>
      <c r="AC1" s="98"/>
      <c r="AD1" s="98"/>
      <c r="AE1" s="98"/>
      <c r="AF1" s="98"/>
      <c r="AG1" s="98"/>
      <c r="AH1" s="98"/>
      <c r="AI1" s="98"/>
      <c r="AJ1" s="98"/>
      <c r="AK1" s="98"/>
      <c r="AL1" s="98"/>
      <c r="AM1" s="98"/>
      <c r="AN1" s="98"/>
      <c r="AO1" s="98"/>
      <c r="AP1" s="98"/>
      <c r="AQ1" s="4"/>
      <c r="AR1" s="4"/>
      <c r="AS1" s="4"/>
      <c r="AT1" s="4"/>
      <c r="AU1" s="4"/>
      <c r="AV1" s="4"/>
      <c r="AW1" s="4"/>
    </row>
    <row r="2" spans="1:49"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8"/>
      <c r="D6" s="98"/>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8"/>
      <c r="D7" s="98"/>
      <c r="E7" s="5" t="str">
        <f ca="1">IFERROR(__xludf.DUMMYFUNCTION("""COMPUTED_VALUE"""),"Date")</f>
        <v>Date</v>
      </c>
      <c r="F7" s="99"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8"/>
      <c r="D8" s="98"/>
      <c r="F8" s="98"/>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5"/>
      <c r="J12" s="10"/>
      <c r="K12" s="4"/>
      <c r="L12" s="101" t="str">
        <f ca="1">E13</f>
        <v>References</v>
      </c>
      <c r="M12" s="98"/>
      <c r="N12" s="98"/>
      <c r="O12" s="98"/>
      <c r="P12" s="98"/>
      <c r="Q12" s="98"/>
      <c r="R12" s="98"/>
      <c r="S12" s="98"/>
      <c r="T12" s="98"/>
      <c r="U12" s="98"/>
      <c r="V12" s="98"/>
      <c r="W12" s="98"/>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8"/>
      <c r="D16" s="98"/>
      <c r="E16" s="98"/>
      <c r="F16" s="98"/>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x14ac:dyDescent="0.3">
      <c r="A23" s="4" t="str">
        <f ca="1">IFERROR(__xludf.DUMMYFUNCTION("""COMPUTED_VALUE"""),"Yes")</f>
        <v>Yes</v>
      </c>
      <c r="B23" s="4"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8"/>
      <c r="D24" s="98"/>
      <c r="E24" s="98"/>
      <c r="F24" s="98"/>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99" t="str">
        <f ca="1">IFERROR(__xludf.DUMMYFUNCTION("""COMPUTED_VALUE"""),"0:1")</f>
        <v>0:1</v>
      </c>
      <c r="G26" s="98"/>
      <c r="H26" s="98"/>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8"/>
      <c r="D32" s="98"/>
      <c r="E32" s="98"/>
      <c r="F32" s="98"/>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7" t="str">
        <f ca="1">IFERROR(__xludf.DUMMYFUNCTION("""COMPUTED_VALUE"""),"Scope")</f>
        <v>Scope</v>
      </c>
      <c r="D36" s="97" t="str">
        <f ca="1">IFERROR(__xludf.DUMMYFUNCTION("""COMPUTED_VALUE"""),"1")</f>
        <v>1</v>
      </c>
      <c r="E36" s="99" t="str">
        <f ca="1">IFERROR(__xludf.DUMMYFUNCTION("""COMPUTED_VALUE"""),"Product / matrix")</f>
        <v>Product / matrix</v>
      </c>
      <c r="F36" s="99" t="str">
        <f ca="1">IFERROR(__xludf.DUMMYFUNCTION("""COMPUTED_VALUE"""),"0:N")</f>
        <v>0:N</v>
      </c>
      <c r="G36" s="5" t="str">
        <f ca="1">IFERROR(__xludf.DUMMYFUNCTION("""COMPUTED_VALUE"""),"Product/matrix name")</f>
        <v>Product/matrix name</v>
      </c>
      <c r="H36" s="5" t="str">
        <f ca="1">IFERROR(__xludf.DUMMYFUNCTION("""COMPUTED_VALUE"""),"1")</f>
        <v>1</v>
      </c>
      <c r="I36" s="5"/>
      <c r="J36" s="13"/>
      <c r="K36" s="4"/>
      <c r="L36" s="101" t="str">
        <f ca="1">E36</f>
        <v>Product / matrix</v>
      </c>
      <c r="M36" s="98"/>
      <c r="N36" s="98"/>
      <c r="O36" s="98"/>
      <c r="P36" s="98"/>
      <c r="Q36" s="98"/>
      <c r="R36" s="98"/>
      <c r="S36" s="98"/>
      <c r="T36" s="98"/>
      <c r="U36" s="98"/>
      <c r="V36" s="98"/>
      <c r="W36" s="101" t="str">
        <f ca="1">E47</f>
        <v>Hazard</v>
      </c>
      <c r="X36" s="98"/>
      <c r="Y36" s="98"/>
      <c r="Z36" s="98"/>
      <c r="AA36" s="98"/>
      <c r="AB36" s="98"/>
      <c r="AC36" s="98"/>
      <c r="AD36" s="98"/>
      <c r="AE36" s="98"/>
      <c r="AF36" s="98"/>
      <c r="AG36" s="98"/>
      <c r="AH36" s="98"/>
      <c r="AI36" s="98"/>
      <c r="AJ36" s="98"/>
      <c r="AK36" s="101" t="str">
        <f ca="1">E61</f>
        <v>Population Group</v>
      </c>
      <c r="AL36" s="98"/>
      <c r="AM36" s="98"/>
      <c r="AN36" s="98"/>
      <c r="AO36" s="98"/>
      <c r="AP36" s="98"/>
      <c r="AQ36" s="98"/>
      <c r="AR36" s="98"/>
      <c r="AS36" s="98"/>
      <c r="AT36" s="98"/>
      <c r="AU36" s="98"/>
      <c r="AV36" s="98"/>
      <c r="AW36" s="98"/>
    </row>
    <row r="37" spans="1:49" ht="12.5" x14ac:dyDescent="0.25">
      <c r="A37" s="4" t="str">
        <f ca="1">IFERROR(__xludf.DUMMYFUNCTION("""COMPUTED_VALUE"""),"Yes")</f>
        <v>Yes</v>
      </c>
      <c r="B37" s="4" t="str">
        <f ca="1">IFERROR(__xludf.DUMMYFUNCTION("""COMPUTED_VALUE"""),"Yes")</f>
        <v>Yes</v>
      </c>
      <c r="C37" s="98"/>
      <c r="D37" s="98"/>
      <c r="E37" s="98"/>
      <c r="F37" s="98"/>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8"/>
      <c r="D38" s="98"/>
      <c r="E38" s="98"/>
      <c r="F38" s="98"/>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8"/>
      <c r="D39" s="98"/>
      <c r="E39" s="98"/>
      <c r="F39" s="98"/>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8"/>
      <c r="D40" s="98"/>
      <c r="E40" s="98"/>
      <c r="F40" s="98"/>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8"/>
      <c r="D41" s="98"/>
      <c r="E41" s="98"/>
      <c r="F41" s="98"/>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8"/>
      <c r="D42" s="98"/>
      <c r="E42" s="98"/>
      <c r="F42" s="98"/>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8"/>
      <c r="D43" s="98"/>
      <c r="E43" s="98"/>
      <c r="F43" s="98"/>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8"/>
      <c r="D44" s="98"/>
      <c r="E44" s="98"/>
      <c r="F44" s="98"/>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8"/>
      <c r="D45" s="98"/>
      <c r="E45" s="98"/>
      <c r="F45" s="98"/>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8"/>
      <c r="D46" s="98"/>
      <c r="E46" s="98"/>
      <c r="F46" s="98"/>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8"/>
      <c r="D47" s="98"/>
      <c r="E47" s="99" t="str">
        <f ca="1">IFERROR(__xludf.DUMMYFUNCTION("""COMPUTED_VALUE"""),"Hazard")</f>
        <v>Hazard</v>
      </c>
      <c r="F47" s="99"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8"/>
      <c r="D48" s="98"/>
      <c r="E48" s="98"/>
      <c r="F48" s="98"/>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8"/>
      <c r="D49" s="98"/>
      <c r="E49" s="98"/>
      <c r="F49" s="98"/>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8"/>
      <c r="D50" s="98"/>
      <c r="E50" s="98"/>
      <c r="F50" s="98"/>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8"/>
      <c r="D51" s="98"/>
      <c r="E51" s="98"/>
      <c r="F51" s="98"/>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x14ac:dyDescent="0.25">
      <c r="A52" s="4" t="str">
        <f ca="1">IFERROR(__xludf.DUMMYFUNCTION("""COMPUTED_VALUE"""),"Yes")</f>
        <v>Yes</v>
      </c>
      <c r="B52" s="4" t="str">
        <f ca="1">IFERROR(__xludf.DUMMYFUNCTION("""COMPUTED_VALUE"""),"No")</f>
        <v>No</v>
      </c>
      <c r="C52" s="98"/>
      <c r="D52" s="98"/>
      <c r="E52" s="98"/>
      <c r="F52" s="98"/>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x14ac:dyDescent="0.25">
      <c r="A53" s="4" t="str">
        <f ca="1">IFERROR(__xludf.DUMMYFUNCTION("""COMPUTED_VALUE"""),"Yes")</f>
        <v>Yes</v>
      </c>
      <c r="B53" s="4" t="str">
        <f ca="1">IFERROR(__xludf.DUMMYFUNCTION("""COMPUTED_VALUE"""),"No")</f>
        <v>No</v>
      </c>
      <c r="C53" s="98"/>
      <c r="D53" s="98"/>
      <c r="E53" s="98"/>
      <c r="F53" s="98"/>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8"/>
      <c r="D54" s="98"/>
      <c r="E54" s="98"/>
      <c r="F54" s="98"/>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8"/>
      <c r="D55" s="98"/>
      <c r="E55" s="98"/>
      <c r="F55" s="98"/>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8"/>
      <c r="D56" s="98"/>
      <c r="E56" s="98"/>
      <c r="F56" s="98"/>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8"/>
      <c r="D57" s="98"/>
      <c r="E57" s="98"/>
      <c r="F57" s="98"/>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8"/>
      <c r="D58" s="98"/>
      <c r="E58" s="98"/>
      <c r="F58" s="98"/>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8"/>
      <c r="D59" s="98"/>
      <c r="E59" s="98"/>
      <c r="F59" s="98"/>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8"/>
      <c r="D60" s="98"/>
      <c r="E60" s="98"/>
      <c r="F60" s="98"/>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IFERROR(__xludf.DUMMYFUNCTION("""COMPUTED_VALUE"""),"No")</f>
        <v>No</v>
      </c>
      <c r="C61" s="98"/>
      <c r="D61" s="98"/>
      <c r="E61" s="99" t="str">
        <f ca="1">IFERROR(__xludf.DUMMYFUNCTION("""COMPUTED_VALUE"""),"Population Group")</f>
        <v>Population Group</v>
      </c>
      <c r="F61" s="99"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x14ac:dyDescent="0.25">
      <c r="A62" s="4" t="str">
        <f ca="1">IFERROR(__xludf.DUMMYFUNCTION("""COMPUTED_VALUE"""),"Yes")</f>
        <v>Yes</v>
      </c>
      <c r="B62" s="4" t="str">
        <f ca="1">IFERROR(__xludf.DUMMYFUNCTION("""COMPUTED_VALUE"""),"No")</f>
        <v>No</v>
      </c>
      <c r="C62" s="98"/>
      <c r="D62" s="98"/>
      <c r="E62" s="98"/>
      <c r="F62" s="98"/>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8"/>
      <c r="D63" s="98"/>
      <c r="E63" s="98"/>
      <c r="F63" s="98"/>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8"/>
      <c r="D64" s="98"/>
      <c r="E64" s="98"/>
      <c r="F64" s="98"/>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8"/>
      <c r="D65" s="98"/>
      <c r="E65" s="98"/>
      <c r="F65" s="98"/>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8"/>
      <c r="D66" s="98"/>
      <c r="E66" s="98"/>
      <c r="F66" s="98"/>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8"/>
      <c r="D67" s="98"/>
      <c r="E67" s="98"/>
      <c r="F67" s="98"/>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8"/>
      <c r="D68" s="98"/>
      <c r="E68" s="98"/>
      <c r="F68" s="98"/>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8"/>
      <c r="D69" s="98"/>
      <c r="E69" s="98"/>
      <c r="F69" s="98"/>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8"/>
      <c r="D70" s="98"/>
      <c r="E70" s="98"/>
      <c r="F70" s="98"/>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8"/>
      <c r="D71" s="98"/>
      <c r="E71" s="98"/>
      <c r="F71" s="98"/>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8"/>
      <c r="D72" s="98"/>
      <c r="E72" s="98"/>
      <c r="F72" s="98"/>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8"/>
      <c r="D73" s="98"/>
      <c r="E73" s="98"/>
      <c r="F73" s="98"/>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8"/>
      <c r="D74" s="98"/>
      <c r="E74" s="5" t="str">
        <f ca="1">IFERROR(__xludf.DUMMYFUNCTION("""COMPUTED_VALUE"""),"General comment")</f>
        <v>General comment</v>
      </c>
      <c r="F74" s="99" t="str">
        <f ca="1">IFERROR(__xludf.DUMMYFUNCTION("""COMPUTED_VALUE"""),"0:1")</f>
        <v>0:1</v>
      </c>
      <c r="G74" s="98"/>
      <c r="H74" s="98"/>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8"/>
      <c r="D75" s="98"/>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8"/>
      <c r="D76" s="98"/>
      <c r="E76" s="99" t="str">
        <f ca="1">IFERROR(__xludf.DUMMYFUNCTION("""COMPUTED_VALUE"""),"Spatial information")</f>
        <v>Spatial information</v>
      </c>
      <c r="F76" s="99"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8"/>
      <c r="D77" s="98"/>
      <c r="E77" s="98"/>
      <c r="F77" s="98"/>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7" t="str">
        <f ca="1">IFERROR(__xludf.DUMMYFUNCTION("""COMPUTED_VALUE"""),"Data_background")</f>
        <v>Data_background</v>
      </c>
      <c r="D78" s="97" t="str">
        <f ca="1">IFERROR(__xludf.DUMMYFUNCTION("""COMPUTED_VALUE"""),"0:1")</f>
        <v>0:1</v>
      </c>
      <c r="E78" s="99" t="str">
        <f ca="1">IFERROR(__xludf.DUMMYFUNCTION("""COMPUTED_VALUE"""),"Study")</f>
        <v>Study</v>
      </c>
      <c r="F78" s="99"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8"/>
      <c r="D79" s="98"/>
      <c r="E79" s="98"/>
      <c r="F79" s="98"/>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8"/>
      <c r="D80" s="98"/>
      <c r="E80" s="98"/>
      <c r="F80" s="98"/>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8"/>
      <c r="D81" s="98"/>
      <c r="E81" s="98"/>
      <c r="F81" s="98"/>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8"/>
      <c r="D82" s="98"/>
      <c r="E82" s="98"/>
      <c r="F82" s="98"/>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8"/>
      <c r="D83" s="98"/>
      <c r="E83" s="98"/>
      <c r="F83" s="98"/>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8"/>
      <c r="D84" s="98"/>
      <c r="E84" s="98"/>
      <c r="F84" s="98"/>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8"/>
      <c r="D85" s="98"/>
      <c r="E85" s="98"/>
      <c r="F85" s="98"/>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8"/>
      <c r="D86" s="98"/>
      <c r="E86" s="98"/>
      <c r="F86" s="98"/>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8"/>
      <c r="D87" s="98"/>
      <c r="E87" s="98"/>
      <c r="F87" s="98"/>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8"/>
      <c r="D88" s="98"/>
      <c r="E88" s="98"/>
      <c r="F88" s="98"/>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8"/>
      <c r="D89" s="98"/>
      <c r="E89" s="98"/>
      <c r="F89" s="98"/>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8"/>
      <c r="D90" s="98"/>
      <c r="E90" s="98"/>
      <c r="F90" s="98"/>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8"/>
      <c r="D91" s="98"/>
      <c r="E91" s="98"/>
      <c r="F91" s="98"/>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8"/>
      <c r="D92" s="98"/>
      <c r="E92" s="98"/>
      <c r="F92" s="98"/>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8"/>
      <c r="D93" s="98"/>
      <c r="E93" s="98"/>
      <c r="F93" s="98"/>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8"/>
      <c r="D94" s="98"/>
      <c r="E94" s="99" t="str">
        <f ca="1">IFERROR(__xludf.DUMMYFUNCTION("""COMPUTED_VALUE"""),"Study Sample")</f>
        <v>Study Sample</v>
      </c>
      <c r="F94" s="99" t="str">
        <f ca="1">IFERROR(__xludf.DUMMYFUNCTION("""COMPUTED_VALUE"""),"0:N")</f>
        <v>0:N</v>
      </c>
      <c r="G94" s="5" t="str">
        <f ca="1">IFERROR(__xludf.DUMMYFUNCTION("""COMPUTED_VALUE"""),"Sample Name (ID)")</f>
        <v>Sample Name (ID)</v>
      </c>
      <c r="H94" s="5" t="str">
        <f ca="1">IFERROR(__xludf.DUMMYFUNCTION("""COMPUTED_VALUE"""),"1")</f>
        <v>1</v>
      </c>
      <c r="I94" s="5"/>
      <c r="J94" s="13"/>
      <c r="K94" s="4"/>
      <c r="L94" s="101" t="str">
        <f ca="1">E94</f>
        <v>Study Sample</v>
      </c>
      <c r="M94" s="98"/>
      <c r="N94" s="98"/>
      <c r="O94" s="98"/>
      <c r="P94" s="98"/>
      <c r="Q94" s="98"/>
      <c r="R94" s="98"/>
      <c r="S94" s="98"/>
      <c r="T94" s="98"/>
      <c r="U94" s="98"/>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8"/>
      <c r="D95" s="98"/>
      <c r="E95" s="98"/>
      <c r="F95" s="98"/>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8"/>
      <c r="D96" s="98"/>
      <c r="E96" s="98"/>
      <c r="F96" s="98"/>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8"/>
      <c r="D97" s="98"/>
      <c r="E97" s="98"/>
      <c r="F97" s="98"/>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8"/>
      <c r="D98" s="98"/>
      <c r="E98" s="98"/>
      <c r="F98" s="98"/>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8"/>
      <c r="D99" s="98"/>
      <c r="E99" s="98"/>
      <c r="F99" s="98"/>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8"/>
      <c r="D100" s="98"/>
      <c r="E100" s="98"/>
      <c r="F100" s="98"/>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8"/>
      <c r="D101" s="98"/>
      <c r="E101" s="98"/>
      <c r="F101" s="98"/>
      <c r="G101" s="5" t="str">
        <f ca="1">IFERROR(__xludf.DUMMYFUNCTION("""COMPUTED_VALUE"""),"Sampling size")</f>
        <v>Sampling size</v>
      </c>
      <c r="H101" s="5" t="str">
        <f ca="1">IFERROR(__xludf.DUMMYFUNCTION("""COMPUTED_VALUE"""),"1")</f>
        <v>1</v>
      </c>
      <c r="I101" s="5"/>
      <c r="J101" s="13"/>
      <c r="K101" s="4"/>
      <c r="L101" s="101" t="str">
        <f ca="1">E104</f>
        <v>Laboratory</v>
      </c>
      <c r="M101" s="98"/>
      <c r="N101" s="98"/>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8"/>
      <c r="D102" s="98"/>
      <c r="E102" s="98"/>
      <c r="F102" s="98"/>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8"/>
      <c r="D103" s="98"/>
      <c r="E103" s="98"/>
      <c r="F103" s="98"/>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8"/>
      <c r="D104" s="98"/>
      <c r="E104" s="99" t="str">
        <f ca="1">IFERROR(__xludf.DUMMYFUNCTION("""COMPUTED_VALUE"""),"Laboratory")</f>
        <v>Laboratory</v>
      </c>
      <c r="F104" s="99"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8"/>
      <c r="D105" s="98"/>
      <c r="E105" s="98"/>
      <c r="F105" s="98"/>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8"/>
      <c r="D106" s="98"/>
      <c r="E106" s="98"/>
      <c r="F106" s="98"/>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8"/>
      <c r="D107" s="98"/>
      <c r="E107" s="99" t="str">
        <f ca="1">IFERROR(__xludf.DUMMYFUNCTION("""COMPUTED_VALUE"""),"Assay")</f>
        <v>Assay</v>
      </c>
      <c r="F107" s="99" t="str">
        <f ca="1">IFERROR(__xludf.DUMMYFUNCTION("""COMPUTED_VALUE"""),"0:N")</f>
        <v>0:N</v>
      </c>
      <c r="G107" s="5" t="str">
        <f ca="1">IFERROR(__xludf.DUMMYFUNCTION("""COMPUTED_VALUE"""),"Assay Name")</f>
        <v>Assay Name</v>
      </c>
      <c r="H107" s="5" t="str">
        <f ca="1">IFERROR(__xludf.DUMMYFUNCTION("""COMPUTED_VALUE"""),"1")</f>
        <v>1</v>
      </c>
      <c r="I107" s="5"/>
      <c r="J107" s="13"/>
      <c r="K107" s="4"/>
      <c r="L107" s="101" t="str">
        <f ca="1">E107</f>
        <v>Assay</v>
      </c>
      <c r="M107" s="98"/>
      <c r="N107" s="98"/>
      <c r="O107" s="98"/>
      <c r="P107" s="98"/>
      <c r="Q107" s="98"/>
      <c r="R107" s="98"/>
      <c r="S107" s="98"/>
      <c r="T107" s="98"/>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8"/>
      <c r="D108" s="98"/>
      <c r="E108" s="98"/>
      <c r="F108" s="98"/>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8"/>
      <c r="D109" s="98"/>
      <c r="E109" s="98"/>
      <c r="F109" s="98"/>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8"/>
      <c r="D110" s="98"/>
      <c r="E110" s="98"/>
      <c r="F110" s="98"/>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8"/>
      <c r="D111" s="98"/>
      <c r="E111" s="98"/>
      <c r="F111" s="98"/>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8"/>
      <c r="D112" s="98"/>
      <c r="E112" s="98"/>
      <c r="F112" s="98"/>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8"/>
      <c r="D113" s="98"/>
      <c r="E113" s="98"/>
      <c r="F113" s="98"/>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8"/>
      <c r="D114" s="98"/>
      <c r="E114" s="98"/>
      <c r="F114" s="98"/>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8"/>
      <c r="D115" s="98"/>
      <c r="E115" s="98"/>
      <c r="F115" s="98"/>
      <c r="G115" s="5" t="str">
        <f ca="1">IFERROR(__xludf.DUMMYFUNCTION("""COMPUTED_VALUE"""),"Uncertainty value")</f>
        <v>Uncertainty value</v>
      </c>
      <c r="H115" s="5" t="str">
        <f ca="1">IFERROR(__xludf.DUMMYFUNCTION("""COMPUTED_VALUE"""),"0:1")</f>
        <v>0:1</v>
      </c>
      <c r="I115" s="5"/>
      <c r="J115" s="13"/>
      <c r="K115" s="4"/>
      <c r="L115" s="23"/>
      <c r="M115" s="100" t="str">
        <f ca="1">E134</f>
        <v>Quality measures</v>
      </c>
      <c r="N115" s="98"/>
      <c r="O115" s="23"/>
      <c r="P115" s="100" t="str">
        <f ca="1">E136</f>
        <v>Model equation</v>
      </c>
      <c r="Q115" s="98"/>
      <c r="R115" s="98"/>
      <c r="S115" s="98"/>
      <c r="T115" s="98"/>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IFERROR(__xludf.DUMMYFUNCTION("""COMPUTED_VALUE"""),"Yes")</f>
        <v>Yes</v>
      </c>
      <c r="C116" s="97" t="str">
        <f ca="1">IFERROR(__xludf.DUMMYFUNCTION("""COMPUTED_VALUE"""),"Model math / Data definition")</f>
        <v>Model math / Data definition</v>
      </c>
      <c r="D116" s="97" t="str">
        <f ca="1">IFERROR(__xludf.DUMMYFUNCTION("""COMPUTED_VALUE"""),"1")</f>
        <v>1</v>
      </c>
      <c r="E116" s="99" t="str">
        <f ca="1">IFERROR(__xludf.DUMMYFUNCTION("""COMPUTED_VALUE"""),"Parameter / Factor / Input / Output / ""Data column""")</f>
        <v>Parameter / Factor / Input / Output / "Data column"</v>
      </c>
      <c r="F116" s="99"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IFERROR(__xludf.DUMMYFUNCTION("""COMPUTED_VALUE"""),"Yes")</f>
        <v>Yes</v>
      </c>
      <c r="C117" s="98"/>
      <c r="D117" s="98"/>
      <c r="E117" s="98"/>
      <c r="F117" s="98"/>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IFERROR(__xludf.DUMMYFUNCTION("""COMPUTED_VALUE"""),"Yes")</f>
        <v>Yes</v>
      </c>
      <c r="C118" s="98"/>
      <c r="D118" s="98"/>
      <c r="E118" s="98"/>
      <c r="F118" s="98"/>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8"/>
      <c r="D119" s="98"/>
      <c r="E119" s="98"/>
      <c r="F119" s="98"/>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IFERROR(__xludf.DUMMYFUNCTION("""COMPUTED_VALUE"""),"Yes")</f>
        <v>Yes</v>
      </c>
      <c r="C120" s="98"/>
      <c r="D120" s="98"/>
      <c r="E120" s="98"/>
      <c r="F120" s="98"/>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8"/>
      <c r="D121" s="98"/>
      <c r="E121" s="98"/>
      <c r="F121" s="98"/>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8"/>
      <c r="D122" s="98"/>
      <c r="E122" s="98"/>
      <c r="F122" s="98"/>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IFERROR(__xludf.DUMMYFUNCTION("""COMPUTED_VALUE"""),"No")</f>
        <v>No</v>
      </c>
      <c r="C123" s="98"/>
      <c r="D123" s="98"/>
      <c r="E123" s="98"/>
      <c r="F123" s="98"/>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8"/>
      <c r="D124" s="98"/>
      <c r="E124" s="98"/>
      <c r="F124" s="98"/>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IFERROR(__xludf.DUMMYFUNCTION("""COMPUTED_VALUE"""),"Yes")</f>
        <v>Yes</v>
      </c>
      <c r="C125" s="98"/>
      <c r="D125" s="98"/>
      <c r="E125" s="98"/>
      <c r="F125" s="98"/>
      <c r="G125" s="5" t="str">
        <f ca="1">IFERROR(__xludf.DUMMYFUNCTION("""COMPUTED_VALUE"""),"Parameter distribution")</f>
        <v>Parameter distribution</v>
      </c>
      <c r="H125" s="5" t="str">
        <f ca="1">IFERROR(__xludf.DUMMYFUNCTION("""COMPUTED_VALUE"""),"0:1")</f>
        <v>0:1</v>
      </c>
      <c r="I125" s="5"/>
      <c r="J125" s="41"/>
      <c r="K125" s="35" t="s">
        <v>23</v>
      </c>
      <c r="L125" s="100" t="str">
        <f ca="1">E116</f>
        <v>Parameter / Factor / Input / Output / "Data column"</v>
      </c>
      <c r="M125" s="98"/>
      <c r="N125" s="98"/>
      <c r="O125" s="98"/>
      <c r="P125" s="98"/>
      <c r="Q125" s="98"/>
      <c r="R125" s="98"/>
      <c r="S125" s="98"/>
      <c r="T125" s="98"/>
      <c r="U125" s="98"/>
      <c r="V125" s="98"/>
      <c r="W125" s="98"/>
      <c r="X125" s="98"/>
      <c r="Y125" s="98"/>
      <c r="Z125" s="98"/>
      <c r="AA125" s="98"/>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x14ac:dyDescent="0.25">
      <c r="A126" s="4" t="str">
        <f ca="1">IFERROR(__xludf.DUMMYFUNCTION("""COMPUTED_VALUE"""),"Yes")</f>
        <v>Yes</v>
      </c>
      <c r="B126" s="4" t="str">
        <f ca="1">IFERROR(__xludf.DUMMYFUNCTION("""COMPUTED_VALUE"""),"Yes")</f>
        <v>Yes</v>
      </c>
      <c r="C126" s="98"/>
      <c r="D126" s="98"/>
      <c r="E126" s="98"/>
      <c r="F126" s="98"/>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x14ac:dyDescent="0.25">
      <c r="A127" s="4" t="str">
        <f ca="1">IFERROR(__xludf.DUMMYFUNCTION("""COMPUTED_VALUE"""),"Yes")</f>
        <v>Yes</v>
      </c>
      <c r="B127" s="4" t="str">
        <f ca="1">IFERROR(__xludf.DUMMYFUNCTION("""COMPUTED_VALUE"""),"Yes")</f>
        <v>Yes</v>
      </c>
      <c r="C127" s="98"/>
      <c r="D127" s="98"/>
      <c r="E127" s="98"/>
      <c r="F127" s="98"/>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x14ac:dyDescent="0.25">
      <c r="A128" s="4" t="str">
        <f ca="1">IFERROR(__xludf.DUMMYFUNCTION("""COMPUTED_VALUE"""),"Yes")</f>
        <v>Yes</v>
      </c>
      <c r="B128" s="4" t="str">
        <f ca="1">IFERROR(__xludf.DUMMYFUNCTION("""COMPUTED_VALUE"""),"No")</f>
        <v>No</v>
      </c>
      <c r="C128" s="98"/>
      <c r="D128" s="98"/>
      <c r="E128" s="98"/>
      <c r="F128" s="98"/>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8"/>
      <c r="D129" s="98"/>
      <c r="E129" s="98"/>
      <c r="F129" s="98"/>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IFERROR(__xludf.DUMMYFUNCTION("""COMPUTED_VALUE"""),"No")</f>
        <v>No</v>
      </c>
      <c r="C130" s="98"/>
      <c r="D130" s="98"/>
      <c r="E130" s="98"/>
      <c r="F130" s="98"/>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x14ac:dyDescent="0.25">
      <c r="A131" s="4" t="str">
        <f ca="1">IFERROR(__xludf.DUMMYFUNCTION("""COMPUTED_VALUE"""),"Yes")</f>
        <v>Yes</v>
      </c>
      <c r="B131" s="4" t="str">
        <f ca="1">IFERROR(__xludf.DUMMYFUNCTION("""COMPUTED_VALUE"""),"No")</f>
        <v>No</v>
      </c>
      <c r="C131" s="98"/>
      <c r="D131" s="98"/>
      <c r="E131" s="98"/>
      <c r="F131" s="98"/>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x14ac:dyDescent="0.25">
      <c r="A132" s="4" t="str">
        <f ca="1">IFERROR(__xludf.DUMMYFUNCTION("""COMPUTED_VALUE"""),"Yes")</f>
        <v>Yes</v>
      </c>
      <c r="B132" s="4" t="str">
        <f ca="1">IFERROR(__xludf.DUMMYFUNCTION("""COMPUTED_VALUE"""),"No")</f>
        <v>No</v>
      </c>
      <c r="C132" s="98"/>
      <c r="D132" s="98"/>
      <c r="E132" s="98"/>
      <c r="F132" s="98"/>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x14ac:dyDescent="0.25">
      <c r="A133" s="4" t="str">
        <f ca="1">IFERROR(__xludf.DUMMYFUNCTION("""COMPUTED_VALUE"""),"Yes")</f>
        <v>Yes</v>
      </c>
      <c r="B133" s="4" t="str">
        <f ca="1">IFERROR(__xludf.DUMMYFUNCTION("""COMPUTED_VALUE"""),"No")</f>
        <v>No</v>
      </c>
      <c r="C133" s="98"/>
      <c r="D133" s="98"/>
      <c r="E133" s="98"/>
      <c r="F133" s="98"/>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x14ac:dyDescent="0.25">
      <c r="A134" s="4" t="str">
        <f ca="1">IFERROR(__xludf.DUMMYFUNCTION("""COMPUTED_VALUE"""),"Yes")</f>
        <v>Yes</v>
      </c>
      <c r="B134" s="4" t="str">
        <f ca="1">IFERROR(__xludf.DUMMYFUNCTION("""COMPUTED_VALUE"""),"No")</f>
        <v>No</v>
      </c>
      <c r="C134" s="98"/>
      <c r="D134" s="98"/>
      <c r="E134" s="99" t="str">
        <f ca="1">IFERROR(__xludf.DUMMYFUNCTION("""COMPUTED_VALUE"""),"Quality measures")</f>
        <v>Quality measures</v>
      </c>
      <c r="F134" s="99"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x14ac:dyDescent="0.25">
      <c r="A135" s="4" t="str">
        <f ca="1">IFERROR(__xludf.DUMMYFUNCTION("""COMPUTED_VALUE"""),"Yes")</f>
        <v>Yes</v>
      </c>
      <c r="B135" s="4" t="str">
        <f ca="1">IFERROR(__xludf.DUMMYFUNCTION("""COMPUTED_VALUE"""),"No")</f>
        <v>No</v>
      </c>
      <c r="C135" s="98"/>
      <c r="D135" s="98"/>
      <c r="E135" s="98"/>
      <c r="F135" s="98"/>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x14ac:dyDescent="0.25">
      <c r="A136" s="4" t="str">
        <f ca="1">IFERROR(__xludf.DUMMYFUNCTION("""COMPUTED_VALUE"""),"Yes")</f>
        <v>Yes</v>
      </c>
      <c r="B136" s="4" t="str">
        <f ca="1">IFERROR(__xludf.DUMMYFUNCTION("""COMPUTED_VALUE"""),"No")</f>
        <v>No</v>
      </c>
      <c r="C136" s="98"/>
      <c r="D136" s="98"/>
      <c r="E136" s="99" t="str">
        <f ca="1">IFERROR(__xludf.DUMMYFUNCTION("""COMPUTED_VALUE"""),"Model equation")</f>
        <v>Model equation</v>
      </c>
      <c r="F136" s="99"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x14ac:dyDescent="0.25">
      <c r="A137" s="4" t="str">
        <f ca="1">IFERROR(__xludf.DUMMYFUNCTION("""COMPUTED_VALUE"""),"Yes")</f>
        <v>Yes</v>
      </c>
      <c r="B137" s="4" t="str">
        <f ca="1">IFERROR(__xludf.DUMMYFUNCTION("""COMPUTED_VALUE"""),"No")</f>
        <v>No</v>
      </c>
      <c r="C137" s="98"/>
      <c r="D137" s="98"/>
      <c r="E137" s="98"/>
      <c r="F137" s="98"/>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x14ac:dyDescent="0.25">
      <c r="A138" s="4" t="str">
        <f ca="1">IFERROR(__xludf.DUMMYFUNCTION("""COMPUTED_VALUE"""),"Yes")</f>
        <v>Yes</v>
      </c>
      <c r="B138" s="4" t="str">
        <f ca="1">IFERROR(__xludf.DUMMYFUNCTION("""COMPUTED_VALUE"""),"No")</f>
        <v>No</v>
      </c>
      <c r="C138" s="98"/>
      <c r="D138" s="98"/>
      <c r="E138" s="98"/>
      <c r="F138" s="98"/>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x14ac:dyDescent="0.25">
      <c r="A139" s="4" t="str">
        <f ca="1">IFERROR(__xludf.DUMMYFUNCTION("""COMPUTED_VALUE"""),"Yes")</f>
        <v>Yes</v>
      </c>
      <c r="B139" s="4" t="str">
        <f ca="1">IFERROR(__xludf.DUMMYFUNCTION("""COMPUTED_VALUE"""),"No")</f>
        <v>No</v>
      </c>
      <c r="C139" s="98"/>
      <c r="D139" s="98"/>
      <c r="E139" s="98"/>
      <c r="F139" s="98"/>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x14ac:dyDescent="0.25">
      <c r="A140" s="4" t="str">
        <f ca="1">IFERROR(__xludf.DUMMYFUNCTION("""COMPUTED_VALUE"""),"Yes")</f>
        <v>Yes</v>
      </c>
      <c r="B140" s="4" t="str">
        <f ca="1">IFERROR(__xludf.DUMMYFUNCTION("""COMPUTED_VALUE"""),"No")</f>
        <v>No</v>
      </c>
      <c r="C140" s="98"/>
      <c r="D140" s="98"/>
      <c r="E140" s="98"/>
      <c r="F140" s="98"/>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x14ac:dyDescent="0.25">
      <c r="A141" s="4" t="str">
        <f ca="1">IFERROR(__xludf.DUMMYFUNCTION("""COMPUTED_VALUE"""),"Yes")</f>
        <v>Yes</v>
      </c>
      <c r="B141" s="4" t="str">
        <f ca="1">IFERROR(__xludf.DUMMYFUNCTION("""COMPUTED_VALUE"""),"No")</f>
        <v>No</v>
      </c>
      <c r="C141" s="98"/>
      <c r="D141" s="98"/>
      <c r="E141" s="98"/>
      <c r="F141" s="98"/>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x14ac:dyDescent="0.25">
      <c r="A142" s="4" t="str">
        <f ca="1">IFERROR(__xludf.DUMMYFUNCTION("""COMPUTED_VALUE"""),"Yes")</f>
        <v>Yes</v>
      </c>
      <c r="B142" s="4" t="str">
        <f ca="1">IFERROR(__xludf.DUMMYFUNCTION("""COMPUTED_VALUE"""),"No")</f>
        <v>No</v>
      </c>
      <c r="C142" s="98"/>
      <c r="D142" s="98"/>
      <c r="E142" s="98"/>
      <c r="F142" s="98"/>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x14ac:dyDescent="0.25">
      <c r="A143" s="4" t="str">
        <f ca="1">IFERROR(__xludf.DUMMYFUNCTION("""COMPUTED_VALUE"""),"Yes")</f>
        <v>Yes</v>
      </c>
      <c r="B143" s="4" t="str">
        <f ca="1">IFERROR(__xludf.DUMMYFUNCTION("""COMPUTED_VALUE"""),"No")</f>
        <v>No</v>
      </c>
      <c r="C143" s="98"/>
      <c r="D143" s="98"/>
      <c r="E143" s="98"/>
      <c r="F143" s="98"/>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x14ac:dyDescent="0.25">
      <c r="A144" s="4" t="str">
        <f ca="1">IFERROR(__xludf.DUMMYFUNCTION("""COMPUTED_VALUE"""),"Yes")</f>
        <v>Yes</v>
      </c>
      <c r="B144" s="4" t="str">
        <f ca="1">IFERROR(__xludf.DUMMYFUNCTION("""COMPUTED_VALUE"""),"No")</f>
        <v>No</v>
      </c>
      <c r="C144" s="98"/>
      <c r="D144" s="98"/>
      <c r="E144" s="5" t="str">
        <f ca="1">IFERROR(__xludf.DUMMYFUNCTION("""COMPUTED_VALUE"""),"Fitting procedure")</f>
        <v>Fitting procedure</v>
      </c>
      <c r="F144" s="99" t="str">
        <f ca="1">IFERROR(__xludf.DUMMYFUNCTION("""COMPUTED_VALUE"""),"0:1")</f>
        <v>0:1</v>
      </c>
      <c r="G144" s="98"/>
      <c r="H144" s="98"/>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x14ac:dyDescent="0.25"/>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x14ac:dyDescent="0.3">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9" t="str">
        <f ca="1">E6</f>
        <v>Creator</v>
      </c>
      <c r="M1" s="98"/>
      <c r="N1" s="98"/>
      <c r="O1" s="98"/>
      <c r="P1" s="98"/>
      <c r="Q1" s="98"/>
      <c r="R1" s="98"/>
      <c r="S1" s="98"/>
      <c r="T1" s="98"/>
      <c r="U1" s="98"/>
      <c r="V1" s="98"/>
      <c r="W1" s="98"/>
      <c r="X1" s="98"/>
      <c r="Y1" s="98"/>
      <c r="Z1" s="98"/>
      <c r="AA1" s="4"/>
      <c r="AB1" s="99" t="str">
        <f ca="1">E5</f>
        <v>Author</v>
      </c>
      <c r="AC1" s="98"/>
      <c r="AD1" s="98"/>
      <c r="AE1" s="98"/>
      <c r="AF1" s="98"/>
      <c r="AG1" s="98"/>
      <c r="AH1" s="98"/>
      <c r="AI1" s="98"/>
      <c r="AJ1" s="98"/>
      <c r="AK1" s="98"/>
      <c r="AL1" s="98"/>
      <c r="AM1" s="98"/>
      <c r="AN1" s="98"/>
      <c r="AO1" s="98"/>
      <c r="AP1" s="98"/>
      <c r="AQ1" s="4"/>
      <c r="AR1" s="4"/>
      <c r="AS1" s="4"/>
      <c r="AT1" s="4"/>
      <c r="AU1" s="4"/>
      <c r="AV1" s="4"/>
      <c r="AW1" s="4"/>
    </row>
    <row r="2" spans="1:49"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IFERROR(__xludf.DUMMYFUNCTION("""COMPUTED_VALUE"""),"Data name")</f>
        <v>Data name</v>
      </c>
      <c r="F2" s="99" t="str">
        <f ca="1">IFERROR(__xludf.DUMMYFUNCTION("""COMPUTED_VALUE"""),"1")</f>
        <v>1</v>
      </c>
      <c r="G2" s="98"/>
      <c r="H2" s="98"/>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8"/>
      <c r="D6" s="98"/>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8"/>
      <c r="D7" s="98"/>
      <c r="E7" s="99" t="str">
        <f ca="1">IFERROR(__xludf.DUMMYFUNCTION("""COMPUTED_VALUE"""),"Date")</f>
        <v>Date</v>
      </c>
      <c r="F7" s="99"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8"/>
      <c r="D8" s="98"/>
      <c r="E8" s="98"/>
      <c r="F8" s="98"/>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5"/>
      <c r="J12" s="10"/>
      <c r="K12" s="4"/>
      <c r="L12" s="101" t="str">
        <f ca="1">E13</f>
        <v>References</v>
      </c>
      <c r="M12" s="98"/>
      <c r="N12" s="98"/>
      <c r="O12" s="98"/>
      <c r="P12" s="98"/>
      <c r="Q12" s="98"/>
      <c r="R12" s="98"/>
      <c r="S12" s="98"/>
      <c r="T12" s="98"/>
      <c r="U12" s="98"/>
      <c r="V12" s="98"/>
      <c r="W12" s="98"/>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8"/>
      <c r="D14" s="98"/>
      <c r="E14" s="98"/>
      <c r="F14" s="98"/>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8"/>
      <c r="D15" s="98"/>
      <c r="E15" s="98"/>
      <c r="F15" s="98"/>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8"/>
      <c r="D16" s="98"/>
      <c r="E16" s="98"/>
      <c r="F16" s="98"/>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8"/>
      <c r="D17" s="98"/>
      <c r="E17" s="98"/>
      <c r="F17" s="98"/>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8"/>
      <c r="D18" s="98"/>
      <c r="E18" s="98"/>
      <c r="F18" s="98"/>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8"/>
      <c r="D19" s="98"/>
      <c r="E19" s="98"/>
      <c r="F19" s="98"/>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8"/>
      <c r="D20" s="98"/>
      <c r="E20" s="98"/>
      <c r="F20" s="98"/>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8"/>
      <c r="D21" s="98"/>
      <c r="E21" s="98"/>
      <c r="F21" s="98"/>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8"/>
      <c r="D22" s="98"/>
      <c r="E22" s="98"/>
      <c r="F22" s="98"/>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8"/>
      <c r="D23" s="98"/>
      <c r="E23" s="98"/>
      <c r="F23" s="98"/>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8"/>
      <c r="D24" s="98"/>
      <c r="E24" s="98"/>
      <c r="F24" s="98"/>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8"/>
      <c r="D26" s="98"/>
      <c r="E26" s="5" t="str">
        <f ca="1">IFERROR(__xludf.DUMMYFUNCTION("""COMPUTED_VALUE"""),"Objective")</f>
        <v>Objective</v>
      </c>
      <c r="F26" s="99" t="str">
        <f ca="1">IFERROR(__xludf.DUMMYFUNCTION("""COMPUTED_VALUE"""),"0:1")</f>
        <v>0:1</v>
      </c>
      <c r="G26" s="98"/>
      <c r="H26" s="98"/>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IFERROR(__xludf.DUMMYFUNCTION("""COMPUTED_VALUE"""),"No")</f>
        <v>No</v>
      </c>
      <c r="C27" s="98"/>
      <c r="D27" s="98"/>
      <c r="E27" s="5" t="str">
        <f ca="1">IFERROR(__xludf.DUMMYFUNCTION("""COMPUTED_VALUE"""),"Description")</f>
        <v>Description</v>
      </c>
      <c r="F27" s="99" t="str">
        <f ca="1">IFERROR(__xludf.DUMMYFUNCTION("""COMPUTED_VALUE"""),"0:1")</f>
        <v>0:1</v>
      </c>
      <c r="G27" s="98"/>
      <c r="H27" s="98"/>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IFERROR(__xludf.DUMMYFUNCTION("""COMPUTED_VALUE"""),"Yes")</f>
        <v>Yes</v>
      </c>
      <c r="C28" s="97" t="str">
        <f ca="1">IFERROR(__xludf.DUMMYFUNCTION("""COMPUTED_VALUE"""),"Scope")</f>
        <v>Scope</v>
      </c>
      <c r="D28" s="97" t="str">
        <f ca="1">IFERROR(__xludf.DUMMYFUNCTION("""COMPUTED_VALUE"""),"1")</f>
        <v>1</v>
      </c>
      <c r="E28" s="99" t="str">
        <f ca="1">IFERROR(__xludf.DUMMYFUNCTION("""COMPUTED_VALUE"""),"Product / matrix")</f>
        <v>Product / matrix</v>
      </c>
      <c r="F28" s="99" t="str">
        <f ca="1">IFERROR(__xludf.DUMMYFUNCTION("""COMPUTED_VALUE"""),"0:N")</f>
        <v>0:N</v>
      </c>
      <c r="G28" s="7" t="str">
        <f ca="1">IFERROR(__xludf.DUMMYFUNCTION("""COMPUTED_VALUE"""),"Product/matrix name")</f>
        <v>Product/matrix name</v>
      </c>
      <c r="H28" s="5" t="str">
        <f ca="1">IFERROR(__xludf.DUMMYFUNCTION("""COMPUTED_VALUE"""),"1")</f>
        <v>1</v>
      </c>
      <c r="I28" s="5"/>
      <c r="J28" s="13"/>
      <c r="K28" s="4"/>
      <c r="L28" s="101" t="str">
        <f ca="1">E28</f>
        <v>Product / matrix</v>
      </c>
      <c r="M28" s="98"/>
      <c r="N28" s="98"/>
      <c r="O28" s="98"/>
      <c r="P28" s="98"/>
      <c r="Q28" s="98"/>
      <c r="R28" s="98"/>
      <c r="S28" s="98"/>
      <c r="T28" s="98"/>
      <c r="U28" s="98"/>
      <c r="V28" s="98"/>
      <c r="W28" s="101" t="str">
        <f ca="1">E39</f>
        <v>Hazard</v>
      </c>
      <c r="X28" s="98"/>
      <c r="Y28" s="98"/>
      <c r="Z28" s="98"/>
      <c r="AA28" s="98"/>
      <c r="AB28" s="98"/>
      <c r="AC28" s="98"/>
      <c r="AD28" s="98"/>
      <c r="AE28" s="98"/>
      <c r="AF28" s="98"/>
      <c r="AG28" s="98"/>
      <c r="AH28" s="98"/>
      <c r="AI28" s="98"/>
      <c r="AJ28" s="98"/>
      <c r="AK28" s="101" t="str">
        <f ca="1">E53</f>
        <v>Population Group</v>
      </c>
      <c r="AL28" s="98"/>
      <c r="AM28" s="98"/>
      <c r="AN28" s="98"/>
      <c r="AO28" s="98"/>
      <c r="AP28" s="98"/>
      <c r="AQ28" s="98"/>
      <c r="AR28" s="98"/>
      <c r="AS28" s="98"/>
      <c r="AT28" s="98"/>
      <c r="AU28" s="98"/>
      <c r="AV28" s="98"/>
      <c r="AW28" s="98"/>
    </row>
    <row r="29" spans="1:49" ht="12.5" x14ac:dyDescent="0.25">
      <c r="A29" s="4" t="str">
        <f ca="1">IFERROR(__xludf.DUMMYFUNCTION("""COMPUTED_VALUE"""),"Yes")</f>
        <v>Yes</v>
      </c>
      <c r="B29" s="4" t="str">
        <f ca="1">IFERROR(__xludf.DUMMYFUNCTION("""COMPUTED_VALUE"""),"Yes")</f>
        <v>Yes</v>
      </c>
      <c r="C29" s="98"/>
      <c r="D29" s="98"/>
      <c r="E29" s="98"/>
      <c r="F29" s="98"/>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x14ac:dyDescent="0.25">
      <c r="A30" s="4" t="str">
        <f ca="1">IFERROR(__xludf.DUMMYFUNCTION("""COMPUTED_VALUE"""),"Yes")</f>
        <v>Yes</v>
      </c>
      <c r="B30" s="4" t="str">
        <f ca="1">IFERROR(__xludf.DUMMYFUNCTION("""COMPUTED_VALUE"""),"Yes")</f>
        <v>Yes</v>
      </c>
      <c r="C30" s="98"/>
      <c r="D30" s="98"/>
      <c r="E30" s="98"/>
      <c r="F30" s="98"/>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x14ac:dyDescent="0.25">
      <c r="A31" s="4" t="str">
        <f ca="1">IFERROR(__xludf.DUMMYFUNCTION("""COMPUTED_VALUE"""),"Yes")</f>
        <v>Yes</v>
      </c>
      <c r="B31" s="4" t="str">
        <f ca="1">IFERROR(__xludf.DUMMYFUNCTION("""COMPUTED_VALUE"""),"No")</f>
        <v>No</v>
      </c>
      <c r="C31" s="98"/>
      <c r="D31" s="98"/>
      <c r="E31" s="98"/>
      <c r="F31" s="98"/>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x14ac:dyDescent="0.25">
      <c r="A32" s="4" t="str">
        <f ca="1">IFERROR(__xludf.DUMMYFUNCTION("""COMPUTED_VALUE"""),"Yes")</f>
        <v>Yes</v>
      </c>
      <c r="B32" s="4" t="str">
        <f ca="1">IFERROR(__xludf.DUMMYFUNCTION("""COMPUTED_VALUE"""),"No")</f>
        <v>No</v>
      </c>
      <c r="C32" s="98"/>
      <c r="D32" s="98"/>
      <c r="E32" s="98"/>
      <c r="F32" s="98"/>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x14ac:dyDescent="0.25">
      <c r="A33" s="4" t="str">
        <f ca="1">IFERROR(__xludf.DUMMYFUNCTION("""COMPUTED_VALUE"""),"Yes")</f>
        <v>Yes</v>
      </c>
      <c r="B33" s="4" t="str">
        <f ca="1">IFERROR(__xludf.DUMMYFUNCTION("""COMPUTED_VALUE"""),"No")</f>
        <v>No</v>
      </c>
      <c r="C33" s="98"/>
      <c r="D33" s="98"/>
      <c r="E33" s="98"/>
      <c r="F33" s="98"/>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x14ac:dyDescent="0.25">
      <c r="A34" s="4" t="str">
        <f ca="1">IFERROR(__xludf.DUMMYFUNCTION("""COMPUTED_VALUE"""),"Yes")</f>
        <v>Yes</v>
      </c>
      <c r="B34" s="4" t="str">
        <f ca="1">IFERROR(__xludf.DUMMYFUNCTION("""COMPUTED_VALUE"""),"No")</f>
        <v>No</v>
      </c>
      <c r="C34" s="98"/>
      <c r="D34" s="98"/>
      <c r="E34" s="98"/>
      <c r="F34" s="98"/>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x14ac:dyDescent="0.25">
      <c r="A35" s="4" t="str">
        <f ca="1">IFERROR(__xludf.DUMMYFUNCTION("""COMPUTED_VALUE"""),"Yes")</f>
        <v>Yes</v>
      </c>
      <c r="B35" s="4" t="str">
        <f ca="1">IFERROR(__xludf.DUMMYFUNCTION("""COMPUTED_VALUE"""),"No")</f>
        <v>No</v>
      </c>
      <c r="C35" s="98"/>
      <c r="D35" s="98"/>
      <c r="E35" s="98"/>
      <c r="F35" s="98"/>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x14ac:dyDescent="0.25">
      <c r="A36" s="4" t="str">
        <f ca="1">IFERROR(__xludf.DUMMYFUNCTION("""COMPUTED_VALUE"""),"Yes")</f>
        <v>Yes</v>
      </c>
      <c r="B36" s="4" t="str">
        <f ca="1">IFERROR(__xludf.DUMMYFUNCTION("""COMPUTED_VALUE"""),"No")</f>
        <v>No</v>
      </c>
      <c r="C36" s="98"/>
      <c r="D36" s="98"/>
      <c r="E36" s="98"/>
      <c r="F36" s="98"/>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x14ac:dyDescent="0.25">
      <c r="A37" s="4" t="str">
        <f ca="1">IFERROR(__xludf.DUMMYFUNCTION("""COMPUTED_VALUE"""),"Yes")</f>
        <v>Yes</v>
      </c>
      <c r="B37" s="4" t="str">
        <f ca="1">IFERROR(__xludf.DUMMYFUNCTION("""COMPUTED_VALUE"""),"No")</f>
        <v>No</v>
      </c>
      <c r="C37" s="98"/>
      <c r="D37" s="98"/>
      <c r="E37" s="98"/>
      <c r="F37" s="98"/>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x14ac:dyDescent="0.25">
      <c r="A38" s="4" t="str">
        <f ca="1">IFERROR(__xludf.DUMMYFUNCTION("""COMPUTED_VALUE"""),"Yes")</f>
        <v>Yes</v>
      </c>
      <c r="B38" s="4" t="str">
        <f ca="1">IFERROR(__xludf.DUMMYFUNCTION("""COMPUTED_VALUE"""),"No")</f>
        <v>No</v>
      </c>
      <c r="C38" s="98"/>
      <c r="D38" s="98"/>
      <c r="E38" s="98"/>
      <c r="F38" s="98"/>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x14ac:dyDescent="0.25">
      <c r="A39" s="4" t="str">
        <f ca="1">IFERROR(__xludf.DUMMYFUNCTION("""COMPUTED_VALUE"""),"Yes")</f>
        <v>Yes</v>
      </c>
      <c r="B39" s="4" t="str">
        <f ca="1">IFERROR(__xludf.DUMMYFUNCTION("""COMPUTED_VALUE"""),"No")</f>
        <v>No</v>
      </c>
      <c r="C39" s="98"/>
      <c r="D39" s="98"/>
      <c r="E39" s="99" t="str">
        <f ca="1">IFERROR(__xludf.DUMMYFUNCTION("""COMPUTED_VALUE"""),"Hazard")</f>
        <v>Hazard</v>
      </c>
      <c r="F39" s="99"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IFERROR(__xludf.DUMMYFUNCTION("""COMPUTED_VALUE"""),"Yes")</f>
        <v>Yes</v>
      </c>
      <c r="C40" s="98"/>
      <c r="D40" s="98"/>
      <c r="E40" s="98"/>
      <c r="F40" s="98"/>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8"/>
      <c r="D41" s="98"/>
      <c r="E41" s="98"/>
      <c r="F41" s="98"/>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8"/>
      <c r="D42" s="98"/>
      <c r="E42" s="98"/>
      <c r="F42" s="98"/>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8"/>
      <c r="D43" s="98"/>
      <c r="E43" s="98"/>
      <c r="F43" s="98"/>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x14ac:dyDescent="0.25">
      <c r="A44" s="4" t="str">
        <f ca="1">IFERROR(__xludf.DUMMYFUNCTION("""COMPUTED_VALUE"""),"Yes")</f>
        <v>Yes</v>
      </c>
      <c r="B44" s="4" t="str">
        <f ca="1">IFERROR(__xludf.DUMMYFUNCTION("""COMPUTED_VALUE"""),"No")</f>
        <v>No</v>
      </c>
      <c r="C44" s="98"/>
      <c r="D44" s="98"/>
      <c r="E44" s="98"/>
      <c r="F44" s="98"/>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x14ac:dyDescent="0.25">
      <c r="A45" s="4" t="str">
        <f ca="1">IFERROR(__xludf.DUMMYFUNCTION("""COMPUTED_VALUE"""),"Yes")</f>
        <v>Yes</v>
      </c>
      <c r="B45" s="4" t="str">
        <f ca="1">IFERROR(__xludf.DUMMYFUNCTION("""COMPUTED_VALUE"""),"No")</f>
        <v>No</v>
      </c>
      <c r="C45" s="98"/>
      <c r="D45" s="98"/>
      <c r="E45" s="98"/>
      <c r="F45" s="98"/>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x14ac:dyDescent="0.25">
      <c r="A46" s="4" t="str">
        <f ca="1">IFERROR(__xludf.DUMMYFUNCTION("""COMPUTED_VALUE"""),"Yes")</f>
        <v>Yes</v>
      </c>
      <c r="B46" s="4" t="str">
        <f ca="1">IFERROR(__xludf.DUMMYFUNCTION("""COMPUTED_VALUE"""),"No")</f>
        <v>No</v>
      </c>
      <c r="C46" s="98"/>
      <c r="D46" s="98"/>
      <c r="E46" s="98"/>
      <c r="F46" s="98"/>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x14ac:dyDescent="0.25">
      <c r="A47" s="4" t="str">
        <f ca="1">IFERROR(__xludf.DUMMYFUNCTION("""COMPUTED_VALUE"""),"Yes")</f>
        <v>Yes</v>
      </c>
      <c r="B47" s="4" t="str">
        <f ca="1">IFERROR(__xludf.DUMMYFUNCTION("""COMPUTED_VALUE"""),"No")</f>
        <v>No</v>
      </c>
      <c r="C47" s="98"/>
      <c r="D47" s="98"/>
      <c r="E47" s="98"/>
      <c r="F47" s="98"/>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x14ac:dyDescent="0.25">
      <c r="A48" s="4" t="str">
        <f ca="1">IFERROR(__xludf.DUMMYFUNCTION("""COMPUTED_VALUE"""),"Yes")</f>
        <v>Yes</v>
      </c>
      <c r="B48" s="4" t="str">
        <f ca="1">IFERROR(__xludf.DUMMYFUNCTION("""COMPUTED_VALUE"""),"No")</f>
        <v>No</v>
      </c>
      <c r="C48" s="98"/>
      <c r="D48" s="98"/>
      <c r="E48" s="98"/>
      <c r="F48" s="98"/>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x14ac:dyDescent="0.25">
      <c r="A49" s="4" t="str">
        <f ca="1">IFERROR(__xludf.DUMMYFUNCTION("""COMPUTED_VALUE"""),"Yes")</f>
        <v>Yes</v>
      </c>
      <c r="B49" s="4" t="str">
        <f ca="1">IFERROR(__xludf.DUMMYFUNCTION("""COMPUTED_VALUE"""),"No")</f>
        <v>No</v>
      </c>
      <c r="C49" s="98"/>
      <c r="D49" s="98"/>
      <c r="E49" s="98"/>
      <c r="F49" s="98"/>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x14ac:dyDescent="0.25">
      <c r="A50" s="4" t="str">
        <f ca="1">IFERROR(__xludf.DUMMYFUNCTION("""COMPUTED_VALUE"""),"Yes")</f>
        <v>Yes</v>
      </c>
      <c r="B50" s="4" t="str">
        <f ca="1">IFERROR(__xludf.DUMMYFUNCTION("""COMPUTED_VALUE"""),"No")</f>
        <v>No</v>
      </c>
      <c r="C50" s="98"/>
      <c r="D50" s="98"/>
      <c r="E50" s="98"/>
      <c r="F50" s="98"/>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x14ac:dyDescent="0.25">
      <c r="A51" s="4" t="str">
        <f ca="1">IFERROR(__xludf.DUMMYFUNCTION("""COMPUTED_VALUE"""),"Yes")</f>
        <v>Yes</v>
      </c>
      <c r="B51" s="4" t="str">
        <f ca="1">IFERROR(__xludf.DUMMYFUNCTION("""COMPUTED_VALUE"""),"No")</f>
        <v>No</v>
      </c>
      <c r="C51" s="98"/>
      <c r="D51" s="98"/>
      <c r="E51" s="98"/>
      <c r="F51" s="98"/>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x14ac:dyDescent="0.25">
      <c r="A52" s="4" t="str">
        <f ca="1">IFERROR(__xludf.DUMMYFUNCTION("""COMPUTED_VALUE"""),"Yes")</f>
        <v>Yes</v>
      </c>
      <c r="B52" s="4" t="str">
        <f ca="1">IFERROR(__xludf.DUMMYFUNCTION("""COMPUTED_VALUE"""),"No")</f>
        <v>No</v>
      </c>
      <c r="C52" s="98"/>
      <c r="D52" s="98"/>
      <c r="E52" s="98"/>
      <c r="F52" s="98"/>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x14ac:dyDescent="0.25">
      <c r="A53" s="4" t="str">
        <f ca="1">IFERROR(__xludf.DUMMYFUNCTION("""COMPUTED_VALUE"""),"Yes")</f>
        <v>Yes</v>
      </c>
      <c r="B53" s="4" t="str">
        <f ca="1">IFERROR(__xludf.DUMMYFUNCTION("""COMPUTED_VALUE"""),"No")</f>
        <v>No</v>
      </c>
      <c r="C53" s="98"/>
      <c r="D53" s="98"/>
      <c r="E53" s="99" t="str">
        <f ca="1">IFERROR(__xludf.DUMMYFUNCTION("""COMPUTED_VALUE"""),"Population Group")</f>
        <v>Population Group</v>
      </c>
      <c r="F53" s="99"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8"/>
      <c r="D54" s="98"/>
      <c r="E54" s="98"/>
      <c r="F54" s="98"/>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8"/>
      <c r="D55" s="98"/>
      <c r="E55" s="98"/>
      <c r="F55" s="98"/>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8"/>
      <c r="D56" s="98"/>
      <c r="E56" s="98"/>
      <c r="F56" s="98"/>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8"/>
      <c r="D57" s="98"/>
      <c r="E57" s="98"/>
      <c r="F57" s="98"/>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8"/>
      <c r="D58" s="98"/>
      <c r="E58" s="98"/>
      <c r="F58" s="98"/>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8"/>
      <c r="D59" s="98"/>
      <c r="E59" s="98"/>
      <c r="F59" s="98"/>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8"/>
      <c r="D60" s="98"/>
      <c r="E60" s="98"/>
      <c r="F60" s="98"/>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IFERROR(__xludf.DUMMYFUNCTION("""COMPUTED_VALUE"""),"No")</f>
        <v>No</v>
      </c>
      <c r="C61" s="98"/>
      <c r="D61" s="98"/>
      <c r="E61" s="98"/>
      <c r="F61" s="98"/>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x14ac:dyDescent="0.25">
      <c r="A62" s="4" t="str">
        <f ca="1">IFERROR(__xludf.DUMMYFUNCTION("""COMPUTED_VALUE"""),"Yes")</f>
        <v>Yes</v>
      </c>
      <c r="B62" s="4" t="str">
        <f ca="1">IFERROR(__xludf.DUMMYFUNCTION("""COMPUTED_VALUE"""),"No")</f>
        <v>No</v>
      </c>
      <c r="C62" s="98"/>
      <c r="D62" s="98"/>
      <c r="E62" s="98"/>
      <c r="F62" s="98"/>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8"/>
      <c r="D63" s="98"/>
      <c r="E63" s="98"/>
      <c r="F63" s="98"/>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8"/>
      <c r="D64" s="98"/>
      <c r="E64" s="98"/>
      <c r="F64" s="98"/>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8"/>
      <c r="D65" s="98"/>
      <c r="E65" s="98"/>
      <c r="F65" s="98"/>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8"/>
      <c r="D66" s="98"/>
      <c r="E66" s="5" t="str">
        <f ca="1">IFERROR(__xludf.DUMMYFUNCTION("""COMPUTED_VALUE"""),"General comment")</f>
        <v>General comment</v>
      </c>
      <c r="F66" s="99" t="str">
        <f ca="1">IFERROR(__xludf.DUMMYFUNCTION("""COMPUTED_VALUE"""),"0:1")</f>
        <v>0:1</v>
      </c>
      <c r="G66" s="98"/>
      <c r="H66" s="98"/>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8"/>
      <c r="D67" s="98"/>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8"/>
      <c r="D68" s="98"/>
      <c r="E68" s="99" t="str">
        <f ca="1">IFERROR(__xludf.DUMMYFUNCTION("""COMPUTED_VALUE"""),"Spatial information")</f>
        <v>Spatial information</v>
      </c>
      <c r="F68" s="99"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8"/>
      <c r="D69" s="98"/>
      <c r="E69" s="98"/>
      <c r="F69" s="98"/>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7" t="str">
        <f ca="1">IFERROR(__xludf.DUMMYFUNCTION("""COMPUTED_VALUE"""),"Data_background")</f>
        <v>Data_background</v>
      </c>
      <c r="D70" s="97" t="str">
        <f ca="1">IFERROR(__xludf.DUMMYFUNCTION("""COMPUTED_VALUE"""),"1")</f>
        <v>1</v>
      </c>
      <c r="E70" s="99" t="str">
        <f ca="1">IFERROR(__xludf.DUMMYFUNCTION("""COMPUTED_VALUE"""),"Study")</f>
        <v>Study</v>
      </c>
      <c r="F70" s="99"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IFERROR(__xludf.DUMMYFUNCTION("""COMPUTED_VALUE"""),"Yes")</f>
        <v>Yes</v>
      </c>
      <c r="C71" s="98"/>
      <c r="D71" s="98"/>
      <c r="E71" s="98"/>
      <c r="F71" s="98"/>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8"/>
      <c r="D72" s="98"/>
      <c r="E72" s="98"/>
      <c r="F72" s="98"/>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8"/>
      <c r="D73" s="98"/>
      <c r="E73" s="98"/>
      <c r="F73" s="98"/>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8"/>
      <c r="D74" s="98"/>
      <c r="E74" s="98"/>
      <c r="F74" s="98"/>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8"/>
      <c r="D75" s="98"/>
      <c r="E75" s="98"/>
      <c r="F75" s="98"/>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8"/>
      <c r="D76" s="98"/>
      <c r="E76" s="98"/>
      <c r="F76" s="98"/>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8"/>
      <c r="D77" s="98"/>
      <c r="E77" s="98"/>
      <c r="F77" s="98"/>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8"/>
      <c r="D78" s="98"/>
      <c r="E78" s="98"/>
      <c r="F78" s="98"/>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8"/>
      <c r="D79" s="98"/>
      <c r="E79" s="98"/>
      <c r="F79" s="98"/>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8"/>
      <c r="D80" s="98"/>
      <c r="E80" s="98"/>
      <c r="F80" s="98"/>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8"/>
      <c r="D81" s="98"/>
      <c r="E81" s="98"/>
      <c r="F81" s="98"/>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8"/>
      <c r="D82" s="98"/>
      <c r="E82" s="98"/>
      <c r="F82" s="98"/>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8"/>
      <c r="D83" s="98"/>
      <c r="E83" s="98"/>
      <c r="F83" s="98"/>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8"/>
      <c r="D84" s="98"/>
      <c r="E84" s="98"/>
      <c r="F84" s="98"/>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8"/>
      <c r="D85" s="98"/>
      <c r="E85" s="98"/>
      <c r="F85" s="98"/>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8"/>
      <c r="D86" s="98"/>
      <c r="E86" s="99" t="str">
        <f ca="1">IFERROR(__xludf.DUMMYFUNCTION("""COMPUTED_VALUE"""),"Study Sample")</f>
        <v>Study Sample</v>
      </c>
      <c r="F86" s="99" t="str">
        <f ca="1">IFERROR(__xludf.DUMMYFUNCTION("""COMPUTED_VALUE"""),"0:N")</f>
        <v>0:N</v>
      </c>
      <c r="G86" s="7" t="str">
        <f ca="1">IFERROR(__xludf.DUMMYFUNCTION("""COMPUTED_VALUE"""),"Sample Name (ID)")</f>
        <v>Sample Name (ID)</v>
      </c>
      <c r="H86" s="5" t="str">
        <f ca="1">IFERROR(__xludf.DUMMYFUNCTION("""COMPUTED_VALUE"""),"1")</f>
        <v>1</v>
      </c>
      <c r="I86" s="75"/>
      <c r="J86" s="13"/>
      <c r="K86" s="4"/>
      <c r="L86" s="101" t="str">
        <f ca="1">E86</f>
        <v>Study Sample</v>
      </c>
      <c r="M86" s="98"/>
      <c r="N86" s="98"/>
      <c r="O86" s="98"/>
      <c r="P86" s="98"/>
      <c r="Q86" s="98"/>
      <c r="R86" s="98"/>
      <c r="S86" s="98"/>
      <c r="T86" s="98"/>
      <c r="U86" s="98"/>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8"/>
      <c r="D87" s="98"/>
      <c r="E87" s="98"/>
      <c r="F87" s="98"/>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8"/>
      <c r="D88" s="98"/>
      <c r="E88" s="98"/>
      <c r="F88" s="98"/>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8"/>
      <c r="D89" s="98"/>
      <c r="E89" s="98"/>
      <c r="F89" s="98"/>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8"/>
      <c r="D90" s="98"/>
      <c r="E90" s="98"/>
      <c r="F90" s="98"/>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8"/>
      <c r="D91" s="98"/>
      <c r="E91" s="98"/>
      <c r="F91" s="98"/>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8"/>
      <c r="D92" s="98"/>
      <c r="E92" s="98"/>
      <c r="F92" s="98"/>
      <c r="G92" s="7" t="str">
        <f ca="1">IFERROR(__xludf.DUMMYFUNCTION("""COMPUTED_VALUE"""),"Sampling weight")</f>
        <v>Sampling weight</v>
      </c>
      <c r="H92" s="5" t="str">
        <f ca="1">IFERROR(__xludf.DUMMYFUNCTION("""COMPUTED_VALUE"""),"1")</f>
        <v>1</v>
      </c>
      <c r="I92" s="5"/>
      <c r="J92" s="13"/>
      <c r="K92" s="4"/>
      <c r="L92" s="101" t="str">
        <f ca="1">E96</f>
        <v>Dietary assessment method</v>
      </c>
      <c r="M92" s="98"/>
      <c r="N92" s="98"/>
      <c r="O92" s="98"/>
      <c r="P92" s="98"/>
      <c r="Q92" s="98"/>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8"/>
      <c r="D93" s="98"/>
      <c r="E93" s="98"/>
      <c r="F93" s="98"/>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8"/>
      <c r="D94" s="98"/>
      <c r="E94" s="98"/>
      <c r="F94" s="98"/>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8"/>
      <c r="D95" s="98"/>
      <c r="E95" s="98"/>
      <c r="F95" s="98"/>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8"/>
      <c r="D96" s="98"/>
      <c r="E96" s="99" t="str">
        <f ca="1">IFERROR(__xludf.DUMMYFUNCTION("""COMPUTED_VALUE"""),"Dietary assessment method")</f>
        <v>Dietary assessment method</v>
      </c>
      <c r="F96" s="99"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8"/>
      <c r="D97" s="98"/>
      <c r="E97" s="98"/>
      <c r="F97" s="98"/>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8"/>
      <c r="D98" s="98"/>
      <c r="E98" s="98"/>
      <c r="F98" s="98"/>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8"/>
      <c r="D99" s="98"/>
      <c r="E99" s="98"/>
      <c r="F99" s="98"/>
      <c r="G99" s="7" t="str">
        <f ca="1">IFERROR(__xludf.DUMMYFUNCTION("""COMPUTED_VALUE"""),"Number of food items")</f>
        <v>Number of food items</v>
      </c>
      <c r="H99" s="5" t="str">
        <f ca="1">IFERROR(__xludf.DUMMYFUNCTION("""COMPUTED_VALUE"""),"1:N")</f>
        <v>1:N</v>
      </c>
      <c r="I99" s="5"/>
      <c r="J99" s="13"/>
      <c r="K99" s="4"/>
      <c r="L99" s="101" t="str">
        <f ca="1">E102</f>
        <v>Laboratory</v>
      </c>
      <c r="M99" s="98"/>
      <c r="N99" s="98"/>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8"/>
      <c r="D100" s="98"/>
      <c r="E100" s="98"/>
      <c r="F100" s="98"/>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8"/>
      <c r="D101" s="98"/>
      <c r="E101" s="98"/>
      <c r="F101" s="98"/>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8"/>
      <c r="D102" s="98"/>
      <c r="E102" s="99" t="str">
        <f ca="1">IFERROR(__xludf.DUMMYFUNCTION("""COMPUTED_VALUE"""),"Laboratory")</f>
        <v>Laboratory</v>
      </c>
      <c r="F102" s="99"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8"/>
      <c r="D103" s="98"/>
      <c r="E103" s="98"/>
      <c r="F103" s="98"/>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8"/>
      <c r="D104" s="98"/>
      <c r="E104" s="98"/>
      <c r="F104" s="98"/>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8"/>
      <c r="D105" s="98"/>
      <c r="E105" s="99" t="str">
        <f ca="1">IFERROR(__xludf.DUMMYFUNCTION("""COMPUTED_VALUE"""),"Assay")</f>
        <v>Assay</v>
      </c>
      <c r="F105" s="99" t="str">
        <f ca="1">IFERROR(__xludf.DUMMYFUNCTION("""COMPUTED_VALUE"""),"0:N")</f>
        <v>0:N</v>
      </c>
      <c r="G105" s="7" t="str">
        <f ca="1">IFERROR(__xludf.DUMMYFUNCTION("""COMPUTED_VALUE"""),"Assay Name")</f>
        <v>Assay Name</v>
      </c>
      <c r="H105" s="5" t="str">
        <f ca="1">IFERROR(__xludf.DUMMYFUNCTION("""COMPUTED_VALUE"""),"1")</f>
        <v>1</v>
      </c>
      <c r="I105" s="5"/>
      <c r="J105" s="13"/>
      <c r="K105" s="4"/>
      <c r="L105" s="101" t="str">
        <f ca="1">E105</f>
        <v>Assay</v>
      </c>
      <c r="M105" s="98"/>
      <c r="N105" s="98"/>
      <c r="O105" s="98"/>
      <c r="P105" s="98"/>
      <c r="Q105" s="98"/>
      <c r="R105" s="98"/>
      <c r="S105" s="98"/>
      <c r="T105" s="98"/>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8"/>
      <c r="D106" s="98"/>
      <c r="E106" s="98"/>
      <c r="F106" s="98"/>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8"/>
      <c r="D107" s="98"/>
      <c r="E107" s="98"/>
      <c r="F107" s="98"/>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8"/>
      <c r="D108" s="98"/>
      <c r="E108" s="98"/>
      <c r="F108" s="98"/>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8"/>
      <c r="D109" s="98"/>
      <c r="E109" s="98"/>
      <c r="F109" s="98"/>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8"/>
      <c r="D110" s="98"/>
      <c r="E110" s="98"/>
      <c r="F110" s="98"/>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8"/>
      <c r="D111" s="98"/>
      <c r="E111" s="98"/>
      <c r="F111" s="98"/>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8"/>
      <c r="D112" s="98"/>
      <c r="E112" s="98"/>
      <c r="F112" s="98"/>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x14ac:dyDescent="0.25">
      <c r="A113" s="4" t="str">
        <f ca="1">IFERROR(__xludf.DUMMYFUNCTION("""COMPUTED_VALUE"""),"Yes")</f>
        <v>Yes</v>
      </c>
      <c r="B113" s="4" t="str">
        <f ca="1">IFERROR(__xludf.DUMMYFUNCTION("""COMPUTED_VALUE"""),"No")</f>
        <v>No</v>
      </c>
      <c r="C113" s="98"/>
      <c r="D113" s="98"/>
      <c r="E113" s="98"/>
      <c r="F113" s="98"/>
      <c r="G113" s="7" t="str">
        <f ca="1">IFERROR(__xludf.DUMMYFUNCTION("""COMPUTED_VALUE"""),"Uncertainty value")</f>
        <v>Uncertainty value</v>
      </c>
      <c r="H113" s="5" t="str">
        <f ca="1">IFERROR(__xludf.DUMMYFUNCTION("""COMPUTED_VALUE"""),"0:1")</f>
        <v>0:1</v>
      </c>
      <c r="I113" s="5"/>
      <c r="J113" s="13"/>
      <c r="K113" s="4"/>
      <c r="L113" s="100" t="str">
        <f ca="1">E114</f>
        <v>Parameter / Factor / Input / Output / "Data column"</v>
      </c>
      <c r="M113" s="98"/>
      <c r="N113" s="98"/>
      <c r="O113" s="98"/>
      <c r="P113" s="98"/>
      <c r="Q113" s="98"/>
      <c r="R113" s="98"/>
      <c r="S113" s="98"/>
      <c r="T113" s="98"/>
      <c r="U113" s="98"/>
      <c r="V113" s="98"/>
      <c r="W113" s="98"/>
      <c r="X113" s="98"/>
      <c r="Y113" s="98"/>
      <c r="Z113" s="98"/>
      <c r="AA113" s="98"/>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IFERROR(__xludf.DUMMYFUNCTION("""COMPUTED_VALUE"""),"Yes")</f>
        <v>Yes</v>
      </c>
      <c r="C114" s="97" t="str">
        <f ca="1">IFERROR(__xludf.DUMMYFUNCTION("""COMPUTED_VALUE"""),"Model math / Data definition")</f>
        <v>Model math / Data definition</v>
      </c>
      <c r="D114" s="99" t="str">
        <f ca="1">IFERROR(__xludf.DUMMYFUNCTION("""COMPUTED_VALUE"""),"1")</f>
        <v>1</v>
      </c>
      <c r="E114" s="99" t="str">
        <f ca="1">IFERROR(__xludf.DUMMYFUNCTION("""COMPUTED_VALUE"""),"Parameter / Factor / Input / Output / ""Data column""")</f>
        <v>Parameter / Factor / Input / Output / "Data column"</v>
      </c>
      <c r="F114" s="99"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x14ac:dyDescent="0.25">
      <c r="A115" s="4" t="str">
        <f ca="1">IFERROR(__xludf.DUMMYFUNCTION("""COMPUTED_VALUE"""),"Yes")</f>
        <v>Yes</v>
      </c>
      <c r="B115" s="4" t="str">
        <f ca="1">IFERROR(__xludf.DUMMYFUNCTION("""COMPUTED_VALUE"""),"Yes")</f>
        <v>Yes</v>
      </c>
      <c r="C115" s="98"/>
      <c r="D115" s="98"/>
      <c r="E115" s="98"/>
      <c r="F115" s="98"/>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x14ac:dyDescent="0.25">
      <c r="A116" s="4" t="str">
        <f ca="1">IFERROR(__xludf.DUMMYFUNCTION("""COMPUTED_VALUE"""),"Yes")</f>
        <v>Yes</v>
      </c>
      <c r="B116" s="4" t="str">
        <f ca="1">IFERROR(__xludf.DUMMYFUNCTION("""COMPUTED_VALUE"""),"Yes")</f>
        <v>Yes</v>
      </c>
      <c r="C116" s="98"/>
      <c r="D116" s="98"/>
      <c r="E116" s="98"/>
      <c r="F116" s="98"/>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x14ac:dyDescent="0.25">
      <c r="A117" s="4" t="str">
        <f ca="1">IFERROR(__xludf.DUMMYFUNCTION("""COMPUTED_VALUE"""),"Yes")</f>
        <v>Yes</v>
      </c>
      <c r="B117" s="4" t="str">
        <f ca="1">IFERROR(__xludf.DUMMYFUNCTION("""COMPUTED_VALUE"""),"No")</f>
        <v>No</v>
      </c>
      <c r="C117" s="98"/>
      <c r="D117" s="98"/>
      <c r="E117" s="98"/>
      <c r="F117" s="98"/>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x14ac:dyDescent="0.25">
      <c r="A118" s="4" t="str">
        <f ca="1">IFERROR(__xludf.DUMMYFUNCTION("""COMPUTED_VALUE"""),"Yes")</f>
        <v>Yes</v>
      </c>
      <c r="B118" s="4" t="str">
        <f ca="1">IFERROR(__xludf.DUMMYFUNCTION("""COMPUTED_VALUE"""),"Yes")</f>
        <v>Yes</v>
      </c>
      <c r="C118" s="98"/>
      <c r="D118" s="98"/>
      <c r="E118" s="98"/>
      <c r="F118" s="98"/>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x14ac:dyDescent="0.25">
      <c r="A119" s="4" t="str">
        <f ca="1">IFERROR(__xludf.DUMMYFUNCTION("""COMPUTED_VALUE"""),"Yes")</f>
        <v>Yes</v>
      </c>
      <c r="B119" s="4" t="str">
        <f ca="1">IFERROR(__xludf.DUMMYFUNCTION("""COMPUTED_VALUE"""),"No")</f>
        <v>No</v>
      </c>
      <c r="C119" s="98"/>
      <c r="D119" s="98"/>
      <c r="E119" s="98"/>
      <c r="F119" s="98"/>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x14ac:dyDescent="0.25">
      <c r="A120" s="4" t="str">
        <f ca="1">IFERROR(__xludf.DUMMYFUNCTION("""COMPUTED_VALUE"""),"Yes")</f>
        <v>Yes</v>
      </c>
      <c r="B120" s="4" t="str">
        <f ca="1">IFERROR(__xludf.DUMMYFUNCTION("""COMPUTED_VALUE"""),"Yes")</f>
        <v>Yes</v>
      </c>
      <c r="C120" s="98"/>
      <c r="D120" s="98"/>
      <c r="E120" s="98"/>
      <c r="F120" s="98"/>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x14ac:dyDescent="0.25">
      <c r="A121" s="4" t="str">
        <f ca="1">IFERROR(__xludf.DUMMYFUNCTION("""COMPUTED_VALUE"""),"Yes")</f>
        <v>Yes</v>
      </c>
      <c r="B121" s="4" t="str">
        <f ca="1">IFERROR(__xludf.DUMMYFUNCTION("""COMPUTED_VALUE"""),"No")</f>
        <v>No</v>
      </c>
      <c r="C121" s="98"/>
      <c r="D121" s="98"/>
      <c r="E121" s="98"/>
      <c r="F121" s="98"/>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x14ac:dyDescent="0.25">
      <c r="A122" s="4" t="str">
        <f ca="1">IFERROR(__xludf.DUMMYFUNCTION("""COMPUTED_VALUE"""),"Yes")</f>
        <v>Yes</v>
      </c>
      <c r="B122" s="4" t="str">
        <f ca="1">IFERROR(__xludf.DUMMYFUNCTION("""COMPUTED_VALUE"""),"No")</f>
        <v>No</v>
      </c>
      <c r="C122" s="98"/>
      <c r="D122" s="98"/>
      <c r="E122" s="98"/>
      <c r="F122" s="98"/>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x14ac:dyDescent="0.25">
      <c r="A123" s="4" t="str">
        <f ca="1">IFERROR(__xludf.DUMMYFUNCTION("""COMPUTED_VALUE"""),"Yes")</f>
        <v>Yes</v>
      </c>
      <c r="B123" s="4" t="str">
        <f ca="1">IFERROR(__xludf.DUMMYFUNCTION("""COMPUTED_VALUE"""),"No")</f>
        <v>No</v>
      </c>
      <c r="C123" s="98"/>
      <c r="D123" s="98"/>
      <c r="E123" s="98"/>
      <c r="F123" s="98"/>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x14ac:dyDescent="0.25">
      <c r="A124" s="4" t="str">
        <f ca="1">IFERROR(__xludf.DUMMYFUNCTION("""COMPUTED_VALUE"""),"Yes")</f>
        <v>Yes</v>
      </c>
      <c r="B124" s="4" t="str">
        <f ca="1">IFERROR(__xludf.DUMMYFUNCTION("""COMPUTED_VALUE"""),"No")</f>
        <v>No</v>
      </c>
      <c r="C124" s="98"/>
      <c r="D124" s="98"/>
      <c r="E124" s="98"/>
      <c r="F124" s="98"/>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x14ac:dyDescent="0.25">
      <c r="A125" s="4" t="str">
        <f ca="1">IFERROR(__xludf.DUMMYFUNCTION("""COMPUTED_VALUE"""),"Yes")</f>
        <v>Yes</v>
      </c>
      <c r="B125" s="4" t="str">
        <f ca="1">IFERROR(__xludf.DUMMYFUNCTION("""COMPUTED_VALUE"""),"No")</f>
        <v>No</v>
      </c>
      <c r="C125" s="98"/>
      <c r="D125" s="98"/>
      <c r="E125" s="98"/>
      <c r="F125" s="98"/>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x14ac:dyDescent="0.25">
      <c r="A126" s="4" t="str">
        <f ca="1">IFERROR(__xludf.DUMMYFUNCTION("""COMPUTED_VALUE"""),"Yes")</f>
        <v>Yes</v>
      </c>
      <c r="B126" s="4" t="str">
        <f ca="1">IFERROR(__xludf.DUMMYFUNCTION("""COMPUTED_VALUE"""),"No")</f>
        <v>No</v>
      </c>
      <c r="C126" s="98"/>
      <c r="D126" s="98"/>
      <c r="E126" s="98"/>
      <c r="F126" s="98"/>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x14ac:dyDescent="0.25">
      <c r="A127" s="4" t="str">
        <f ca="1">IFERROR(__xludf.DUMMYFUNCTION("""COMPUTED_VALUE"""),"Yes")</f>
        <v>Yes</v>
      </c>
      <c r="B127" s="4" t="str">
        <f ca="1">IFERROR(__xludf.DUMMYFUNCTION("""COMPUTED_VALUE"""),"No")</f>
        <v>No</v>
      </c>
      <c r="C127" s="98"/>
      <c r="D127" s="98"/>
      <c r="E127" s="98"/>
      <c r="F127" s="98"/>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x14ac:dyDescent="0.25">
      <c r="A128" s="4" t="str">
        <f ca="1">IFERROR(__xludf.DUMMYFUNCTION("""COMPUTED_VALUE"""),"Yes")</f>
        <v>Yes</v>
      </c>
      <c r="B128" s="4" t="str">
        <f ca="1">IFERROR(__xludf.DUMMYFUNCTION("""COMPUTED_VALUE"""),"No")</f>
        <v>No</v>
      </c>
      <c r="C128" s="98"/>
      <c r="D128" s="98"/>
      <c r="E128" s="98"/>
      <c r="F128" s="98"/>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8"/>
      <c r="D129" s="98"/>
      <c r="E129" s="98"/>
      <c r="F129" s="98"/>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IFERROR(__xludf.DUMMYFUNCTION("""COMPUTED_VALUE"""),"No")</f>
        <v>No</v>
      </c>
      <c r="C130" s="98"/>
      <c r="D130" s="98"/>
      <c r="E130" s="98"/>
      <c r="F130" s="98"/>
      <c r="G130" s="5" t="str">
        <f ca="1">IFERROR(__xludf.DUMMYFUNCTION("""COMPUTED_VALUE"""),"Parameter value min")</f>
        <v>Parameter value min</v>
      </c>
      <c r="H130" s="5" t="str">
        <f ca="1">IFERROR(__xludf.DUMMYFUNCTION("""COMPUTED_VALUE"""),"0:1")</f>
        <v>0:1</v>
      </c>
      <c r="I130" s="5"/>
      <c r="J130" s="13"/>
      <c r="K130" s="4"/>
      <c r="L130" s="4"/>
      <c r="M130" s="4"/>
      <c r="N130" s="4"/>
    </row>
    <row r="131" spans="1:48" ht="12.5" x14ac:dyDescent="0.25">
      <c r="A131" s="4" t="str">
        <f ca="1">IFERROR(__xludf.DUMMYFUNCTION("""COMPUTED_VALUE"""),"Yes")</f>
        <v>Yes</v>
      </c>
      <c r="B131" s="4" t="str">
        <f ca="1">IFERROR(__xludf.DUMMYFUNCTION("""COMPUTED_VALUE"""),"No")</f>
        <v>No</v>
      </c>
      <c r="C131" s="98"/>
      <c r="D131" s="98"/>
      <c r="E131" s="98"/>
      <c r="F131" s="98"/>
      <c r="G131" s="5" t="str">
        <f ca="1">IFERROR(__xludf.DUMMYFUNCTION("""COMPUTED_VALUE"""),"Parameter error")</f>
        <v>Parameter error</v>
      </c>
      <c r="H131" s="5" t="str">
        <f ca="1">IFERROR(__xludf.DUMMYFUNCTION("""COMPUTED_VALUE"""),"0:1")</f>
        <v>0:1</v>
      </c>
      <c r="I131" s="5"/>
      <c r="J131" s="13"/>
      <c r="K131" s="4"/>
      <c r="L131" s="4"/>
      <c r="M131" s="4"/>
      <c r="N131" s="4"/>
    </row>
    <row r="132" spans="1:48" ht="12.5" x14ac:dyDescent="0.25">
      <c r="A132" s="4"/>
      <c r="B132" s="4"/>
      <c r="C132" s="79"/>
      <c r="D132" s="5"/>
      <c r="E132" s="5"/>
      <c r="F132" s="5"/>
      <c r="G132" s="5"/>
      <c r="H132" s="5"/>
      <c r="I132" s="5"/>
      <c r="J132" s="5"/>
      <c r="K132" s="4"/>
      <c r="L132" s="4"/>
      <c r="M132" s="4"/>
      <c r="N132" s="4"/>
    </row>
    <row r="133" spans="1:48" ht="12.5" x14ac:dyDescent="0.25">
      <c r="A133" s="4"/>
      <c r="B133" s="4"/>
      <c r="C133" s="79"/>
      <c r="D133" s="5"/>
      <c r="E133" s="5"/>
      <c r="F133" s="5"/>
      <c r="G133" s="5"/>
      <c r="H133" s="5"/>
      <c r="I133" s="5"/>
      <c r="J133" s="5"/>
      <c r="K133" s="4"/>
      <c r="L133" s="4"/>
      <c r="M133" s="4"/>
      <c r="N133" s="4"/>
    </row>
    <row r="134" spans="1:48" ht="12.5" x14ac:dyDescent="0.25">
      <c r="A134" s="4"/>
      <c r="B134" s="4"/>
      <c r="C134" s="79"/>
      <c r="D134" s="5"/>
      <c r="E134" s="5"/>
      <c r="F134" s="5"/>
      <c r="G134" s="5"/>
      <c r="H134" s="5"/>
      <c r="I134" s="5"/>
      <c r="J134" s="5"/>
      <c r="K134" s="4"/>
      <c r="L134" s="4"/>
      <c r="M134" s="4"/>
      <c r="N134" s="4"/>
    </row>
    <row r="135" spans="1:48" ht="12.5" x14ac:dyDescent="0.25">
      <c r="A135" s="4"/>
      <c r="B135" s="4"/>
      <c r="C135" s="79"/>
      <c r="D135" s="5"/>
      <c r="E135" s="5"/>
      <c r="F135" s="5"/>
      <c r="G135" s="5"/>
      <c r="H135" s="5"/>
      <c r="I135" s="5"/>
      <c r="J135" s="5"/>
      <c r="K135" s="4"/>
      <c r="L135" s="4"/>
      <c r="M135" s="4"/>
      <c r="N135" s="4"/>
    </row>
    <row r="136" spans="1:48" ht="12.5" x14ac:dyDescent="0.25">
      <c r="A136" s="4"/>
      <c r="B136" s="4"/>
      <c r="C136" s="79"/>
      <c r="D136" s="5"/>
      <c r="E136" s="5"/>
      <c r="F136" s="5"/>
      <c r="G136" s="5"/>
      <c r="H136" s="5"/>
      <c r="I136" s="5"/>
      <c r="J136" s="5"/>
      <c r="K136" s="4"/>
      <c r="L136" s="4"/>
      <c r="M136" s="4"/>
      <c r="N136" s="4"/>
    </row>
    <row r="137" spans="1:48" ht="12.5" x14ac:dyDescent="0.25">
      <c r="A137" s="4"/>
      <c r="B137" s="4"/>
      <c r="C137" s="79"/>
      <c r="D137" s="5"/>
      <c r="E137" s="5"/>
      <c r="F137" s="5"/>
      <c r="G137" s="5"/>
      <c r="H137" s="5"/>
      <c r="I137" s="5"/>
      <c r="J137" s="5"/>
      <c r="K137" s="4"/>
      <c r="L137" s="4"/>
      <c r="M137" s="4"/>
      <c r="N137" s="4"/>
    </row>
    <row r="138" spans="1:48" ht="12.5" x14ac:dyDescent="0.25">
      <c r="A138" s="4"/>
      <c r="B138" s="4"/>
      <c r="C138" s="79"/>
      <c r="D138" s="5"/>
      <c r="E138" s="5"/>
      <c r="F138" s="5"/>
      <c r="G138" s="5"/>
      <c r="H138" s="5"/>
      <c r="I138" s="5"/>
      <c r="J138" s="5"/>
      <c r="K138" s="4"/>
      <c r="L138" s="4"/>
      <c r="M138" s="4"/>
      <c r="N138" s="4"/>
    </row>
    <row r="139" spans="1:48" ht="12.5" x14ac:dyDescent="0.25">
      <c r="A139" s="4"/>
      <c r="B139" s="4"/>
      <c r="C139" s="79"/>
      <c r="D139" s="5"/>
      <c r="E139" s="5"/>
      <c r="F139" s="5"/>
      <c r="G139" s="5"/>
      <c r="H139" s="5"/>
      <c r="I139" s="5"/>
      <c r="J139" s="5"/>
      <c r="K139" s="4"/>
      <c r="L139" s="4"/>
      <c r="M139" s="4"/>
      <c r="N139" s="4"/>
    </row>
    <row r="140" spans="1:48" ht="12.5" x14ac:dyDescent="0.25">
      <c r="A140" s="4"/>
      <c r="B140" s="4"/>
      <c r="C140" s="79"/>
      <c r="D140" s="5"/>
      <c r="E140" s="5"/>
      <c r="F140" s="5"/>
      <c r="G140" s="5"/>
      <c r="H140" s="5"/>
      <c r="I140" s="5"/>
      <c r="J140" s="5"/>
      <c r="K140" s="4"/>
      <c r="L140" s="4"/>
      <c r="M140" s="4"/>
      <c r="N140" s="4"/>
    </row>
    <row r="141" spans="1:48" ht="12.5" x14ac:dyDescent="0.25">
      <c r="A141" s="4"/>
      <c r="B141" s="4"/>
      <c r="C141" s="79"/>
      <c r="D141" s="5"/>
      <c r="E141" s="5"/>
      <c r="F141" s="5"/>
      <c r="G141" s="5"/>
      <c r="H141" s="5"/>
      <c r="I141" s="5"/>
      <c r="J141" s="5"/>
      <c r="K141" s="4"/>
      <c r="L141" s="4"/>
      <c r="M141" s="4"/>
      <c r="N141" s="4"/>
    </row>
    <row r="142" spans="1:48" ht="12.5" x14ac:dyDescent="0.25">
      <c r="A142" s="4"/>
      <c r="B142" s="4"/>
      <c r="C142" s="79"/>
      <c r="D142" s="5"/>
      <c r="E142" s="5"/>
      <c r="F142" s="5"/>
      <c r="G142" s="5"/>
      <c r="H142" s="5"/>
      <c r="I142" s="5"/>
      <c r="J142" s="5"/>
      <c r="K142" s="4"/>
      <c r="L142" s="4"/>
      <c r="M142" s="4"/>
      <c r="N142" s="4"/>
    </row>
    <row r="143" spans="1:48" ht="12.5" x14ac:dyDescent="0.25">
      <c r="A143" s="4"/>
      <c r="B143" s="4"/>
      <c r="C143" s="79"/>
      <c r="D143" s="5"/>
      <c r="E143" s="5"/>
      <c r="F143" s="5"/>
      <c r="G143" s="5"/>
      <c r="H143" s="5"/>
      <c r="I143" s="5"/>
      <c r="J143" s="5"/>
      <c r="K143" s="4"/>
      <c r="L143" s="4"/>
      <c r="M143" s="4"/>
      <c r="N143" s="4"/>
    </row>
    <row r="144" spans="1:48" ht="12.5" x14ac:dyDescent="0.25">
      <c r="A144" s="4"/>
      <c r="B144" s="4"/>
      <c r="C144" s="79"/>
      <c r="D144" s="5"/>
      <c r="E144" s="5"/>
      <c r="F144" s="5"/>
      <c r="G144" s="5"/>
      <c r="H144" s="5"/>
      <c r="I144" s="5"/>
      <c r="J144" s="5"/>
      <c r="K144" s="4"/>
      <c r="L144" s="4"/>
      <c r="M144" s="4"/>
      <c r="N144" s="4"/>
    </row>
    <row r="145" spans="1:14" ht="12.5" x14ac:dyDescent="0.25">
      <c r="A145" s="4"/>
      <c r="B145" s="4"/>
      <c r="C145" s="79"/>
      <c r="D145" s="5"/>
      <c r="E145" s="5"/>
      <c r="F145" s="5"/>
      <c r="G145" s="5"/>
      <c r="H145" s="5"/>
      <c r="I145" s="5"/>
      <c r="J145" s="5"/>
      <c r="K145" s="4"/>
      <c r="L145" s="4"/>
      <c r="M145" s="4"/>
      <c r="N145" s="4"/>
    </row>
    <row r="146" spans="1:14" ht="12.5" x14ac:dyDescent="0.25">
      <c r="A146" s="4"/>
      <c r="B146" s="4"/>
      <c r="C146" s="79"/>
      <c r="D146" s="5"/>
      <c r="E146" s="5"/>
      <c r="F146" s="5"/>
      <c r="G146" s="5"/>
      <c r="H146" s="5"/>
      <c r="I146" s="5"/>
      <c r="J146" s="5"/>
      <c r="K146" s="4"/>
      <c r="L146" s="4"/>
      <c r="M146" s="4"/>
      <c r="N146" s="4"/>
    </row>
    <row r="147" spans="1:14" ht="12.5" x14ac:dyDescent="0.25">
      <c r="A147" s="4"/>
      <c r="B147" s="4"/>
      <c r="C147" s="79"/>
      <c r="D147" s="5"/>
      <c r="E147" s="5"/>
      <c r="F147" s="5"/>
      <c r="G147" s="5"/>
      <c r="H147" s="5"/>
      <c r="I147" s="5"/>
      <c r="J147" s="5"/>
      <c r="K147" s="4"/>
      <c r="L147" s="4"/>
      <c r="M147" s="4"/>
      <c r="N147" s="4"/>
    </row>
    <row r="148" spans="1:14" ht="12.5" x14ac:dyDescent="0.25">
      <c r="A148" s="4"/>
      <c r="B148" s="4"/>
      <c r="C148" s="79"/>
      <c r="D148" s="5"/>
      <c r="E148" s="5"/>
      <c r="F148" s="5"/>
      <c r="G148" s="5"/>
      <c r="H148" s="5"/>
      <c r="I148" s="5"/>
      <c r="J148" s="5"/>
      <c r="K148" s="4"/>
      <c r="L148" s="4"/>
      <c r="M148" s="4"/>
      <c r="N148" s="4"/>
    </row>
    <row r="149" spans="1:14" ht="12.5" x14ac:dyDescent="0.25">
      <c r="A149" s="4"/>
      <c r="B149" s="4"/>
      <c r="C149" s="79"/>
      <c r="D149" s="5"/>
      <c r="E149" s="5"/>
      <c r="F149" s="5"/>
      <c r="G149" s="5"/>
      <c r="H149" s="5"/>
      <c r="I149" s="5"/>
      <c r="J149" s="5"/>
      <c r="K149" s="4"/>
      <c r="L149" s="4"/>
      <c r="M149" s="4"/>
      <c r="N149" s="4"/>
    </row>
    <row r="150" spans="1:14" ht="12.5" x14ac:dyDescent="0.25">
      <c r="A150" s="4"/>
      <c r="B150" s="4"/>
      <c r="C150" s="79"/>
      <c r="D150" s="5"/>
      <c r="E150" s="5"/>
      <c r="F150" s="5"/>
      <c r="G150" s="5"/>
      <c r="H150" s="5"/>
      <c r="I150" s="5"/>
      <c r="J150" s="5"/>
      <c r="K150" s="4"/>
      <c r="L150" s="4"/>
      <c r="M150" s="4"/>
      <c r="N150" s="4"/>
    </row>
    <row r="151" spans="1:14" ht="12.5" x14ac:dyDescent="0.25">
      <c r="A151" s="4"/>
      <c r="B151" s="4"/>
      <c r="C151" s="79"/>
      <c r="D151" s="5"/>
      <c r="E151" s="5"/>
      <c r="F151" s="5"/>
      <c r="G151" s="5"/>
      <c r="H151" s="5"/>
      <c r="I151" s="5"/>
      <c r="J151" s="5"/>
      <c r="K151" s="4"/>
      <c r="L151" s="4"/>
      <c r="M151" s="4"/>
      <c r="N151" s="4"/>
    </row>
    <row r="152" spans="1:14" ht="12.5" x14ac:dyDescent="0.25">
      <c r="A152" s="4"/>
      <c r="B152" s="4"/>
      <c r="C152" s="79"/>
      <c r="D152" s="5"/>
      <c r="E152" s="5"/>
      <c r="F152" s="5"/>
      <c r="G152" s="5"/>
      <c r="H152" s="5"/>
      <c r="I152" s="5"/>
      <c r="J152" s="5"/>
      <c r="K152" s="4"/>
      <c r="L152" s="4"/>
      <c r="M152" s="4"/>
      <c r="N152" s="4"/>
    </row>
    <row r="153" spans="1:14" ht="12.5" x14ac:dyDescent="0.25">
      <c r="A153" s="4"/>
      <c r="B153" s="4"/>
      <c r="C153" s="79"/>
      <c r="D153" s="5"/>
      <c r="E153" s="5"/>
      <c r="F153" s="5"/>
      <c r="G153" s="5"/>
      <c r="H153" s="5"/>
      <c r="I153" s="5"/>
      <c r="J153" s="5"/>
      <c r="K153" s="4"/>
      <c r="L153" s="4"/>
      <c r="M153" s="4"/>
      <c r="N153" s="4"/>
    </row>
    <row r="154" spans="1:14" ht="12.5" x14ac:dyDescent="0.25">
      <c r="A154" s="4"/>
      <c r="B154" s="4"/>
      <c r="C154" s="79"/>
      <c r="D154" s="5"/>
      <c r="E154" s="5"/>
      <c r="F154" s="5"/>
      <c r="G154" s="5"/>
      <c r="H154" s="5"/>
      <c r="I154" s="5"/>
      <c r="J154" s="5"/>
      <c r="K154" s="4"/>
      <c r="L154" s="4"/>
      <c r="M154" s="4"/>
      <c r="N154" s="4"/>
    </row>
    <row r="155" spans="1:14" ht="12.5" x14ac:dyDescent="0.25">
      <c r="A155" s="4"/>
      <c r="B155" s="4"/>
      <c r="C155" s="79"/>
      <c r="D155" s="5"/>
      <c r="E155" s="5"/>
      <c r="F155" s="5"/>
      <c r="G155" s="5"/>
      <c r="H155" s="5"/>
      <c r="I155" s="5"/>
      <c r="J155" s="5"/>
      <c r="K155" s="4"/>
      <c r="L155" s="4"/>
      <c r="M155" s="4"/>
      <c r="N155" s="4"/>
    </row>
    <row r="156" spans="1:14" ht="12.5" x14ac:dyDescent="0.25">
      <c r="A156" s="4"/>
      <c r="B156" s="4"/>
      <c r="C156" s="79"/>
      <c r="D156" s="5"/>
      <c r="E156" s="5"/>
      <c r="F156" s="5"/>
      <c r="G156" s="5"/>
      <c r="H156" s="5"/>
      <c r="I156" s="5"/>
      <c r="J156" s="5"/>
      <c r="K156" s="4"/>
      <c r="L156" s="4"/>
      <c r="M156" s="4"/>
      <c r="N156" s="4"/>
    </row>
    <row r="157" spans="1:14" ht="12.5" x14ac:dyDescent="0.25">
      <c r="A157" s="4"/>
      <c r="B157" s="4"/>
      <c r="C157" s="79"/>
      <c r="D157" s="5"/>
      <c r="E157" s="5"/>
      <c r="F157" s="5"/>
      <c r="G157" s="5"/>
      <c r="H157" s="5"/>
      <c r="I157" s="5"/>
      <c r="J157" s="5"/>
      <c r="K157" s="4"/>
      <c r="L157" s="4"/>
      <c r="M157" s="4"/>
      <c r="N157" s="4"/>
    </row>
    <row r="158" spans="1:14" ht="12.5" x14ac:dyDescent="0.25">
      <c r="A158" s="4"/>
      <c r="B158" s="4"/>
      <c r="C158" s="79"/>
      <c r="D158" s="5"/>
      <c r="E158" s="5"/>
      <c r="F158" s="5"/>
      <c r="G158" s="5"/>
      <c r="H158" s="5"/>
      <c r="I158" s="5"/>
      <c r="J158" s="5"/>
      <c r="K158" s="4"/>
      <c r="L158" s="4"/>
      <c r="M158" s="4"/>
      <c r="N158" s="4"/>
    </row>
    <row r="159" spans="1:14" ht="12.5" x14ac:dyDescent="0.25">
      <c r="A159" s="4"/>
      <c r="B159" s="4"/>
      <c r="C159" s="79"/>
      <c r="D159" s="5"/>
      <c r="E159" s="5"/>
      <c r="F159" s="5"/>
      <c r="G159" s="5"/>
      <c r="H159" s="5"/>
      <c r="I159" s="5"/>
      <c r="J159" s="5"/>
      <c r="K159" s="4"/>
      <c r="L159" s="4"/>
      <c r="M159" s="4"/>
      <c r="N159" s="4"/>
    </row>
    <row r="160" spans="1:14" ht="12.5" x14ac:dyDescent="0.25">
      <c r="A160" s="4"/>
      <c r="B160" s="4"/>
      <c r="C160" s="79"/>
      <c r="D160" s="5"/>
      <c r="E160" s="5"/>
      <c r="F160" s="5"/>
      <c r="G160" s="5"/>
      <c r="H160" s="5"/>
      <c r="I160" s="5"/>
      <c r="J160" s="5"/>
      <c r="K160" s="4"/>
      <c r="L160" s="4"/>
      <c r="M160" s="4"/>
      <c r="N160" s="4"/>
    </row>
    <row r="161" spans="1:14" ht="12.5" x14ac:dyDescent="0.25">
      <c r="A161" s="4"/>
      <c r="B161" s="4"/>
      <c r="C161" s="79"/>
      <c r="D161" s="5"/>
      <c r="E161" s="5"/>
      <c r="F161" s="5"/>
      <c r="G161" s="5"/>
      <c r="H161" s="5"/>
      <c r="I161" s="5"/>
      <c r="J161" s="5"/>
      <c r="K161" s="4"/>
      <c r="L161" s="4"/>
      <c r="M161" s="4"/>
      <c r="N161" s="4"/>
    </row>
    <row r="162" spans="1:14" ht="12.5" x14ac:dyDescent="0.25">
      <c r="A162" s="4"/>
      <c r="B162" s="4"/>
      <c r="C162" s="79"/>
      <c r="D162" s="5"/>
      <c r="E162" s="5"/>
      <c r="F162" s="5"/>
      <c r="G162" s="5"/>
      <c r="H162" s="5"/>
      <c r="I162" s="5"/>
      <c r="J162" s="5"/>
      <c r="K162" s="4"/>
      <c r="L162" s="4"/>
      <c r="M162" s="4"/>
      <c r="N162" s="4"/>
    </row>
    <row r="163" spans="1:14" ht="12.5" x14ac:dyDescent="0.25">
      <c r="A163" s="4"/>
      <c r="B163" s="4"/>
      <c r="C163" s="79"/>
      <c r="D163" s="5"/>
      <c r="E163" s="5"/>
      <c r="F163" s="5"/>
      <c r="G163" s="5"/>
      <c r="H163" s="5"/>
      <c r="I163" s="5"/>
      <c r="J163" s="5"/>
      <c r="K163" s="4"/>
      <c r="L163" s="4"/>
      <c r="M163" s="4"/>
      <c r="N163" s="4"/>
    </row>
    <row r="164" spans="1:14" ht="12.5" x14ac:dyDescent="0.25">
      <c r="A164" s="4"/>
      <c r="B164" s="4"/>
      <c r="C164" s="79"/>
      <c r="D164" s="5"/>
      <c r="E164" s="5"/>
      <c r="F164" s="5"/>
      <c r="G164" s="5"/>
      <c r="H164" s="5"/>
      <c r="I164" s="5"/>
      <c r="J164" s="5"/>
      <c r="K164" s="4"/>
      <c r="L164" s="4"/>
      <c r="M164" s="4"/>
      <c r="N164" s="4"/>
    </row>
    <row r="165" spans="1:14" ht="12.5" x14ac:dyDescent="0.25">
      <c r="A165" s="4"/>
      <c r="B165" s="4"/>
      <c r="C165" s="79"/>
      <c r="D165" s="5"/>
      <c r="E165" s="5"/>
      <c r="F165" s="5"/>
      <c r="G165" s="5"/>
      <c r="H165" s="5"/>
      <c r="I165" s="5"/>
      <c r="J165" s="5"/>
      <c r="K165" s="4"/>
      <c r="L165" s="4"/>
      <c r="M165" s="4"/>
      <c r="N165" s="4"/>
    </row>
    <row r="166" spans="1:14" ht="12.5" x14ac:dyDescent="0.25">
      <c r="A166" s="4"/>
      <c r="B166" s="4"/>
      <c r="C166" s="79"/>
      <c r="D166" s="5"/>
      <c r="E166" s="5"/>
      <c r="F166" s="5"/>
      <c r="G166" s="5"/>
      <c r="H166" s="5"/>
      <c r="I166" s="5"/>
      <c r="J166" s="5"/>
      <c r="K166" s="4"/>
      <c r="L166" s="4"/>
      <c r="M166" s="4"/>
      <c r="N166" s="4"/>
    </row>
    <row r="167" spans="1:14" ht="12.5" x14ac:dyDescent="0.25">
      <c r="A167" s="4"/>
      <c r="B167" s="4"/>
      <c r="C167" s="79"/>
      <c r="D167" s="5"/>
      <c r="E167" s="5"/>
      <c r="F167" s="5"/>
      <c r="G167" s="5"/>
      <c r="H167" s="5"/>
      <c r="I167" s="5"/>
      <c r="J167" s="5"/>
      <c r="K167" s="4"/>
      <c r="L167" s="4"/>
      <c r="M167" s="4"/>
      <c r="N167" s="4"/>
    </row>
    <row r="168" spans="1:14" ht="12.5" x14ac:dyDescent="0.25">
      <c r="A168" s="4"/>
      <c r="B168" s="4"/>
      <c r="C168" s="79"/>
      <c r="D168" s="5"/>
      <c r="E168" s="5"/>
      <c r="F168" s="5"/>
      <c r="G168" s="5"/>
      <c r="H168" s="5"/>
      <c r="I168" s="5"/>
      <c r="J168" s="5"/>
      <c r="K168" s="4"/>
      <c r="L168" s="4"/>
      <c r="M168" s="4"/>
      <c r="N168" s="4"/>
    </row>
    <row r="169" spans="1:14" ht="12.5" x14ac:dyDescent="0.25">
      <c r="A169" s="4"/>
      <c r="B169" s="4"/>
      <c r="C169" s="79"/>
      <c r="D169" s="5"/>
      <c r="E169" s="5"/>
      <c r="F169" s="5"/>
      <c r="G169" s="5"/>
      <c r="H169" s="5"/>
      <c r="I169" s="5"/>
      <c r="J169" s="5"/>
      <c r="K169" s="4"/>
      <c r="L169" s="4"/>
      <c r="M169" s="4"/>
      <c r="N169" s="4"/>
    </row>
    <row r="170" spans="1:14" ht="12.5" x14ac:dyDescent="0.25">
      <c r="A170" s="4"/>
      <c r="B170" s="4"/>
      <c r="C170" s="79"/>
      <c r="D170" s="5"/>
      <c r="E170" s="5"/>
      <c r="F170" s="5"/>
      <c r="G170" s="5"/>
      <c r="H170" s="5"/>
      <c r="I170" s="5"/>
      <c r="J170" s="5"/>
      <c r="K170" s="4"/>
      <c r="L170" s="4"/>
      <c r="M170" s="4"/>
      <c r="N170" s="4"/>
    </row>
    <row r="171" spans="1:14" ht="12.5" x14ac:dyDescent="0.25">
      <c r="A171" s="4"/>
      <c r="B171" s="4"/>
      <c r="C171" s="79"/>
      <c r="D171" s="5"/>
      <c r="E171" s="5"/>
      <c r="F171" s="5"/>
      <c r="G171" s="5"/>
      <c r="H171" s="5"/>
      <c r="I171" s="5"/>
      <c r="J171" s="5"/>
      <c r="K171" s="4"/>
      <c r="L171" s="4"/>
      <c r="M171" s="4"/>
      <c r="N171" s="4"/>
    </row>
    <row r="172" spans="1:14" ht="12.5" x14ac:dyDescent="0.25">
      <c r="A172" s="4"/>
      <c r="B172" s="4"/>
      <c r="C172" s="79"/>
      <c r="D172" s="5"/>
      <c r="E172" s="5"/>
      <c r="F172" s="5"/>
      <c r="G172" s="5"/>
      <c r="H172" s="5"/>
      <c r="I172" s="5"/>
      <c r="J172" s="5"/>
      <c r="K172" s="4"/>
      <c r="L172" s="4"/>
      <c r="M172" s="4"/>
      <c r="N172" s="4"/>
    </row>
    <row r="173" spans="1:14" ht="12.5" x14ac:dyDescent="0.25">
      <c r="A173" s="4"/>
      <c r="B173" s="4"/>
      <c r="C173" s="79"/>
      <c r="D173" s="5"/>
      <c r="E173" s="5"/>
      <c r="F173" s="5"/>
      <c r="G173" s="5"/>
      <c r="H173" s="5"/>
      <c r="I173" s="5"/>
      <c r="J173" s="5"/>
      <c r="K173" s="4"/>
      <c r="L173" s="4"/>
      <c r="M173" s="4"/>
      <c r="N173" s="4"/>
    </row>
    <row r="174" spans="1:14" ht="12.5" x14ac:dyDescent="0.25">
      <c r="A174" s="4"/>
      <c r="B174" s="4"/>
      <c r="C174" s="79"/>
      <c r="D174" s="5"/>
      <c r="E174" s="5"/>
      <c r="F174" s="5"/>
      <c r="G174" s="5"/>
      <c r="H174" s="5"/>
      <c r="I174" s="5"/>
      <c r="J174" s="5"/>
      <c r="K174" s="4"/>
      <c r="L174" s="4"/>
      <c r="M174" s="4"/>
      <c r="N174" s="4"/>
    </row>
    <row r="175" spans="1:14" ht="12.5" x14ac:dyDescent="0.25">
      <c r="A175" s="4"/>
      <c r="B175" s="4"/>
      <c r="C175" s="79"/>
      <c r="D175" s="5"/>
      <c r="E175" s="5"/>
      <c r="F175" s="5"/>
      <c r="G175" s="5"/>
      <c r="H175" s="5"/>
      <c r="I175" s="5"/>
      <c r="J175" s="5"/>
      <c r="K175" s="4"/>
      <c r="L175" s="4"/>
      <c r="M175" s="4"/>
      <c r="N175" s="4"/>
    </row>
    <row r="176" spans="1:14" ht="12.5" x14ac:dyDescent="0.25">
      <c r="A176" s="4"/>
      <c r="B176" s="4"/>
      <c r="C176" s="79"/>
      <c r="D176" s="5"/>
      <c r="E176" s="5"/>
      <c r="F176" s="5"/>
      <c r="G176" s="5"/>
      <c r="H176" s="5"/>
      <c r="I176" s="5"/>
      <c r="J176" s="5"/>
      <c r="K176" s="4"/>
      <c r="L176" s="4"/>
      <c r="M176" s="4"/>
      <c r="N176" s="4"/>
    </row>
    <row r="177" spans="1:14" ht="12.5" x14ac:dyDescent="0.25">
      <c r="A177" s="4"/>
      <c r="B177" s="4"/>
      <c r="C177" s="79"/>
      <c r="D177" s="5"/>
      <c r="E177" s="5"/>
      <c r="F177" s="5"/>
      <c r="G177" s="5"/>
      <c r="H177" s="5"/>
      <c r="I177" s="5"/>
      <c r="J177" s="5"/>
      <c r="K177" s="4"/>
      <c r="L177" s="4"/>
      <c r="M177" s="4"/>
      <c r="N177" s="4"/>
    </row>
    <row r="178" spans="1:14" ht="12.5" x14ac:dyDescent="0.25">
      <c r="A178" s="4"/>
      <c r="B178" s="4"/>
      <c r="C178" s="79"/>
      <c r="D178" s="5"/>
      <c r="E178" s="5"/>
      <c r="F178" s="5"/>
      <c r="G178" s="5"/>
      <c r="H178" s="5"/>
      <c r="I178" s="5"/>
      <c r="J178" s="5"/>
      <c r="K178" s="4"/>
      <c r="L178" s="4"/>
      <c r="M178" s="4"/>
      <c r="N178" s="4"/>
    </row>
    <row r="179" spans="1:14" ht="12.5" x14ac:dyDescent="0.25">
      <c r="A179" s="4"/>
      <c r="B179" s="4"/>
      <c r="C179" s="79"/>
      <c r="D179" s="5"/>
      <c r="E179" s="5"/>
      <c r="F179" s="5"/>
      <c r="G179" s="5"/>
      <c r="H179" s="5"/>
      <c r="I179" s="5"/>
      <c r="J179" s="5"/>
      <c r="K179" s="4"/>
      <c r="L179" s="4"/>
      <c r="M179" s="4"/>
      <c r="N179" s="4"/>
    </row>
    <row r="180" spans="1:14" ht="12.5" x14ac:dyDescent="0.25">
      <c r="A180" s="4"/>
      <c r="B180" s="4"/>
      <c r="C180" s="79"/>
      <c r="D180" s="5"/>
      <c r="E180" s="5"/>
      <c r="F180" s="5"/>
      <c r="G180" s="5"/>
      <c r="H180" s="5"/>
      <c r="I180" s="5"/>
      <c r="J180" s="5"/>
      <c r="K180" s="4"/>
      <c r="L180" s="4"/>
      <c r="M180" s="4"/>
      <c r="N180" s="4"/>
    </row>
    <row r="181" spans="1:14" ht="12.5" x14ac:dyDescent="0.25">
      <c r="A181" s="4"/>
      <c r="B181" s="4"/>
      <c r="C181" s="79"/>
      <c r="D181" s="5"/>
      <c r="E181" s="5"/>
      <c r="F181" s="5"/>
      <c r="G181" s="5"/>
      <c r="H181" s="5"/>
      <c r="I181" s="5"/>
      <c r="J181" s="5"/>
      <c r="K181" s="4"/>
      <c r="L181" s="4"/>
      <c r="M181" s="4"/>
      <c r="N181" s="4"/>
    </row>
    <row r="182" spans="1:14" ht="12.5" x14ac:dyDescent="0.25">
      <c r="A182" s="4"/>
      <c r="B182" s="4"/>
      <c r="C182" s="79"/>
      <c r="D182" s="5"/>
      <c r="E182" s="5"/>
      <c r="F182" s="5"/>
      <c r="G182" s="5"/>
      <c r="H182" s="5"/>
      <c r="I182" s="5"/>
      <c r="J182" s="5"/>
      <c r="K182" s="4"/>
      <c r="L182" s="4"/>
      <c r="M182" s="4"/>
      <c r="N182" s="4"/>
    </row>
    <row r="183" spans="1:14" ht="12.5" x14ac:dyDescent="0.25">
      <c r="A183" s="4"/>
      <c r="B183" s="4"/>
      <c r="C183" s="79"/>
      <c r="D183" s="5"/>
      <c r="E183" s="5"/>
      <c r="F183" s="5"/>
      <c r="G183" s="5"/>
      <c r="H183" s="5"/>
      <c r="I183" s="5"/>
      <c r="J183" s="5"/>
      <c r="K183" s="4"/>
      <c r="L183" s="4"/>
      <c r="M183" s="4"/>
      <c r="N183" s="4"/>
    </row>
    <row r="184" spans="1:14" ht="12.5" x14ac:dyDescent="0.25">
      <c r="A184" s="4"/>
      <c r="B184" s="4"/>
      <c r="C184" s="79"/>
      <c r="D184" s="5"/>
      <c r="E184" s="5"/>
      <c r="F184" s="5"/>
      <c r="G184" s="5"/>
      <c r="H184" s="5"/>
      <c r="I184" s="5"/>
      <c r="J184" s="5"/>
      <c r="K184" s="4"/>
      <c r="L184" s="4"/>
      <c r="M184" s="4"/>
      <c r="N184" s="4"/>
    </row>
    <row r="185" spans="1:14" ht="12.5" x14ac:dyDescent="0.25">
      <c r="A185" s="4"/>
      <c r="B185" s="4"/>
      <c r="C185" s="79"/>
      <c r="D185" s="5"/>
      <c r="E185" s="5"/>
      <c r="F185" s="5"/>
      <c r="G185" s="5"/>
      <c r="H185" s="5"/>
      <c r="I185" s="5"/>
      <c r="J185" s="5"/>
      <c r="K185" s="4"/>
      <c r="L185" s="4"/>
      <c r="M185" s="4"/>
      <c r="N185" s="4"/>
    </row>
    <row r="186" spans="1:14" ht="12.5" x14ac:dyDescent="0.25">
      <c r="A186" s="4"/>
      <c r="B186" s="4"/>
      <c r="C186" s="79"/>
      <c r="D186" s="5"/>
      <c r="E186" s="5"/>
      <c r="F186" s="5"/>
      <c r="G186" s="5"/>
      <c r="H186" s="5"/>
      <c r="I186" s="5"/>
      <c r="J186" s="5"/>
      <c r="K186" s="4"/>
      <c r="L186" s="4"/>
      <c r="M186" s="4"/>
      <c r="N186" s="4"/>
    </row>
    <row r="187" spans="1:14" ht="12.5" x14ac:dyDescent="0.25">
      <c r="A187" s="4"/>
      <c r="B187" s="4"/>
      <c r="C187" s="79"/>
      <c r="D187" s="5"/>
      <c r="E187" s="5"/>
      <c r="F187" s="5"/>
      <c r="G187" s="5"/>
      <c r="H187" s="5"/>
      <c r="I187" s="5"/>
      <c r="J187" s="5"/>
      <c r="K187" s="4"/>
      <c r="L187" s="4"/>
      <c r="M187" s="4"/>
      <c r="N187" s="4"/>
    </row>
    <row r="188" spans="1:14" ht="12.5" x14ac:dyDescent="0.25">
      <c r="A188" s="4"/>
      <c r="B188" s="4"/>
      <c r="C188" s="79"/>
      <c r="D188" s="5"/>
      <c r="E188" s="5"/>
      <c r="F188" s="5"/>
      <c r="G188" s="5"/>
      <c r="H188" s="5"/>
      <c r="I188" s="5"/>
      <c r="J188" s="5"/>
      <c r="K188" s="4"/>
      <c r="L188" s="4"/>
      <c r="M188" s="4"/>
      <c r="N188" s="4"/>
    </row>
    <row r="189" spans="1:14" ht="12.5" x14ac:dyDescent="0.25">
      <c r="A189" s="4"/>
      <c r="B189" s="4"/>
      <c r="C189" s="79"/>
      <c r="D189" s="5"/>
      <c r="E189" s="5"/>
      <c r="F189" s="5"/>
      <c r="G189" s="5"/>
      <c r="H189" s="5"/>
      <c r="I189" s="5"/>
      <c r="J189" s="5"/>
      <c r="K189" s="4"/>
      <c r="L189" s="4"/>
      <c r="M189" s="4"/>
      <c r="N189" s="4"/>
    </row>
    <row r="190" spans="1:14" ht="12.5" x14ac:dyDescent="0.25">
      <c r="A190" s="4"/>
      <c r="B190" s="4"/>
      <c r="C190" s="79"/>
      <c r="D190" s="5"/>
      <c r="E190" s="5"/>
      <c r="F190" s="5"/>
      <c r="G190" s="5"/>
      <c r="H190" s="5"/>
      <c r="I190" s="5"/>
      <c r="J190" s="5"/>
      <c r="K190" s="4"/>
      <c r="L190" s="4"/>
      <c r="M190" s="4"/>
      <c r="N190" s="4"/>
    </row>
    <row r="191" spans="1:14" ht="12.5" x14ac:dyDescent="0.25">
      <c r="A191" s="4"/>
      <c r="B191" s="4"/>
      <c r="C191" s="79"/>
      <c r="D191" s="5"/>
      <c r="E191" s="5"/>
      <c r="F191" s="5"/>
      <c r="G191" s="5"/>
      <c r="H191" s="5"/>
      <c r="I191" s="5"/>
      <c r="J191" s="5"/>
      <c r="K191" s="4"/>
      <c r="L191" s="4"/>
      <c r="M191" s="4"/>
      <c r="N191" s="4"/>
    </row>
    <row r="192" spans="1:14" ht="12.5" x14ac:dyDescent="0.25">
      <c r="A192" s="4"/>
      <c r="B192" s="4"/>
      <c r="C192" s="79"/>
      <c r="D192" s="5"/>
      <c r="E192" s="5"/>
      <c r="F192" s="5"/>
      <c r="G192" s="5"/>
      <c r="H192" s="5"/>
      <c r="I192" s="5"/>
      <c r="J192" s="5"/>
      <c r="K192" s="4"/>
      <c r="L192" s="4"/>
      <c r="M192" s="4"/>
      <c r="N192" s="4"/>
    </row>
    <row r="193" spans="1:14" ht="12.5" x14ac:dyDescent="0.25">
      <c r="A193" s="4"/>
      <c r="B193" s="4"/>
      <c r="C193" s="79"/>
      <c r="D193" s="5"/>
      <c r="E193" s="5"/>
      <c r="F193" s="5"/>
      <c r="G193" s="5"/>
      <c r="H193" s="5"/>
      <c r="I193" s="5"/>
      <c r="J193" s="5"/>
      <c r="K193" s="4"/>
      <c r="L193" s="4"/>
      <c r="M193" s="4"/>
      <c r="N193" s="4"/>
    </row>
    <row r="194" spans="1:14" ht="12.5" x14ac:dyDescent="0.25">
      <c r="A194" s="4"/>
      <c r="B194" s="4"/>
      <c r="C194" s="79"/>
      <c r="D194" s="5"/>
      <c r="E194" s="5"/>
      <c r="F194" s="5"/>
      <c r="G194" s="5"/>
      <c r="H194" s="5"/>
      <c r="I194" s="5"/>
      <c r="J194" s="5"/>
      <c r="K194" s="4"/>
      <c r="L194" s="4"/>
      <c r="M194" s="4"/>
      <c r="N194" s="4"/>
    </row>
    <row r="195" spans="1:14" ht="12.5" x14ac:dyDescent="0.25">
      <c r="A195" s="4"/>
      <c r="B195" s="4"/>
      <c r="C195" s="79"/>
      <c r="D195" s="5"/>
      <c r="E195" s="5"/>
      <c r="F195" s="5"/>
      <c r="G195" s="5"/>
      <c r="H195" s="5"/>
      <c r="I195" s="5"/>
      <c r="J195" s="5"/>
      <c r="K195" s="4"/>
      <c r="L195" s="4"/>
      <c r="M195" s="4"/>
      <c r="N195" s="4"/>
    </row>
    <row r="196" spans="1:14" ht="12.5" x14ac:dyDescent="0.25">
      <c r="A196" s="4"/>
      <c r="B196" s="4"/>
      <c r="C196" s="79"/>
      <c r="D196" s="5"/>
      <c r="E196" s="5"/>
      <c r="F196" s="5"/>
      <c r="G196" s="5"/>
      <c r="H196" s="5"/>
      <c r="I196" s="5"/>
      <c r="J196" s="5"/>
      <c r="K196" s="4"/>
      <c r="L196" s="4"/>
      <c r="M196" s="4"/>
      <c r="N196" s="4"/>
    </row>
    <row r="197" spans="1:14" ht="12.5" x14ac:dyDescent="0.25">
      <c r="A197" s="4"/>
      <c r="B197" s="4"/>
      <c r="C197" s="79"/>
      <c r="D197" s="5"/>
      <c r="E197" s="5"/>
      <c r="F197" s="5"/>
      <c r="G197" s="5"/>
      <c r="H197" s="5"/>
      <c r="I197" s="5"/>
      <c r="J197" s="5"/>
      <c r="K197" s="4"/>
      <c r="L197" s="4"/>
      <c r="M197" s="4"/>
      <c r="N197" s="4"/>
    </row>
    <row r="198" spans="1:14" ht="12.5" x14ac:dyDescent="0.25">
      <c r="A198" s="4"/>
      <c r="B198" s="4"/>
      <c r="C198" s="79"/>
      <c r="D198" s="5"/>
      <c r="E198" s="5"/>
      <c r="F198" s="5"/>
      <c r="G198" s="5"/>
      <c r="H198" s="5"/>
      <c r="I198" s="5"/>
      <c r="J198" s="5"/>
      <c r="K198" s="4"/>
      <c r="L198" s="4"/>
      <c r="M198" s="4"/>
      <c r="N198" s="4"/>
    </row>
    <row r="199" spans="1:14" ht="12.5" x14ac:dyDescent="0.25">
      <c r="A199" s="4"/>
      <c r="B199" s="4"/>
      <c r="C199" s="79"/>
      <c r="D199" s="5"/>
      <c r="E199" s="5"/>
      <c r="F199" s="5"/>
      <c r="G199" s="5"/>
      <c r="H199" s="5"/>
      <c r="I199" s="5"/>
      <c r="J199" s="5"/>
      <c r="K199" s="4"/>
      <c r="L199" s="4"/>
      <c r="M199" s="4"/>
      <c r="N199" s="4"/>
    </row>
    <row r="200" spans="1:14" ht="12.5" x14ac:dyDescent="0.25">
      <c r="A200" s="4"/>
      <c r="B200" s="4"/>
      <c r="C200" s="79"/>
      <c r="D200" s="5"/>
      <c r="E200" s="5"/>
      <c r="F200" s="5"/>
      <c r="G200" s="5"/>
      <c r="H200" s="5"/>
      <c r="I200" s="5"/>
      <c r="J200" s="5"/>
      <c r="K200" s="4"/>
      <c r="L200" s="4"/>
      <c r="M200" s="4"/>
      <c r="N200" s="4"/>
    </row>
    <row r="201" spans="1:14" ht="12.5" x14ac:dyDescent="0.25">
      <c r="A201" s="4"/>
      <c r="B201" s="4"/>
      <c r="C201" s="79"/>
      <c r="D201" s="5"/>
      <c r="E201" s="5"/>
      <c r="F201" s="5"/>
      <c r="G201" s="5"/>
      <c r="H201" s="5"/>
      <c r="I201" s="5"/>
      <c r="J201" s="5"/>
      <c r="K201" s="4"/>
      <c r="L201" s="4"/>
      <c r="M201" s="4"/>
      <c r="N201" s="4"/>
    </row>
    <row r="202" spans="1:14" ht="12.5" x14ac:dyDescent="0.25">
      <c r="A202" s="4"/>
      <c r="B202" s="4"/>
      <c r="C202" s="79"/>
      <c r="D202" s="5"/>
      <c r="E202" s="5"/>
      <c r="F202" s="5"/>
      <c r="G202" s="5"/>
      <c r="H202" s="5"/>
      <c r="I202" s="5"/>
      <c r="J202" s="5"/>
      <c r="K202" s="4"/>
      <c r="L202" s="4"/>
      <c r="M202" s="4"/>
      <c r="N202" s="4"/>
    </row>
    <row r="203" spans="1:14" ht="12.5" x14ac:dyDescent="0.25">
      <c r="A203" s="4"/>
      <c r="B203" s="4"/>
      <c r="C203" s="79"/>
      <c r="D203" s="5"/>
      <c r="E203" s="5"/>
      <c r="F203" s="5"/>
      <c r="G203" s="5"/>
      <c r="H203" s="5"/>
      <c r="I203" s="5"/>
      <c r="J203" s="5"/>
      <c r="K203" s="4"/>
      <c r="L203" s="4"/>
      <c r="M203" s="4"/>
      <c r="N203" s="4"/>
    </row>
    <row r="204" spans="1:14" ht="12.5" x14ac:dyDescent="0.25">
      <c r="A204" s="4"/>
      <c r="B204" s="4"/>
      <c r="C204" s="79"/>
      <c r="D204" s="5"/>
      <c r="E204" s="5"/>
      <c r="F204" s="5"/>
      <c r="G204" s="5"/>
      <c r="H204" s="5"/>
      <c r="I204" s="5"/>
      <c r="J204" s="5"/>
      <c r="K204" s="4"/>
      <c r="L204" s="4"/>
      <c r="M204" s="4"/>
      <c r="N204" s="4"/>
    </row>
    <row r="205" spans="1:14" ht="12.5" x14ac:dyDescent="0.25">
      <c r="A205" s="4"/>
      <c r="B205" s="4"/>
      <c r="C205" s="79"/>
      <c r="D205" s="5"/>
      <c r="E205" s="5"/>
      <c r="F205" s="5"/>
      <c r="G205" s="5"/>
      <c r="H205" s="5"/>
      <c r="I205" s="5"/>
      <c r="J205" s="5"/>
      <c r="K205" s="4"/>
      <c r="L205" s="4"/>
      <c r="M205" s="4"/>
      <c r="N205" s="4"/>
    </row>
    <row r="206" spans="1:14" ht="12.5" x14ac:dyDescent="0.25">
      <c r="A206" s="4"/>
      <c r="B206" s="4"/>
      <c r="C206" s="79"/>
      <c r="D206" s="5"/>
      <c r="E206" s="5"/>
      <c r="F206" s="5"/>
      <c r="G206" s="5"/>
      <c r="H206" s="5"/>
      <c r="I206" s="5"/>
      <c r="J206" s="5"/>
      <c r="K206" s="4"/>
      <c r="L206" s="4"/>
      <c r="M206" s="4"/>
      <c r="N206" s="4"/>
    </row>
    <row r="207" spans="1:14" ht="12.5" x14ac:dyDescent="0.25">
      <c r="A207" s="4"/>
      <c r="B207" s="4"/>
      <c r="C207" s="79"/>
      <c r="D207" s="5"/>
      <c r="E207" s="5"/>
      <c r="F207" s="5"/>
      <c r="G207" s="5"/>
      <c r="H207" s="5"/>
      <c r="I207" s="5"/>
      <c r="J207" s="5"/>
      <c r="K207" s="4"/>
      <c r="L207" s="4"/>
      <c r="M207" s="4"/>
      <c r="N207" s="4"/>
    </row>
    <row r="208" spans="1:14" ht="12.5" x14ac:dyDescent="0.25">
      <c r="A208" s="4"/>
      <c r="B208" s="4"/>
      <c r="C208" s="79"/>
      <c r="D208" s="5"/>
      <c r="E208" s="5"/>
      <c r="F208" s="5"/>
      <c r="G208" s="5"/>
      <c r="H208" s="5"/>
      <c r="I208" s="5"/>
      <c r="J208" s="5"/>
      <c r="K208" s="4"/>
      <c r="L208" s="4"/>
      <c r="M208" s="4"/>
      <c r="N208" s="4"/>
    </row>
    <row r="209" spans="1:14" ht="12.5" x14ac:dyDescent="0.25">
      <c r="A209" s="4"/>
      <c r="B209" s="4"/>
      <c r="C209" s="79"/>
      <c r="D209" s="5"/>
      <c r="E209" s="5"/>
      <c r="F209" s="5"/>
      <c r="G209" s="5"/>
      <c r="H209" s="5"/>
      <c r="I209" s="5"/>
      <c r="J209" s="5"/>
      <c r="K209" s="4"/>
      <c r="L209" s="4"/>
      <c r="M209" s="4"/>
      <c r="N209" s="4"/>
    </row>
    <row r="210" spans="1:14" ht="12.5" x14ac:dyDescent="0.25">
      <c r="A210" s="4"/>
      <c r="B210" s="4"/>
      <c r="C210" s="79"/>
      <c r="D210" s="5"/>
      <c r="E210" s="5"/>
      <c r="F210" s="5"/>
      <c r="G210" s="5"/>
      <c r="H210" s="5"/>
      <c r="I210" s="5"/>
      <c r="J210" s="5"/>
      <c r="K210" s="4"/>
      <c r="L210" s="4"/>
      <c r="M210" s="4"/>
      <c r="N210" s="4"/>
    </row>
    <row r="211" spans="1:14" ht="12.5" x14ac:dyDescent="0.25">
      <c r="A211" s="4"/>
      <c r="B211" s="4"/>
      <c r="C211" s="79"/>
      <c r="D211" s="5"/>
      <c r="E211" s="5"/>
      <c r="F211" s="5"/>
      <c r="G211" s="5"/>
      <c r="H211" s="5"/>
      <c r="I211" s="5"/>
      <c r="J211" s="5"/>
      <c r="K211" s="4"/>
      <c r="L211" s="4"/>
      <c r="M211" s="4"/>
      <c r="N211" s="4"/>
    </row>
    <row r="212" spans="1:14" ht="12.5" x14ac:dyDescent="0.25">
      <c r="A212" s="4"/>
      <c r="B212" s="4"/>
      <c r="C212" s="79"/>
      <c r="D212" s="5"/>
      <c r="E212" s="5"/>
      <c r="F212" s="5"/>
      <c r="G212" s="5"/>
      <c r="H212" s="5"/>
      <c r="I212" s="5"/>
      <c r="J212" s="5"/>
      <c r="K212" s="4"/>
      <c r="L212" s="4"/>
      <c r="M212" s="4"/>
      <c r="N212" s="4"/>
    </row>
    <row r="213" spans="1:14" ht="12.5" x14ac:dyDescent="0.25">
      <c r="A213" s="4"/>
      <c r="B213" s="4"/>
      <c r="C213" s="79"/>
      <c r="D213" s="5"/>
      <c r="E213" s="5"/>
      <c r="F213" s="5"/>
      <c r="G213" s="5"/>
      <c r="H213" s="5"/>
      <c r="I213" s="5"/>
      <c r="J213" s="5"/>
      <c r="K213" s="4"/>
      <c r="L213" s="4"/>
      <c r="M213" s="4"/>
      <c r="N213" s="4"/>
    </row>
    <row r="214" spans="1:14" ht="12.5" x14ac:dyDescent="0.25">
      <c r="A214" s="4"/>
      <c r="B214" s="4"/>
      <c r="C214" s="79"/>
      <c r="D214" s="5"/>
      <c r="E214" s="5"/>
      <c r="F214" s="5"/>
      <c r="G214" s="5"/>
      <c r="H214" s="5"/>
      <c r="I214" s="5"/>
      <c r="J214" s="5"/>
      <c r="K214" s="4"/>
      <c r="L214" s="4"/>
      <c r="M214" s="4"/>
      <c r="N214" s="4"/>
    </row>
    <row r="215" spans="1:14" ht="12.5" x14ac:dyDescent="0.25">
      <c r="A215" s="4"/>
      <c r="B215" s="4"/>
      <c r="C215" s="79"/>
      <c r="D215" s="5"/>
      <c r="E215" s="5"/>
      <c r="F215" s="5"/>
      <c r="G215" s="5"/>
      <c r="H215" s="5"/>
      <c r="I215" s="5"/>
      <c r="J215" s="5"/>
      <c r="K215" s="4"/>
      <c r="L215" s="4"/>
      <c r="M215" s="4"/>
      <c r="N215" s="4"/>
    </row>
    <row r="216" spans="1:14" ht="12.5" x14ac:dyDescent="0.25">
      <c r="A216" s="4"/>
      <c r="B216" s="4"/>
      <c r="C216" s="79"/>
      <c r="D216" s="5"/>
      <c r="E216" s="5"/>
      <c r="F216" s="5"/>
      <c r="G216" s="5"/>
      <c r="H216" s="5"/>
      <c r="I216" s="5"/>
      <c r="J216" s="5"/>
      <c r="K216" s="4"/>
      <c r="L216" s="4"/>
      <c r="M216" s="4"/>
      <c r="N216" s="4"/>
    </row>
    <row r="217" spans="1:14" ht="12.5" x14ac:dyDescent="0.25">
      <c r="A217" s="4"/>
      <c r="B217" s="4"/>
      <c r="C217" s="79"/>
      <c r="D217" s="5"/>
      <c r="E217" s="5"/>
      <c r="F217" s="5"/>
      <c r="G217" s="5"/>
      <c r="H217" s="5"/>
      <c r="I217" s="5"/>
      <c r="J217" s="5"/>
      <c r="K217" s="4"/>
      <c r="L217" s="4"/>
      <c r="M217" s="4"/>
      <c r="N217" s="4"/>
    </row>
    <row r="218" spans="1:14" ht="12.5" x14ac:dyDescent="0.25">
      <c r="A218" s="4"/>
      <c r="B218" s="4"/>
      <c r="C218" s="79"/>
      <c r="D218" s="5"/>
      <c r="E218" s="5"/>
      <c r="F218" s="5"/>
      <c r="G218" s="5"/>
      <c r="H218" s="5"/>
      <c r="I218" s="5"/>
      <c r="J218" s="5"/>
      <c r="K218" s="4"/>
      <c r="L218" s="4"/>
      <c r="M218" s="4"/>
      <c r="N218" s="4"/>
    </row>
    <row r="219" spans="1:14" ht="12.5" x14ac:dyDescent="0.25">
      <c r="A219" s="4"/>
      <c r="B219" s="4"/>
      <c r="C219" s="79"/>
      <c r="D219" s="5"/>
      <c r="E219" s="5"/>
      <c r="F219" s="5"/>
      <c r="G219" s="5"/>
      <c r="H219" s="5"/>
      <c r="I219" s="5"/>
      <c r="J219" s="5"/>
      <c r="K219" s="4"/>
      <c r="L219" s="4"/>
      <c r="M219" s="4"/>
      <c r="N219" s="4"/>
    </row>
    <row r="220" spans="1:14" ht="12.5" x14ac:dyDescent="0.25">
      <c r="A220" s="4"/>
      <c r="B220" s="4"/>
      <c r="C220" s="79"/>
      <c r="D220" s="5"/>
      <c r="E220" s="5"/>
      <c r="F220" s="5"/>
      <c r="G220" s="5"/>
      <c r="H220" s="5"/>
      <c r="I220" s="5"/>
      <c r="J220" s="5"/>
      <c r="K220" s="4"/>
      <c r="L220" s="4"/>
      <c r="M220" s="4"/>
      <c r="N220" s="4"/>
    </row>
    <row r="221" spans="1:14" ht="12.5" x14ac:dyDescent="0.25">
      <c r="A221" s="4"/>
      <c r="B221" s="4"/>
      <c r="C221" s="79"/>
      <c r="D221" s="5"/>
      <c r="E221" s="5"/>
      <c r="F221" s="5"/>
      <c r="G221" s="5"/>
      <c r="H221" s="5"/>
      <c r="I221" s="5"/>
      <c r="J221" s="5"/>
      <c r="K221" s="4"/>
      <c r="L221" s="4"/>
      <c r="M221" s="4"/>
      <c r="N221" s="4"/>
    </row>
    <row r="222" spans="1:14" ht="12.5" x14ac:dyDescent="0.25">
      <c r="A222" s="4"/>
      <c r="B222" s="4"/>
      <c r="C222" s="79"/>
      <c r="D222" s="5"/>
      <c r="E222" s="5"/>
      <c r="F222" s="5"/>
      <c r="G222" s="5"/>
      <c r="H222" s="5"/>
      <c r="I222" s="5"/>
      <c r="J222" s="5"/>
      <c r="K222" s="4"/>
      <c r="L222" s="4"/>
      <c r="M222" s="4"/>
      <c r="N222" s="4"/>
    </row>
    <row r="223" spans="1:14" ht="12.5" x14ac:dyDescent="0.25">
      <c r="A223" s="4"/>
      <c r="B223" s="4"/>
      <c r="C223" s="79"/>
      <c r="D223" s="5"/>
      <c r="E223" s="5"/>
      <c r="F223" s="5"/>
      <c r="G223" s="5"/>
      <c r="H223" s="5"/>
      <c r="I223" s="5"/>
      <c r="J223" s="5"/>
      <c r="K223" s="4"/>
      <c r="L223" s="4"/>
      <c r="M223" s="4"/>
      <c r="N223" s="4"/>
    </row>
    <row r="224" spans="1:14" ht="12.5" x14ac:dyDescent="0.25">
      <c r="A224" s="4"/>
      <c r="B224" s="4"/>
      <c r="C224" s="79"/>
      <c r="D224" s="5"/>
      <c r="E224" s="5"/>
      <c r="F224" s="5"/>
      <c r="G224" s="5"/>
      <c r="H224" s="5"/>
      <c r="I224" s="5"/>
      <c r="J224" s="5"/>
      <c r="K224" s="4"/>
      <c r="L224" s="4"/>
      <c r="M224" s="4"/>
      <c r="N224" s="4"/>
    </row>
    <row r="225" spans="1:14" ht="12.5" x14ac:dyDescent="0.25">
      <c r="A225" s="4"/>
      <c r="B225" s="4"/>
      <c r="C225" s="79"/>
      <c r="D225" s="5"/>
      <c r="E225" s="5"/>
      <c r="F225" s="5"/>
      <c r="G225" s="5"/>
      <c r="H225" s="5"/>
      <c r="I225" s="5"/>
      <c r="J225" s="5"/>
      <c r="K225" s="4"/>
      <c r="L225" s="4"/>
      <c r="M225" s="4"/>
      <c r="N225" s="4"/>
    </row>
    <row r="226" spans="1:14" ht="12.5" x14ac:dyDescent="0.25">
      <c r="A226" s="4"/>
      <c r="B226" s="4"/>
      <c r="C226" s="79"/>
      <c r="D226" s="5"/>
      <c r="E226" s="5"/>
      <c r="F226" s="5"/>
      <c r="G226" s="5"/>
      <c r="H226" s="5"/>
      <c r="I226" s="5"/>
      <c r="J226" s="5"/>
      <c r="K226" s="4"/>
      <c r="L226" s="4"/>
      <c r="M226" s="4"/>
      <c r="N226" s="4"/>
    </row>
    <row r="227" spans="1:14" ht="12.5" x14ac:dyDescent="0.25">
      <c r="A227" s="4"/>
      <c r="B227" s="4"/>
      <c r="C227" s="79"/>
      <c r="D227" s="5"/>
      <c r="E227" s="5"/>
      <c r="F227" s="5"/>
      <c r="G227" s="5"/>
      <c r="H227" s="5"/>
      <c r="I227" s="5"/>
      <c r="J227" s="5"/>
      <c r="K227" s="4"/>
      <c r="L227" s="4"/>
      <c r="M227" s="4"/>
      <c r="N227" s="4"/>
    </row>
    <row r="228" spans="1:14" ht="12.5" x14ac:dyDescent="0.25">
      <c r="A228" s="4"/>
      <c r="B228" s="4"/>
      <c r="C228" s="79"/>
      <c r="D228" s="5"/>
      <c r="E228" s="5"/>
      <c r="F228" s="5"/>
      <c r="G228" s="5"/>
      <c r="H228" s="5"/>
      <c r="I228" s="5"/>
      <c r="J228" s="5"/>
      <c r="K228" s="4"/>
      <c r="L228" s="4"/>
      <c r="M228" s="4"/>
      <c r="N228" s="4"/>
    </row>
    <row r="229" spans="1:14" ht="12.5" x14ac:dyDescent="0.25">
      <c r="A229" s="4"/>
      <c r="B229" s="4"/>
      <c r="C229" s="79"/>
      <c r="D229" s="5"/>
      <c r="E229" s="5"/>
      <c r="F229" s="5"/>
      <c r="G229" s="5"/>
      <c r="H229" s="5"/>
      <c r="I229" s="5"/>
      <c r="J229" s="5"/>
      <c r="K229" s="4"/>
      <c r="L229" s="4"/>
      <c r="M229" s="4"/>
      <c r="N229" s="4"/>
    </row>
    <row r="230" spans="1:14" ht="12.5" x14ac:dyDescent="0.25">
      <c r="A230" s="4"/>
      <c r="B230" s="4"/>
      <c r="C230" s="79"/>
      <c r="D230" s="5"/>
      <c r="E230" s="5"/>
      <c r="F230" s="5"/>
      <c r="G230" s="5"/>
      <c r="H230" s="5"/>
      <c r="I230" s="5"/>
      <c r="J230" s="5"/>
      <c r="K230" s="4"/>
      <c r="L230" s="4"/>
      <c r="M230" s="4"/>
      <c r="N230" s="4"/>
    </row>
    <row r="231" spans="1:14" ht="12.5" x14ac:dyDescent="0.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x14ac:dyDescent="0.25"/>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x14ac:dyDescent="0.3">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9" t="str">
        <f ca="1">E6</f>
        <v>Creator</v>
      </c>
      <c r="M1" s="98"/>
      <c r="N1" s="98"/>
      <c r="O1" s="98"/>
      <c r="P1" s="98"/>
      <c r="Q1" s="98"/>
      <c r="R1" s="98"/>
      <c r="S1" s="98"/>
      <c r="T1" s="98"/>
      <c r="U1" s="98"/>
      <c r="V1" s="98"/>
      <c r="W1" s="98"/>
      <c r="X1" s="98"/>
      <c r="Y1" s="98"/>
      <c r="Z1" s="98"/>
      <c r="AA1" s="4"/>
      <c r="AB1" s="99" t="str">
        <f ca="1">E5</f>
        <v>Author</v>
      </c>
      <c r="AC1" s="98"/>
      <c r="AD1" s="98"/>
      <c r="AE1" s="98"/>
      <c r="AF1" s="98"/>
      <c r="AG1" s="98"/>
      <c r="AH1" s="98"/>
      <c r="AI1" s="98"/>
      <c r="AJ1" s="98"/>
      <c r="AK1" s="98"/>
      <c r="AL1" s="98"/>
      <c r="AM1" s="98"/>
      <c r="AN1" s="98"/>
      <c r="AO1" s="98"/>
      <c r="AP1" s="98"/>
    </row>
    <row r="2" spans="1:42" ht="12.5" x14ac:dyDescent="0.25">
      <c r="A2" s="4" t="str">
        <f ca="1">IFERROR(__xludf.DUMMYFUNCTION("""COMPUTED_VALUE"""),"Yes")</f>
        <v>Yes</v>
      </c>
      <c r="B2" s="4"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8"/>
      <c r="D3" s="98"/>
      <c r="E3" s="5" t="str">
        <f ca="1">IFERROR(__xludf.DUMMYFUNCTION("""COMPUTED_VALUE"""),"Source")</f>
        <v>Source</v>
      </c>
      <c r="F3" s="99" t="str">
        <f ca="1">IFERROR(__xludf.DUMMYFUNCTION("""COMPUTED_VALUE"""),"0:1")</f>
        <v>0:1</v>
      </c>
      <c r="G3" s="98"/>
      <c r="H3" s="98"/>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8"/>
      <c r="D4" s="98"/>
      <c r="E4" s="5" t="str">
        <f ca="1">IFERROR(__xludf.DUMMYFUNCTION("""COMPUTED_VALUE"""),"Identifier")</f>
        <v>Identifier</v>
      </c>
      <c r="F4" s="99" t="str">
        <f ca="1">IFERROR(__xludf.DUMMYFUNCTION("""COMPUTED_VALUE"""),"1")</f>
        <v>1</v>
      </c>
      <c r="G4" s="98"/>
      <c r="H4" s="98"/>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8"/>
      <c r="D6" s="98"/>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4" t="str">
        <f ca="1">IFERROR(__xludf.DUMMYFUNCTION("""COMPUTED_VALUE"""),"Yes")</f>
        <v>Yes</v>
      </c>
      <c r="C7" s="98"/>
      <c r="D7" s="98"/>
      <c r="E7" s="99" t="str">
        <f ca="1">IFERROR(__xludf.DUMMYFUNCTION("""COMPUTED_VALUE"""),"Date")</f>
        <v>Date</v>
      </c>
      <c r="F7" s="99"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8"/>
      <c r="D8" s="98"/>
      <c r="E8" s="98"/>
      <c r="F8" s="98"/>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8"/>
      <c r="D11" s="98"/>
      <c r="E11" s="5" t="str">
        <f ca="1">IFERROR(__xludf.DUMMYFUNCTION("""COMPUTED_VALUE"""),"URL")</f>
        <v>URL</v>
      </c>
      <c r="F11" s="99" t="str">
        <f ca="1">IFERROR(__xludf.DUMMYFUNCTION("""COMPUTED_VALUE"""),"0:1")</f>
        <v>0:1</v>
      </c>
      <c r="G11" s="98"/>
      <c r="H11" s="98"/>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4" t="str">
        <f ca="1">IFERROR(__xludf.DUMMYFUNCTION("""COMPUTED_VALUE"""),"Yes")</f>
        <v>Yes</v>
      </c>
      <c r="B12" s="4" t="str">
        <f ca="1">IFERROR(__xludf.DUMMYFUNCTION("""COMPUTED_VALUE"""),"No")</f>
        <v>No</v>
      </c>
      <c r="C12" s="98"/>
      <c r="D12" s="98"/>
      <c r="E12" s="5" t="str">
        <f ca="1">IFERROR(__xludf.DUMMYFUNCTION("""COMPUTED_VALUE"""),"Format")</f>
        <v>Format</v>
      </c>
      <c r="F12" s="99" t="str">
        <f ca="1">IFERROR(__xludf.DUMMYFUNCTION("""COMPUTED_VALUE"""),"0:1")</f>
        <v>0:1</v>
      </c>
      <c r="G12" s="98"/>
      <c r="H12" s="98"/>
      <c r="I12" s="5"/>
      <c r="J12" s="10"/>
      <c r="K12" s="4"/>
      <c r="L12" s="101" t="str">
        <f ca="1">E13</f>
        <v>References</v>
      </c>
      <c r="M12" s="98"/>
      <c r="N12" s="98"/>
      <c r="O12" s="98"/>
      <c r="P12" s="98"/>
      <c r="Q12" s="98"/>
      <c r="R12" s="98"/>
      <c r="S12" s="98"/>
      <c r="T12" s="98"/>
      <c r="U12" s="98"/>
      <c r="V12" s="98"/>
      <c r="W12" s="98"/>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8"/>
      <c r="D16" s="98"/>
      <c r="E16" s="98"/>
      <c r="F16" s="98"/>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x14ac:dyDescent="0.25">
      <c r="A23" s="4" t="str">
        <f ca="1">IFERROR(__xludf.DUMMYFUNCTION("""COMPUTED_VALUE"""),"Yes")</f>
        <v>Yes</v>
      </c>
      <c r="B23" s="4"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8"/>
      <c r="D24" s="98"/>
      <c r="E24" s="98"/>
      <c r="F24" s="98"/>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8"/>
      <c r="D25" s="98"/>
      <c r="E25" s="5" t="str">
        <f ca="1">IFERROR(__xludf.DUMMYFUNCTION("""COMPUTED_VALUE"""),"Language")</f>
        <v>Language</v>
      </c>
      <c r="F25" s="99" t="str">
        <f ca="1">IFERROR(__xludf.DUMMYFUNCTION("""COMPUTED_VALUE"""),"0:1")</f>
        <v>0:1</v>
      </c>
      <c r="G25" s="98"/>
      <c r="H25" s="98"/>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8"/>
      <c r="D26" s="98"/>
      <c r="E26" s="5" t="str">
        <f ca="1">IFERROR(__xludf.DUMMYFUNCTION("""COMPUTED_VALUE"""),"Software")</f>
        <v>Software</v>
      </c>
      <c r="F26" s="99" t="str">
        <f ca="1">IFERROR(__xludf.DUMMYFUNCTION("""COMPUTED_VALUE"""),"0:1")</f>
        <v>0:1</v>
      </c>
      <c r="G26" s="98"/>
      <c r="H26" s="98"/>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8"/>
      <c r="D32" s="98"/>
      <c r="E32" s="98"/>
      <c r="F32" s="98"/>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8"/>
      <c r="D33" s="98"/>
      <c r="E33" s="5" t="str">
        <f ca="1">IFERROR(__xludf.DUMMYFUNCTION("""COMPUTED_VALUE"""),"Status")</f>
        <v>Status</v>
      </c>
      <c r="F33" s="99" t="str">
        <f ca="1">IFERROR(__xludf.DUMMYFUNCTION("""COMPUTED_VALUE"""),"0:1")</f>
        <v>0:1</v>
      </c>
      <c r="G33" s="98"/>
      <c r="H33" s="98"/>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8"/>
      <c r="D34" s="98"/>
      <c r="E34" s="5" t="str">
        <f ca="1">IFERROR(__xludf.DUMMYFUNCTION("""COMPUTED_VALUE"""),"Objective")</f>
        <v>Objective</v>
      </c>
      <c r="F34" s="99" t="str">
        <f ca="1">IFERROR(__xludf.DUMMYFUNCTION("""COMPUTED_VALUE"""),"0:1")</f>
        <v>0:1</v>
      </c>
      <c r="G34" s="98"/>
      <c r="H34" s="98"/>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8"/>
      <c r="D35" s="98"/>
      <c r="E35" s="5" t="str">
        <f ca="1">IFERROR(__xludf.DUMMYFUNCTION("""COMPUTED_VALUE"""),"Description")</f>
        <v>Description</v>
      </c>
      <c r="F35" s="99" t="str">
        <f ca="1">IFERROR(__xludf.DUMMYFUNCTION("""COMPUTED_VALUE"""),"0:1")</f>
        <v>0:1</v>
      </c>
      <c r="G35" s="98"/>
      <c r="H35" s="98"/>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7" t="str">
        <f ca="1">IFERROR(__xludf.DUMMYFUNCTION("""COMPUTED_VALUE"""),"Scope")</f>
        <v>Scope</v>
      </c>
      <c r="D36" s="97" t="str">
        <f ca="1">IFERROR(__xludf.DUMMYFUNCTION("""COMPUTED_VALUE"""),"1")</f>
        <v>1</v>
      </c>
      <c r="E36" s="99" t="str">
        <f ca="1">IFERROR(__xludf.DUMMYFUNCTION("""COMPUTED_VALUE"""),"Product / matrix")</f>
        <v>Product / matrix</v>
      </c>
      <c r="F36" s="99" t="str">
        <f ca="1">IFERROR(__xludf.DUMMYFUNCTION("""COMPUTED_VALUE"""),"1:N")</f>
        <v>1:N</v>
      </c>
      <c r="G36" s="5" t="str">
        <f ca="1">IFERROR(__xludf.DUMMYFUNCTION("""COMPUTED_VALUE"""),"Product/matrix name")</f>
        <v>Product/matrix name</v>
      </c>
      <c r="H36" s="5" t="str">
        <f ca="1">IFERROR(__xludf.DUMMYFUNCTION("""COMPUTED_VALUE"""),"1")</f>
        <v>1</v>
      </c>
      <c r="I36" s="5"/>
      <c r="J36" s="13"/>
      <c r="K36" s="4"/>
      <c r="L36" s="101" t="str">
        <f ca="1">E36</f>
        <v>Product / matrix</v>
      </c>
      <c r="M36" s="98"/>
      <c r="N36" s="98"/>
      <c r="O36" s="98"/>
      <c r="P36" s="98"/>
      <c r="Q36" s="98"/>
      <c r="R36" s="98"/>
      <c r="S36" s="98"/>
      <c r="T36" s="98"/>
      <c r="U36" s="98"/>
      <c r="V36" s="98"/>
      <c r="W36" s="101" t="str">
        <f ca="1">E47</f>
        <v>Population Group</v>
      </c>
      <c r="X36" s="98"/>
      <c r="Y36" s="98"/>
      <c r="Z36" s="98"/>
      <c r="AA36" s="98"/>
      <c r="AB36" s="98"/>
      <c r="AC36" s="98"/>
      <c r="AD36" s="98"/>
      <c r="AE36" s="98"/>
      <c r="AF36" s="98"/>
      <c r="AG36" s="98"/>
      <c r="AH36" s="98"/>
      <c r="AI36" s="98"/>
      <c r="AJ36" s="4"/>
      <c r="AK36" s="4"/>
      <c r="AL36" s="4"/>
      <c r="AM36" s="4"/>
      <c r="AN36" s="4"/>
      <c r="AO36" s="4"/>
      <c r="AP36" s="4"/>
    </row>
    <row r="37" spans="1:42" ht="12.5" x14ac:dyDescent="0.25">
      <c r="A37" s="4" t="str">
        <f ca="1">IFERROR(__xludf.DUMMYFUNCTION("""COMPUTED_VALUE"""),"Yes")</f>
        <v>Yes</v>
      </c>
      <c r="B37" s="4" t="str">
        <f ca="1">IFERROR(__xludf.DUMMYFUNCTION("""COMPUTED_VALUE"""),"Yes")</f>
        <v>Yes</v>
      </c>
      <c r="C37" s="98"/>
      <c r="D37" s="98"/>
      <c r="E37" s="98"/>
      <c r="F37" s="98"/>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x14ac:dyDescent="0.25">
      <c r="A38" s="4" t="str">
        <f ca="1">IFERROR(__xludf.DUMMYFUNCTION("""COMPUTED_VALUE"""),"Yes")</f>
        <v>Yes</v>
      </c>
      <c r="B38" s="4" t="str">
        <f ca="1">IFERROR(__xludf.DUMMYFUNCTION("""COMPUTED_VALUE"""),"Yes")</f>
        <v>Yes</v>
      </c>
      <c r="C38" s="98"/>
      <c r="D38" s="98"/>
      <c r="E38" s="98"/>
      <c r="F38" s="98"/>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x14ac:dyDescent="0.25">
      <c r="A39" s="4" t="str">
        <f ca="1">IFERROR(__xludf.DUMMYFUNCTION("""COMPUTED_VALUE"""),"Yes")</f>
        <v>Yes</v>
      </c>
      <c r="B39" s="4" t="str">
        <f ca="1">IFERROR(__xludf.DUMMYFUNCTION("""COMPUTED_VALUE"""),"No")</f>
        <v>No</v>
      </c>
      <c r="C39" s="98"/>
      <c r="D39" s="98"/>
      <c r="E39" s="98"/>
      <c r="F39" s="98"/>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x14ac:dyDescent="0.25">
      <c r="A40" s="4" t="str">
        <f ca="1">IFERROR(__xludf.DUMMYFUNCTION("""COMPUTED_VALUE"""),"Yes")</f>
        <v>Yes</v>
      </c>
      <c r="B40" s="4" t="str">
        <f ca="1">IFERROR(__xludf.DUMMYFUNCTION("""COMPUTED_VALUE"""),"No")</f>
        <v>No</v>
      </c>
      <c r="C40" s="98"/>
      <c r="D40" s="98"/>
      <c r="E40" s="98"/>
      <c r="F40" s="98"/>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x14ac:dyDescent="0.25">
      <c r="A41" s="4" t="str">
        <f ca="1">IFERROR(__xludf.DUMMYFUNCTION("""COMPUTED_VALUE"""),"Yes")</f>
        <v>Yes</v>
      </c>
      <c r="B41" s="4" t="str">
        <f ca="1">IFERROR(__xludf.DUMMYFUNCTION("""COMPUTED_VALUE"""),"No")</f>
        <v>No</v>
      </c>
      <c r="C41" s="98"/>
      <c r="D41" s="98"/>
      <c r="E41" s="98"/>
      <c r="F41" s="98"/>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x14ac:dyDescent="0.25">
      <c r="A42" s="4" t="str">
        <f ca="1">IFERROR(__xludf.DUMMYFUNCTION("""COMPUTED_VALUE"""),"Yes")</f>
        <v>Yes</v>
      </c>
      <c r="B42" s="4" t="str">
        <f ca="1">IFERROR(__xludf.DUMMYFUNCTION("""COMPUTED_VALUE"""),"No")</f>
        <v>No</v>
      </c>
      <c r="C42" s="98"/>
      <c r="D42" s="98"/>
      <c r="E42" s="98"/>
      <c r="F42" s="98"/>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x14ac:dyDescent="0.25">
      <c r="A43" s="4" t="str">
        <f ca="1">IFERROR(__xludf.DUMMYFUNCTION("""COMPUTED_VALUE"""),"Yes")</f>
        <v>Yes</v>
      </c>
      <c r="B43" s="4" t="str">
        <f ca="1">IFERROR(__xludf.DUMMYFUNCTION("""COMPUTED_VALUE"""),"No")</f>
        <v>No</v>
      </c>
      <c r="C43" s="98"/>
      <c r="D43" s="98"/>
      <c r="E43" s="98"/>
      <c r="F43" s="98"/>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x14ac:dyDescent="0.25">
      <c r="A44" s="4" t="str">
        <f ca="1">IFERROR(__xludf.DUMMYFUNCTION("""COMPUTED_VALUE"""),"Yes")</f>
        <v>Yes</v>
      </c>
      <c r="B44" s="4" t="str">
        <f ca="1">IFERROR(__xludf.DUMMYFUNCTION("""COMPUTED_VALUE"""),"No")</f>
        <v>No</v>
      </c>
      <c r="C44" s="98"/>
      <c r="D44" s="98"/>
      <c r="E44" s="98"/>
      <c r="F44" s="98"/>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x14ac:dyDescent="0.25">
      <c r="A45" s="4" t="str">
        <f ca="1">IFERROR(__xludf.DUMMYFUNCTION("""COMPUTED_VALUE"""),"Yes")</f>
        <v>Yes</v>
      </c>
      <c r="B45" s="4" t="str">
        <f ca="1">IFERROR(__xludf.DUMMYFUNCTION("""COMPUTED_VALUE"""),"No")</f>
        <v>No</v>
      </c>
      <c r="C45" s="98"/>
      <c r="D45" s="98"/>
      <c r="E45" s="98"/>
      <c r="F45" s="98"/>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x14ac:dyDescent="0.25">
      <c r="A46" s="4" t="str">
        <f ca="1">IFERROR(__xludf.DUMMYFUNCTION("""COMPUTED_VALUE"""),"Yes")</f>
        <v>Yes</v>
      </c>
      <c r="B46" s="4" t="str">
        <f ca="1">IFERROR(__xludf.DUMMYFUNCTION("""COMPUTED_VALUE"""),"No")</f>
        <v>No</v>
      </c>
      <c r="C46" s="98"/>
      <c r="D46" s="98"/>
      <c r="E46" s="98"/>
      <c r="F46" s="98"/>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x14ac:dyDescent="0.25">
      <c r="A47" s="4" t="str">
        <f ca="1">IFERROR(__xludf.DUMMYFUNCTION("""COMPUTED_VALUE"""),"Yes")</f>
        <v>Yes</v>
      </c>
      <c r="B47" s="4" t="str">
        <f ca="1">IFERROR(__xludf.DUMMYFUNCTION("""COMPUTED_VALUE"""),"Yes")</f>
        <v>Yes</v>
      </c>
      <c r="C47" s="98"/>
      <c r="D47" s="98"/>
      <c r="E47" s="99" t="str">
        <f ca="1">IFERROR(__xludf.DUMMYFUNCTION("""COMPUTED_VALUE"""),"Population Group")</f>
        <v>Population Group</v>
      </c>
      <c r="F47" s="99"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x14ac:dyDescent="0.25">
      <c r="A48" s="4" t="str">
        <f ca="1">IFERROR(__xludf.DUMMYFUNCTION("""COMPUTED_VALUE"""),"Yes")</f>
        <v>Yes</v>
      </c>
      <c r="B48" s="4" t="str">
        <f ca="1">IFERROR(__xludf.DUMMYFUNCTION("""COMPUTED_VALUE"""),"No")</f>
        <v>No</v>
      </c>
      <c r="C48" s="98"/>
      <c r="D48" s="98"/>
      <c r="E48" s="98"/>
      <c r="F48" s="98"/>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x14ac:dyDescent="0.25">
      <c r="A49" s="4" t="str">
        <f ca="1">IFERROR(__xludf.DUMMYFUNCTION("""COMPUTED_VALUE"""),"Yes")</f>
        <v>Yes</v>
      </c>
      <c r="B49" s="4" t="str">
        <f ca="1">IFERROR(__xludf.DUMMYFUNCTION("""COMPUTED_VALUE"""),"No")</f>
        <v>No</v>
      </c>
      <c r="C49" s="98"/>
      <c r="D49" s="98"/>
      <c r="E49" s="98"/>
      <c r="F49" s="98"/>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x14ac:dyDescent="0.25">
      <c r="A50" s="4" t="str">
        <f ca="1">IFERROR(__xludf.DUMMYFUNCTION("""COMPUTED_VALUE"""),"Yes")</f>
        <v>Yes</v>
      </c>
      <c r="B50" s="4" t="str">
        <f ca="1">IFERROR(__xludf.DUMMYFUNCTION("""COMPUTED_VALUE"""),"No")</f>
        <v>No</v>
      </c>
      <c r="C50" s="98"/>
      <c r="D50" s="98"/>
      <c r="E50" s="98"/>
      <c r="F50" s="98"/>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x14ac:dyDescent="0.25">
      <c r="A51" s="4" t="str">
        <f ca="1">IFERROR(__xludf.DUMMYFUNCTION("""COMPUTED_VALUE"""),"Yes")</f>
        <v>Yes</v>
      </c>
      <c r="B51" s="4" t="str">
        <f ca="1">IFERROR(__xludf.DUMMYFUNCTION("""COMPUTED_VALUE"""),"No")</f>
        <v>No</v>
      </c>
      <c r="C51" s="98"/>
      <c r="D51" s="98"/>
      <c r="E51" s="98"/>
      <c r="F51" s="98"/>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8"/>
      <c r="D52" s="98"/>
      <c r="E52" s="98"/>
      <c r="F52" s="98"/>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8"/>
      <c r="D53" s="98"/>
      <c r="E53" s="98"/>
      <c r="F53" s="98"/>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8"/>
      <c r="D54" s="98"/>
      <c r="E54" s="98"/>
      <c r="F54" s="98"/>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8"/>
      <c r="D55" s="98"/>
      <c r="E55" s="98"/>
      <c r="F55" s="98"/>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8"/>
      <c r="D56" s="98"/>
      <c r="E56" s="98"/>
      <c r="F56" s="98"/>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8"/>
      <c r="D57" s="98"/>
      <c r="E57" s="98"/>
      <c r="F57" s="98"/>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8"/>
      <c r="D58" s="98"/>
      <c r="E58" s="98"/>
      <c r="F58" s="98"/>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8"/>
      <c r="D59" s="98"/>
      <c r="E59" s="98"/>
      <c r="F59" s="98"/>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8"/>
      <c r="D60" s="98"/>
      <c r="E60" s="5" t="str">
        <f ca="1">IFERROR(__xludf.DUMMYFUNCTION("""COMPUTED_VALUE"""),"General comment")</f>
        <v>General comment</v>
      </c>
      <c r="F60" s="99" t="str">
        <f ca="1">IFERROR(__xludf.DUMMYFUNCTION("""COMPUTED_VALUE"""),"0:1")</f>
        <v>0:1</v>
      </c>
      <c r="G60" s="98"/>
      <c r="H60" s="98"/>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IFERROR(__xludf.DUMMYFUNCTION("""COMPUTED_VALUE"""),"Yes")</f>
        <v>Yes</v>
      </c>
      <c r="C61" s="98"/>
      <c r="D61" s="98"/>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IFERROR(__xludf.DUMMYFUNCTION("""COMPUTED_VALUE"""),"Yes")</f>
        <v>Yes</v>
      </c>
      <c r="C62" s="98"/>
      <c r="D62" s="98"/>
      <c r="E62" s="99" t="str">
        <f ca="1">IFERROR(__xludf.DUMMYFUNCTION("""COMPUTED_VALUE"""),"Spatial information")</f>
        <v>Spatial information</v>
      </c>
      <c r="F62" s="99"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IFERROR(__xludf.DUMMYFUNCTION("""COMPUTED_VALUE"""),"Yes")</f>
        <v>Yes</v>
      </c>
      <c r="C63" s="98"/>
      <c r="D63" s="98"/>
      <c r="E63" s="98"/>
      <c r="F63" s="98"/>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7" t="str">
        <f ca="1">IFERROR(__xludf.DUMMYFUNCTION("""COMPUTED_VALUE"""),"Data_background")</f>
        <v>Data_background</v>
      </c>
      <c r="D64" s="97" t="str">
        <f ca="1">IFERROR(__xludf.DUMMYFUNCTION("""COMPUTED_VALUE"""),"0:1")</f>
        <v>0:1</v>
      </c>
      <c r="E64" s="99" t="str">
        <f ca="1">IFERROR(__xludf.DUMMYFUNCTION("""COMPUTED_VALUE"""),"Study")</f>
        <v>Study</v>
      </c>
      <c r="F64" s="99"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8"/>
      <c r="D65" s="98"/>
      <c r="E65" s="98"/>
      <c r="F65" s="98"/>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8"/>
      <c r="D66" s="98"/>
      <c r="E66" s="98"/>
      <c r="F66" s="98"/>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8"/>
      <c r="D67" s="98"/>
      <c r="E67" s="98"/>
      <c r="F67" s="98"/>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8"/>
      <c r="D68" s="98"/>
      <c r="E68" s="98"/>
      <c r="F68" s="98"/>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8"/>
      <c r="D69" s="98"/>
      <c r="E69" s="98"/>
      <c r="F69" s="98"/>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8"/>
      <c r="D70" s="98"/>
      <c r="E70" s="98"/>
      <c r="F70" s="98"/>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8"/>
      <c r="D71" s="98"/>
      <c r="E71" s="98"/>
      <c r="F71" s="98"/>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8"/>
      <c r="D72" s="98"/>
      <c r="E72" s="98"/>
      <c r="F72" s="98"/>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8"/>
      <c r="D73" s="98"/>
      <c r="E73" s="98"/>
      <c r="F73" s="98"/>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8"/>
      <c r="D74" s="98"/>
      <c r="E74" s="98"/>
      <c r="F74" s="98"/>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8"/>
      <c r="D75" s="98"/>
      <c r="E75" s="98"/>
      <c r="F75" s="98"/>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8"/>
      <c r="D76" s="98"/>
      <c r="E76" s="98"/>
      <c r="F76" s="98"/>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8"/>
      <c r="D77" s="98"/>
      <c r="E77" s="98"/>
      <c r="F77" s="98"/>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8"/>
      <c r="D78" s="98"/>
      <c r="E78" s="98"/>
      <c r="F78" s="98"/>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8"/>
      <c r="D79" s="98"/>
      <c r="E79" s="98"/>
      <c r="F79" s="98"/>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8"/>
      <c r="D80" s="98"/>
      <c r="E80" s="99" t="str">
        <f ca="1">IFERROR(__xludf.DUMMYFUNCTION("""COMPUTED_VALUE"""),"Study Sample")</f>
        <v>Study Sample</v>
      </c>
      <c r="F80" s="99" t="str">
        <f ca="1">IFERROR(__xludf.DUMMYFUNCTION("""COMPUTED_VALUE"""),"0:N")</f>
        <v>0:N</v>
      </c>
      <c r="G80" s="5" t="str">
        <f ca="1">IFERROR(__xludf.DUMMYFUNCTION("""COMPUTED_VALUE"""),"Sample Name (ID)")</f>
        <v>Sample Name (ID)</v>
      </c>
      <c r="H80" s="5" t="str">
        <f ca="1">IFERROR(__xludf.DUMMYFUNCTION("""COMPUTED_VALUE"""),"1")</f>
        <v>1</v>
      </c>
      <c r="I80" s="5"/>
      <c r="J80" s="13"/>
      <c r="K80" s="4"/>
      <c r="L80" s="101" t="str">
        <f ca="1">E80</f>
        <v>Study Sample</v>
      </c>
      <c r="M80" s="98"/>
      <c r="N80" s="98"/>
      <c r="O80" s="98"/>
      <c r="P80" s="98"/>
      <c r="Q80" s="98"/>
      <c r="R80" s="98"/>
      <c r="S80" s="98"/>
      <c r="T80" s="98"/>
      <c r="U80" s="98"/>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8"/>
      <c r="D81" s="98"/>
      <c r="E81" s="98"/>
      <c r="F81" s="98"/>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8"/>
      <c r="D82" s="98"/>
      <c r="E82" s="98"/>
      <c r="F82" s="98"/>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8"/>
      <c r="D83" s="98"/>
      <c r="E83" s="98"/>
      <c r="F83" s="98"/>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8"/>
      <c r="D84" s="98"/>
      <c r="E84" s="98"/>
      <c r="F84" s="98"/>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8"/>
      <c r="D85" s="98"/>
      <c r="E85" s="98"/>
      <c r="F85" s="98"/>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8"/>
      <c r="D86" s="98"/>
      <c r="E86" s="98"/>
      <c r="F86" s="98"/>
      <c r="G86" s="5" t="str">
        <f ca="1">IFERROR(__xludf.DUMMYFUNCTION("""COMPUTED_VALUE"""),"Sampling weight")</f>
        <v>Sampling weight</v>
      </c>
      <c r="H86" s="5" t="str">
        <f ca="1">IFERROR(__xludf.DUMMYFUNCTION("""COMPUTED_VALUE"""),"1")</f>
        <v>1</v>
      </c>
      <c r="I86" s="5"/>
      <c r="J86" s="13"/>
      <c r="K86" s="4"/>
      <c r="L86" s="101" t="str">
        <f ca="1">E90</f>
        <v>Dietary assessment method</v>
      </c>
      <c r="M86" s="98"/>
      <c r="N86" s="98"/>
      <c r="O86" s="98"/>
      <c r="P86" s="98"/>
      <c r="Q86" s="98"/>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8"/>
      <c r="D87" s="98"/>
      <c r="E87" s="98"/>
      <c r="F87" s="98"/>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8"/>
      <c r="D88" s="98"/>
      <c r="E88" s="98"/>
      <c r="F88" s="98"/>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4" t="str">
        <f ca="1">IFERROR(__xludf.DUMMYFUNCTION("""COMPUTED_VALUE"""),"Yes")</f>
        <v>Yes</v>
      </c>
      <c r="B89" s="4" t="str">
        <f ca="1">IFERROR(__xludf.DUMMYFUNCTION("""COMPUTED_VALUE"""),"No")</f>
        <v>No</v>
      </c>
      <c r="C89" s="98"/>
      <c r="D89" s="98"/>
      <c r="E89" s="98"/>
      <c r="F89" s="98"/>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4" t="str">
        <f ca="1">IFERROR(__xludf.DUMMYFUNCTION("""COMPUTED_VALUE"""),"Yes")</f>
        <v>Yes</v>
      </c>
      <c r="B90" s="4" t="str">
        <f ca="1">IFERROR(__xludf.DUMMYFUNCTION("""COMPUTED_VALUE"""),"No")</f>
        <v>No</v>
      </c>
      <c r="C90" s="98"/>
      <c r="D90" s="98"/>
      <c r="E90" s="99" t="str">
        <f ca="1">IFERROR(__xludf.DUMMYFUNCTION("""COMPUTED_VALUE"""),"Dietary assessment method")</f>
        <v>Dietary assessment method</v>
      </c>
      <c r="F90" s="99"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4" t="str">
        <f ca="1">IFERROR(__xludf.DUMMYFUNCTION("""COMPUTED_VALUE"""),"Yes")</f>
        <v>Yes</v>
      </c>
      <c r="B91" s="4" t="str">
        <f ca="1">IFERROR(__xludf.DUMMYFUNCTION("""COMPUTED_VALUE"""),"No")</f>
        <v>No</v>
      </c>
      <c r="C91" s="98"/>
      <c r="D91" s="98"/>
      <c r="E91" s="98"/>
      <c r="F91" s="98"/>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4" t="str">
        <f ca="1">IFERROR(__xludf.DUMMYFUNCTION("""COMPUTED_VALUE"""),"Yes")</f>
        <v>Yes</v>
      </c>
      <c r="B92" s="4" t="str">
        <f ca="1">IFERROR(__xludf.DUMMYFUNCTION("""COMPUTED_VALUE"""),"No")</f>
        <v>No</v>
      </c>
      <c r="C92" s="98"/>
      <c r="D92" s="98"/>
      <c r="E92" s="98"/>
      <c r="F92" s="98"/>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4" t="str">
        <f ca="1">IFERROR(__xludf.DUMMYFUNCTION("""COMPUTED_VALUE"""),"Yes")</f>
        <v>Yes</v>
      </c>
      <c r="B93" s="4" t="str">
        <f ca="1">IFERROR(__xludf.DUMMYFUNCTION("""COMPUTED_VALUE"""),"No")</f>
        <v>No</v>
      </c>
      <c r="C93" s="98"/>
      <c r="D93" s="98"/>
      <c r="E93" s="98"/>
      <c r="F93" s="98"/>
      <c r="G93" s="5" t="str">
        <f ca="1">IFERROR(__xludf.DUMMYFUNCTION("""COMPUTED_VALUE"""),"Number of food items")</f>
        <v>Number of food items</v>
      </c>
      <c r="H93" s="5" t="str">
        <f ca="1">IFERROR(__xludf.DUMMYFUNCTION("""COMPUTED_VALUE"""),"1:N")</f>
        <v>1:N</v>
      </c>
      <c r="I93" s="5"/>
      <c r="J93" s="13"/>
      <c r="K93" s="4"/>
      <c r="L93" s="101" t="str">
        <f ca="1">E96</f>
        <v>Laboratory</v>
      </c>
      <c r="M93" s="98"/>
      <c r="N93" s="98"/>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4" t="str">
        <f ca="1">IFERROR(__xludf.DUMMYFUNCTION("""COMPUTED_VALUE"""),"Yes")</f>
        <v>Yes</v>
      </c>
      <c r="B94" s="4" t="str">
        <f ca="1">IFERROR(__xludf.DUMMYFUNCTION("""COMPUTED_VALUE"""),"No")</f>
        <v>No</v>
      </c>
      <c r="C94" s="98"/>
      <c r="D94" s="98"/>
      <c r="E94" s="98"/>
      <c r="F94" s="98"/>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8"/>
      <c r="D95" s="98"/>
      <c r="E95" s="98"/>
      <c r="F95" s="98"/>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8"/>
      <c r="D96" s="98"/>
      <c r="E96" s="99" t="str">
        <f ca="1">IFERROR(__xludf.DUMMYFUNCTION("""COMPUTED_VALUE"""),"Laboratory")</f>
        <v>Laboratory</v>
      </c>
      <c r="F96" s="99"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8"/>
      <c r="D97" s="98"/>
      <c r="E97" s="98"/>
      <c r="F97" s="98"/>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8"/>
      <c r="D98" s="98"/>
      <c r="E98" s="98"/>
      <c r="F98" s="98"/>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8"/>
      <c r="D99" s="98"/>
      <c r="E99" s="99" t="str">
        <f ca="1">IFERROR(__xludf.DUMMYFUNCTION("""COMPUTED_VALUE"""),"Assay")</f>
        <v>Assay</v>
      </c>
      <c r="F99" s="99" t="str">
        <f ca="1">IFERROR(__xludf.DUMMYFUNCTION("""COMPUTED_VALUE"""),"0:N")</f>
        <v>0:N</v>
      </c>
      <c r="G99" s="5" t="str">
        <f ca="1">IFERROR(__xludf.DUMMYFUNCTION("""COMPUTED_VALUE"""),"Assay Name")</f>
        <v>Assay Name</v>
      </c>
      <c r="H99" s="5" t="str">
        <f ca="1">IFERROR(__xludf.DUMMYFUNCTION("""COMPUTED_VALUE"""),"1")</f>
        <v>1</v>
      </c>
      <c r="I99" s="5"/>
      <c r="J99" s="13"/>
      <c r="K99" s="4"/>
      <c r="L99" s="101" t="str">
        <f ca="1">E99</f>
        <v>Assay</v>
      </c>
      <c r="M99" s="98"/>
      <c r="N99" s="98"/>
      <c r="O99" s="98"/>
      <c r="P99" s="98"/>
      <c r="Q99" s="98"/>
      <c r="R99" s="98"/>
      <c r="S99" s="98"/>
      <c r="T99" s="98"/>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8"/>
      <c r="D100" s="98"/>
      <c r="E100" s="98"/>
      <c r="F100" s="98"/>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8"/>
      <c r="D101" s="98"/>
      <c r="E101" s="98"/>
      <c r="F101" s="98"/>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8"/>
      <c r="D102" s="98"/>
      <c r="E102" s="98"/>
      <c r="F102" s="98"/>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IFERROR(__xludf.DUMMYFUNCTION("""COMPUTED_VALUE"""),"No")</f>
        <v>No</v>
      </c>
      <c r="C103" s="98"/>
      <c r="D103" s="98"/>
      <c r="E103" s="98"/>
      <c r="F103" s="98"/>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IFERROR(__xludf.DUMMYFUNCTION("""COMPUTED_VALUE"""),"No")</f>
        <v>No</v>
      </c>
      <c r="C104" s="98"/>
      <c r="D104" s="98"/>
      <c r="E104" s="98"/>
      <c r="F104" s="98"/>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IFERROR(__xludf.DUMMYFUNCTION("""COMPUTED_VALUE"""),"No")</f>
        <v>No</v>
      </c>
      <c r="C105" s="98"/>
      <c r="D105" s="98"/>
      <c r="E105" s="98"/>
      <c r="F105" s="98"/>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IFERROR(__xludf.DUMMYFUNCTION("""COMPUTED_VALUE"""),"No")</f>
        <v>No</v>
      </c>
      <c r="C106" s="98"/>
      <c r="D106" s="98"/>
      <c r="E106" s="98"/>
      <c r="F106" s="98"/>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IFERROR(__xludf.DUMMYFUNCTION("""COMPUTED_VALUE"""),"No")</f>
        <v>No</v>
      </c>
      <c r="C107" s="98"/>
      <c r="D107" s="98"/>
      <c r="E107" s="98"/>
      <c r="F107" s="98"/>
      <c r="G107" s="5" t="str">
        <f ca="1">IFERROR(__xludf.DUMMYFUNCTION("""COMPUTED_VALUE"""),"Uncertainty value")</f>
        <v>Uncertainty value</v>
      </c>
      <c r="H107" s="5" t="str">
        <f ca="1">IFERROR(__xludf.DUMMYFUNCTION("""COMPUTED_VALUE"""),"0:1")</f>
        <v>0:1</v>
      </c>
      <c r="I107" s="5"/>
      <c r="J107" s="13"/>
      <c r="K107" s="4"/>
      <c r="L107" s="4"/>
      <c r="M107" s="100" t="str">
        <f ca="1">E126</f>
        <v>Quality measures</v>
      </c>
      <c r="N107" s="98"/>
      <c r="O107" s="23"/>
      <c r="P107" s="100" t="str">
        <f ca="1">E128</f>
        <v>Model equation</v>
      </c>
      <c r="Q107" s="98"/>
      <c r="R107" s="98"/>
      <c r="S107" s="98"/>
      <c r="T107" s="98"/>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IFERROR(__xludf.DUMMYFUNCTION("""COMPUTED_VALUE"""),"Yes")</f>
        <v>Yes</v>
      </c>
      <c r="C108" s="97" t="str">
        <f ca="1">IFERROR(__xludf.DUMMYFUNCTION("""COMPUTED_VALUE"""),"Model math / Data definition")</f>
        <v>Model math / Data definition</v>
      </c>
      <c r="D108" s="97" t="str">
        <f ca="1">IFERROR(__xludf.DUMMYFUNCTION("""COMPUTED_VALUE"""),"1")</f>
        <v>1</v>
      </c>
      <c r="E108" s="99" t="str">
        <f ca="1">IFERROR(__xludf.DUMMYFUNCTION("""COMPUTED_VALUE"""),"Parameter / Factor / Input / Output / ""Data column""")</f>
        <v>Parameter / Factor / Input / Output / "Data column"</v>
      </c>
      <c r="F108" s="99"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8"/>
      <c r="D109" s="98"/>
      <c r="E109" s="98"/>
      <c r="F109" s="98"/>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IFERROR(__xludf.DUMMYFUNCTION("""COMPUTED_VALUE"""),"Yes")</f>
        <v>Yes</v>
      </c>
      <c r="C110" s="98"/>
      <c r="D110" s="98"/>
      <c r="E110" s="98"/>
      <c r="F110" s="98"/>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IFERROR(__xludf.DUMMYFUNCTION("""COMPUTED_VALUE"""),"No")</f>
        <v>No</v>
      </c>
      <c r="C111" s="98"/>
      <c r="D111" s="98"/>
      <c r="E111" s="98"/>
      <c r="F111" s="98"/>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IFERROR(__xludf.DUMMYFUNCTION("""COMPUTED_VALUE"""),"Yes")</f>
        <v>Yes</v>
      </c>
      <c r="C112" s="98"/>
      <c r="D112" s="98"/>
      <c r="E112" s="98"/>
      <c r="F112" s="98"/>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x14ac:dyDescent="0.25">
      <c r="A113" s="4" t="str">
        <f ca="1">IFERROR(__xludf.DUMMYFUNCTION("""COMPUTED_VALUE"""),"Yes")</f>
        <v>Yes</v>
      </c>
      <c r="B113" s="4" t="str">
        <f ca="1">IFERROR(__xludf.DUMMYFUNCTION("""COMPUTED_VALUE"""),"No")</f>
        <v>No</v>
      </c>
      <c r="C113" s="98"/>
      <c r="D113" s="98"/>
      <c r="E113" s="98"/>
      <c r="F113" s="98"/>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x14ac:dyDescent="0.25">
      <c r="A114" s="4" t="str">
        <f ca="1">IFERROR(__xludf.DUMMYFUNCTION("""COMPUTED_VALUE"""),"Yes")</f>
        <v>Yes</v>
      </c>
      <c r="B114" s="4" t="str">
        <f ca="1">IFERROR(__xludf.DUMMYFUNCTION("""COMPUTED_VALUE"""),"Yes")</f>
        <v>Yes</v>
      </c>
      <c r="C114" s="98"/>
      <c r="D114" s="98"/>
      <c r="E114" s="98"/>
      <c r="F114" s="98"/>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x14ac:dyDescent="0.25">
      <c r="A115" s="4" t="str">
        <f ca="1">IFERROR(__xludf.DUMMYFUNCTION("""COMPUTED_VALUE"""),"Yes")</f>
        <v>Yes</v>
      </c>
      <c r="B115" s="4" t="str">
        <f ca="1">IFERROR(__xludf.DUMMYFUNCTION("""COMPUTED_VALUE"""),"No")</f>
        <v>No</v>
      </c>
      <c r="C115" s="98"/>
      <c r="D115" s="98"/>
      <c r="E115" s="98"/>
      <c r="F115" s="98"/>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x14ac:dyDescent="0.25">
      <c r="A116" s="4" t="str">
        <f ca="1">IFERROR(__xludf.DUMMYFUNCTION("""COMPUTED_VALUE"""),"Yes")</f>
        <v>Yes</v>
      </c>
      <c r="B116" s="4" t="str">
        <f ca="1">IFERROR(__xludf.DUMMYFUNCTION("""COMPUTED_VALUE"""),"Yes")</f>
        <v>Yes</v>
      </c>
      <c r="C116" s="98"/>
      <c r="D116" s="98"/>
      <c r="E116" s="98"/>
      <c r="F116" s="98"/>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x14ac:dyDescent="0.25">
      <c r="A117" s="4" t="str">
        <f ca="1">IFERROR(__xludf.DUMMYFUNCTION("""COMPUTED_VALUE"""),"Yes")</f>
        <v>Yes</v>
      </c>
      <c r="B117" s="4" t="str">
        <f ca="1">IFERROR(__xludf.DUMMYFUNCTION("""COMPUTED_VALUE"""),"Yes")</f>
        <v>Yes</v>
      </c>
      <c r="C117" s="98"/>
      <c r="D117" s="98"/>
      <c r="E117" s="98"/>
      <c r="F117" s="98"/>
      <c r="G117" s="5" t="str">
        <f ca="1">IFERROR(__xludf.DUMMYFUNCTION("""COMPUTED_VALUE"""),"Parameter distribution")</f>
        <v>Parameter distribution</v>
      </c>
      <c r="H117" s="5" t="str">
        <f ca="1">IFERROR(__xludf.DUMMYFUNCTION("""COMPUTED_VALUE"""),"0:1")</f>
        <v>0:1</v>
      </c>
      <c r="I117" s="5"/>
      <c r="J117" s="13"/>
      <c r="K117" s="35" t="s">
        <v>23</v>
      </c>
      <c r="L117" s="100" t="str">
        <f ca="1">E108</f>
        <v>Parameter / Factor / Input / Output / "Data column"</v>
      </c>
      <c r="M117" s="98"/>
      <c r="N117" s="98"/>
      <c r="O117" s="98"/>
      <c r="P117" s="98"/>
      <c r="Q117" s="98"/>
      <c r="R117" s="98"/>
      <c r="S117" s="98"/>
      <c r="T117" s="98"/>
      <c r="U117" s="98"/>
      <c r="V117" s="98"/>
      <c r="W117" s="98"/>
      <c r="X117" s="98"/>
      <c r="Y117" s="98"/>
      <c r="Z117" s="98"/>
      <c r="AA117" s="98"/>
      <c r="AB117" s="4"/>
      <c r="AC117" s="4"/>
      <c r="AD117" s="4"/>
      <c r="AE117" s="23"/>
      <c r="AF117" s="23"/>
      <c r="AG117" s="23"/>
      <c r="AH117" s="23"/>
      <c r="AI117" s="23"/>
      <c r="AJ117" s="23"/>
      <c r="AK117" s="23"/>
      <c r="AL117" s="23"/>
      <c r="AM117" s="23"/>
      <c r="AN117" s="23"/>
      <c r="AO117" s="23"/>
      <c r="AP117" s="23"/>
    </row>
    <row r="118" spans="1:42" ht="12.5" x14ac:dyDescent="0.25">
      <c r="A118" s="4" t="str">
        <f ca="1">IFERROR(__xludf.DUMMYFUNCTION("""COMPUTED_VALUE"""),"Yes")</f>
        <v>Yes</v>
      </c>
      <c r="B118" s="4" t="str">
        <f ca="1">IFERROR(__xludf.DUMMYFUNCTION("""COMPUTED_VALUE"""),"Yes")</f>
        <v>Yes</v>
      </c>
      <c r="C118" s="98"/>
      <c r="D118" s="98"/>
      <c r="E118" s="98"/>
      <c r="F118" s="98"/>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x14ac:dyDescent="0.25">
      <c r="A119" s="4" t="str">
        <f ca="1">IFERROR(__xludf.DUMMYFUNCTION("""COMPUTED_VALUE"""),"Yes")</f>
        <v>Yes</v>
      </c>
      <c r="B119" s="4" t="str">
        <f ca="1">IFERROR(__xludf.DUMMYFUNCTION("""COMPUTED_VALUE"""),"Yes")</f>
        <v>Yes</v>
      </c>
      <c r="C119" s="98"/>
      <c r="D119" s="98"/>
      <c r="E119" s="98"/>
      <c r="F119" s="98"/>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x14ac:dyDescent="0.25">
      <c r="A120" s="4" t="str">
        <f ca="1">IFERROR(__xludf.DUMMYFUNCTION("""COMPUTED_VALUE"""),"Yes")</f>
        <v>Yes</v>
      </c>
      <c r="B120" s="4" t="str">
        <f ca="1">IFERROR(__xludf.DUMMYFUNCTION("""COMPUTED_VALUE"""),"No")</f>
        <v>No</v>
      </c>
      <c r="C120" s="98"/>
      <c r="D120" s="98"/>
      <c r="E120" s="98"/>
      <c r="F120" s="98"/>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x14ac:dyDescent="0.25">
      <c r="A121" s="4" t="str">
        <f ca="1">IFERROR(__xludf.DUMMYFUNCTION("""COMPUTED_VALUE"""),"Yes")</f>
        <v>Yes</v>
      </c>
      <c r="B121" s="4" t="str">
        <f ca="1">IFERROR(__xludf.DUMMYFUNCTION("""COMPUTED_VALUE"""),"No")</f>
        <v>No</v>
      </c>
      <c r="C121" s="98"/>
      <c r="D121" s="98"/>
      <c r="E121" s="98"/>
      <c r="F121" s="98"/>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x14ac:dyDescent="0.25">
      <c r="A122" s="4" t="str">
        <f ca="1">IFERROR(__xludf.DUMMYFUNCTION("""COMPUTED_VALUE"""),"Yes")</f>
        <v>Yes</v>
      </c>
      <c r="B122" s="4" t="str">
        <f ca="1">IFERROR(__xludf.DUMMYFUNCTION("""COMPUTED_VALUE"""),"No")</f>
        <v>No</v>
      </c>
      <c r="C122" s="98"/>
      <c r="D122" s="98"/>
      <c r="E122" s="98"/>
      <c r="F122" s="98"/>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x14ac:dyDescent="0.25">
      <c r="A123" s="4" t="str">
        <f ca="1">IFERROR(__xludf.DUMMYFUNCTION("""COMPUTED_VALUE"""),"Yes")</f>
        <v>Yes</v>
      </c>
      <c r="B123" s="4" t="str">
        <f ca="1">IFERROR(__xludf.DUMMYFUNCTION("""COMPUTED_VALUE"""),"No")</f>
        <v>No</v>
      </c>
      <c r="C123" s="98"/>
      <c r="D123" s="98"/>
      <c r="E123" s="98"/>
      <c r="F123" s="98"/>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x14ac:dyDescent="0.25">
      <c r="A124" s="4" t="str">
        <f ca="1">IFERROR(__xludf.DUMMYFUNCTION("""COMPUTED_VALUE"""),"Yes")</f>
        <v>Yes</v>
      </c>
      <c r="B124" s="4" t="str">
        <f ca="1">IFERROR(__xludf.DUMMYFUNCTION("""COMPUTED_VALUE"""),"No")</f>
        <v>No</v>
      </c>
      <c r="C124" s="98"/>
      <c r="D124" s="98"/>
      <c r="E124" s="98"/>
      <c r="F124" s="98"/>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x14ac:dyDescent="0.25">
      <c r="A125" s="4" t="str">
        <f ca="1">IFERROR(__xludf.DUMMYFUNCTION("""COMPUTED_VALUE"""),"Yes")</f>
        <v>Yes</v>
      </c>
      <c r="B125" s="4" t="str">
        <f ca="1">IFERROR(__xludf.DUMMYFUNCTION("""COMPUTED_VALUE"""),"No")</f>
        <v>No</v>
      </c>
      <c r="C125" s="98"/>
      <c r="D125" s="98"/>
      <c r="E125" s="98"/>
      <c r="F125" s="98"/>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x14ac:dyDescent="0.25">
      <c r="A126" s="4" t="str">
        <f ca="1">IFERROR(__xludf.DUMMYFUNCTION("""COMPUTED_VALUE"""),"Yes")</f>
        <v>Yes</v>
      </c>
      <c r="B126" s="4" t="str">
        <f ca="1">IFERROR(__xludf.DUMMYFUNCTION("""COMPUTED_VALUE"""),"No")</f>
        <v>No</v>
      </c>
      <c r="C126" s="98"/>
      <c r="D126" s="98"/>
      <c r="E126" s="99" t="str">
        <f ca="1">IFERROR(__xludf.DUMMYFUNCTION("""COMPUTED_VALUE"""),"Quality measures")</f>
        <v>Quality measures</v>
      </c>
      <c r="F126" s="99"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x14ac:dyDescent="0.25">
      <c r="A127" s="4" t="str">
        <f ca="1">IFERROR(__xludf.DUMMYFUNCTION("""COMPUTED_VALUE"""),"Yes")</f>
        <v>Yes</v>
      </c>
      <c r="B127" s="4" t="str">
        <f ca="1">IFERROR(__xludf.DUMMYFUNCTION("""COMPUTED_VALUE"""),"No")</f>
        <v>No</v>
      </c>
      <c r="C127" s="98"/>
      <c r="D127" s="98"/>
      <c r="E127" s="98"/>
      <c r="F127" s="98"/>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x14ac:dyDescent="0.25">
      <c r="A128" s="4" t="str">
        <f ca="1">IFERROR(__xludf.DUMMYFUNCTION("""COMPUTED_VALUE"""),"Yes")</f>
        <v>Yes</v>
      </c>
      <c r="B128" s="4" t="str">
        <f ca="1">IFERROR(__xludf.DUMMYFUNCTION("""COMPUTED_VALUE"""),"No")</f>
        <v>No</v>
      </c>
      <c r="C128" s="98"/>
      <c r="D128" s="98"/>
      <c r="E128" s="99" t="str">
        <f ca="1">IFERROR(__xludf.DUMMYFUNCTION("""COMPUTED_VALUE"""),"Model equation")</f>
        <v>Model equation</v>
      </c>
      <c r="F128" s="99"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x14ac:dyDescent="0.25">
      <c r="A129" s="4" t="str">
        <f ca="1">IFERROR(__xludf.DUMMYFUNCTION("""COMPUTED_VALUE"""),"Yes")</f>
        <v>Yes</v>
      </c>
      <c r="B129" s="4" t="str">
        <f ca="1">IFERROR(__xludf.DUMMYFUNCTION("""COMPUTED_VALUE"""),"No")</f>
        <v>No</v>
      </c>
      <c r="C129" s="98"/>
      <c r="D129" s="98"/>
      <c r="E129" s="98"/>
      <c r="F129" s="98"/>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x14ac:dyDescent="0.25">
      <c r="A130" s="4" t="str">
        <f ca="1">IFERROR(__xludf.DUMMYFUNCTION("""COMPUTED_VALUE"""),"Yes")</f>
        <v>Yes</v>
      </c>
      <c r="B130" s="4" t="str">
        <f ca="1">IFERROR(__xludf.DUMMYFUNCTION("""COMPUTED_VALUE"""),"No")</f>
        <v>No</v>
      </c>
      <c r="C130" s="98"/>
      <c r="D130" s="98"/>
      <c r="E130" s="98"/>
      <c r="F130" s="98"/>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x14ac:dyDescent="0.25">
      <c r="A131" s="4" t="str">
        <f ca="1">IFERROR(__xludf.DUMMYFUNCTION("""COMPUTED_VALUE"""),"Yes")</f>
        <v>Yes</v>
      </c>
      <c r="B131" s="4" t="str">
        <f ca="1">IFERROR(__xludf.DUMMYFUNCTION("""COMPUTED_VALUE"""),"No")</f>
        <v>No</v>
      </c>
      <c r="C131" s="98"/>
      <c r="D131" s="98"/>
      <c r="E131" s="98"/>
      <c r="F131" s="98"/>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x14ac:dyDescent="0.25">
      <c r="A132" s="4" t="str">
        <f ca="1">IFERROR(__xludf.DUMMYFUNCTION("""COMPUTED_VALUE"""),"Yes")</f>
        <v>Yes</v>
      </c>
      <c r="B132" s="4" t="str">
        <f ca="1">IFERROR(__xludf.DUMMYFUNCTION("""COMPUTED_VALUE"""),"No")</f>
        <v>No</v>
      </c>
      <c r="C132" s="98"/>
      <c r="D132" s="98"/>
      <c r="E132" s="98"/>
      <c r="F132" s="98"/>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x14ac:dyDescent="0.25">
      <c r="A133" s="4" t="str">
        <f ca="1">IFERROR(__xludf.DUMMYFUNCTION("""COMPUTED_VALUE"""),"Yes")</f>
        <v>Yes</v>
      </c>
      <c r="B133" s="4" t="str">
        <f ca="1">IFERROR(__xludf.DUMMYFUNCTION("""COMPUTED_VALUE"""),"No")</f>
        <v>No</v>
      </c>
      <c r="C133" s="98"/>
      <c r="D133" s="98"/>
      <c r="E133" s="98"/>
      <c r="F133" s="98"/>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x14ac:dyDescent="0.25">
      <c r="A134" s="4" t="str">
        <f ca="1">IFERROR(__xludf.DUMMYFUNCTION("""COMPUTED_VALUE"""),"Yes")</f>
        <v>Yes</v>
      </c>
      <c r="B134" s="4" t="str">
        <f ca="1">IFERROR(__xludf.DUMMYFUNCTION("""COMPUTED_VALUE"""),"No")</f>
        <v>No</v>
      </c>
      <c r="C134" s="98"/>
      <c r="D134" s="98"/>
      <c r="E134" s="98"/>
      <c r="F134" s="98"/>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x14ac:dyDescent="0.25">
      <c r="A135" s="4" t="str">
        <f ca="1">IFERROR(__xludf.DUMMYFUNCTION("""COMPUTED_VALUE"""),"Yes")</f>
        <v>Yes</v>
      </c>
      <c r="B135" s="4" t="str">
        <f ca="1">IFERROR(__xludf.DUMMYFUNCTION("""COMPUTED_VALUE"""),"No")</f>
        <v>No</v>
      </c>
      <c r="C135" s="98"/>
      <c r="D135" s="98"/>
      <c r="E135" s="98"/>
      <c r="F135" s="98"/>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x14ac:dyDescent="0.25">
      <c r="A136" s="4" t="str">
        <f ca="1">IFERROR(__xludf.DUMMYFUNCTION("""COMPUTED_VALUE"""),"Yes")</f>
        <v>Yes</v>
      </c>
      <c r="B136" s="4" t="str">
        <f ca="1">IFERROR(__xludf.DUMMYFUNCTION("""COMPUTED_VALUE"""),"No")</f>
        <v>No</v>
      </c>
      <c r="C136" s="98"/>
      <c r="D136" s="98"/>
      <c r="E136" s="5" t="str">
        <f ca="1">IFERROR(__xludf.DUMMYFUNCTION("""COMPUTED_VALUE"""),"Fitting procedure")</f>
        <v>Fitting procedure</v>
      </c>
      <c r="F136" s="99" t="str">
        <f ca="1">IFERROR(__xludf.DUMMYFUNCTION("""COMPUTED_VALUE"""),"0:1")</f>
        <v>0:1</v>
      </c>
      <c r="G136" s="98"/>
      <c r="H136" s="98"/>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x14ac:dyDescent="0.25">
      <c r="A137" s="4" t="str">
        <f ca="1">IFERROR(__xludf.DUMMYFUNCTION("""COMPUTED_VALUE"""),"Yes")</f>
        <v>Yes</v>
      </c>
      <c r="B137" s="4" t="str">
        <f ca="1">IFERROR(__xludf.DUMMYFUNCTION("""COMPUTED_VALUE"""),"No")</f>
        <v>No</v>
      </c>
      <c r="C137" s="98"/>
      <c r="D137" s="98"/>
      <c r="E137" s="5" t="str">
        <f ca="1">IFERROR(__xludf.DUMMYFUNCTION("""COMPUTED_VALUE"""),"Events")</f>
        <v>Events</v>
      </c>
      <c r="F137" s="99" t="str">
        <f ca="1">IFERROR(__xludf.DUMMYFUNCTION("""COMPUTED_VALUE"""),"0:N")</f>
        <v>0:N</v>
      </c>
      <c r="G137" s="98"/>
      <c r="H137" s="98"/>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x14ac:dyDescent="0.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x14ac:dyDescent="0.25"/>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x14ac:dyDescent="0.3">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9" t="str">
        <f ca="1">E6</f>
        <v>Creator</v>
      </c>
      <c r="M1" s="98"/>
      <c r="N1" s="98"/>
      <c r="O1" s="98"/>
      <c r="P1" s="98"/>
      <c r="Q1" s="98"/>
      <c r="R1" s="98"/>
      <c r="S1" s="98"/>
      <c r="T1" s="98"/>
      <c r="U1" s="98"/>
      <c r="V1" s="98"/>
      <c r="W1" s="98"/>
      <c r="X1" s="98"/>
      <c r="Y1" s="98"/>
      <c r="Z1" s="98"/>
      <c r="AA1" s="4"/>
      <c r="AB1" s="99" t="str">
        <f ca="1">E5</f>
        <v>Author</v>
      </c>
      <c r="AC1" s="98"/>
      <c r="AD1" s="98"/>
      <c r="AE1" s="98"/>
      <c r="AF1" s="98"/>
      <c r="AG1" s="98"/>
      <c r="AH1" s="98"/>
      <c r="AI1" s="98"/>
      <c r="AJ1" s="98"/>
      <c r="AK1" s="98"/>
      <c r="AL1" s="98"/>
      <c r="AM1" s="98"/>
      <c r="AN1" s="98"/>
      <c r="AO1" s="98"/>
      <c r="AP1" s="98"/>
    </row>
    <row r="2" spans="1:42" ht="12.5" x14ac:dyDescent="0.25">
      <c r="A2" s="23" t="str">
        <f ca="1">IFERROR(__xludf.DUMMYFUNCTION("""COMPUTED_VALUE"""),"Yes")</f>
        <v>Yes</v>
      </c>
      <c r="B2" s="23" t="str">
        <f ca="1">IFERROR(__xludf.DUMMYFUNCTION("""COMPUTED_VALUE"""),"Yes")</f>
        <v>Yes</v>
      </c>
      <c r="C2" s="97" t="str">
        <f ca="1">IFERROR(__xludf.DUMMYFUNCTION("""COMPUTED_VALUE"""),"General information")</f>
        <v>General information</v>
      </c>
      <c r="D2" s="97" t="str">
        <f ca="1">IFERROR(__xludf.DUMMYFUNCTION("""COMPUTED_VALUE"""),"1")</f>
        <v>1</v>
      </c>
      <c r="E2" s="5" t="str">
        <f ca="1">IFERROR(__xludf.DUMMYFUNCTION("""COMPUTED_VALUE"""),"Model name")</f>
        <v>Model name</v>
      </c>
      <c r="F2" s="99" t="str">
        <f ca="1">IFERROR(__xludf.DUMMYFUNCTION("""COMPUTED_VALUE"""),"1")</f>
        <v>1</v>
      </c>
      <c r="G2" s="98"/>
      <c r="H2" s="98"/>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8" t="str">
        <f ca="1">IFERROR(__xludf.DUMMYFUNCTION("""COMPUTED_VALUE"""),"Yes")</f>
        <v>Yes</v>
      </c>
      <c r="B3" s="8" t="str">
        <f ca="1">IFERROR(__xludf.DUMMYFUNCTION("""COMPUTED_VALUE"""),"Yes")</f>
        <v>Yes</v>
      </c>
      <c r="C3" s="98"/>
      <c r="D3" s="98"/>
      <c r="E3" s="5" t="str">
        <f ca="1">IFERROR(__xludf.DUMMYFUNCTION("""COMPUTED_VALUE"""),"Source")</f>
        <v>Source</v>
      </c>
      <c r="F3" s="99" t="str">
        <f ca="1">IFERROR(__xludf.DUMMYFUNCTION("""COMPUTED_VALUE"""),"0:1")</f>
        <v>0:1</v>
      </c>
      <c r="G3" s="98"/>
      <c r="H3" s="98"/>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23" t="str">
        <f ca="1">IFERROR(__xludf.DUMMYFUNCTION("""COMPUTED_VALUE"""),"Yes")</f>
        <v>Yes</v>
      </c>
      <c r="B4" s="23" t="str">
        <f ca="1">IFERROR(__xludf.DUMMYFUNCTION("""COMPUTED_VALUE"""),"Yes")</f>
        <v>Yes</v>
      </c>
      <c r="C4" s="98"/>
      <c r="D4" s="98"/>
      <c r="E4" s="5" t="str">
        <f ca="1">IFERROR(__xludf.DUMMYFUNCTION("""COMPUTED_VALUE"""),"Identifier")</f>
        <v>Identifier</v>
      </c>
      <c r="F4" s="99" t="str">
        <f ca="1">IFERROR(__xludf.DUMMYFUNCTION("""COMPUTED_VALUE"""),"1")</f>
        <v>1</v>
      </c>
      <c r="G4" s="98"/>
      <c r="H4" s="98"/>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23" t="str">
        <f ca="1">IFERROR(__xludf.DUMMYFUNCTION("""COMPUTED_VALUE"""),"Yes")</f>
        <v>Yes</v>
      </c>
      <c r="B5" s="23" t="str">
        <f ca="1">IFERROR(__xludf.DUMMYFUNCTION("""COMPUTED_VALUE"""),"No")</f>
        <v>No</v>
      </c>
      <c r="C5" s="98"/>
      <c r="D5" s="98"/>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23" t="str">
        <f ca="1">IFERROR(__xludf.DUMMYFUNCTION("""COMPUTED_VALUE"""),"Yes")</f>
        <v>Yes</v>
      </c>
      <c r="B6" s="23" t="str">
        <f ca="1">IFERROR(__xludf.DUMMYFUNCTION("""COMPUTED_VALUE"""),"Yes")</f>
        <v>Yes</v>
      </c>
      <c r="C6" s="98"/>
      <c r="D6" s="98"/>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23" t="str">
        <f ca="1">IFERROR(__xludf.DUMMYFUNCTION("""COMPUTED_VALUE"""),"Yes")</f>
        <v>Yes</v>
      </c>
      <c r="B7" s="47" t="str">
        <f ca="1">IFERROR(__xludf.DUMMYFUNCTION("""COMPUTED_VALUE"""),"Yes")</f>
        <v>Yes</v>
      </c>
      <c r="C7" s="98"/>
      <c r="D7" s="98"/>
      <c r="E7" s="99" t="str">
        <f ca="1">IFERROR(__xludf.DUMMYFUNCTION("""COMPUTED_VALUE"""),"Date")</f>
        <v>Date</v>
      </c>
      <c r="F7" s="99"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8" t="str">
        <f ca="1">IFERROR(__xludf.DUMMYFUNCTION("""COMPUTED_VALUE"""),"Yes")</f>
        <v>Yes</v>
      </c>
      <c r="B8" s="8" t="str">
        <f ca="1">IFERROR(__xludf.DUMMYFUNCTION("""COMPUTED_VALUE"""),"No")</f>
        <v>No</v>
      </c>
      <c r="C8" s="98"/>
      <c r="D8" s="98"/>
      <c r="E8" s="98"/>
      <c r="F8" s="98"/>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23" t="str">
        <f ca="1">IFERROR(__xludf.DUMMYFUNCTION("""COMPUTED_VALUE"""),"Yes")</f>
        <v>Yes</v>
      </c>
      <c r="B9" s="23" t="str">
        <f ca="1">IFERROR(__xludf.DUMMYFUNCTION("""COMPUTED_VALUE"""),"Yes")</f>
        <v>Yes</v>
      </c>
      <c r="C9" s="98"/>
      <c r="D9" s="98"/>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23" t="str">
        <f ca="1">IFERROR(__xludf.DUMMYFUNCTION("""COMPUTED_VALUE"""),"Yes")</f>
        <v>Yes</v>
      </c>
      <c r="B10" s="47" t="str">
        <f ca="1">IFERROR(__xludf.DUMMYFUNCTION("""COMPUTED_VALUE"""),"No")</f>
        <v>No</v>
      </c>
      <c r="C10" s="98"/>
      <c r="D10" s="98"/>
      <c r="E10" s="5" t="str">
        <f ca="1">IFERROR(__xludf.DUMMYFUNCTION("""COMPUTED_VALUE"""),"Availability")</f>
        <v>Availability</v>
      </c>
      <c r="F10" s="99" t="str">
        <f ca="1">IFERROR(__xludf.DUMMYFUNCTION("""COMPUTED_VALUE"""),"0:1")</f>
        <v>0:1</v>
      </c>
      <c r="G10" s="98"/>
      <c r="H10" s="98"/>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8" t="str">
        <f ca="1">IFERROR(__xludf.DUMMYFUNCTION("""COMPUTED_VALUE"""),"Yes")</f>
        <v>Yes</v>
      </c>
      <c r="B11" s="8" t="str">
        <f ca="1">IFERROR(__xludf.DUMMYFUNCTION("""COMPUTED_VALUE"""),"No")</f>
        <v>No</v>
      </c>
      <c r="C11" s="98"/>
      <c r="D11" s="98"/>
      <c r="E11" s="5" t="str">
        <f ca="1">IFERROR(__xludf.DUMMYFUNCTION("""COMPUTED_VALUE"""),"URL")</f>
        <v>URL</v>
      </c>
      <c r="F11" s="99" t="str">
        <f ca="1">IFERROR(__xludf.DUMMYFUNCTION("""COMPUTED_VALUE"""),"0:1")</f>
        <v>0:1</v>
      </c>
      <c r="G11" s="98"/>
      <c r="H11" s="98"/>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8" t="str">
        <f ca="1">IFERROR(__xludf.DUMMYFUNCTION("""COMPUTED_VALUE"""),"Yes")</f>
        <v>Yes</v>
      </c>
      <c r="B12" s="8" t="str">
        <f ca="1">IFERROR(__xludf.DUMMYFUNCTION("""COMPUTED_VALUE"""),"No")</f>
        <v>No</v>
      </c>
      <c r="C12" s="98"/>
      <c r="D12" s="98"/>
      <c r="E12" s="5" t="str">
        <f ca="1">IFERROR(__xludf.DUMMYFUNCTION("""COMPUTED_VALUE"""),"Format")</f>
        <v>Format</v>
      </c>
      <c r="F12" s="99" t="str">
        <f ca="1">IFERROR(__xludf.DUMMYFUNCTION("""COMPUTED_VALUE"""),"0:1")</f>
        <v>0:1</v>
      </c>
      <c r="G12" s="98"/>
      <c r="H12" s="98"/>
      <c r="I12" s="5"/>
      <c r="J12" s="10"/>
      <c r="K12" s="4"/>
      <c r="L12" s="101" t="str">
        <f ca="1">E13</f>
        <v>References</v>
      </c>
      <c r="M12" s="98"/>
      <c r="N12" s="98"/>
      <c r="O12" s="98"/>
      <c r="P12" s="98"/>
      <c r="Q12" s="98"/>
      <c r="R12" s="98"/>
      <c r="S12" s="98"/>
      <c r="T12" s="98"/>
      <c r="U12" s="98"/>
      <c r="V12" s="98"/>
      <c r="W12" s="98"/>
      <c r="X12" s="4"/>
      <c r="Y12" s="4"/>
      <c r="Z12" s="4"/>
      <c r="AA12" s="4"/>
      <c r="AB12" s="4"/>
      <c r="AC12" s="4"/>
      <c r="AD12" s="4"/>
      <c r="AE12" s="4"/>
      <c r="AF12" s="4"/>
      <c r="AG12" s="4"/>
      <c r="AH12" s="4"/>
      <c r="AI12" s="4"/>
      <c r="AJ12" s="4"/>
      <c r="AK12" s="4"/>
      <c r="AL12" s="4"/>
      <c r="AM12" s="4"/>
      <c r="AN12" s="4"/>
      <c r="AO12" s="4"/>
      <c r="AP12" s="4"/>
    </row>
    <row r="13" spans="1:42" ht="14" x14ac:dyDescent="0.3">
      <c r="A13" s="23" t="str">
        <f ca="1">IFERROR(__xludf.DUMMYFUNCTION("""COMPUTED_VALUE"""),"Yes")</f>
        <v>Yes</v>
      </c>
      <c r="B13" s="23" t="str">
        <f ca="1">IFERROR(__xludf.DUMMYFUNCTION("""COMPUTED_VALUE"""),"Yes")</f>
        <v>Yes</v>
      </c>
      <c r="C13" s="98"/>
      <c r="D13" s="98"/>
      <c r="E13" s="99" t="str">
        <f ca="1">IFERROR(__xludf.DUMMYFUNCTION("""COMPUTED_VALUE"""),"References")</f>
        <v>References</v>
      </c>
      <c r="F13" s="99"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8" t="str">
        <f ca="1">IFERROR(__xludf.DUMMYFUNCTION("""COMPUTED_VALUE"""),"Yes")</f>
        <v>Yes</v>
      </c>
      <c r="B14" s="8" t="str">
        <f ca="1">IFERROR(__xludf.DUMMYFUNCTION("""COMPUTED_VALUE"""),"Yes")</f>
        <v>Yes</v>
      </c>
      <c r="C14" s="98"/>
      <c r="D14" s="98"/>
      <c r="E14" s="98"/>
      <c r="F14" s="98"/>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8" t="str">
        <f ca="1">IFERROR(__xludf.DUMMYFUNCTION("""COMPUTED_VALUE"""),"Yes")</f>
        <v>Yes</v>
      </c>
      <c r="B15" s="8" t="str">
        <f ca="1">IFERROR(__xludf.DUMMYFUNCTION("""COMPUTED_VALUE"""),"No")</f>
        <v>No</v>
      </c>
      <c r="C15" s="98"/>
      <c r="D15" s="98"/>
      <c r="E15" s="98"/>
      <c r="F15" s="98"/>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8" t="str">
        <f ca="1">IFERROR(__xludf.DUMMYFUNCTION("""COMPUTED_VALUE"""),"Yes")</f>
        <v>Yes</v>
      </c>
      <c r="B16" s="8" t="str">
        <f ca="1">IFERROR(__xludf.DUMMYFUNCTION("""COMPUTED_VALUE"""),"No")</f>
        <v>No</v>
      </c>
      <c r="C16" s="98"/>
      <c r="D16" s="98"/>
      <c r="E16" s="98"/>
      <c r="F16" s="98"/>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23" t="str">
        <f ca="1">IFERROR(__xludf.DUMMYFUNCTION("""COMPUTED_VALUE"""),"Yes")</f>
        <v>Yes</v>
      </c>
      <c r="B17" s="23" t="str">
        <f ca="1">IFERROR(__xludf.DUMMYFUNCTION("""COMPUTED_VALUE"""),"Yes")</f>
        <v>Yes</v>
      </c>
      <c r="C17" s="98"/>
      <c r="D17" s="98"/>
      <c r="E17" s="98"/>
      <c r="F17" s="98"/>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8" t="str">
        <f ca="1">IFERROR(__xludf.DUMMYFUNCTION("""COMPUTED_VALUE"""),"Yes")</f>
        <v>Yes</v>
      </c>
      <c r="B18" s="8" t="str">
        <f ca="1">IFERROR(__xludf.DUMMYFUNCTION("""COMPUTED_VALUE"""),"No")</f>
        <v>No</v>
      </c>
      <c r="C18" s="98"/>
      <c r="D18" s="98"/>
      <c r="E18" s="98"/>
      <c r="F18" s="98"/>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23" t="str">
        <f ca="1">IFERROR(__xludf.DUMMYFUNCTION("""COMPUTED_VALUE"""),"Yes")</f>
        <v>Yes</v>
      </c>
      <c r="B19" s="23" t="str">
        <f ca="1">IFERROR(__xludf.DUMMYFUNCTION("""COMPUTED_VALUE"""),"Yes")</f>
        <v>Yes</v>
      </c>
      <c r="C19" s="98"/>
      <c r="D19" s="98"/>
      <c r="E19" s="98"/>
      <c r="F19" s="98"/>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8" t="str">
        <f ca="1">IFERROR(__xludf.DUMMYFUNCTION("""COMPUTED_VALUE"""),"Yes")</f>
        <v>Yes</v>
      </c>
      <c r="B20" s="8" t="str">
        <f ca="1">IFERROR(__xludf.DUMMYFUNCTION("""COMPUTED_VALUE"""),"No")</f>
        <v>No</v>
      </c>
      <c r="C20" s="98"/>
      <c r="D20" s="98"/>
      <c r="E20" s="98"/>
      <c r="F20" s="98"/>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8" t="str">
        <f ca="1">IFERROR(__xludf.DUMMYFUNCTION("""COMPUTED_VALUE"""),"Yes")</f>
        <v>Yes</v>
      </c>
      <c r="B21" s="8" t="str">
        <f ca="1">IFERROR(__xludf.DUMMYFUNCTION("""COMPUTED_VALUE"""),"No")</f>
        <v>No</v>
      </c>
      <c r="C21" s="98"/>
      <c r="D21" s="98"/>
      <c r="E21" s="98"/>
      <c r="F21" s="98"/>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8" t="str">
        <f ca="1">IFERROR(__xludf.DUMMYFUNCTION("""COMPUTED_VALUE"""),"Yes")</f>
        <v>Yes</v>
      </c>
      <c r="B22" s="8" t="str">
        <f ca="1">IFERROR(__xludf.DUMMYFUNCTION("""COMPUTED_VALUE"""),"No")</f>
        <v>No</v>
      </c>
      <c r="C22" s="98"/>
      <c r="D22" s="98"/>
      <c r="E22" s="98"/>
      <c r="F22" s="98"/>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x14ac:dyDescent="0.25">
      <c r="A23" s="8" t="str">
        <f ca="1">IFERROR(__xludf.DUMMYFUNCTION("""COMPUTED_VALUE"""),"Yes")</f>
        <v>Yes</v>
      </c>
      <c r="B23" s="8" t="str">
        <f ca="1">IFERROR(__xludf.DUMMYFUNCTION("""COMPUTED_VALUE"""),"No")</f>
        <v>No</v>
      </c>
      <c r="C23" s="98"/>
      <c r="D23" s="98"/>
      <c r="E23" s="98"/>
      <c r="F23" s="98"/>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8" t="str">
        <f ca="1">IFERROR(__xludf.DUMMYFUNCTION("""COMPUTED_VALUE"""),"Yes")</f>
        <v>Yes</v>
      </c>
      <c r="B24" s="8" t="str">
        <f ca="1">IFERROR(__xludf.DUMMYFUNCTION("""COMPUTED_VALUE"""),"No")</f>
        <v>No</v>
      </c>
      <c r="C24" s="98"/>
      <c r="D24" s="98"/>
      <c r="E24" s="98"/>
      <c r="F24" s="98"/>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8" t="str">
        <f ca="1">IFERROR(__xludf.DUMMYFUNCTION("""COMPUTED_VALUE"""),"Yes")</f>
        <v>Yes</v>
      </c>
      <c r="B25" s="8" t="str">
        <f ca="1">IFERROR(__xludf.DUMMYFUNCTION("""COMPUTED_VALUE"""),"No")</f>
        <v>No</v>
      </c>
      <c r="C25" s="98"/>
      <c r="D25" s="98"/>
      <c r="E25" s="5" t="str">
        <f ca="1">IFERROR(__xludf.DUMMYFUNCTION("""COMPUTED_VALUE"""),"Language")</f>
        <v>Language</v>
      </c>
      <c r="F25" s="99" t="str">
        <f ca="1">IFERROR(__xludf.DUMMYFUNCTION("""COMPUTED_VALUE"""),"0:1")</f>
        <v>0:1</v>
      </c>
      <c r="G25" s="98"/>
      <c r="H25" s="98"/>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8" t="str">
        <f ca="1">IFERROR(__xludf.DUMMYFUNCTION("""COMPUTED_VALUE"""),"Yes")</f>
        <v>Yes</v>
      </c>
      <c r="B26" s="8" t="str">
        <f ca="1">IFERROR(__xludf.DUMMYFUNCTION("""COMPUTED_VALUE"""),"No")</f>
        <v>No</v>
      </c>
      <c r="C26" s="98"/>
      <c r="D26" s="98"/>
      <c r="E26" s="5" t="str">
        <f ca="1">IFERROR(__xludf.DUMMYFUNCTION("""COMPUTED_VALUE"""),"Software")</f>
        <v>Software</v>
      </c>
      <c r="F26" s="99" t="str">
        <f ca="1">IFERROR(__xludf.DUMMYFUNCTION("""COMPUTED_VALUE"""),"0:1")</f>
        <v>0:1</v>
      </c>
      <c r="G26" s="98"/>
      <c r="H26" s="98"/>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8" t="str">
        <f ca="1">IFERROR(__xludf.DUMMYFUNCTION("""COMPUTED_VALUE"""),"Yes")</f>
        <v>Yes</v>
      </c>
      <c r="B27" s="8" t="str">
        <f ca="1">IFERROR(__xludf.DUMMYFUNCTION("""COMPUTED_VALUE"""),"Yes")</f>
        <v>Yes</v>
      </c>
      <c r="C27" s="98"/>
      <c r="D27" s="98"/>
      <c r="E27" s="5" t="str">
        <f ca="1">IFERROR(__xludf.DUMMYFUNCTION("""COMPUTED_VALUE"""),"Language written in")</f>
        <v>Language written in</v>
      </c>
      <c r="F27" s="99" t="str">
        <f ca="1">IFERROR(__xludf.DUMMYFUNCTION("""COMPUTED_VALUE"""),"1")</f>
        <v>1</v>
      </c>
      <c r="G27" s="98"/>
      <c r="H27" s="98"/>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8" t="str">
        <f ca="1">IFERROR(__xludf.DUMMYFUNCTION("""COMPUTED_VALUE"""),"Yes")</f>
        <v>Yes</v>
      </c>
      <c r="B28" s="8" t="str">
        <f ca="1">IFERROR(__xludf.DUMMYFUNCTION("""COMPUTED_VALUE"""),"No")</f>
        <v>No</v>
      </c>
      <c r="C28" s="98"/>
      <c r="D28" s="98"/>
      <c r="E28" s="99" t="str">
        <f ca="1">IFERROR(__xludf.DUMMYFUNCTION("""COMPUTED_VALUE"""),"Model category")</f>
        <v>Model category</v>
      </c>
      <c r="F28" s="99"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8" t="str">
        <f ca="1">IFERROR(__xludf.DUMMYFUNCTION("""COMPUTED_VALUE"""),"Yes")</f>
        <v>Yes</v>
      </c>
      <c r="B29" s="8" t="str">
        <f ca="1">IFERROR(__xludf.DUMMYFUNCTION("""COMPUTED_VALUE"""),"No")</f>
        <v>No</v>
      </c>
      <c r="C29" s="98"/>
      <c r="D29" s="98"/>
      <c r="E29" s="98"/>
      <c r="F29" s="98"/>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8" t="str">
        <f ca="1">IFERROR(__xludf.DUMMYFUNCTION("""COMPUTED_VALUE"""),"Yes")</f>
        <v>Yes</v>
      </c>
      <c r="B30" s="8" t="str">
        <f ca="1">IFERROR(__xludf.DUMMYFUNCTION("""COMPUTED_VALUE"""),"No")</f>
        <v>No</v>
      </c>
      <c r="C30" s="98"/>
      <c r="D30" s="98"/>
      <c r="E30" s="98"/>
      <c r="F30" s="98"/>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8" t="str">
        <f ca="1">IFERROR(__xludf.DUMMYFUNCTION("""COMPUTED_VALUE"""),"Yes")</f>
        <v>Yes</v>
      </c>
      <c r="B31" s="8" t="str">
        <f ca="1">IFERROR(__xludf.DUMMYFUNCTION("""COMPUTED_VALUE"""),"No")</f>
        <v>No</v>
      </c>
      <c r="C31" s="98"/>
      <c r="D31" s="98"/>
      <c r="E31" s="98"/>
      <c r="F31" s="98"/>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8" t="str">
        <f ca="1">IFERROR(__xludf.DUMMYFUNCTION("""COMPUTED_VALUE"""),"Yes")</f>
        <v>Yes</v>
      </c>
      <c r="B32" s="8" t="str">
        <f ca="1">IFERROR(__xludf.DUMMYFUNCTION("""COMPUTED_VALUE"""),"No")</f>
        <v>No</v>
      </c>
      <c r="C32" s="98"/>
      <c r="D32" s="98"/>
      <c r="E32" s="98"/>
      <c r="F32" s="98"/>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8" t="str">
        <f ca="1">IFERROR(__xludf.DUMMYFUNCTION("""COMPUTED_VALUE"""),"Yes")</f>
        <v>Yes</v>
      </c>
      <c r="B33" s="8" t="str">
        <f ca="1">IFERROR(__xludf.DUMMYFUNCTION("""COMPUTED_VALUE"""),"No")</f>
        <v>No</v>
      </c>
      <c r="C33" s="98"/>
      <c r="D33" s="98"/>
      <c r="E33" s="5" t="str">
        <f ca="1">IFERROR(__xludf.DUMMYFUNCTION("""COMPUTED_VALUE"""),"Status")</f>
        <v>Status</v>
      </c>
      <c r="F33" s="99" t="str">
        <f ca="1">IFERROR(__xludf.DUMMYFUNCTION("""COMPUTED_VALUE"""),"0:1")</f>
        <v>0:1</v>
      </c>
      <c r="G33" s="98"/>
      <c r="H33" s="98"/>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8" t="str">
        <f ca="1">IFERROR(__xludf.DUMMYFUNCTION("""COMPUTED_VALUE"""),"Yes")</f>
        <v>Yes</v>
      </c>
      <c r="B34" s="8" t="str">
        <f ca="1">IFERROR(__xludf.DUMMYFUNCTION("""COMPUTED_VALUE"""),"No")</f>
        <v>No</v>
      </c>
      <c r="C34" s="98"/>
      <c r="D34" s="98"/>
      <c r="E34" s="5" t="str">
        <f ca="1">IFERROR(__xludf.DUMMYFUNCTION("""COMPUTED_VALUE"""),"Objective")</f>
        <v>Objective</v>
      </c>
      <c r="F34" s="99" t="str">
        <f ca="1">IFERROR(__xludf.DUMMYFUNCTION("""COMPUTED_VALUE"""),"0:1")</f>
        <v>0:1</v>
      </c>
      <c r="G34" s="98"/>
      <c r="H34" s="98"/>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8" t="str">
        <f ca="1">IFERROR(__xludf.DUMMYFUNCTION("""COMPUTED_VALUE"""),"Yes")</f>
        <v>Yes</v>
      </c>
      <c r="B35" s="8" t="str">
        <f ca="1">IFERROR(__xludf.DUMMYFUNCTION("""COMPUTED_VALUE"""),"No")</f>
        <v>No</v>
      </c>
      <c r="C35" s="98"/>
      <c r="D35" s="98"/>
      <c r="E35" s="5" t="str">
        <f ca="1">IFERROR(__xludf.DUMMYFUNCTION("""COMPUTED_VALUE"""),"Description")</f>
        <v>Description</v>
      </c>
      <c r="F35" s="99" t="str">
        <f ca="1">IFERROR(__xludf.DUMMYFUNCTION("""COMPUTED_VALUE"""),"0:1")</f>
        <v>0:1</v>
      </c>
      <c r="G35" s="98"/>
      <c r="H35" s="98"/>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23" t="str">
        <f ca="1">IFERROR(__xludf.DUMMYFUNCTION("""COMPUTED_VALUE"""),"Yes")</f>
        <v>Yes</v>
      </c>
      <c r="B36" s="23" t="str">
        <f ca="1">IFERROR(__xludf.DUMMYFUNCTION("""COMPUTED_VALUE"""),"Yes")</f>
        <v>Yes</v>
      </c>
      <c r="C36" s="97" t="str">
        <f ca="1">IFERROR(__xludf.DUMMYFUNCTION("""COMPUTED_VALUE"""),"Scope")</f>
        <v>Scope</v>
      </c>
      <c r="D36" s="97" t="str">
        <f ca="1">IFERROR(__xludf.DUMMYFUNCTION("""COMPUTED_VALUE"""),"1")</f>
        <v>1</v>
      </c>
      <c r="E36" s="99" t="str">
        <f ca="1">IFERROR(__xludf.DUMMYFUNCTION("""COMPUTED_VALUE"""),"Hazard")</f>
        <v>Hazard</v>
      </c>
      <c r="F36" s="99" t="str">
        <f ca="1">IFERROR(__xludf.DUMMYFUNCTION("""COMPUTED_VALUE"""),"1:N")</f>
        <v>1:N</v>
      </c>
      <c r="G36" s="5" t="str">
        <f ca="1">IFERROR(__xludf.DUMMYFUNCTION("""COMPUTED_VALUE"""),"Hazard type")</f>
        <v>Hazard type</v>
      </c>
      <c r="H36" s="5" t="str">
        <f ca="1">IFERROR(__xludf.DUMMYFUNCTION("""COMPUTED_VALUE"""),"0:1")</f>
        <v>0:1</v>
      </c>
      <c r="I36" s="5"/>
      <c r="J36" s="13"/>
      <c r="K36" s="4"/>
      <c r="L36" s="101" t="str">
        <f ca="1">E36</f>
        <v>Hazard</v>
      </c>
      <c r="M36" s="98"/>
      <c r="N36" s="98"/>
      <c r="O36" s="98"/>
      <c r="P36" s="98"/>
      <c r="Q36" s="98"/>
      <c r="R36" s="98"/>
      <c r="S36" s="98"/>
      <c r="T36" s="98"/>
      <c r="U36" s="98"/>
      <c r="V36" s="98"/>
      <c r="W36" s="98"/>
      <c r="X36" s="98"/>
      <c r="Y36" s="98"/>
      <c r="Z36" s="101" t="str">
        <f ca="1">E50</f>
        <v>Population Group</v>
      </c>
      <c r="AA36" s="98"/>
      <c r="AB36" s="98"/>
      <c r="AC36" s="98"/>
      <c r="AD36" s="98"/>
      <c r="AE36" s="98"/>
      <c r="AF36" s="98"/>
      <c r="AG36" s="98"/>
      <c r="AH36" s="98"/>
      <c r="AI36" s="98"/>
      <c r="AJ36" s="98"/>
      <c r="AK36" s="98"/>
      <c r="AL36" s="98"/>
      <c r="AM36" s="4"/>
      <c r="AN36" s="4"/>
      <c r="AO36" s="4"/>
      <c r="AP36" s="4"/>
    </row>
    <row r="37" spans="1:42" ht="12.5" x14ac:dyDescent="0.25">
      <c r="A37" s="23" t="str">
        <f ca="1">IFERROR(__xludf.DUMMYFUNCTION("""COMPUTED_VALUE"""),"Yes")</f>
        <v>Yes</v>
      </c>
      <c r="B37" s="23" t="str">
        <f ca="1">IFERROR(__xludf.DUMMYFUNCTION("""COMPUTED_VALUE"""),"Yes")</f>
        <v>Yes</v>
      </c>
      <c r="C37" s="98"/>
      <c r="D37" s="98"/>
      <c r="E37" s="98"/>
      <c r="F37" s="98"/>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x14ac:dyDescent="0.25">
      <c r="A38" s="8" t="str">
        <f ca="1">IFERROR(__xludf.DUMMYFUNCTION("""COMPUTED_VALUE"""),"Yes")</f>
        <v>Yes</v>
      </c>
      <c r="B38" s="8" t="str">
        <f ca="1">IFERROR(__xludf.DUMMYFUNCTION("""COMPUTED_VALUE"""),"Yes")</f>
        <v>Yes</v>
      </c>
      <c r="C38" s="98"/>
      <c r="D38" s="98"/>
      <c r="E38" s="98"/>
      <c r="F38" s="98"/>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x14ac:dyDescent="0.25">
      <c r="A39" s="23" t="str">
        <f ca="1">IFERROR(__xludf.DUMMYFUNCTION("""COMPUTED_VALUE"""),"Yes")</f>
        <v>Yes</v>
      </c>
      <c r="B39" s="23" t="str">
        <f ca="1">IFERROR(__xludf.DUMMYFUNCTION("""COMPUTED_VALUE"""),"No")</f>
        <v>No</v>
      </c>
      <c r="C39" s="98"/>
      <c r="D39" s="98"/>
      <c r="E39" s="98"/>
      <c r="F39" s="98"/>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x14ac:dyDescent="0.25">
      <c r="A40" s="8" t="str">
        <f ca="1">IFERROR(__xludf.DUMMYFUNCTION("""COMPUTED_VALUE"""),"Yes")</f>
        <v>Yes</v>
      </c>
      <c r="B40" s="8" t="str">
        <f ca="1">IFERROR(__xludf.DUMMYFUNCTION("""COMPUTED_VALUE"""),"No")</f>
        <v>No</v>
      </c>
      <c r="C40" s="98"/>
      <c r="D40" s="98"/>
      <c r="E40" s="98"/>
      <c r="F40" s="98"/>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x14ac:dyDescent="0.25">
      <c r="A41" s="8" t="str">
        <f ca="1">IFERROR(__xludf.DUMMYFUNCTION("""COMPUTED_VALUE"""),"Yes")</f>
        <v>Yes</v>
      </c>
      <c r="B41" s="8" t="str">
        <f ca="1">IFERROR(__xludf.DUMMYFUNCTION("""COMPUTED_VALUE"""),"No")</f>
        <v>No</v>
      </c>
      <c r="C41" s="98"/>
      <c r="D41" s="98"/>
      <c r="E41" s="98"/>
      <c r="F41" s="98"/>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x14ac:dyDescent="0.25">
      <c r="A42" s="8" t="str">
        <f ca="1">IFERROR(__xludf.DUMMYFUNCTION("""COMPUTED_VALUE"""),"Yes")</f>
        <v>Yes</v>
      </c>
      <c r="B42" s="8" t="str">
        <f ca="1">IFERROR(__xludf.DUMMYFUNCTION("""COMPUTED_VALUE"""),"No")</f>
        <v>No</v>
      </c>
      <c r="C42" s="98"/>
      <c r="D42" s="98"/>
      <c r="E42" s="98"/>
      <c r="F42" s="98"/>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x14ac:dyDescent="0.25">
      <c r="A43" s="8" t="str">
        <f ca="1">IFERROR(__xludf.DUMMYFUNCTION("""COMPUTED_VALUE"""),"Yes")</f>
        <v>Yes</v>
      </c>
      <c r="B43" s="8" t="str">
        <f ca="1">IFERROR(__xludf.DUMMYFUNCTION("""COMPUTED_VALUE"""),"No")</f>
        <v>No</v>
      </c>
      <c r="C43" s="98"/>
      <c r="D43" s="98"/>
      <c r="E43" s="98"/>
      <c r="F43" s="98"/>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x14ac:dyDescent="0.25">
      <c r="A44" s="8" t="str">
        <f ca="1">IFERROR(__xludf.DUMMYFUNCTION("""COMPUTED_VALUE"""),"Yes")</f>
        <v>Yes</v>
      </c>
      <c r="B44" s="8" t="str">
        <f ca="1">IFERROR(__xludf.DUMMYFUNCTION("""COMPUTED_VALUE"""),"No")</f>
        <v>No</v>
      </c>
      <c r="C44" s="98"/>
      <c r="D44" s="98"/>
      <c r="E44" s="98"/>
      <c r="F44" s="98"/>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x14ac:dyDescent="0.25">
      <c r="A45" s="8" t="str">
        <f ca="1">IFERROR(__xludf.DUMMYFUNCTION("""COMPUTED_VALUE"""),"Yes")</f>
        <v>Yes</v>
      </c>
      <c r="B45" s="8" t="str">
        <f ca="1">IFERROR(__xludf.DUMMYFUNCTION("""COMPUTED_VALUE"""),"No")</f>
        <v>No</v>
      </c>
      <c r="C45" s="98"/>
      <c r="D45" s="98"/>
      <c r="E45" s="98"/>
      <c r="F45" s="98"/>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x14ac:dyDescent="0.25">
      <c r="A46" s="8" t="str">
        <f ca="1">IFERROR(__xludf.DUMMYFUNCTION("""COMPUTED_VALUE"""),"Yes")</f>
        <v>Yes</v>
      </c>
      <c r="B46" s="8" t="str">
        <f ca="1">IFERROR(__xludf.DUMMYFUNCTION("""COMPUTED_VALUE"""),"No")</f>
        <v>No</v>
      </c>
      <c r="C46" s="98"/>
      <c r="D46" s="98"/>
      <c r="E46" s="98"/>
      <c r="F46" s="98"/>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x14ac:dyDescent="0.25">
      <c r="A47" s="8" t="str">
        <f ca="1">IFERROR(__xludf.DUMMYFUNCTION("""COMPUTED_VALUE"""),"Yes")</f>
        <v>Yes</v>
      </c>
      <c r="B47" s="8" t="str">
        <f ca="1">IFERROR(__xludf.DUMMYFUNCTION("""COMPUTED_VALUE"""),"No")</f>
        <v>No</v>
      </c>
      <c r="C47" s="98"/>
      <c r="D47" s="98"/>
      <c r="E47" s="98"/>
      <c r="F47" s="98"/>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x14ac:dyDescent="0.25">
      <c r="A48" s="8" t="str">
        <f ca="1">IFERROR(__xludf.DUMMYFUNCTION("""COMPUTED_VALUE"""),"Yes")</f>
        <v>Yes</v>
      </c>
      <c r="B48" s="8" t="str">
        <f ca="1">IFERROR(__xludf.DUMMYFUNCTION("""COMPUTED_VALUE"""),"No")</f>
        <v>No</v>
      </c>
      <c r="C48" s="98"/>
      <c r="D48" s="98"/>
      <c r="E48" s="98"/>
      <c r="F48" s="98"/>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x14ac:dyDescent="0.25">
      <c r="A49" s="8" t="str">
        <f ca="1">IFERROR(__xludf.DUMMYFUNCTION("""COMPUTED_VALUE"""),"Yes")</f>
        <v>Yes</v>
      </c>
      <c r="B49" s="8" t="str">
        <f ca="1">IFERROR(__xludf.DUMMYFUNCTION("""COMPUTED_VALUE"""),"No")</f>
        <v>No</v>
      </c>
      <c r="C49" s="98"/>
      <c r="D49" s="98"/>
      <c r="E49" s="98"/>
      <c r="F49" s="98"/>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x14ac:dyDescent="0.25">
      <c r="A50" s="23" t="str">
        <f ca="1">IFERROR(__xludf.DUMMYFUNCTION("""COMPUTED_VALUE"""),"Yes")</f>
        <v>Yes</v>
      </c>
      <c r="B50" s="23" t="str">
        <f ca="1">IFERROR(__xludf.DUMMYFUNCTION("""COMPUTED_VALUE"""),"Yes")</f>
        <v>Yes</v>
      </c>
      <c r="C50" s="98"/>
      <c r="D50" s="98"/>
      <c r="E50" s="99" t="str">
        <f ca="1">IFERROR(__xludf.DUMMYFUNCTION("""COMPUTED_VALUE"""),"Population Group")</f>
        <v>Population Group</v>
      </c>
      <c r="F50" s="99"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x14ac:dyDescent="0.25">
      <c r="A51" s="8" t="str">
        <f ca="1">IFERROR(__xludf.DUMMYFUNCTION("""COMPUTED_VALUE"""),"Yes")</f>
        <v>Yes</v>
      </c>
      <c r="B51" s="8" t="str">
        <f ca="1">IFERROR(__xludf.DUMMYFUNCTION("""COMPUTED_VALUE"""),"No")</f>
        <v>No</v>
      </c>
      <c r="C51" s="98"/>
      <c r="D51" s="98"/>
      <c r="E51" s="98"/>
      <c r="F51" s="98"/>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8" t="str">
        <f ca="1">IFERROR(__xludf.DUMMYFUNCTION("""COMPUTED_VALUE"""),"Yes")</f>
        <v>Yes</v>
      </c>
      <c r="B52" s="8" t="str">
        <f ca="1">IFERROR(__xludf.DUMMYFUNCTION("""COMPUTED_VALUE"""),"No")</f>
        <v>No</v>
      </c>
      <c r="C52" s="98"/>
      <c r="D52" s="98"/>
      <c r="E52" s="98"/>
      <c r="F52" s="98"/>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8" t="str">
        <f ca="1">IFERROR(__xludf.DUMMYFUNCTION("""COMPUTED_VALUE"""),"Yes")</f>
        <v>Yes</v>
      </c>
      <c r="B53" s="8" t="str">
        <f ca="1">IFERROR(__xludf.DUMMYFUNCTION("""COMPUTED_VALUE"""),"No")</f>
        <v>No</v>
      </c>
      <c r="C53" s="98"/>
      <c r="D53" s="98"/>
      <c r="E53" s="98"/>
      <c r="F53" s="98"/>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8" t="str">
        <f ca="1">IFERROR(__xludf.DUMMYFUNCTION("""COMPUTED_VALUE"""),"Yes")</f>
        <v>Yes</v>
      </c>
      <c r="B54" s="8" t="str">
        <f ca="1">IFERROR(__xludf.DUMMYFUNCTION("""COMPUTED_VALUE"""),"No")</f>
        <v>No</v>
      </c>
      <c r="C54" s="98"/>
      <c r="D54" s="98"/>
      <c r="E54" s="98"/>
      <c r="F54" s="98"/>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8" t="str">
        <f ca="1">IFERROR(__xludf.DUMMYFUNCTION("""COMPUTED_VALUE"""),"Yes")</f>
        <v>Yes</v>
      </c>
      <c r="B55" s="8" t="str">
        <f ca="1">IFERROR(__xludf.DUMMYFUNCTION("""COMPUTED_VALUE"""),"No")</f>
        <v>No</v>
      </c>
      <c r="C55" s="98"/>
      <c r="D55" s="98"/>
      <c r="E55" s="98"/>
      <c r="F55" s="98"/>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8" t="str">
        <f ca="1">IFERROR(__xludf.DUMMYFUNCTION("""COMPUTED_VALUE"""),"Yes")</f>
        <v>Yes</v>
      </c>
      <c r="B56" s="8" t="str">
        <f ca="1">IFERROR(__xludf.DUMMYFUNCTION("""COMPUTED_VALUE"""),"No")</f>
        <v>No</v>
      </c>
      <c r="C56" s="98"/>
      <c r="D56" s="98"/>
      <c r="E56" s="98"/>
      <c r="F56" s="98"/>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8" t="str">
        <f ca="1">IFERROR(__xludf.DUMMYFUNCTION("""COMPUTED_VALUE"""),"Yes")</f>
        <v>Yes</v>
      </c>
      <c r="B57" s="8" t="str">
        <f ca="1">IFERROR(__xludf.DUMMYFUNCTION("""COMPUTED_VALUE"""),"No")</f>
        <v>No</v>
      </c>
      <c r="C57" s="98"/>
      <c r="D57" s="98"/>
      <c r="E57" s="98"/>
      <c r="F57" s="98"/>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8" t="str">
        <f ca="1">IFERROR(__xludf.DUMMYFUNCTION("""COMPUTED_VALUE"""),"Yes")</f>
        <v>Yes</v>
      </c>
      <c r="B58" s="8" t="str">
        <f ca="1">IFERROR(__xludf.DUMMYFUNCTION("""COMPUTED_VALUE"""),"No")</f>
        <v>No</v>
      </c>
      <c r="C58" s="98"/>
      <c r="D58" s="98"/>
      <c r="E58" s="98"/>
      <c r="F58" s="98"/>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8" t="str">
        <f ca="1">IFERROR(__xludf.DUMMYFUNCTION("""COMPUTED_VALUE"""),"Yes")</f>
        <v>Yes</v>
      </c>
      <c r="B59" s="8" t="str">
        <f ca="1">IFERROR(__xludf.DUMMYFUNCTION("""COMPUTED_VALUE"""),"No")</f>
        <v>No</v>
      </c>
      <c r="C59" s="98"/>
      <c r="D59" s="98"/>
      <c r="E59" s="98"/>
      <c r="F59" s="98"/>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8" t="str">
        <f ca="1">IFERROR(__xludf.DUMMYFUNCTION("""COMPUTED_VALUE"""),"Yes")</f>
        <v>Yes</v>
      </c>
      <c r="B60" s="8" t="str">
        <f ca="1">IFERROR(__xludf.DUMMYFUNCTION("""COMPUTED_VALUE"""),"No")</f>
        <v>No</v>
      </c>
      <c r="C60" s="98"/>
      <c r="D60" s="98"/>
      <c r="E60" s="98"/>
      <c r="F60" s="98"/>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8" t="str">
        <f ca="1">IFERROR(__xludf.DUMMYFUNCTION("""COMPUTED_VALUE"""),"Yes")</f>
        <v>Yes</v>
      </c>
      <c r="B61" s="8" t="str">
        <f ca="1">IFERROR(__xludf.DUMMYFUNCTION("""COMPUTED_VALUE"""),"No")</f>
        <v>No</v>
      </c>
      <c r="C61" s="98"/>
      <c r="D61" s="98"/>
      <c r="E61" s="98"/>
      <c r="F61" s="98"/>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8" t="str">
        <f ca="1">IFERROR(__xludf.DUMMYFUNCTION("""COMPUTED_VALUE"""),"Yes")</f>
        <v>Yes</v>
      </c>
      <c r="B62" s="8" t="str">
        <f ca="1">IFERROR(__xludf.DUMMYFUNCTION("""COMPUTED_VALUE"""),"No")</f>
        <v>No</v>
      </c>
      <c r="C62" s="98"/>
      <c r="D62" s="98"/>
      <c r="E62" s="98"/>
      <c r="F62" s="98"/>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8" t="str">
        <f ca="1">IFERROR(__xludf.DUMMYFUNCTION("""COMPUTED_VALUE"""),"Yes")</f>
        <v>Yes</v>
      </c>
      <c r="B63" s="8" t="str">
        <f ca="1">IFERROR(__xludf.DUMMYFUNCTION("""COMPUTED_VALUE"""),"No")</f>
        <v>No</v>
      </c>
      <c r="C63" s="98"/>
      <c r="D63" s="98"/>
      <c r="E63" s="5" t="str">
        <f ca="1">IFERROR(__xludf.DUMMYFUNCTION("""COMPUTED_VALUE"""),"General comment")</f>
        <v>General comment</v>
      </c>
      <c r="F63" s="99" t="str">
        <f ca="1">IFERROR(__xludf.DUMMYFUNCTION("""COMPUTED_VALUE"""),"0:1")</f>
        <v>0:1</v>
      </c>
      <c r="G63" s="98"/>
      <c r="H63" s="98"/>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8" t="str">
        <f ca="1">IFERROR(__xludf.DUMMYFUNCTION("""COMPUTED_VALUE"""),"Yes")</f>
        <v>Yes</v>
      </c>
      <c r="B64" s="8" t="str">
        <f ca="1">IFERROR(__xludf.DUMMYFUNCTION("""COMPUTED_VALUE"""),"No")</f>
        <v>No</v>
      </c>
      <c r="C64" s="98"/>
      <c r="D64" s="98"/>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8" t="str">
        <f ca="1">IFERROR(__xludf.DUMMYFUNCTION("""COMPUTED_VALUE"""),"Yes")</f>
        <v>Yes</v>
      </c>
      <c r="B65" s="8" t="str">
        <f ca="1">IFERROR(__xludf.DUMMYFUNCTION("""COMPUTED_VALUE"""),"No")</f>
        <v>No</v>
      </c>
      <c r="C65" s="98"/>
      <c r="D65" s="98"/>
      <c r="E65" s="99" t="str">
        <f ca="1">IFERROR(__xludf.DUMMYFUNCTION("""COMPUTED_VALUE"""),"Spatial information")</f>
        <v>Spatial information</v>
      </c>
      <c r="F65" s="99"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8" t="str">
        <f ca="1">IFERROR(__xludf.DUMMYFUNCTION("""COMPUTED_VALUE"""),"Yes")</f>
        <v>Yes</v>
      </c>
      <c r="B66" s="8" t="str">
        <f ca="1">IFERROR(__xludf.DUMMYFUNCTION("""COMPUTED_VALUE"""),"No")</f>
        <v>No</v>
      </c>
      <c r="C66" s="98"/>
      <c r="D66" s="98"/>
      <c r="E66" s="98"/>
      <c r="F66" s="98"/>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8" t="str">
        <f ca="1">IFERROR(__xludf.DUMMYFUNCTION("""COMPUTED_VALUE"""),"Yes")</f>
        <v>Yes</v>
      </c>
      <c r="B67" s="8" t="str">
        <f ca="1">IFERROR(__xludf.DUMMYFUNCTION("""COMPUTED_VALUE"""),"No")</f>
        <v>No</v>
      </c>
      <c r="C67" s="97" t="str">
        <f ca="1">IFERROR(__xludf.DUMMYFUNCTION("""COMPUTED_VALUE"""),"Data_background")</f>
        <v>Data_background</v>
      </c>
      <c r="D67" s="97" t="str">
        <f ca="1">IFERROR(__xludf.DUMMYFUNCTION("""COMPUTED_VALUE"""),"0:1")</f>
        <v>0:1</v>
      </c>
      <c r="E67" s="99" t="str">
        <f ca="1">IFERROR(__xludf.DUMMYFUNCTION("""COMPUTED_VALUE"""),"Study")</f>
        <v>Study</v>
      </c>
      <c r="F67" s="99"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8" t="str">
        <f ca="1">IFERROR(__xludf.DUMMYFUNCTION("""COMPUTED_VALUE"""),"Yes")</f>
        <v>Yes</v>
      </c>
      <c r="B68" s="8" t="str">
        <f ca="1">IFERROR(__xludf.DUMMYFUNCTION("""COMPUTED_VALUE"""),"No")</f>
        <v>No</v>
      </c>
      <c r="C68" s="98"/>
      <c r="D68" s="98"/>
      <c r="E68" s="98"/>
      <c r="F68" s="98"/>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8" t="str">
        <f ca="1">IFERROR(__xludf.DUMMYFUNCTION("""COMPUTED_VALUE"""),"Yes")</f>
        <v>Yes</v>
      </c>
      <c r="B69" s="8" t="str">
        <f ca="1">IFERROR(__xludf.DUMMYFUNCTION("""COMPUTED_VALUE"""),"No")</f>
        <v>No</v>
      </c>
      <c r="C69" s="98"/>
      <c r="D69" s="98"/>
      <c r="E69" s="98"/>
      <c r="F69" s="98"/>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8" t="str">
        <f ca="1">IFERROR(__xludf.DUMMYFUNCTION("""COMPUTED_VALUE"""),"Yes")</f>
        <v>Yes</v>
      </c>
      <c r="B70" s="8" t="str">
        <f ca="1">IFERROR(__xludf.DUMMYFUNCTION("""COMPUTED_VALUE"""),"No")</f>
        <v>No</v>
      </c>
      <c r="C70" s="98"/>
      <c r="D70" s="98"/>
      <c r="E70" s="98"/>
      <c r="F70" s="98"/>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8" t="str">
        <f ca="1">IFERROR(__xludf.DUMMYFUNCTION("""COMPUTED_VALUE"""),"Yes")</f>
        <v>Yes</v>
      </c>
      <c r="B71" s="8" t="str">
        <f ca="1">IFERROR(__xludf.DUMMYFUNCTION("""COMPUTED_VALUE"""),"No")</f>
        <v>No</v>
      </c>
      <c r="C71" s="98"/>
      <c r="D71" s="98"/>
      <c r="E71" s="98"/>
      <c r="F71" s="98"/>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8" t="str">
        <f ca="1">IFERROR(__xludf.DUMMYFUNCTION("""COMPUTED_VALUE"""),"Yes")</f>
        <v>Yes</v>
      </c>
      <c r="B72" s="8" t="str">
        <f ca="1">IFERROR(__xludf.DUMMYFUNCTION("""COMPUTED_VALUE"""),"No")</f>
        <v>No</v>
      </c>
      <c r="C72" s="98"/>
      <c r="D72" s="98"/>
      <c r="E72" s="98"/>
      <c r="F72" s="98"/>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8" t="str">
        <f ca="1">IFERROR(__xludf.DUMMYFUNCTION("""COMPUTED_VALUE"""),"Yes")</f>
        <v>Yes</v>
      </c>
      <c r="B73" s="8" t="str">
        <f ca="1">IFERROR(__xludf.DUMMYFUNCTION("""COMPUTED_VALUE"""),"No")</f>
        <v>No</v>
      </c>
      <c r="C73" s="98"/>
      <c r="D73" s="98"/>
      <c r="E73" s="98"/>
      <c r="F73" s="98"/>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8" t="str">
        <f ca="1">IFERROR(__xludf.DUMMYFUNCTION("""COMPUTED_VALUE"""),"Yes")</f>
        <v>Yes</v>
      </c>
      <c r="B74" s="8" t="str">
        <f ca="1">IFERROR(__xludf.DUMMYFUNCTION("""COMPUTED_VALUE"""),"No")</f>
        <v>No</v>
      </c>
      <c r="C74" s="98"/>
      <c r="D74" s="98"/>
      <c r="E74" s="98"/>
      <c r="F74" s="98"/>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8" t="str">
        <f ca="1">IFERROR(__xludf.DUMMYFUNCTION("""COMPUTED_VALUE"""),"Yes")</f>
        <v>Yes</v>
      </c>
      <c r="B75" s="8" t="str">
        <f ca="1">IFERROR(__xludf.DUMMYFUNCTION("""COMPUTED_VALUE"""),"No")</f>
        <v>No</v>
      </c>
      <c r="C75" s="98"/>
      <c r="D75" s="98"/>
      <c r="E75" s="98"/>
      <c r="F75" s="98"/>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8" t="str">
        <f ca="1">IFERROR(__xludf.DUMMYFUNCTION("""COMPUTED_VALUE"""),"Yes")</f>
        <v>Yes</v>
      </c>
      <c r="B76" s="8" t="str">
        <f ca="1">IFERROR(__xludf.DUMMYFUNCTION("""COMPUTED_VALUE"""),"No")</f>
        <v>No</v>
      </c>
      <c r="C76" s="98"/>
      <c r="D76" s="98"/>
      <c r="E76" s="98"/>
      <c r="F76" s="98"/>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8" t="str">
        <f ca="1">IFERROR(__xludf.DUMMYFUNCTION("""COMPUTED_VALUE"""),"Yes")</f>
        <v>Yes</v>
      </c>
      <c r="B77" s="8" t="str">
        <f ca="1">IFERROR(__xludf.DUMMYFUNCTION("""COMPUTED_VALUE"""),"No")</f>
        <v>No</v>
      </c>
      <c r="C77" s="98"/>
      <c r="D77" s="98"/>
      <c r="E77" s="98"/>
      <c r="F77" s="98"/>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8" t="str">
        <f ca="1">IFERROR(__xludf.DUMMYFUNCTION("""COMPUTED_VALUE"""),"Yes")</f>
        <v>Yes</v>
      </c>
      <c r="B78" s="8" t="str">
        <f ca="1">IFERROR(__xludf.DUMMYFUNCTION("""COMPUTED_VALUE"""),"No")</f>
        <v>No</v>
      </c>
      <c r="C78" s="98"/>
      <c r="D78" s="98"/>
      <c r="E78" s="98"/>
      <c r="F78" s="98"/>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8" t="str">
        <f ca="1">IFERROR(__xludf.DUMMYFUNCTION("""COMPUTED_VALUE"""),"Yes")</f>
        <v>Yes</v>
      </c>
      <c r="B79" s="8" t="str">
        <f ca="1">IFERROR(__xludf.DUMMYFUNCTION("""COMPUTED_VALUE"""),"No")</f>
        <v>No</v>
      </c>
      <c r="C79" s="98"/>
      <c r="D79" s="98"/>
      <c r="E79" s="98"/>
      <c r="F79" s="98"/>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8" t="str">
        <f ca="1">IFERROR(__xludf.DUMMYFUNCTION("""COMPUTED_VALUE"""),"Yes")</f>
        <v>Yes</v>
      </c>
      <c r="B80" s="8" t="str">
        <f ca="1">IFERROR(__xludf.DUMMYFUNCTION("""COMPUTED_VALUE"""),"No")</f>
        <v>No</v>
      </c>
      <c r="C80" s="98"/>
      <c r="D80" s="98"/>
      <c r="E80" s="98"/>
      <c r="F80" s="98"/>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8" t="str">
        <f ca="1">IFERROR(__xludf.DUMMYFUNCTION("""COMPUTED_VALUE"""),"Yes")</f>
        <v>Yes</v>
      </c>
      <c r="B81" s="8" t="str">
        <f ca="1">IFERROR(__xludf.DUMMYFUNCTION("""COMPUTED_VALUE"""),"No")</f>
        <v>No</v>
      </c>
      <c r="C81" s="98"/>
      <c r="D81" s="98"/>
      <c r="E81" s="98"/>
      <c r="F81" s="98"/>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8" t="str">
        <f ca="1">IFERROR(__xludf.DUMMYFUNCTION("""COMPUTED_VALUE"""),"Yes")</f>
        <v>Yes</v>
      </c>
      <c r="B82" s="8" t="str">
        <f ca="1">IFERROR(__xludf.DUMMYFUNCTION("""COMPUTED_VALUE"""),"No")</f>
        <v>No</v>
      </c>
      <c r="C82" s="98"/>
      <c r="D82" s="98"/>
      <c r="E82" s="98"/>
      <c r="F82" s="98"/>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8" t="str">
        <f ca="1">IFERROR(__xludf.DUMMYFUNCTION("""COMPUTED_VALUE"""),"Yes")</f>
        <v>Yes</v>
      </c>
      <c r="B83" s="8" t="str">
        <f ca="1">IFERROR(__xludf.DUMMYFUNCTION("""COMPUTED_VALUE"""),"No")</f>
        <v>No</v>
      </c>
      <c r="C83" s="98"/>
      <c r="D83" s="98"/>
      <c r="E83" s="99" t="str">
        <f ca="1">IFERROR(__xludf.DUMMYFUNCTION("""COMPUTED_VALUE"""),"Study Sample")</f>
        <v>Study Sample</v>
      </c>
      <c r="F83" s="99" t="str">
        <f ca="1">IFERROR(__xludf.DUMMYFUNCTION("""COMPUTED_VALUE"""),"0:N")</f>
        <v>0:N</v>
      </c>
      <c r="G83" s="5" t="str">
        <f ca="1">IFERROR(__xludf.DUMMYFUNCTION("""COMPUTED_VALUE"""),"Sample Name (ID)")</f>
        <v>Sample Name (ID)</v>
      </c>
      <c r="H83" s="5" t="str">
        <f ca="1">IFERROR(__xludf.DUMMYFUNCTION("""COMPUTED_VALUE"""),"1")</f>
        <v>1</v>
      </c>
      <c r="I83" s="5"/>
      <c r="J83" s="13"/>
      <c r="K83" s="4"/>
      <c r="L83" s="101" t="str">
        <f ca="1">E83</f>
        <v>Study Sample</v>
      </c>
      <c r="M83" s="98"/>
      <c r="N83" s="98"/>
      <c r="O83" s="98"/>
      <c r="P83" s="98"/>
      <c r="Q83" s="98"/>
      <c r="R83" s="98"/>
      <c r="S83" s="98"/>
      <c r="T83" s="98"/>
      <c r="U83" s="98"/>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8" t="str">
        <f ca="1">IFERROR(__xludf.DUMMYFUNCTION("""COMPUTED_VALUE"""),"Yes")</f>
        <v>Yes</v>
      </c>
      <c r="B84" s="8" t="str">
        <f ca="1">IFERROR(__xludf.DUMMYFUNCTION("""COMPUTED_VALUE"""),"No")</f>
        <v>No</v>
      </c>
      <c r="C84" s="98"/>
      <c r="D84" s="98"/>
      <c r="E84" s="98"/>
      <c r="F84" s="98"/>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8" t="str">
        <f ca="1">IFERROR(__xludf.DUMMYFUNCTION("""COMPUTED_VALUE"""),"Yes")</f>
        <v>Yes</v>
      </c>
      <c r="B85" s="8" t="str">
        <f ca="1">IFERROR(__xludf.DUMMYFUNCTION("""COMPUTED_VALUE"""),"No")</f>
        <v>No</v>
      </c>
      <c r="C85" s="98"/>
      <c r="D85" s="98"/>
      <c r="E85" s="98"/>
      <c r="F85" s="98"/>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8" t="str">
        <f ca="1">IFERROR(__xludf.DUMMYFUNCTION("""COMPUTED_VALUE"""),"Yes")</f>
        <v>Yes</v>
      </c>
      <c r="B86" s="8" t="str">
        <f ca="1">IFERROR(__xludf.DUMMYFUNCTION("""COMPUTED_VALUE"""),"No")</f>
        <v>No</v>
      </c>
      <c r="C86" s="98"/>
      <c r="D86" s="98"/>
      <c r="E86" s="98"/>
      <c r="F86" s="98"/>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8" t="str">
        <f ca="1">IFERROR(__xludf.DUMMYFUNCTION("""COMPUTED_VALUE"""),"Yes")</f>
        <v>Yes</v>
      </c>
      <c r="B87" s="8" t="str">
        <f ca="1">IFERROR(__xludf.DUMMYFUNCTION("""COMPUTED_VALUE"""),"No")</f>
        <v>No</v>
      </c>
      <c r="C87" s="98"/>
      <c r="D87" s="98"/>
      <c r="E87" s="98"/>
      <c r="F87" s="98"/>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8" t="str">
        <f ca="1">IFERROR(__xludf.DUMMYFUNCTION("""COMPUTED_VALUE"""),"Yes")</f>
        <v>Yes</v>
      </c>
      <c r="B88" s="8" t="str">
        <f ca="1">IFERROR(__xludf.DUMMYFUNCTION("""COMPUTED_VALUE"""),"No")</f>
        <v>No</v>
      </c>
      <c r="C88" s="98"/>
      <c r="D88" s="98"/>
      <c r="E88" s="98"/>
      <c r="F88" s="98"/>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8" t="str">
        <f ca="1">IFERROR(__xludf.DUMMYFUNCTION("""COMPUTED_VALUE"""),"Yes")</f>
        <v>Yes</v>
      </c>
      <c r="B89" s="8" t="str">
        <f ca="1">IFERROR(__xludf.DUMMYFUNCTION("""COMPUTED_VALUE"""),"No")</f>
        <v>No</v>
      </c>
      <c r="C89" s="98"/>
      <c r="D89" s="98"/>
      <c r="E89" s="98"/>
      <c r="F89" s="98"/>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8" t="str">
        <f ca="1">IFERROR(__xludf.DUMMYFUNCTION("""COMPUTED_VALUE"""),"Yes")</f>
        <v>Yes</v>
      </c>
      <c r="B90" s="8" t="str">
        <f ca="1">IFERROR(__xludf.DUMMYFUNCTION("""COMPUTED_VALUE"""),"No")</f>
        <v>No</v>
      </c>
      <c r="C90" s="98"/>
      <c r="D90" s="98"/>
      <c r="E90" s="98"/>
      <c r="F90" s="98"/>
      <c r="G90" s="5" t="str">
        <f ca="1">IFERROR(__xludf.DUMMYFUNCTION("""COMPUTED_VALUE"""),"Sampling size")</f>
        <v>Sampling size</v>
      </c>
      <c r="H90" s="5" t="str">
        <f ca="1">IFERROR(__xludf.DUMMYFUNCTION("""COMPUTED_VALUE"""),"1")</f>
        <v>1</v>
      </c>
      <c r="I90" s="5"/>
      <c r="J90" s="13"/>
      <c r="K90" s="4"/>
      <c r="L90" s="101" t="str">
        <f ca="1">E93</f>
        <v>Laboratory</v>
      </c>
      <c r="M90" s="98"/>
      <c r="N90" s="98"/>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8" t="str">
        <f ca="1">IFERROR(__xludf.DUMMYFUNCTION("""COMPUTED_VALUE"""),"Yes")</f>
        <v>Yes</v>
      </c>
      <c r="B91" s="8" t="str">
        <f ca="1">IFERROR(__xludf.DUMMYFUNCTION("""COMPUTED_VALUE"""),"No")</f>
        <v>No</v>
      </c>
      <c r="C91" s="98"/>
      <c r="D91" s="98"/>
      <c r="E91" s="98"/>
      <c r="F91" s="98"/>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8" t="str">
        <f ca="1">IFERROR(__xludf.DUMMYFUNCTION("""COMPUTED_VALUE"""),"Yes")</f>
        <v>Yes</v>
      </c>
      <c r="B92" s="8" t="str">
        <f ca="1">IFERROR(__xludf.DUMMYFUNCTION("""COMPUTED_VALUE"""),"No")</f>
        <v>No</v>
      </c>
      <c r="C92" s="98"/>
      <c r="D92" s="98"/>
      <c r="E92" s="98"/>
      <c r="F92" s="98"/>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8" t="str">
        <f ca="1">IFERROR(__xludf.DUMMYFUNCTION("""COMPUTED_VALUE"""),"Yes")</f>
        <v>Yes</v>
      </c>
      <c r="B93" s="8" t="str">
        <f ca="1">IFERROR(__xludf.DUMMYFUNCTION("""COMPUTED_VALUE"""),"No")</f>
        <v>No</v>
      </c>
      <c r="C93" s="98"/>
      <c r="D93" s="98"/>
      <c r="E93" s="99" t="str">
        <f ca="1">IFERROR(__xludf.DUMMYFUNCTION("""COMPUTED_VALUE"""),"Laboratory")</f>
        <v>Laboratory</v>
      </c>
      <c r="F93" s="99"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8" t="str">
        <f ca="1">IFERROR(__xludf.DUMMYFUNCTION("""COMPUTED_VALUE"""),"Yes")</f>
        <v>Yes</v>
      </c>
      <c r="B94" s="8" t="str">
        <f ca="1">IFERROR(__xludf.DUMMYFUNCTION("""COMPUTED_VALUE"""),"No")</f>
        <v>No</v>
      </c>
      <c r="C94" s="98"/>
      <c r="D94" s="98"/>
      <c r="E94" s="98"/>
      <c r="F94" s="98"/>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8" t="str">
        <f ca="1">IFERROR(__xludf.DUMMYFUNCTION("""COMPUTED_VALUE"""),"Yes")</f>
        <v>Yes</v>
      </c>
      <c r="B95" s="8" t="str">
        <f ca="1">IFERROR(__xludf.DUMMYFUNCTION("""COMPUTED_VALUE"""),"No")</f>
        <v>No</v>
      </c>
      <c r="C95" s="98"/>
      <c r="D95" s="98"/>
      <c r="E95" s="98"/>
      <c r="F95" s="98"/>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8" t="str">
        <f ca="1">IFERROR(__xludf.DUMMYFUNCTION("""COMPUTED_VALUE"""),"Yes")</f>
        <v>Yes</v>
      </c>
      <c r="B96" s="8" t="str">
        <f ca="1">IFERROR(__xludf.DUMMYFUNCTION("""COMPUTED_VALUE"""),"No")</f>
        <v>No</v>
      </c>
      <c r="C96" s="98"/>
      <c r="D96" s="98"/>
      <c r="E96" s="99" t="str">
        <f ca="1">IFERROR(__xludf.DUMMYFUNCTION("""COMPUTED_VALUE"""),"Assay")</f>
        <v>Assay</v>
      </c>
      <c r="F96" s="99" t="str">
        <f ca="1">IFERROR(__xludf.DUMMYFUNCTION("""COMPUTED_VALUE"""),"0:N")</f>
        <v>0:N</v>
      </c>
      <c r="G96" s="5" t="str">
        <f ca="1">IFERROR(__xludf.DUMMYFUNCTION("""COMPUTED_VALUE"""),"Assay Name")</f>
        <v>Assay Name</v>
      </c>
      <c r="H96" s="5" t="str">
        <f ca="1">IFERROR(__xludf.DUMMYFUNCTION("""COMPUTED_VALUE"""),"1")</f>
        <v>1</v>
      </c>
      <c r="I96" s="5"/>
      <c r="J96" s="13"/>
      <c r="K96" s="4"/>
      <c r="L96" s="101" t="str">
        <f ca="1">E96</f>
        <v>Assay</v>
      </c>
      <c r="M96" s="98"/>
      <c r="N96" s="98"/>
      <c r="O96" s="98"/>
      <c r="P96" s="98"/>
      <c r="Q96" s="98"/>
      <c r="R96" s="98"/>
      <c r="S96" s="98"/>
      <c r="T96" s="98"/>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8" t="str">
        <f ca="1">IFERROR(__xludf.DUMMYFUNCTION("""COMPUTED_VALUE"""),"Yes")</f>
        <v>Yes</v>
      </c>
      <c r="B97" s="8" t="str">
        <f ca="1">IFERROR(__xludf.DUMMYFUNCTION("""COMPUTED_VALUE"""),"No")</f>
        <v>No</v>
      </c>
      <c r="C97" s="98"/>
      <c r="D97" s="98"/>
      <c r="E97" s="98"/>
      <c r="F97" s="98"/>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8" t="str">
        <f ca="1">IFERROR(__xludf.DUMMYFUNCTION("""COMPUTED_VALUE"""),"Yes")</f>
        <v>Yes</v>
      </c>
      <c r="B98" s="8" t="str">
        <f ca="1">IFERROR(__xludf.DUMMYFUNCTION("""COMPUTED_VALUE"""),"No")</f>
        <v>No</v>
      </c>
      <c r="C98" s="98"/>
      <c r="D98" s="98"/>
      <c r="E98" s="98"/>
      <c r="F98" s="98"/>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8" t="str">
        <f ca="1">IFERROR(__xludf.DUMMYFUNCTION("""COMPUTED_VALUE"""),"Yes")</f>
        <v>Yes</v>
      </c>
      <c r="B99" s="8" t="str">
        <f ca="1">IFERROR(__xludf.DUMMYFUNCTION("""COMPUTED_VALUE"""),"No")</f>
        <v>No</v>
      </c>
      <c r="C99" s="98"/>
      <c r="D99" s="98"/>
      <c r="E99" s="98"/>
      <c r="F99" s="98"/>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8" t="str">
        <f ca="1">IFERROR(__xludf.DUMMYFUNCTION("""COMPUTED_VALUE"""),"Yes")</f>
        <v>Yes</v>
      </c>
      <c r="B100" s="8" t="str">
        <f ca="1">IFERROR(__xludf.DUMMYFUNCTION("""COMPUTED_VALUE"""),"No")</f>
        <v>No</v>
      </c>
      <c r="C100" s="98"/>
      <c r="D100" s="98"/>
      <c r="E100" s="98"/>
      <c r="F100" s="98"/>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8" t="str">
        <f ca="1">IFERROR(__xludf.DUMMYFUNCTION("""COMPUTED_VALUE"""),"Yes")</f>
        <v>Yes</v>
      </c>
      <c r="B101" s="8" t="str">
        <f ca="1">IFERROR(__xludf.DUMMYFUNCTION("""COMPUTED_VALUE"""),"No")</f>
        <v>No</v>
      </c>
      <c r="C101" s="98"/>
      <c r="D101" s="98"/>
      <c r="E101" s="98"/>
      <c r="F101" s="98"/>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8" t="str">
        <f ca="1">IFERROR(__xludf.DUMMYFUNCTION("""COMPUTED_VALUE"""),"Yes")</f>
        <v>Yes</v>
      </c>
      <c r="B102" s="8" t="str">
        <f ca="1">IFERROR(__xludf.DUMMYFUNCTION("""COMPUTED_VALUE"""),"No")</f>
        <v>No</v>
      </c>
      <c r="C102" s="98"/>
      <c r="D102" s="98"/>
      <c r="E102" s="98"/>
      <c r="F102" s="98"/>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8" t="str">
        <f ca="1">IFERROR(__xludf.DUMMYFUNCTION("""COMPUTED_VALUE"""),"Yes")</f>
        <v>Yes</v>
      </c>
      <c r="B103" s="8" t="str">
        <f ca="1">IFERROR(__xludf.DUMMYFUNCTION("""COMPUTED_VALUE"""),"No")</f>
        <v>No</v>
      </c>
      <c r="C103" s="98"/>
      <c r="D103" s="98"/>
      <c r="E103" s="98"/>
      <c r="F103" s="98"/>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8" t="str">
        <f ca="1">IFERROR(__xludf.DUMMYFUNCTION("""COMPUTED_VALUE"""),"Yes")</f>
        <v>Yes</v>
      </c>
      <c r="B104" s="8" t="str">
        <f ca="1">IFERROR(__xludf.DUMMYFUNCTION("""COMPUTED_VALUE"""),"No")</f>
        <v>No</v>
      </c>
      <c r="C104" s="98"/>
      <c r="D104" s="98"/>
      <c r="E104" s="98"/>
      <c r="F104" s="98"/>
      <c r="G104" s="5" t="str">
        <f ca="1">IFERROR(__xludf.DUMMYFUNCTION("""COMPUTED_VALUE"""),"Uncertainty value")</f>
        <v>Uncertainty value</v>
      </c>
      <c r="H104" s="5" t="str">
        <f ca="1">IFERROR(__xludf.DUMMYFUNCTION("""COMPUTED_VALUE"""),"0:1")</f>
        <v>0:1</v>
      </c>
      <c r="I104" s="5"/>
      <c r="J104" s="13"/>
      <c r="K104" s="4"/>
      <c r="L104" s="4"/>
      <c r="M104" s="100" t="str">
        <f ca="1">E123</f>
        <v>Quality measures</v>
      </c>
      <c r="N104" s="98"/>
      <c r="O104" s="23"/>
      <c r="P104" s="100" t="str">
        <f ca="1">E125</f>
        <v>Model equation</v>
      </c>
      <c r="Q104" s="98"/>
      <c r="R104" s="98"/>
      <c r="S104" s="98"/>
      <c r="T104" s="98"/>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23" t="str">
        <f ca="1">IFERROR(__xludf.DUMMYFUNCTION("""COMPUTED_VALUE"""),"Yes")</f>
        <v>Yes</v>
      </c>
      <c r="B105" s="23" t="str">
        <f ca="1">IFERROR(__xludf.DUMMYFUNCTION("""COMPUTED_VALUE"""),"Yes")</f>
        <v>Yes</v>
      </c>
      <c r="C105" s="97" t="str">
        <f ca="1">IFERROR(__xludf.DUMMYFUNCTION("""COMPUTED_VALUE"""),"Model math / Data definition")</f>
        <v>Model math / Data definition</v>
      </c>
      <c r="D105" s="97" t="str">
        <f ca="1">IFERROR(__xludf.DUMMYFUNCTION("""COMPUTED_VALUE"""),"1")</f>
        <v>1</v>
      </c>
      <c r="E105" s="99" t="str">
        <f ca="1">IFERROR(__xludf.DUMMYFUNCTION("""COMPUTED_VALUE"""),"Parameter / Factor / Input / Output / ""Data column""")</f>
        <v>Parameter / Factor / Input / Output / "Data column"</v>
      </c>
      <c r="F105" s="99"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x14ac:dyDescent="0.25">
      <c r="A106" s="23" t="str">
        <f ca="1">IFERROR(__xludf.DUMMYFUNCTION("""COMPUTED_VALUE"""),"Yes")</f>
        <v>Yes</v>
      </c>
      <c r="B106" s="23" t="str">
        <f ca="1">IFERROR(__xludf.DUMMYFUNCTION("""COMPUTED_VALUE"""),"Yes")</f>
        <v>Yes</v>
      </c>
      <c r="C106" s="98"/>
      <c r="D106" s="98"/>
      <c r="E106" s="98"/>
      <c r="F106" s="98"/>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x14ac:dyDescent="0.25">
      <c r="A107" s="23" t="str">
        <f ca="1">IFERROR(__xludf.DUMMYFUNCTION("""COMPUTED_VALUE"""),"Yes")</f>
        <v>Yes</v>
      </c>
      <c r="B107" s="23" t="str">
        <f ca="1">IFERROR(__xludf.DUMMYFUNCTION("""COMPUTED_VALUE"""),"Yes")</f>
        <v>Yes</v>
      </c>
      <c r="C107" s="98"/>
      <c r="D107" s="98"/>
      <c r="E107" s="98"/>
      <c r="F107" s="98"/>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x14ac:dyDescent="0.25">
      <c r="A108" s="8" t="str">
        <f ca="1">IFERROR(__xludf.DUMMYFUNCTION("""COMPUTED_VALUE"""),"Yes")</f>
        <v>Yes</v>
      </c>
      <c r="B108" s="8" t="str">
        <f ca="1">IFERROR(__xludf.DUMMYFUNCTION("""COMPUTED_VALUE"""),"No")</f>
        <v>No</v>
      </c>
      <c r="C108" s="98"/>
      <c r="D108" s="98"/>
      <c r="E108" s="98"/>
      <c r="F108" s="98"/>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x14ac:dyDescent="0.25">
      <c r="A109" s="23" t="str">
        <f ca="1">IFERROR(__xludf.DUMMYFUNCTION("""COMPUTED_VALUE"""),"Yes")</f>
        <v>Yes</v>
      </c>
      <c r="B109" s="23" t="str">
        <f ca="1">IFERROR(__xludf.DUMMYFUNCTION("""COMPUTED_VALUE"""),"Yes")</f>
        <v>Yes</v>
      </c>
      <c r="C109" s="98"/>
      <c r="D109" s="98"/>
      <c r="E109" s="98"/>
      <c r="F109" s="98"/>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x14ac:dyDescent="0.25">
      <c r="A110" s="23" t="str">
        <f ca="1">IFERROR(__xludf.DUMMYFUNCTION("""COMPUTED_VALUE"""),"Yes")</f>
        <v>Yes</v>
      </c>
      <c r="B110" s="23" t="str">
        <f ca="1">IFERROR(__xludf.DUMMYFUNCTION("""COMPUTED_VALUE"""),"No")</f>
        <v>No</v>
      </c>
      <c r="C110" s="98"/>
      <c r="D110" s="98"/>
      <c r="E110" s="98"/>
      <c r="F110" s="98"/>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x14ac:dyDescent="0.25">
      <c r="A111" s="23" t="str">
        <f ca="1">IFERROR(__xludf.DUMMYFUNCTION("""COMPUTED_VALUE"""),"Yes")</f>
        <v>Yes</v>
      </c>
      <c r="B111" s="23" t="str">
        <f ca="1">IFERROR(__xludf.DUMMYFUNCTION("""COMPUTED_VALUE"""),"Yes")</f>
        <v>Yes</v>
      </c>
      <c r="C111" s="98"/>
      <c r="D111" s="98"/>
      <c r="E111" s="98"/>
      <c r="F111" s="98"/>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x14ac:dyDescent="0.25">
      <c r="A112" s="8" t="str">
        <f ca="1">IFERROR(__xludf.DUMMYFUNCTION("""COMPUTED_VALUE"""),"Yes")</f>
        <v>Yes</v>
      </c>
      <c r="B112" s="8" t="str">
        <f ca="1">IFERROR(__xludf.DUMMYFUNCTION("""COMPUTED_VALUE"""),"No")</f>
        <v>No</v>
      </c>
      <c r="C112" s="98"/>
      <c r="D112" s="98"/>
      <c r="E112" s="98"/>
      <c r="F112" s="98"/>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x14ac:dyDescent="0.25">
      <c r="A113" s="8" t="str">
        <f ca="1">IFERROR(__xludf.DUMMYFUNCTION("""COMPUTED_VALUE"""),"Yes")</f>
        <v>Yes</v>
      </c>
      <c r="B113" s="8" t="str">
        <f ca="1">IFERROR(__xludf.DUMMYFUNCTION("""COMPUTED_VALUE"""),"Yes")</f>
        <v>Yes</v>
      </c>
      <c r="C113" s="98"/>
      <c r="D113" s="98"/>
      <c r="E113" s="98"/>
      <c r="F113" s="98"/>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x14ac:dyDescent="0.25">
      <c r="A114" s="8" t="str">
        <f ca="1">IFERROR(__xludf.DUMMYFUNCTION("""COMPUTED_VALUE"""),"Yes")</f>
        <v>Yes</v>
      </c>
      <c r="B114" s="8" t="str">
        <f ca="1">IFERROR(__xludf.DUMMYFUNCTION("""COMPUTED_VALUE"""),"Yes")</f>
        <v>Yes</v>
      </c>
      <c r="C114" s="98"/>
      <c r="D114" s="98"/>
      <c r="E114" s="98"/>
      <c r="F114" s="98"/>
      <c r="G114" s="5" t="str">
        <f ca="1">IFERROR(__xludf.DUMMYFUNCTION("""COMPUTED_VALUE"""),"Parameter distribution")</f>
        <v>Parameter distribution</v>
      </c>
      <c r="H114" s="5" t="str">
        <f ca="1">IFERROR(__xludf.DUMMYFUNCTION("""COMPUTED_VALUE"""),"0:1")</f>
        <v>0:1</v>
      </c>
      <c r="I114" s="5"/>
      <c r="J114" s="41"/>
      <c r="K114" s="35" t="s">
        <v>23</v>
      </c>
      <c r="L114" s="100" t="str">
        <f ca="1">E105</f>
        <v>Parameter / Factor / Input / Output / "Data column"</v>
      </c>
      <c r="M114" s="98"/>
      <c r="N114" s="98"/>
      <c r="O114" s="98"/>
      <c r="P114" s="98"/>
      <c r="Q114" s="98"/>
      <c r="R114" s="98"/>
      <c r="S114" s="98"/>
      <c r="T114" s="98"/>
      <c r="U114" s="98"/>
      <c r="V114" s="98"/>
      <c r="W114" s="98"/>
      <c r="X114" s="98"/>
      <c r="Y114" s="98"/>
      <c r="Z114" s="98"/>
      <c r="AA114" s="98"/>
      <c r="AB114" s="4"/>
      <c r="AC114" s="4"/>
      <c r="AD114" s="4"/>
      <c r="AE114" s="4"/>
      <c r="AF114" s="4"/>
      <c r="AG114" s="4"/>
      <c r="AH114" s="4"/>
      <c r="AI114" s="4"/>
      <c r="AJ114" s="4"/>
      <c r="AK114" s="4"/>
      <c r="AL114" s="4"/>
      <c r="AM114" s="4"/>
      <c r="AN114" s="4"/>
      <c r="AO114" s="4"/>
      <c r="AP114" s="4"/>
    </row>
    <row r="115" spans="1:42" ht="12.5" x14ac:dyDescent="0.25">
      <c r="A115" s="8" t="str">
        <f ca="1">IFERROR(__xludf.DUMMYFUNCTION("""COMPUTED_VALUE"""),"Yes")</f>
        <v>Yes</v>
      </c>
      <c r="B115" s="8" t="str">
        <f ca="1">IFERROR(__xludf.DUMMYFUNCTION("""COMPUTED_VALUE"""),"Yes")</f>
        <v>Yes</v>
      </c>
      <c r="C115" s="98"/>
      <c r="D115" s="98"/>
      <c r="E115" s="98"/>
      <c r="F115" s="98"/>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x14ac:dyDescent="0.25">
      <c r="A116" s="8" t="str">
        <f ca="1">IFERROR(__xludf.DUMMYFUNCTION("""COMPUTED_VALUE"""),"Yes")</f>
        <v>Yes</v>
      </c>
      <c r="B116" s="8" t="str">
        <f ca="1">IFERROR(__xludf.DUMMYFUNCTION("""COMPUTED_VALUE"""),"Yes")</f>
        <v>Yes</v>
      </c>
      <c r="C116" s="98"/>
      <c r="D116" s="98"/>
      <c r="E116" s="98"/>
      <c r="F116" s="98"/>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x14ac:dyDescent="0.25">
      <c r="A117" s="8" t="str">
        <f ca="1">IFERROR(__xludf.DUMMYFUNCTION("""COMPUTED_VALUE"""),"Yes")</f>
        <v>Yes</v>
      </c>
      <c r="B117" s="8" t="str">
        <f ca="1">IFERROR(__xludf.DUMMYFUNCTION("""COMPUTED_VALUE"""),"No")</f>
        <v>No</v>
      </c>
      <c r="C117" s="98"/>
      <c r="D117" s="98"/>
      <c r="E117" s="98"/>
      <c r="F117" s="98"/>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x14ac:dyDescent="0.25">
      <c r="A118" s="8" t="str">
        <f ca="1">IFERROR(__xludf.DUMMYFUNCTION("""COMPUTED_VALUE"""),"Yes")</f>
        <v>Yes</v>
      </c>
      <c r="B118" s="8" t="str">
        <f ca="1">IFERROR(__xludf.DUMMYFUNCTION("""COMPUTED_VALUE"""),"No")</f>
        <v>No</v>
      </c>
      <c r="C118" s="98"/>
      <c r="D118" s="98"/>
      <c r="E118" s="98"/>
      <c r="F118" s="98"/>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x14ac:dyDescent="0.25">
      <c r="A119" s="8" t="str">
        <f ca="1">IFERROR(__xludf.DUMMYFUNCTION("""COMPUTED_VALUE"""),"Yes")</f>
        <v>Yes</v>
      </c>
      <c r="B119" s="8" t="str">
        <f ca="1">IFERROR(__xludf.DUMMYFUNCTION("""COMPUTED_VALUE"""),"No")</f>
        <v>No</v>
      </c>
      <c r="C119" s="98"/>
      <c r="D119" s="98"/>
      <c r="E119" s="98"/>
      <c r="F119" s="98"/>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x14ac:dyDescent="0.25">
      <c r="A120" s="8" t="str">
        <f ca="1">IFERROR(__xludf.DUMMYFUNCTION("""COMPUTED_VALUE"""),"Yes")</f>
        <v>Yes</v>
      </c>
      <c r="B120" s="8" t="str">
        <f ca="1">IFERROR(__xludf.DUMMYFUNCTION("""COMPUTED_VALUE"""),"No")</f>
        <v>No</v>
      </c>
      <c r="C120" s="98"/>
      <c r="D120" s="98"/>
      <c r="E120" s="98"/>
      <c r="F120" s="98"/>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x14ac:dyDescent="0.25">
      <c r="A121" s="8" t="str">
        <f ca="1">IFERROR(__xludf.DUMMYFUNCTION("""COMPUTED_VALUE"""),"Yes")</f>
        <v>Yes</v>
      </c>
      <c r="B121" s="8" t="str">
        <f ca="1">IFERROR(__xludf.DUMMYFUNCTION("""COMPUTED_VALUE"""),"No")</f>
        <v>No</v>
      </c>
      <c r="C121" s="98"/>
      <c r="D121" s="98"/>
      <c r="E121" s="98"/>
      <c r="F121" s="98"/>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x14ac:dyDescent="0.25">
      <c r="A122" s="8" t="str">
        <f ca="1">IFERROR(__xludf.DUMMYFUNCTION("""COMPUTED_VALUE"""),"Yes")</f>
        <v>Yes</v>
      </c>
      <c r="B122" s="8" t="str">
        <f ca="1">IFERROR(__xludf.DUMMYFUNCTION("""COMPUTED_VALUE"""),"No")</f>
        <v>No</v>
      </c>
      <c r="C122" s="98"/>
      <c r="D122" s="98"/>
      <c r="E122" s="98"/>
      <c r="F122" s="98"/>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x14ac:dyDescent="0.25">
      <c r="A123" s="8" t="str">
        <f ca="1">IFERROR(__xludf.DUMMYFUNCTION("""COMPUTED_VALUE"""),"Yes")</f>
        <v>Yes</v>
      </c>
      <c r="B123" s="8" t="str">
        <f ca="1">IFERROR(__xludf.DUMMYFUNCTION("""COMPUTED_VALUE"""),"No")</f>
        <v>No</v>
      </c>
      <c r="C123" s="98"/>
      <c r="D123" s="98"/>
      <c r="E123" s="99" t="str">
        <f ca="1">IFERROR(__xludf.DUMMYFUNCTION("""COMPUTED_VALUE"""),"Quality measures")</f>
        <v>Quality measures</v>
      </c>
      <c r="F123" s="99"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x14ac:dyDescent="0.25">
      <c r="A124" s="8" t="str">
        <f ca="1">IFERROR(__xludf.DUMMYFUNCTION("""COMPUTED_VALUE"""),"Yes")</f>
        <v>Yes</v>
      </c>
      <c r="B124" s="8" t="str">
        <f ca="1">IFERROR(__xludf.DUMMYFUNCTION("""COMPUTED_VALUE"""),"No")</f>
        <v>No</v>
      </c>
      <c r="C124" s="98"/>
      <c r="D124" s="98"/>
      <c r="E124" s="98"/>
      <c r="F124" s="98"/>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x14ac:dyDescent="0.25">
      <c r="A125" s="8" t="str">
        <f ca="1">IFERROR(__xludf.DUMMYFUNCTION("""COMPUTED_VALUE"""),"Yes")</f>
        <v>Yes</v>
      </c>
      <c r="B125" s="8" t="str">
        <f ca="1">IFERROR(__xludf.DUMMYFUNCTION("""COMPUTED_VALUE"""),"No")</f>
        <v>No</v>
      </c>
      <c r="C125" s="98"/>
      <c r="D125" s="98"/>
      <c r="E125" s="99" t="str">
        <f ca="1">IFERROR(__xludf.DUMMYFUNCTION("""COMPUTED_VALUE"""),"Model equation")</f>
        <v>Model equation</v>
      </c>
      <c r="F125" s="99"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x14ac:dyDescent="0.25">
      <c r="A126" s="8" t="str">
        <f ca="1">IFERROR(__xludf.DUMMYFUNCTION("""COMPUTED_VALUE"""),"Yes")</f>
        <v>Yes</v>
      </c>
      <c r="B126" s="8" t="str">
        <f ca="1">IFERROR(__xludf.DUMMYFUNCTION("""COMPUTED_VALUE"""),"No")</f>
        <v>No</v>
      </c>
      <c r="C126" s="98"/>
      <c r="D126" s="98"/>
      <c r="E126" s="98"/>
      <c r="F126" s="98"/>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x14ac:dyDescent="0.25">
      <c r="A127" s="8" t="str">
        <f ca="1">IFERROR(__xludf.DUMMYFUNCTION("""COMPUTED_VALUE"""),"Yes")</f>
        <v>Yes</v>
      </c>
      <c r="B127" s="8" t="str">
        <f ca="1">IFERROR(__xludf.DUMMYFUNCTION("""COMPUTED_VALUE"""),"No")</f>
        <v>No</v>
      </c>
      <c r="C127" s="98"/>
      <c r="D127" s="98"/>
      <c r="E127" s="98"/>
      <c r="F127" s="98"/>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x14ac:dyDescent="0.25">
      <c r="A128" s="8" t="str">
        <f ca="1">IFERROR(__xludf.DUMMYFUNCTION("""COMPUTED_VALUE"""),"Yes")</f>
        <v>Yes</v>
      </c>
      <c r="B128" s="8" t="str">
        <f ca="1">IFERROR(__xludf.DUMMYFUNCTION("""COMPUTED_VALUE"""),"No")</f>
        <v>No</v>
      </c>
      <c r="C128" s="98"/>
      <c r="D128" s="98"/>
      <c r="E128" s="98"/>
      <c r="F128" s="98"/>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8" t="str">
        <f ca="1">IFERROR(__xludf.DUMMYFUNCTION("""COMPUTED_VALUE"""),"Yes")</f>
        <v>Yes</v>
      </c>
      <c r="B129" s="8" t="str">
        <f ca="1">IFERROR(__xludf.DUMMYFUNCTION("""COMPUTED_VALUE"""),"No")</f>
        <v>No</v>
      </c>
      <c r="C129" s="98"/>
      <c r="D129" s="98"/>
      <c r="E129" s="98"/>
      <c r="F129" s="98"/>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8" t="str">
        <f ca="1">IFERROR(__xludf.DUMMYFUNCTION("""COMPUTED_VALUE"""),"Yes")</f>
        <v>Yes</v>
      </c>
      <c r="B130" s="8" t="str">
        <f ca="1">IFERROR(__xludf.DUMMYFUNCTION("""COMPUTED_VALUE"""),"No")</f>
        <v>No</v>
      </c>
      <c r="C130" s="98"/>
      <c r="D130" s="98"/>
      <c r="E130" s="98"/>
      <c r="F130" s="98"/>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8" t="str">
        <f ca="1">IFERROR(__xludf.DUMMYFUNCTION("""COMPUTED_VALUE"""),"Yes")</f>
        <v>Yes</v>
      </c>
      <c r="B131" s="8" t="str">
        <f ca="1">IFERROR(__xludf.DUMMYFUNCTION("""COMPUTED_VALUE"""),"No")</f>
        <v>No</v>
      </c>
      <c r="C131" s="98"/>
      <c r="D131" s="98"/>
      <c r="E131" s="98"/>
      <c r="F131" s="98"/>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8" t="str">
        <f ca="1">IFERROR(__xludf.DUMMYFUNCTION("""COMPUTED_VALUE"""),"Yes")</f>
        <v>Yes</v>
      </c>
      <c r="B132" s="8" t="str">
        <f ca="1">IFERROR(__xludf.DUMMYFUNCTION("""COMPUTED_VALUE"""),"No")</f>
        <v>No</v>
      </c>
      <c r="C132" s="98"/>
      <c r="D132" s="98"/>
      <c r="E132" s="98"/>
      <c r="F132" s="98"/>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8" t="str">
        <f ca="1">IFERROR(__xludf.DUMMYFUNCTION("""COMPUTED_VALUE"""),"Yes")</f>
        <v>Yes</v>
      </c>
      <c r="B133" s="8" t="str">
        <f ca="1">IFERROR(__xludf.DUMMYFUNCTION("""COMPUTED_VALUE"""),"No")</f>
        <v>No</v>
      </c>
      <c r="C133" s="98"/>
      <c r="D133" s="98"/>
      <c r="E133" s="5" t="str">
        <f ca="1">IFERROR(__xludf.DUMMYFUNCTION("""COMPUTED_VALUE"""),"Fitting procedure")</f>
        <v>Fitting procedure</v>
      </c>
      <c r="F133" s="99" t="str">
        <f ca="1">IFERROR(__xludf.DUMMYFUNCTION("""COMPUTED_VALUE"""),"0:1")</f>
        <v>0:1</v>
      </c>
      <c r="G133" s="98"/>
      <c r="H133" s="98"/>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x14ac:dyDescent="0.25">
      <c r="A134" s="8" t="str">
        <f ca="1">IFERROR(__xludf.DUMMYFUNCTION("""COMPUTED_VALUE"""),"Yes")</f>
        <v>Yes</v>
      </c>
      <c r="B134" s="8" t="str">
        <f ca="1">IFERROR(__xludf.DUMMYFUNCTION("""COMPUTED_VALUE"""),"No")</f>
        <v>No</v>
      </c>
      <c r="C134" s="98"/>
      <c r="D134" s="98"/>
      <c r="E134" s="99" t="str">
        <f ca="1">IFERROR(__xludf.DUMMYFUNCTION("""COMPUTED_VALUE"""),"Exposure")</f>
        <v>Exposure</v>
      </c>
      <c r="F134" s="99"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x14ac:dyDescent="0.25">
      <c r="A135" s="8" t="str">
        <f ca="1">IFERROR(__xludf.DUMMYFUNCTION("""COMPUTED_VALUE"""),"Yes")</f>
        <v>Yes</v>
      </c>
      <c r="B135" s="8" t="str">
        <f ca="1">IFERROR(__xludf.DUMMYFUNCTION("""COMPUTED_VALUE"""),"No")</f>
        <v>No</v>
      </c>
      <c r="C135" s="98"/>
      <c r="D135" s="98"/>
      <c r="E135" s="98"/>
      <c r="F135" s="98"/>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x14ac:dyDescent="0.25">
      <c r="A136" s="8" t="str">
        <f ca="1">IFERROR(__xludf.DUMMYFUNCTION("""COMPUTED_VALUE"""),"Yes")</f>
        <v>Yes</v>
      </c>
      <c r="B136" s="8" t="str">
        <f ca="1">IFERROR(__xludf.DUMMYFUNCTION("""COMPUTED_VALUE"""),"No")</f>
        <v>No</v>
      </c>
      <c r="C136" s="98"/>
      <c r="D136" s="98"/>
      <c r="E136" s="98"/>
      <c r="F136" s="98"/>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x14ac:dyDescent="0.25">
      <c r="A137" s="8" t="str">
        <f ca="1">IFERROR(__xludf.DUMMYFUNCTION("""COMPUTED_VALUE"""),"Yes")</f>
        <v>Yes</v>
      </c>
      <c r="B137" s="8" t="str">
        <f ca="1">IFERROR(__xludf.DUMMYFUNCTION("""COMPUTED_VALUE"""),"No")</f>
        <v>No</v>
      </c>
      <c r="C137" s="98"/>
      <c r="D137" s="98"/>
      <c r="E137" s="98"/>
      <c r="F137" s="98"/>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8" t="str">
        <f ca="1">IFERROR(__xludf.DUMMYFUNCTION("""COMPUTED_VALUE"""),"Yes")</f>
        <v>Yes</v>
      </c>
      <c r="B138" s="8" t="str">
        <f ca="1">IFERROR(__xludf.DUMMYFUNCTION("""COMPUTED_VALUE"""),"No")</f>
        <v>No</v>
      </c>
      <c r="C138" s="98"/>
      <c r="D138" s="98"/>
      <c r="E138" s="98"/>
      <c r="F138" s="98"/>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8" t="str">
        <f ca="1">IFERROR(__xludf.DUMMYFUNCTION("""COMPUTED_VALUE"""),"Yes")</f>
        <v>Yes</v>
      </c>
      <c r="B139" s="8" t="str">
        <f ca="1">IFERROR(__xludf.DUMMYFUNCTION("""COMPUTED_VALUE"""),"No")</f>
        <v>No</v>
      </c>
      <c r="C139" s="98"/>
      <c r="D139" s="98"/>
      <c r="E139" s="5" t="str">
        <f ca="1">IFERROR(__xludf.DUMMYFUNCTION("""COMPUTED_VALUE"""),"Events")</f>
        <v>Events</v>
      </c>
      <c r="F139" s="99" t="str">
        <f ca="1">IFERROR(__xludf.DUMMYFUNCTION("""COMPUTED_VALUE"""),"0:N")</f>
        <v>0:N</v>
      </c>
      <c r="G139" s="98"/>
      <c r="H139" s="98"/>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F10:H10"/>
    <mergeCell ref="F11:H11"/>
    <mergeCell ref="E36:E49"/>
    <mergeCell ref="C36:C66"/>
    <mergeCell ref="D36:D66"/>
    <mergeCell ref="C2:C35"/>
    <mergeCell ref="D2:D35"/>
    <mergeCell ref="E65:E66"/>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x14ac:dyDescent="0.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x14ac:dyDescent="0.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x14ac:dyDescent="0.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x14ac:dyDescent="0.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x14ac:dyDescent="0.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x14ac:dyDescent="0.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x14ac:dyDescent="0.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x14ac:dyDescent="0.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x14ac:dyDescent="0.25">
      <c r="A10" t="str">
        <f ca="1">IFERROR(__xludf.DUMMYFUNCTION("""COMPUTED_VALUE"""),"Other production method")</f>
        <v>Other production method</v>
      </c>
      <c r="B10" t="str">
        <f ca="1">IFERROR(__xludf.DUMMYFUNCTION("""COMPUTED_VALUE"""),"Z0216")</f>
        <v>Z0216</v>
      </c>
    </row>
    <row r="11" spans="1:3" ht="12.5" x14ac:dyDescent="0.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x14ac:dyDescent="0.25">
      <c r="A12" t="str">
        <f ca="1">IFERROR(__xludf.DUMMYFUNCTION("""COMPUTED_VALUE"""),"Production method unknown")</f>
        <v>Production method unknown</v>
      </c>
      <c r="B12" t="str">
        <f ca="1">IFERROR(__xludf.DUMMYFUNCTION("""COMPUTED_VALUE"""),"Z0215")</f>
        <v>Z0215</v>
      </c>
    </row>
    <row r="13" spans="1:3" ht="12.5" x14ac:dyDescent="0.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x14ac:dyDescent="0.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x14ac:dyDescent="0.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x14ac:dyDescent="0.25">
      <c r="A2" t="str">
        <f ca="1">IFERROR(__xludf.DUMMYFUNCTION("""COMPUTED_VALUE"""),"Biogenic amines")</f>
        <v>Biogenic amines</v>
      </c>
      <c r="B2" t="str">
        <f ca="1">IFERROR(__xludf.DUMMYFUNCTION("""COMPUTED_VALUE"""),"Hazard type_1")</f>
        <v>Hazard type_1</v>
      </c>
    </row>
    <row r="3" spans="1:3" ht="12.5" x14ac:dyDescent="0.25">
      <c r="A3" t="str">
        <f ca="1">IFERROR(__xludf.DUMMYFUNCTION("""COMPUTED_VALUE"""),"Chemical elements")</f>
        <v>Chemical elements</v>
      </c>
      <c r="B3" t="str">
        <f ca="1">IFERROR(__xludf.DUMMYFUNCTION("""COMPUTED_VALUE"""),"Hazard type_2")</f>
        <v>Hazard type_2</v>
      </c>
    </row>
    <row r="4" spans="1:3" ht="12.5" x14ac:dyDescent="0.25">
      <c r="A4" t="str">
        <f ca="1">IFERROR(__xludf.DUMMYFUNCTION("""COMPUTED_VALUE"""),"Food additives")</f>
        <v>Food additives</v>
      </c>
      <c r="B4" t="str">
        <f ca="1">IFERROR(__xludf.DUMMYFUNCTION("""COMPUTED_VALUE"""),"Hazard type_3")</f>
        <v>Hazard type_3</v>
      </c>
    </row>
    <row r="5" spans="1:3" ht="12.5" x14ac:dyDescent="0.25">
      <c r="A5" t="str">
        <f ca="1">IFERROR(__xludf.DUMMYFUNCTION("""COMPUTED_VALUE"""),"Microorganisms")</f>
        <v>Microorganisms</v>
      </c>
      <c r="B5" t="str">
        <f ca="1">IFERROR(__xludf.DUMMYFUNCTION("""COMPUTED_VALUE"""),"Hazard type_4")</f>
        <v>Hazard type_4</v>
      </c>
    </row>
    <row r="6" spans="1:3" ht="12.5" x14ac:dyDescent="0.25">
      <c r="A6" t="str">
        <f ca="1">IFERROR(__xludf.DUMMYFUNCTION("""COMPUTED_VALUE"""),"Not in list")</f>
        <v>Not in list</v>
      </c>
      <c r="B6" t="str">
        <f ca="1">IFERROR(__xludf.DUMMYFUNCTION("""COMPUTED_VALUE"""),"Hazard type_5")</f>
        <v>Hazard type_5</v>
      </c>
    </row>
    <row r="7" spans="1:3" ht="12.5" x14ac:dyDescent="0.25">
      <c r="A7" t="str">
        <f ca="1">IFERROR(__xludf.DUMMYFUNCTION("""COMPUTED_VALUE"""),"Nutrients")</f>
        <v>Nutrients</v>
      </c>
      <c r="B7" t="str">
        <f ca="1">IFERROR(__xludf.DUMMYFUNCTION("""COMPUTED_VALUE"""),"Hazard type_6")</f>
        <v>Hazard type_6</v>
      </c>
    </row>
    <row r="8" spans="1:3" ht="12.5" x14ac:dyDescent="0.25">
      <c r="A8" t="str">
        <f ca="1">IFERROR(__xludf.DUMMYFUNCTION("""COMPUTED_VALUE"""),"Organic contaminants")</f>
        <v>Organic contaminants</v>
      </c>
      <c r="B8" t="str">
        <f ca="1">IFERROR(__xludf.DUMMYFUNCTION("""COMPUTED_VALUE"""),"Hazard type_7")</f>
        <v>Hazard type_7</v>
      </c>
    </row>
    <row r="9" spans="1:3" ht="12.5" x14ac:dyDescent="0.25">
      <c r="A9" t="str">
        <f ca="1">IFERROR(__xludf.DUMMYFUNCTION("""COMPUTED_VALUE"""),"Other")</f>
        <v>Other</v>
      </c>
      <c r="B9" t="str">
        <f ca="1">IFERROR(__xludf.DUMMYFUNCTION("""COMPUTED_VALUE"""),"Hazard type_13")</f>
        <v>Hazard type_13</v>
      </c>
    </row>
    <row r="10" spans="1:3" ht="12.5" x14ac:dyDescent="0.25">
      <c r="A10" t="str">
        <f ca="1">IFERROR(__xludf.DUMMYFUNCTION("""COMPUTED_VALUE"""),"Pesticide residues")</f>
        <v>Pesticide residues</v>
      </c>
      <c r="B10" t="str">
        <f ca="1">IFERROR(__xludf.DUMMYFUNCTION("""COMPUTED_VALUE"""),"Hazard type_8")</f>
        <v>Hazard type_8</v>
      </c>
    </row>
    <row r="11" spans="1:3" ht="12.5" x14ac:dyDescent="0.25">
      <c r="A11" t="str">
        <f ca="1">IFERROR(__xludf.DUMMYFUNCTION("""COMPUTED_VALUE"""),"Radioactivity and isotopes")</f>
        <v>Radioactivity and isotopes</v>
      </c>
      <c r="B11" t="str">
        <f ca="1">IFERROR(__xludf.DUMMYFUNCTION("""COMPUTED_VALUE"""),"Hazard type_9")</f>
        <v>Hazard type_9</v>
      </c>
    </row>
    <row r="12" spans="1:3" ht="12.5" x14ac:dyDescent="0.25">
      <c r="A12" t="str">
        <f ca="1">IFERROR(__xludf.DUMMYFUNCTION("""COMPUTED_VALUE"""),"Residue definition")</f>
        <v>Residue definition</v>
      </c>
      <c r="B12" t="str">
        <f ca="1">IFERROR(__xludf.DUMMYFUNCTION("""COMPUTED_VALUE"""),"Hazard type_10")</f>
        <v>Hazard type_10</v>
      </c>
    </row>
    <row r="13" spans="1:3" ht="12.5" x14ac:dyDescent="0.25">
      <c r="A13" t="str">
        <f ca="1">IFERROR(__xludf.DUMMYFUNCTION("""COMPUTED_VALUE"""),"Toxins")</f>
        <v>Toxins</v>
      </c>
      <c r="B13" t="str">
        <f ca="1">IFERROR(__xludf.DUMMYFUNCTION("""COMPUTED_VALUE"""),"Hazard type_11")</f>
        <v>Hazard type_11</v>
      </c>
    </row>
    <row r="14" spans="1:3" ht="12.5" x14ac:dyDescent="0.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x14ac:dyDescent="0.25">
      <c r="A2" t="str">
        <f ca="1">IFERROR(__xludf.DUMMYFUNCTION("""COMPUTED_VALUE"""),"A Coruña")</f>
        <v>A Coruña</v>
      </c>
      <c r="B2" t="str">
        <f ca="1">IFERROR(__xludf.DUMMYFUNCTION("""COMPUTED_VALUE"""),"ES111")</f>
        <v>ES111</v>
      </c>
    </row>
    <row r="3" spans="1:3" ht="12.5" x14ac:dyDescent="0.25">
      <c r="A3" t="str">
        <f ca="1">IFERROR(__xludf.DUMMYFUNCTION("""COMPUTED_VALUE"""),"Aachen, Kreis")</f>
        <v>Aachen, Kreis</v>
      </c>
      <c r="B3" t="str">
        <f ca="1">IFERROR(__xludf.DUMMYFUNCTION("""COMPUTED_VALUE"""),"DEA25")</f>
        <v>DEA25</v>
      </c>
    </row>
    <row r="4" spans="1:3" ht="12.5" x14ac:dyDescent="0.25">
      <c r="A4" t="str">
        <f ca="1">IFERROR(__xludf.DUMMYFUNCTION("""COMPUTED_VALUE"""),"Aachen, Kreisfreie Stadt")</f>
        <v>Aachen, Kreisfreie Stadt</v>
      </c>
      <c r="B4" t="str">
        <f ca="1">IFERROR(__xludf.DUMMYFUNCTION("""COMPUTED_VALUE"""),"DEA21")</f>
        <v>DEA21</v>
      </c>
    </row>
    <row r="5" spans="1:3" ht="12.5" x14ac:dyDescent="0.25">
      <c r="A5" t="str">
        <f ca="1">IFERROR(__xludf.DUMMYFUNCTION("""COMPUTED_VALUE"""),"Aargau")</f>
        <v>Aargau</v>
      </c>
      <c r="B5" t="str">
        <f ca="1">IFERROR(__xludf.DUMMYFUNCTION("""COMPUTED_VALUE"""),"CH033")</f>
        <v>CH033</v>
      </c>
    </row>
    <row r="6" spans="1:3" ht="12.5" x14ac:dyDescent="0.25">
      <c r="A6" t="str">
        <f ca="1">IFERROR(__xludf.DUMMYFUNCTION("""COMPUTED_VALUE"""),"Aberdeen City And Aberdeenshire")</f>
        <v>Aberdeen City And Aberdeenshire</v>
      </c>
      <c r="B6" t="str">
        <f ca="1">IFERROR(__xludf.DUMMYFUNCTION("""COMPUTED_VALUE"""),"UKM50")</f>
        <v>UKM50</v>
      </c>
    </row>
    <row r="7" spans="1:3" ht="12.5" x14ac:dyDescent="0.25">
      <c r="A7" t="str">
        <f ca="1">IFERROR(__xludf.DUMMYFUNCTION("""COMPUTED_VALUE"""),"Abruzzo")</f>
        <v>Abruzzo</v>
      </c>
      <c r="B7" t="str">
        <f ca="1">IFERROR(__xludf.DUMMYFUNCTION("""COMPUTED_VALUE"""),"ITF1")</f>
        <v>ITF1</v>
      </c>
    </row>
    <row r="8" spans="1:3" ht="12.5" x14ac:dyDescent="0.25">
      <c r="A8" t="str">
        <f ca="1">IFERROR(__xludf.DUMMYFUNCTION("""COMPUTED_VALUE"""),"Achaia")</f>
        <v>Achaia</v>
      </c>
      <c r="B8" t="str">
        <f ca="1">IFERROR(__xludf.DUMMYFUNCTION("""COMPUTED_VALUE"""),"GR232")</f>
        <v>GR232</v>
      </c>
    </row>
    <row r="9" spans="1:3" ht="12.5" x14ac:dyDescent="0.25">
      <c r="A9" t="str">
        <f ca="1">IFERROR(__xludf.DUMMYFUNCTION("""COMPUTED_VALUE"""),"Achterhoek")</f>
        <v>Achterhoek</v>
      </c>
      <c r="B9" t="str">
        <f ca="1">IFERROR(__xludf.DUMMYFUNCTION("""COMPUTED_VALUE"""),"NL225")</f>
        <v>NL225</v>
      </c>
    </row>
    <row r="10" spans="1:3" ht="12.5" x14ac:dyDescent="0.25">
      <c r="A10" t="str">
        <f ca="1">IFERROR(__xludf.DUMMYFUNCTION("""COMPUTED_VALUE"""),"Agder Og Rogaland")</f>
        <v>Agder Og Rogaland</v>
      </c>
      <c r="B10" t="str">
        <f ca="1">IFERROR(__xludf.DUMMYFUNCTION("""COMPUTED_VALUE"""),"NO04")</f>
        <v>NO04</v>
      </c>
    </row>
    <row r="11" spans="1:3" ht="12.5" x14ac:dyDescent="0.25">
      <c r="A11" t="str">
        <f ca="1">IFERROR(__xludf.DUMMYFUNCTION("""COMPUTED_VALUE"""),"Agglomeratie 'S-Gravenhage")</f>
        <v>Agglomeratie 'S-Gravenhage</v>
      </c>
      <c r="B11" t="str">
        <f ca="1">IFERROR(__xludf.DUMMYFUNCTION("""COMPUTED_VALUE"""),"NL332")</f>
        <v>NL332</v>
      </c>
    </row>
    <row r="12" spans="1:3" ht="12.5" x14ac:dyDescent="0.25">
      <c r="A12" t="str">
        <f ca="1">IFERROR(__xludf.DUMMYFUNCTION("""COMPUTED_VALUE"""),"Agglomeratie Haarlem")</f>
        <v>Agglomeratie Haarlem</v>
      </c>
      <c r="B12" t="str">
        <f ca="1">IFERROR(__xludf.DUMMYFUNCTION("""COMPUTED_VALUE"""),"NL324")</f>
        <v>NL324</v>
      </c>
    </row>
    <row r="13" spans="1:3" ht="12.5" x14ac:dyDescent="0.25">
      <c r="A13" t="str">
        <f ca="1">IFERROR(__xludf.DUMMYFUNCTION("""COMPUTED_VALUE"""),"Agglomeratie Leiden En Bollenstreek")</f>
        <v>Agglomeratie Leiden En Bollenstreek</v>
      </c>
      <c r="B13" t="str">
        <f ca="1">IFERROR(__xludf.DUMMYFUNCTION("""COMPUTED_VALUE"""),"NL331")</f>
        <v>NL331</v>
      </c>
    </row>
    <row r="14" spans="1:3" ht="12.5" x14ac:dyDescent="0.25">
      <c r="A14" t="str">
        <f ca="1">IFERROR(__xludf.DUMMYFUNCTION("""COMPUTED_VALUE"""),"Agrigento")</f>
        <v>Agrigento</v>
      </c>
      <c r="B14" t="str">
        <f ca="1">IFERROR(__xludf.DUMMYFUNCTION("""COMPUTED_VALUE"""),"ITG14")</f>
        <v>ITG14</v>
      </c>
    </row>
    <row r="15" spans="1:3" ht="12.5" x14ac:dyDescent="0.25">
      <c r="A15" t="str">
        <f ca="1">IFERROR(__xludf.DUMMYFUNCTION("""COMPUTED_VALUE"""),"Ahrweiler")</f>
        <v>Ahrweiler</v>
      </c>
      <c r="B15" t="str">
        <f ca="1">IFERROR(__xludf.DUMMYFUNCTION("""COMPUTED_VALUE"""),"DEB12")</f>
        <v>DEB12</v>
      </c>
    </row>
    <row r="16" spans="1:3" ht="12.5" x14ac:dyDescent="0.25">
      <c r="A16" t="str">
        <f ca="1">IFERROR(__xludf.DUMMYFUNCTION("""COMPUTED_VALUE"""),"Aichach-Friedberg")</f>
        <v>Aichach-Friedberg</v>
      </c>
      <c r="B16" t="str">
        <f ca="1">IFERROR(__xludf.DUMMYFUNCTION("""COMPUTED_VALUE"""),"DE275")</f>
        <v>DE275</v>
      </c>
    </row>
    <row r="17" spans="1:2" ht="12.5" x14ac:dyDescent="0.25">
      <c r="A17" t="str">
        <f ca="1">IFERROR(__xludf.DUMMYFUNCTION("""COMPUTED_VALUE"""),"Ain")</f>
        <v>Ain</v>
      </c>
      <c r="B17" t="str">
        <f ca="1">IFERROR(__xludf.DUMMYFUNCTION("""COMPUTED_VALUE"""),"FR711")</f>
        <v>FR711</v>
      </c>
    </row>
    <row r="18" spans="1:2" ht="12.5" x14ac:dyDescent="0.25">
      <c r="A18" t="str">
        <f ca="1">IFERROR(__xludf.DUMMYFUNCTION("""COMPUTED_VALUE"""),"Aisne")</f>
        <v>Aisne</v>
      </c>
      <c r="B18" t="str">
        <f ca="1">IFERROR(__xludf.DUMMYFUNCTION("""COMPUTED_VALUE"""),"FR221")</f>
        <v>FR221</v>
      </c>
    </row>
    <row r="19" spans="1:2" ht="12.5" x14ac:dyDescent="0.25">
      <c r="A19" t="str">
        <f ca="1">IFERROR(__xludf.DUMMYFUNCTION("""COMPUTED_VALUE"""),"Aitoloakarnania")</f>
        <v>Aitoloakarnania</v>
      </c>
      <c r="B19" t="str">
        <f ca="1">IFERROR(__xludf.DUMMYFUNCTION("""COMPUTED_VALUE"""),"GR231")</f>
        <v>GR231</v>
      </c>
    </row>
    <row r="20" spans="1:2" ht="12.5" x14ac:dyDescent="0.25">
      <c r="A20" t="str">
        <f ca="1">IFERROR(__xludf.DUMMYFUNCTION("""COMPUTED_VALUE"""),"Akershus")</f>
        <v>Akershus</v>
      </c>
      <c r="B20" t="str">
        <f ca="1">IFERROR(__xludf.DUMMYFUNCTION("""COMPUTED_VALUE"""),"NO012")</f>
        <v>NO012</v>
      </c>
    </row>
    <row r="21" spans="1:2" ht="12.5" x14ac:dyDescent="0.25">
      <c r="A21" t="str">
        <f ca="1">IFERROR(__xludf.DUMMYFUNCTION("""COMPUTED_VALUE"""),"Åland")</f>
        <v>Åland</v>
      </c>
      <c r="B21" t="str">
        <f ca="1">IFERROR(__xludf.DUMMYFUNCTION("""COMPUTED_VALUE"""),"FI2")</f>
        <v>FI2</v>
      </c>
    </row>
    <row r="22" spans="1:2" ht="12.5" x14ac:dyDescent="0.25">
      <c r="A22" t="str">
        <f ca="1">IFERROR(__xludf.DUMMYFUNCTION("""COMPUTED_VALUE"""),"Åland (*)")</f>
        <v>Åland (*)</v>
      </c>
      <c r="B22" t="str">
        <f ca="1">IFERROR(__xludf.DUMMYFUNCTION("""COMPUTED_VALUE"""),"FI20")</f>
        <v>FI20</v>
      </c>
    </row>
    <row r="23" spans="1:2" ht="12.5" x14ac:dyDescent="0.25">
      <c r="A23" t="str">
        <f ca="1">IFERROR(__xludf.DUMMYFUNCTION("""COMPUTED_VALUE"""),"Åland (**)")</f>
        <v>Åland (**)</v>
      </c>
      <c r="B23" t="str">
        <f ca="1">IFERROR(__xludf.DUMMYFUNCTION("""COMPUTED_VALUE"""),"FI200")</f>
        <v>FI200</v>
      </c>
    </row>
    <row r="24" spans="1:2" ht="12.5" x14ac:dyDescent="0.25">
      <c r="A24" t="str">
        <f ca="1">IFERROR(__xludf.DUMMYFUNCTION("""COMPUTED_VALUE"""),"Álava")</f>
        <v>Álava</v>
      </c>
      <c r="B24" t="str">
        <f ca="1">IFERROR(__xludf.DUMMYFUNCTION("""COMPUTED_VALUE"""),"ES211")</f>
        <v>ES211</v>
      </c>
    </row>
    <row r="25" spans="1:2" ht="12.5" x14ac:dyDescent="0.25">
      <c r="A25" t="str">
        <f ca="1">IFERROR(__xludf.DUMMYFUNCTION("""COMPUTED_VALUE"""),"Alb-Donau-Kreis")</f>
        <v>Alb-Donau-Kreis</v>
      </c>
      <c r="B25" t="str">
        <f ca="1">IFERROR(__xludf.DUMMYFUNCTION("""COMPUTED_VALUE"""),"DE145")</f>
        <v>DE145</v>
      </c>
    </row>
    <row r="26" spans="1:2" ht="12.5" x14ac:dyDescent="0.25">
      <c r="A26" t="str">
        <f ca="1">IFERROR(__xludf.DUMMYFUNCTION("""COMPUTED_VALUE"""),"Alba")</f>
        <v>Alba</v>
      </c>
      <c r="B26" t="str">
        <f ca="1">IFERROR(__xludf.DUMMYFUNCTION("""COMPUTED_VALUE"""),"RO121")</f>
        <v>RO121</v>
      </c>
    </row>
    <row r="27" spans="1:2" ht="12.5" x14ac:dyDescent="0.25">
      <c r="A27" t="str">
        <f ca="1">IFERROR(__xludf.DUMMYFUNCTION("""COMPUTED_VALUE"""),"Albacete")</f>
        <v>Albacete</v>
      </c>
      <c r="B27" t="str">
        <f ca="1">IFERROR(__xludf.DUMMYFUNCTION("""COMPUTED_VALUE"""),"ES421")</f>
        <v>ES421</v>
      </c>
    </row>
    <row r="28" spans="1:2" ht="12.5" x14ac:dyDescent="0.25">
      <c r="A28" t="str">
        <f ca="1">IFERROR(__xludf.DUMMYFUNCTION("""COMPUTED_VALUE"""),"Alentejo")</f>
        <v>Alentejo</v>
      </c>
      <c r="B28" t="str">
        <f ca="1">IFERROR(__xludf.DUMMYFUNCTION("""COMPUTED_VALUE"""),"PT18")</f>
        <v>PT18</v>
      </c>
    </row>
    <row r="29" spans="1:2" ht="12.5" x14ac:dyDescent="0.25">
      <c r="A29" t="str">
        <f ca="1">IFERROR(__xludf.DUMMYFUNCTION("""COMPUTED_VALUE"""),"Alentejo Central")</f>
        <v>Alentejo Central</v>
      </c>
      <c r="B29" t="str">
        <f ca="1">IFERROR(__xludf.DUMMYFUNCTION("""COMPUTED_VALUE"""),"PT183")</f>
        <v>PT183</v>
      </c>
    </row>
    <row r="30" spans="1:2" ht="12.5" x14ac:dyDescent="0.25">
      <c r="A30" t="str">
        <f ca="1">IFERROR(__xludf.DUMMYFUNCTION("""COMPUTED_VALUE"""),"Alentejo Litoral")</f>
        <v>Alentejo Litoral</v>
      </c>
      <c r="B30" t="str">
        <f ca="1">IFERROR(__xludf.DUMMYFUNCTION("""COMPUTED_VALUE"""),"PT181")</f>
        <v>PT181</v>
      </c>
    </row>
    <row r="31" spans="1:2" ht="12.5" x14ac:dyDescent="0.25">
      <c r="A31" t="str">
        <f ca="1">IFERROR(__xludf.DUMMYFUNCTION("""COMPUTED_VALUE"""),"Alessandria")</f>
        <v>Alessandria</v>
      </c>
      <c r="B31" t="str">
        <f ca="1">IFERROR(__xludf.DUMMYFUNCTION("""COMPUTED_VALUE"""),"ITC18")</f>
        <v>ITC18</v>
      </c>
    </row>
    <row r="32" spans="1:2" ht="12.5" x14ac:dyDescent="0.25">
      <c r="A32" t="str">
        <f ca="1">IFERROR(__xludf.DUMMYFUNCTION("""COMPUTED_VALUE"""),"Alfold Es Eszak")</f>
        <v>Alfold Es Eszak</v>
      </c>
      <c r="B32" t="str">
        <f ca="1">IFERROR(__xludf.DUMMYFUNCTION("""COMPUTED_VALUE"""),"HU3")</f>
        <v>HU3</v>
      </c>
    </row>
    <row r="33" spans="1:2" ht="12.5" x14ac:dyDescent="0.25">
      <c r="A33" t="str">
        <f ca="1">IFERROR(__xludf.DUMMYFUNCTION("""COMPUTED_VALUE"""),"Algarve")</f>
        <v>Algarve</v>
      </c>
      <c r="B33" t="str">
        <f ca="1">IFERROR(__xludf.DUMMYFUNCTION("""COMPUTED_VALUE"""),"PT15")</f>
        <v>PT15</v>
      </c>
    </row>
    <row r="34" spans="1:2" ht="12.5" x14ac:dyDescent="0.25">
      <c r="A34" t="str">
        <f ca="1">IFERROR(__xludf.DUMMYFUNCTION("""COMPUTED_VALUE"""),"Algarve (*)")</f>
        <v>Algarve (*)</v>
      </c>
      <c r="B34" t="str">
        <f ca="1">IFERROR(__xludf.DUMMYFUNCTION("""COMPUTED_VALUE"""),"PT150")</f>
        <v>PT150</v>
      </c>
    </row>
    <row r="35" spans="1:2" ht="12.5" x14ac:dyDescent="0.25">
      <c r="A35" t="str">
        <f ca="1">IFERROR(__xludf.DUMMYFUNCTION("""COMPUTED_VALUE"""),"Alicante / Alacant")</f>
        <v>Alicante / Alacant</v>
      </c>
      <c r="B35" t="str">
        <f ca="1">IFERROR(__xludf.DUMMYFUNCTION("""COMPUTED_VALUE"""),"ES521")</f>
        <v>ES521</v>
      </c>
    </row>
    <row r="36" spans="1:2" ht="12.5" x14ac:dyDescent="0.25">
      <c r="A36" t="str">
        <f ca="1">IFERROR(__xludf.DUMMYFUNCTION("""COMPUTED_VALUE"""),"Alkmaar En Omgeving")</f>
        <v>Alkmaar En Omgeving</v>
      </c>
      <c r="B36" t="str">
        <f ca="1">IFERROR(__xludf.DUMMYFUNCTION("""COMPUTED_VALUE"""),"NL322")</f>
        <v>NL322</v>
      </c>
    </row>
    <row r="37" spans="1:2" ht="12.5" x14ac:dyDescent="0.25">
      <c r="A37" t="str">
        <f ca="1">IFERROR(__xludf.DUMMYFUNCTION("""COMPUTED_VALUE"""),"Allier")</f>
        <v>Allier</v>
      </c>
      <c r="B37" t="str">
        <f ca="1">IFERROR(__xludf.DUMMYFUNCTION("""COMPUTED_VALUE"""),"FR721")</f>
        <v>FR721</v>
      </c>
    </row>
    <row r="38" spans="1:2" ht="12.5" x14ac:dyDescent="0.25">
      <c r="A38" t="str">
        <f ca="1">IFERROR(__xludf.DUMMYFUNCTION("""COMPUTED_VALUE"""),"Almería")</f>
        <v>Almería</v>
      </c>
      <c r="B38" t="str">
        <f ca="1">IFERROR(__xludf.DUMMYFUNCTION("""COMPUTED_VALUE"""),"ES611")</f>
        <v>ES611</v>
      </c>
    </row>
    <row r="39" spans="1:2" ht="12.5" x14ac:dyDescent="0.25">
      <c r="A39" t="str">
        <f ca="1">IFERROR(__xludf.DUMMYFUNCTION("""COMPUTED_VALUE"""),"Alpes-De-Haute-Provence")</f>
        <v>Alpes-De-Haute-Provence</v>
      </c>
      <c r="B39" t="str">
        <f ca="1">IFERROR(__xludf.DUMMYFUNCTION("""COMPUTED_VALUE"""),"FR821")</f>
        <v>FR821</v>
      </c>
    </row>
    <row r="40" spans="1:2" ht="12.5" x14ac:dyDescent="0.25">
      <c r="A40" t="str">
        <f ca="1">IFERROR(__xludf.DUMMYFUNCTION("""COMPUTED_VALUE"""),"Alpes-Maritimes")</f>
        <v>Alpes-Maritimes</v>
      </c>
      <c r="B40" t="str">
        <f ca="1">IFERROR(__xludf.DUMMYFUNCTION("""COMPUTED_VALUE"""),"FR823")</f>
        <v>FR823</v>
      </c>
    </row>
    <row r="41" spans="1:2" ht="12.5" x14ac:dyDescent="0.25">
      <c r="A41" t="str">
        <f ca="1">IFERROR(__xludf.DUMMYFUNCTION("""COMPUTED_VALUE"""),"Alsace")</f>
        <v>Alsace</v>
      </c>
      <c r="B41" t="str">
        <f ca="1">IFERROR(__xludf.DUMMYFUNCTION("""COMPUTED_VALUE"""),"FR42")</f>
        <v>FR42</v>
      </c>
    </row>
    <row r="42" spans="1:2" ht="12.5" x14ac:dyDescent="0.25">
      <c r="A42" t="str">
        <f ca="1">IFERROR(__xludf.DUMMYFUNCTION("""COMPUTED_VALUE"""),"Altenburger Land")</f>
        <v>Altenburger Land</v>
      </c>
      <c r="B42" t="str">
        <f ca="1">IFERROR(__xludf.DUMMYFUNCTION("""COMPUTED_VALUE"""),"DEG0M")</f>
        <v>DEG0M</v>
      </c>
    </row>
    <row r="43" spans="1:2" ht="12.5" x14ac:dyDescent="0.25">
      <c r="A43" t="str">
        <f ca="1">IFERROR(__xludf.DUMMYFUNCTION("""COMPUTED_VALUE"""),"Altenkirchen (Westerwald)")</f>
        <v>Altenkirchen (Westerwald)</v>
      </c>
      <c r="B43" t="str">
        <f ca="1">IFERROR(__xludf.DUMMYFUNCTION("""COMPUTED_VALUE"""),"DEB13")</f>
        <v>DEB13</v>
      </c>
    </row>
    <row r="44" spans="1:2" ht="12.5" x14ac:dyDescent="0.25">
      <c r="A44" t="str">
        <f ca="1">IFERROR(__xludf.DUMMYFUNCTION("""COMPUTED_VALUE"""),"Altmarkkreis Salzwedel")</f>
        <v>Altmarkkreis Salzwedel</v>
      </c>
      <c r="B44" t="str">
        <f ca="1">IFERROR(__xludf.DUMMYFUNCTION("""COMPUTED_VALUE"""),"DEE04")</f>
        <v>DEE04</v>
      </c>
    </row>
    <row r="45" spans="1:2" ht="12.5" x14ac:dyDescent="0.25">
      <c r="A45" t="str">
        <f ca="1">IFERROR(__xludf.DUMMYFUNCTION("""COMPUTED_VALUE"""),"Alto Alentejo")</f>
        <v>Alto Alentejo</v>
      </c>
      <c r="B45" t="str">
        <f ca="1">IFERROR(__xludf.DUMMYFUNCTION("""COMPUTED_VALUE"""),"PT182")</f>
        <v>PT182</v>
      </c>
    </row>
    <row r="46" spans="1:2" ht="12.5" x14ac:dyDescent="0.25">
      <c r="A46" t="str">
        <f ca="1">IFERROR(__xludf.DUMMYFUNCTION("""COMPUTED_VALUE"""),"Alto Trás-Os-Montes")</f>
        <v>Alto Trás-Os-Montes</v>
      </c>
      <c r="B46" t="str">
        <f ca="1">IFERROR(__xludf.DUMMYFUNCTION("""COMPUTED_VALUE"""),"PT118")</f>
        <v>PT118</v>
      </c>
    </row>
    <row r="47" spans="1:2" ht="12.5" x14ac:dyDescent="0.25">
      <c r="A47" t="str">
        <f ca="1">IFERROR(__xludf.DUMMYFUNCTION("""COMPUTED_VALUE"""),"Altötting")</f>
        <v>Altötting</v>
      </c>
      <c r="B47" t="str">
        <f ca="1">IFERROR(__xludf.DUMMYFUNCTION("""COMPUTED_VALUE"""),"DE214")</f>
        <v>DE214</v>
      </c>
    </row>
    <row r="48" spans="1:2" ht="12.5" x14ac:dyDescent="0.25">
      <c r="A48" t="str">
        <f ca="1">IFERROR(__xludf.DUMMYFUNCTION("""COMPUTED_VALUE"""),"Alytaus Apskritis")</f>
        <v>Alytaus Apskritis</v>
      </c>
      <c r="B48" t="str">
        <f ca="1">IFERROR(__xludf.DUMMYFUNCTION("""COMPUTED_VALUE"""),"LT001")</f>
        <v>LT001</v>
      </c>
    </row>
    <row r="49" spans="1:2" ht="12.5" x14ac:dyDescent="0.25">
      <c r="A49" t="str">
        <f ca="1">IFERROR(__xludf.DUMMYFUNCTION("""COMPUTED_VALUE"""),"Alzey-Worms")</f>
        <v>Alzey-Worms</v>
      </c>
      <c r="B49" t="str">
        <f ca="1">IFERROR(__xludf.DUMMYFUNCTION("""COMPUTED_VALUE"""),"DEB3B")</f>
        <v>DEB3B</v>
      </c>
    </row>
    <row r="50" spans="1:2" ht="12.5" x14ac:dyDescent="0.25">
      <c r="A50" t="str">
        <f ca="1">IFERROR(__xludf.DUMMYFUNCTION("""COMPUTED_VALUE"""),"Amberg-Sulzbach")</f>
        <v>Amberg-Sulzbach</v>
      </c>
      <c r="B50" t="str">
        <f ca="1">IFERROR(__xludf.DUMMYFUNCTION("""COMPUTED_VALUE"""),"DE234")</f>
        <v>DE234</v>
      </c>
    </row>
    <row r="51" spans="1:2" ht="12.5" x14ac:dyDescent="0.25">
      <c r="A51" t="str">
        <f ca="1">IFERROR(__xludf.DUMMYFUNCTION("""COMPUTED_VALUE"""),"Amberg, Kreisfreie Stadt")</f>
        <v>Amberg, Kreisfreie Stadt</v>
      </c>
      <c r="B51" t="str">
        <f ca="1">IFERROR(__xludf.DUMMYFUNCTION("""COMPUTED_VALUE"""),"DE231")</f>
        <v>DE231</v>
      </c>
    </row>
    <row r="52" spans="1:2" ht="12.5" x14ac:dyDescent="0.25">
      <c r="A52" t="str">
        <f ca="1">IFERROR(__xludf.DUMMYFUNCTION("""COMPUTED_VALUE"""),"Ammerland")</f>
        <v>Ammerland</v>
      </c>
      <c r="B52" t="str">
        <f ca="1">IFERROR(__xludf.DUMMYFUNCTION("""COMPUTED_VALUE"""),"DE946")</f>
        <v>DE946</v>
      </c>
    </row>
    <row r="53" spans="1:2" ht="12.5" x14ac:dyDescent="0.25">
      <c r="A53" t="str">
        <f ca="1">IFERROR(__xludf.DUMMYFUNCTION("""COMPUTED_VALUE"""),"Anatoliki Makedonia, Thraki")</f>
        <v>Anatoliki Makedonia, Thraki</v>
      </c>
      <c r="B53" t="str">
        <f ca="1">IFERROR(__xludf.DUMMYFUNCTION("""COMPUTED_VALUE"""),"GR11")</f>
        <v>GR11</v>
      </c>
    </row>
    <row r="54" spans="1:2" ht="12.5" x14ac:dyDescent="0.25">
      <c r="A54" t="str">
        <f ca="1">IFERROR(__xludf.DUMMYFUNCTION("""COMPUTED_VALUE"""),"Ancona")</f>
        <v>Ancona</v>
      </c>
      <c r="B54" t="str">
        <f ca="1">IFERROR(__xludf.DUMMYFUNCTION("""COMPUTED_VALUE"""),"ITE32")</f>
        <v>ITE32</v>
      </c>
    </row>
    <row r="55" spans="1:2" ht="12.5" x14ac:dyDescent="0.25">
      <c r="A55" t="str">
        <f ca="1">IFERROR(__xludf.DUMMYFUNCTION("""COMPUTED_VALUE"""),"Andalucía")</f>
        <v>Andalucía</v>
      </c>
      <c r="B55" t="str">
        <f ca="1">IFERROR(__xludf.DUMMYFUNCTION("""COMPUTED_VALUE"""),"ES61")</f>
        <v>ES61</v>
      </c>
    </row>
    <row r="56" spans="1:2" ht="12.5" x14ac:dyDescent="0.25">
      <c r="A56" t="str">
        <f ca="1">IFERROR(__xludf.DUMMYFUNCTION("""COMPUTED_VALUE"""),"Angus And Dundee City")</f>
        <v>Angus And Dundee City</v>
      </c>
      <c r="B56" t="str">
        <f ca="1">IFERROR(__xludf.DUMMYFUNCTION("""COMPUTED_VALUE"""),"UKM21")</f>
        <v>UKM21</v>
      </c>
    </row>
    <row r="57" spans="1:2" ht="12.5" x14ac:dyDescent="0.25">
      <c r="A57" t="str">
        <f ca="1">IFERROR(__xludf.DUMMYFUNCTION("""COMPUTED_VALUE"""),"Anhalt-Bitterfeld")</f>
        <v>Anhalt-Bitterfeld</v>
      </c>
      <c r="B57" t="str">
        <f ca="1">IFERROR(__xludf.DUMMYFUNCTION("""COMPUTED_VALUE"""),"DEE05")</f>
        <v>DEE05</v>
      </c>
    </row>
    <row r="58" spans="1:2" ht="12.5" x14ac:dyDescent="0.25">
      <c r="A58" t="str">
        <f ca="1">IFERROR(__xludf.DUMMYFUNCTION("""COMPUTED_VALUE"""),"Annaberg")</f>
        <v>Annaberg</v>
      </c>
      <c r="B58" t="str">
        <f ca="1">IFERROR(__xludf.DUMMYFUNCTION("""COMPUTED_VALUE"""),"DED14")</f>
        <v>DED14</v>
      </c>
    </row>
    <row r="59" spans="1:2" ht="12.5" x14ac:dyDescent="0.25">
      <c r="A59" t="str">
        <f ca="1">IFERROR(__xludf.DUMMYFUNCTION("""COMPUTED_VALUE"""),"Ansbach, Kreisfreie Stadt")</f>
        <v>Ansbach, Kreisfreie Stadt</v>
      </c>
      <c r="B59" t="str">
        <f ca="1">IFERROR(__xludf.DUMMYFUNCTION("""COMPUTED_VALUE"""),"DE251")</f>
        <v>DE251</v>
      </c>
    </row>
    <row r="60" spans="1:2" ht="12.5" x14ac:dyDescent="0.25">
      <c r="A60" t="str">
        <f ca="1">IFERROR(__xludf.DUMMYFUNCTION("""COMPUTED_VALUE"""),"Ansbach, Landkreis")</f>
        <v>Ansbach, Landkreis</v>
      </c>
      <c r="B60" t="str">
        <f ca="1">IFERROR(__xludf.DUMMYFUNCTION("""COMPUTED_VALUE"""),"DE256")</f>
        <v>DE256</v>
      </c>
    </row>
    <row r="61" spans="1:2" ht="12.5" x14ac:dyDescent="0.25">
      <c r="A61" t="str">
        <f ca="1">IFERROR(__xludf.DUMMYFUNCTION("""COMPUTED_VALUE"""),"Appenzell Ausserrhoden")</f>
        <v>Appenzell Ausserrhoden</v>
      </c>
      <c r="B61" t="str">
        <f ca="1">IFERROR(__xludf.DUMMYFUNCTION("""COMPUTED_VALUE"""),"CH053")</f>
        <v>CH053</v>
      </c>
    </row>
    <row r="62" spans="1:2" ht="12.5" x14ac:dyDescent="0.25">
      <c r="A62" t="str">
        <f ca="1">IFERROR(__xludf.DUMMYFUNCTION("""COMPUTED_VALUE"""),"Appenzell Innerrhoden")</f>
        <v>Appenzell Innerrhoden</v>
      </c>
      <c r="B62" t="str">
        <f ca="1">IFERROR(__xludf.DUMMYFUNCTION("""COMPUTED_VALUE"""),"CH054")</f>
        <v>CH054</v>
      </c>
    </row>
    <row r="63" spans="1:2" ht="12.5" x14ac:dyDescent="0.25">
      <c r="A63" t="str">
        <f ca="1">IFERROR(__xludf.DUMMYFUNCTION("""COMPUTED_VALUE"""),"Aquitaine")</f>
        <v>Aquitaine</v>
      </c>
      <c r="B63" t="str">
        <f ca="1">IFERROR(__xludf.DUMMYFUNCTION("""COMPUTED_VALUE"""),"FR61")</f>
        <v>FR61</v>
      </c>
    </row>
    <row r="64" spans="1:2" ht="12.5" x14ac:dyDescent="0.25">
      <c r="A64" t="str">
        <f ca="1">IFERROR(__xludf.DUMMYFUNCTION("""COMPUTED_VALUE"""),"Arad")</f>
        <v>Arad</v>
      </c>
      <c r="B64" t="str">
        <f ca="1">IFERROR(__xludf.DUMMYFUNCTION("""COMPUTED_VALUE"""),"RO421")</f>
        <v>RO421</v>
      </c>
    </row>
    <row r="65" spans="1:2" ht="12.5" x14ac:dyDescent="0.25">
      <c r="A65" t="str">
        <f ca="1">IFERROR(__xludf.DUMMYFUNCTION("""COMPUTED_VALUE"""),"Aragón")</f>
        <v>Aragón</v>
      </c>
      <c r="B65" t="str">
        <f ca="1">IFERROR(__xludf.DUMMYFUNCTION("""COMPUTED_VALUE"""),"ES24")</f>
        <v>ES24</v>
      </c>
    </row>
    <row r="66" spans="1:2" ht="12.5" x14ac:dyDescent="0.25">
      <c r="A66" t="str">
        <f ca="1">IFERROR(__xludf.DUMMYFUNCTION("""COMPUTED_VALUE"""),"Ardèche")</f>
        <v>Ardèche</v>
      </c>
      <c r="B66" t="str">
        <f ca="1">IFERROR(__xludf.DUMMYFUNCTION("""COMPUTED_VALUE"""),"FR712")</f>
        <v>FR712</v>
      </c>
    </row>
    <row r="67" spans="1:2" ht="12.5" x14ac:dyDescent="0.25">
      <c r="A67" t="str">
        <f ca="1">IFERROR(__xludf.DUMMYFUNCTION("""COMPUTED_VALUE"""),"Ardennes")</f>
        <v>Ardennes</v>
      </c>
      <c r="B67" t="str">
        <f ca="1">IFERROR(__xludf.DUMMYFUNCTION("""COMPUTED_VALUE"""),"FR211")</f>
        <v>FR211</v>
      </c>
    </row>
    <row r="68" spans="1:2" ht="12.5" x14ac:dyDescent="0.25">
      <c r="A68" t="str">
        <f ca="1">IFERROR(__xludf.DUMMYFUNCTION("""COMPUTED_VALUE"""),"Arezzo")</f>
        <v>Arezzo</v>
      </c>
      <c r="B68" t="str">
        <f ca="1">IFERROR(__xludf.DUMMYFUNCTION("""COMPUTED_VALUE"""),"ITE18")</f>
        <v>ITE18</v>
      </c>
    </row>
    <row r="69" spans="1:2" ht="12.5" x14ac:dyDescent="0.25">
      <c r="A69" t="str">
        <f ca="1">IFERROR(__xludf.DUMMYFUNCTION("""COMPUTED_VALUE"""),"Arges")</f>
        <v>Arges</v>
      </c>
      <c r="B69" t="str">
        <f ca="1">IFERROR(__xludf.DUMMYFUNCTION("""COMPUTED_VALUE"""),"RO311")</f>
        <v>RO311</v>
      </c>
    </row>
    <row r="70" spans="1:2" ht="12.5" x14ac:dyDescent="0.25">
      <c r="A70" t="str">
        <f ca="1">IFERROR(__xludf.DUMMYFUNCTION("""COMPUTED_VALUE"""),"Argolida")</f>
        <v>Argolida</v>
      </c>
      <c r="B70" t="str">
        <f ca="1">IFERROR(__xludf.DUMMYFUNCTION("""COMPUTED_VALUE"""),"GR251")</f>
        <v>GR251</v>
      </c>
    </row>
    <row r="71" spans="1:2" ht="12.5" x14ac:dyDescent="0.25">
      <c r="A71" t="str">
        <f ca="1">IFERROR(__xludf.DUMMYFUNCTION("""COMPUTED_VALUE"""),"Ariège")</f>
        <v>Ariège</v>
      </c>
      <c r="B71" t="str">
        <f ca="1">IFERROR(__xludf.DUMMYFUNCTION("""COMPUTED_VALUE"""),"FR621")</f>
        <v>FR621</v>
      </c>
    </row>
    <row r="72" spans="1:2" ht="12.5" x14ac:dyDescent="0.25">
      <c r="A72" t="str">
        <f ca="1">IFERROR(__xludf.DUMMYFUNCTION("""COMPUTED_VALUE"""),"Arkadia")</f>
        <v>Arkadia</v>
      </c>
      <c r="B72" t="str">
        <f ca="1">IFERROR(__xludf.DUMMYFUNCTION("""COMPUTED_VALUE"""),"GR252")</f>
        <v>GR252</v>
      </c>
    </row>
    <row r="73" spans="1:2" ht="12.5" x14ac:dyDescent="0.25">
      <c r="A73" t="str">
        <f ca="1">IFERROR(__xludf.DUMMYFUNCTION("""COMPUTED_VALUE"""),"Arnhem/Nijmegen")</f>
        <v>Arnhem/Nijmegen</v>
      </c>
      <c r="B73" t="str">
        <f ca="1">IFERROR(__xludf.DUMMYFUNCTION("""COMPUTED_VALUE"""),"NL226")</f>
        <v>NL226</v>
      </c>
    </row>
    <row r="74" spans="1:2" ht="12.5" x14ac:dyDescent="0.25">
      <c r="A74" t="str">
        <f ca="1">IFERROR(__xludf.DUMMYFUNCTION("""COMPUTED_VALUE"""),"Arnsberg")</f>
        <v>Arnsberg</v>
      </c>
      <c r="B74" t="str">
        <f ca="1">IFERROR(__xludf.DUMMYFUNCTION("""COMPUTED_VALUE"""),"DEA5")</f>
        <v>DEA5</v>
      </c>
    </row>
    <row r="75" spans="1:2" ht="12.5" x14ac:dyDescent="0.25">
      <c r="A75" t="str">
        <f ca="1">IFERROR(__xludf.DUMMYFUNCTION("""COMPUTED_VALUE"""),"Arr. Aalst")</f>
        <v>Arr. Aalst</v>
      </c>
      <c r="B75" t="str">
        <f ca="1">IFERROR(__xludf.DUMMYFUNCTION("""COMPUTED_VALUE"""),"BE231")</f>
        <v>BE231</v>
      </c>
    </row>
    <row r="76" spans="1:2" ht="12.5" x14ac:dyDescent="0.25">
      <c r="A76" t="str">
        <f ca="1">IFERROR(__xludf.DUMMYFUNCTION("""COMPUTED_VALUE"""),"Arr. Antwerpen")</f>
        <v>Arr. Antwerpen</v>
      </c>
      <c r="B76" t="str">
        <f ca="1">IFERROR(__xludf.DUMMYFUNCTION("""COMPUTED_VALUE"""),"BE211")</f>
        <v>BE211</v>
      </c>
    </row>
    <row r="77" spans="1:2" ht="12.5" x14ac:dyDescent="0.25">
      <c r="A77" t="str">
        <f ca="1">IFERROR(__xludf.DUMMYFUNCTION("""COMPUTED_VALUE"""),"Arr. Arlon")</f>
        <v>Arr. Arlon</v>
      </c>
      <c r="B77" t="str">
        <f ca="1">IFERROR(__xludf.DUMMYFUNCTION("""COMPUTED_VALUE"""),"BE341")</f>
        <v>BE341</v>
      </c>
    </row>
    <row r="78" spans="1:2" ht="12.5" x14ac:dyDescent="0.25">
      <c r="A78" t="str">
        <f ca="1">IFERROR(__xludf.DUMMYFUNCTION("""COMPUTED_VALUE"""),"Arr. Ath")</f>
        <v>Arr. Ath</v>
      </c>
      <c r="B78" t="str">
        <f ca="1">IFERROR(__xludf.DUMMYFUNCTION("""COMPUTED_VALUE"""),"BE321")</f>
        <v>BE321</v>
      </c>
    </row>
    <row r="79" spans="1:2" ht="12.5" x14ac:dyDescent="0.25">
      <c r="A79" t="str">
        <f ca="1">IFERROR(__xludf.DUMMYFUNCTION("""COMPUTED_VALUE"""),"Arr. Bastogne")</f>
        <v>Arr. Bastogne</v>
      </c>
      <c r="B79" t="str">
        <f ca="1">IFERROR(__xludf.DUMMYFUNCTION("""COMPUTED_VALUE"""),"BE342")</f>
        <v>BE342</v>
      </c>
    </row>
    <row r="80" spans="1:2" ht="12.5" x14ac:dyDescent="0.25">
      <c r="A80" t="str">
        <f ca="1">IFERROR(__xludf.DUMMYFUNCTION("""COMPUTED_VALUE"""),"Arr. Brugge")</f>
        <v>Arr. Brugge</v>
      </c>
      <c r="B80" t="str">
        <f ca="1">IFERROR(__xludf.DUMMYFUNCTION("""COMPUTED_VALUE"""),"BE251")</f>
        <v>BE251</v>
      </c>
    </row>
    <row r="81" spans="1:2" ht="12.5" x14ac:dyDescent="0.25">
      <c r="A81" t="str">
        <f ca="1">IFERROR(__xludf.DUMMYFUNCTION("""COMPUTED_VALUE"""),"Arr. Charleroi")</f>
        <v>Arr. Charleroi</v>
      </c>
      <c r="B81" t="str">
        <f ca="1">IFERROR(__xludf.DUMMYFUNCTION("""COMPUTED_VALUE"""),"BE322")</f>
        <v>BE322</v>
      </c>
    </row>
    <row r="82" spans="1:2" ht="12.5" x14ac:dyDescent="0.25">
      <c r="A82" t="str">
        <f ca="1">IFERROR(__xludf.DUMMYFUNCTION("""COMPUTED_VALUE"""),"Arr. De Bruxelles-Capitale / Arr. Van Brussel-Hoofdstad")</f>
        <v>Arr. De Bruxelles-Capitale / Arr. Van Brussel-Hoofdstad</v>
      </c>
      <c r="B82" t="str">
        <f ca="1">IFERROR(__xludf.DUMMYFUNCTION("""COMPUTED_VALUE"""),"BE100")</f>
        <v>BE100</v>
      </c>
    </row>
    <row r="83" spans="1:2" ht="12.5" x14ac:dyDescent="0.25">
      <c r="A83" t="str">
        <f ca="1">IFERROR(__xludf.DUMMYFUNCTION("""COMPUTED_VALUE"""),"Arr. Dendermonde")</f>
        <v>Arr. Dendermonde</v>
      </c>
      <c r="B83" t="str">
        <f ca="1">IFERROR(__xludf.DUMMYFUNCTION("""COMPUTED_VALUE"""),"BE232")</f>
        <v>BE232</v>
      </c>
    </row>
    <row r="84" spans="1:2" ht="12.5" x14ac:dyDescent="0.25">
      <c r="A84" t="str">
        <f ca="1">IFERROR(__xludf.DUMMYFUNCTION("""COMPUTED_VALUE"""),"Arr. Diksmuide")</f>
        <v>Arr. Diksmuide</v>
      </c>
      <c r="B84" t="str">
        <f ca="1">IFERROR(__xludf.DUMMYFUNCTION("""COMPUTED_VALUE"""),"BE252")</f>
        <v>BE252</v>
      </c>
    </row>
    <row r="85" spans="1:2" ht="12.5" x14ac:dyDescent="0.25">
      <c r="A85" t="str">
        <f ca="1">IFERROR(__xludf.DUMMYFUNCTION("""COMPUTED_VALUE"""),"Arr. Dinant")</f>
        <v>Arr. Dinant</v>
      </c>
      <c r="B85" t="str">
        <f ca="1">IFERROR(__xludf.DUMMYFUNCTION("""COMPUTED_VALUE"""),"BE351")</f>
        <v>BE351</v>
      </c>
    </row>
    <row r="86" spans="1:2" ht="12.5" x14ac:dyDescent="0.25">
      <c r="A86" t="str">
        <f ca="1">IFERROR(__xludf.DUMMYFUNCTION("""COMPUTED_VALUE"""),"Arr. Eeklo")</f>
        <v>Arr. Eeklo</v>
      </c>
      <c r="B86" t="str">
        <f ca="1">IFERROR(__xludf.DUMMYFUNCTION("""COMPUTED_VALUE"""),"BE233")</f>
        <v>BE233</v>
      </c>
    </row>
    <row r="87" spans="1:2" ht="12.5" x14ac:dyDescent="0.25">
      <c r="A87" t="str">
        <f ca="1">IFERROR(__xludf.DUMMYFUNCTION("""COMPUTED_VALUE"""),"Arr. Gent")</f>
        <v>Arr. Gent</v>
      </c>
      <c r="B87" t="str">
        <f ca="1">IFERROR(__xludf.DUMMYFUNCTION("""COMPUTED_VALUE"""),"BE234")</f>
        <v>BE234</v>
      </c>
    </row>
    <row r="88" spans="1:2" ht="12.5" x14ac:dyDescent="0.25">
      <c r="A88" t="str">
        <f ca="1">IFERROR(__xludf.DUMMYFUNCTION("""COMPUTED_VALUE"""),"Arr. Halle-Vilvoorde")</f>
        <v>Arr. Halle-Vilvoorde</v>
      </c>
      <c r="B88" t="str">
        <f ca="1">IFERROR(__xludf.DUMMYFUNCTION("""COMPUTED_VALUE"""),"BE241")</f>
        <v>BE241</v>
      </c>
    </row>
    <row r="89" spans="1:2" ht="12.5" x14ac:dyDescent="0.25">
      <c r="A89" t="str">
        <f ca="1">IFERROR(__xludf.DUMMYFUNCTION("""COMPUTED_VALUE"""),"Arr. Hasselt")</f>
        <v>Arr. Hasselt</v>
      </c>
      <c r="B89" t="str">
        <f ca="1">IFERROR(__xludf.DUMMYFUNCTION("""COMPUTED_VALUE"""),"BE221")</f>
        <v>BE221</v>
      </c>
    </row>
    <row r="90" spans="1:2" ht="12.5" x14ac:dyDescent="0.25">
      <c r="A90" t="str">
        <f ca="1">IFERROR(__xludf.DUMMYFUNCTION("""COMPUTED_VALUE"""),"Arr. Huy")</f>
        <v>Arr. Huy</v>
      </c>
      <c r="B90" t="str">
        <f ca="1">IFERROR(__xludf.DUMMYFUNCTION("""COMPUTED_VALUE"""),"BE331")</f>
        <v>BE331</v>
      </c>
    </row>
    <row r="91" spans="1:2" ht="12.5" x14ac:dyDescent="0.25">
      <c r="A91" t="str">
        <f ca="1">IFERROR(__xludf.DUMMYFUNCTION("""COMPUTED_VALUE"""),"Arr. Ieper")</f>
        <v>Arr. Ieper</v>
      </c>
      <c r="B91" t="str">
        <f ca="1">IFERROR(__xludf.DUMMYFUNCTION("""COMPUTED_VALUE"""),"BE253")</f>
        <v>BE253</v>
      </c>
    </row>
    <row r="92" spans="1:2" ht="12.5" x14ac:dyDescent="0.25">
      <c r="A92" t="str">
        <f ca="1">IFERROR(__xludf.DUMMYFUNCTION("""COMPUTED_VALUE"""),"Arr. Kortrijk")</f>
        <v>Arr. Kortrijk</v>
      </c>
      <c r="B92" t="str">
        <f ca="1">IFERROR(__xludf.DUMMYFUNCTION("""COMPUTED_VALUE"""),"BE254")</f>
        <v>BE254</v>
      </c>
    </row>
    <row r="93" spans="1:2" ht="12.5" x14ac:dyDescent="0.25">
      <c r="A93" t="str">
        <f ca="1">IFERROR(__xludf.DUMMYFUNCTION("""COMPUTED_VALUE"""),"Arr. Leuven")</f>
        <v>Arr. Leuven</v>
      </c>
      <c r="B93" t="str">
        <f ca="1">IFERROR(__xludf.DUMMYFUNCTION("""COMPUTED_VALUE"""),"BE242")</f>
        <v>BE242</v>
      </c>
    </row>
    <row r="94" spans="1:2" ht="12.5" x14ac:dyDescent="0.25">
      <c r="A94" t="str">
        <f ca="1">IFERROR(__xludf.DUMMYFUNCTION("""COMPUTED_VALUE"""),"Arr. Liège")</f>
        <v>Arr. Liège</v>
      </c>
      <c r="B94" t="str">
        <f ca="1">IFERROR(__xludf.DUMMYFUNCTION("""COMPUTED_VALUE"""),"BE332")</f>
        <v>BE332</v>
      </c>
    </row>
    <row r="95" spans="1:2" ht="12.5" x14ac:dyDescent="0.25">
      <c r="A95" t="str">
        <f ca="1">IFERROR(__xludf.DUMMYFUNCTION("""COMPUTED_VALUE"""),"Arr. Maaseik")</f>
        <v>Arr. Maaseik</v>
      </c>
      <c r="B95" t="str">
        <f ca="1">IFERROR(__xludf.DUMMYFUNCTION("""COMPUTED_VALUE"""),"BE222")</f>
        <v>BE222</v>
      </c>
    </row>
    <row r="96" spans="1:2" ht="12.5" x14ac:dyDescent="0.25">
      <c r="A96" t="str">
        <f ca="1">IFERROR(__xludf.DUMMYFUNCTION("""COMPUTED_VALUE"""),"Arr. Marche-En-Famenne")</f>
        <v>Arr. Marche-En-Famenne</v>
      </c>
      <c r="B96" t="str">
        <f ca="1">IFERROR(__xludf.DUMMYFUNCTION("""COMPUTED_VALUE"""),"BE343")</f>
        <v>BE343</v>
      </c>
    </row>
    <row r="97" spans="1:2" ht="12.5" x14ac:dyDescent="0.25">
      <c r="A97" t="str">
        <f ca="1">IFERROR(__xludf.DUMMYFUNCTION("""COMPUTED_VALUE"""),"Arr. Mechelen")</f>
        <v>Arr. Mechelen</v>
      </c>
      <c r="B97" t="str">
        <f ca="1">IFERROR(__xludf.DUMMYFUNCTION("""COMPUTED_VALUE"""),"BE212")</f>
        <v>BE212</v>
      </c>
    </row>
    <row r="98" spans="1:2" ht="12.5" x14ac:dyDescent="0.25">
      <c r="A98" t="str">
        <f ca="1">IFERROR(__xludf.DUMMYFUNCTION("""COMPUTED_VALUE"""),"Arr. Mons")</f>
        <v>Arr. Mons</v>
      </c>
      <c r="B98" t="str">
        <f ca="1">IFERROR(__xludf.DUMMYFUNCTION("""COMPUTED_VALUE"""),"BE323")</f>
        <v>BE323</v>
      </c>
    </row>
    <row r="99" spans="1:2" ht="12.5" x14ac:dyDescent="0.25">
      <c r="A99" t="str">
        <f ca="1">IFERROR(__xludf.DUMMYFUNCTION("""COMPUTED_VALUE"""),"Arr. Mouscron")</f>
        <v>Arr. Mouscron</v>
      </c>
      <c r="B99" t="str">
        <f ca="1">IFERROR(__xludf.DUMMYFUNCTION("""COMPUTED_VALUE"""),"BE324")</f>
        <v>BE324</v>
      </c>
    </row>
    <row r="100" spans="1:2" ht="12.5" x14ac:dyDescent="0.25">
      <c r="A100" t="str">
        <f ca="1">IFERROR(__xludf.DUMMYFUNCTION("""COMPUTED_VALUE"""),"Arr. Namur")</f>
        <v>Arr. Namur</v>
      </c>
      <c r="B100" t="str">
        <f ca="1">IFERROR(__xludf.DUMMYFUNCTION("""COMPUTED_VALUE"""),"BE352")</f>
        <v>BE352</v>
      </c>
    </row>
    <row r="101" spans="1:2" ht="12.5" x14ac:dyDescent="0.25">
      <c r="A101" t="str">
        <f ca="1">IFERROR(__xludf.DUMMYFUNCTION("""COMPUTED_VALUE"""),"Arr. Neufchâteau")</f>
        <v>Arr. Neufchâteau</v>
      </c>
      <c r="B101" t="str">
        <f ca="1">IFERROR(__xludf.DUMMYFUNCTION("""COMPUTED_VALUE"""),"BE344")</f>
        <v>BE344</v>
      </c>
    </row>
    <row r="102" spans="1:2" ht="12.5" x14ac:dyDescent="0.25">
      <c r="A102" t="str">
        <f ca="1">IFERROR(__xludf.DUMMYFUNCTION("""COMPUTED_VALUE"""),"Arr. Nivelles")</f>
        <v>Arr. Nivelles</v>
      </c>
      <c r="B102" t="str">
        <f ca="1">IFERROR(__xludf.DUMMYFUNCTION("""COMPUTED_VALUE"""),"BE310")</f>
        <v>BE310</v>
      </c>
    </row>
    <row r="103" spans="1:2" ht="12.5" x14ac:dyDescent="0.25">
      <c r="A103" t="str">
        <f ca="1">IFERROR(__xludf.DUMMYFUNCTION("""COMPUTED_VALUE"""),"Arr. Oostende")</f>
        <v>Arr. Oostende</v>
      </c>
      <c r="B103" t="str">
        <f ca="1">IFERROR(__xludf.DUMMYFUNCTION("""COMPUTED_VALUE"""),"BE255")</f>
        <v>BE255</v>
      </c>
    </row>
    <row r="104" spans="1:2" ht="12.5" x14ac:dyDescent="0.25">
      <c r="A104" t="str">
        <f ca="1">IFERROR(__xludf.DUMMYFUNCTION("""COMPUTED_VALUE"""),"Arr. Oudenaarde")</f>
        <v>Arr. Oudenaarde</v>
      </c>
      <c r="B104" t="str">
        <f ca="1">IFERROR(__xludf.DUMMYFUNCTION("""COMPUTED_VALUE"""),"BE235")</f>
        <v>BE235</v>
      </c>
    </row>
    <row r="105" spans="1:2" ht="12.5" x14ac:dyDescent="0.25">
      <c r="A105" t="str">
        <f ca="1">IFERROR(__xludf.DUMMYFUNCTION("""COMPUTED_VALUE"""),"Arr. Philippeville")</f>
        <v>Arr. Philippeville</v>
      </c>
      <c r="B105" t="str">
        <f ca="1">IFERROR(__xludf.DUMMYFUNCTION("""COMPUTED_VALUE"""),"BE353")</f>
        <v>BE353</v>
      </c>
    </row>
    <row r="106" spans="1:2" ht="12.5" x14ac:dyDescent="0.25">
      <c r="A106" t="str">
        <f ca="1">IFERROR(__xludf.DUMMYFUNCTION("""COMPUTED_VALUE"""),"Arr. Roeselare")</f>
        <v>Arr. Roeselare</v>
      </c>
      <c r="B106" t="str">
        <f ca="1">IFERROR(__xludf.DUMMYFUNCTION("""COMPUTED_VALUE"""),"BE256")</f>
        <v>BE256</v>
      </c>
    </row>
    <row r="107" spans="1:2" ht="12.5" x14ac:dyDescent="0.25">
      <c r="A107" t="str">
        <f ca="1">IFERROR(__xludf.DUMMYFUNCTION("""COMPUTED_VALUE"""),"Arr. Sint-Niklaas")</f>
        <v>Arr. Sint-Niklaas</v>
      </c>
      <c r="B107" t="str">
        <f ca="1">IFERROR(__xludf.DUMMYFUNCTION("""COMPUTED_VALUE"""),"BE236")</f>
        <v>BE236</v>
      </c>
    </row>
    <row r="108" spans="1:2" ht="12.5" x14ac:dyDescent="0.25">
      <c r="A108" t="str">
        <f ca="1">IFERROR(__xludf.DUMMYFUNCTION("""COMPUTED_VALUE"""),"Arr. Soignies")</f>
        <v>Arr. Soignies</v>
      </c>
      <c r="B108" t="str">
        <f ca="1">IFERROR(__xludf.DUMMYFUNCTION("""COMPUTED_VALUE"""),"BE325")</f>
        <v>BE325</v>
      </c>
    </row>
    <row r="109" spans="1:2" ht="12.5" x14ac:dyDescent="0.25">
      <c r="A109" t="str">
        <f ca="1">IFERROR(__xludf.DUMMYFUNCTION("""COMPUTED_VALUE"""),"Arr. Thuin")</f>
        <v>Arr. Thuin</v>
      </c>
      <c r="B109" t="str">
        <f ca="1">IFERROR(__xludf.DUMMYFUNCTION("""COMPUTED_VALUE"""),"BE326")</f>
        <v>BE326</v>
      </c>
    </row>
    <row r="110" spans="1:2" ht="12.5" x14ac:dyDescent="0.25">
      <c r="A110" t="str">
        <f ca="1">IFERROR(__xludf.DUMMYFUNCTION("""COMPUTED_VALUE"""),"Arr. Tielt")</f>
        <v>Arr. Tielt</v>
      </c>
      <c r="B110" t="str">
        <f ca="1">IFERROR(__xludf.DUMMYFUNCTION("""COMPUTED_VALUE"""),"BE257")</f>
        <v>BE257</v>
      </c>
    </row>
    <row r="111" spans="1:2" ht="12.5" x14ac:dyDescent="0.25">
      <c r="A111" t="str">
        <f ca="1">IFERROR(__xludf.DUMMYFUNCTION("""COMPUTED_VALUE"""),"Arr. Tongeren")</f>
        <v>Arr. Tongeren</v>
      </c>
      <c r="B111" t="str">
        <f ca="1">IFERROR(__xludf.DUMMYFUNCTION("""COMPUTED_VALUE"""),"BE223")</f>
        <v>BE223</v>
      </c>
    </row>
    <row r="112" spans="1:2" ht="12.5" x14ac:dyDescent="0.25">
      <c r="A112" t="str">
        <f ca="1">IFERROR(__xludf.DUMMYFUNCTION("""COMPUTED_VALUE"""),"Arr. Tournai")</f>
        <v>Arr. Tournai</v>
      </c>
      <c r="B112" t="str">
        <f ca="1">IFERROR(__xludf.DUMMYFUNCTION("""COMPUTED_VALUE"""),"BE327")</f>
        <v>BE327</v>
      </c>
    </row>
    <row r="113" spans="1:2" ht="12.5" x14ac:dyDescent="0.25">
      <c r="A113" t="str">
        <f ca="1">IFERROR(__xludf.DUMMYFUNCTION("""COMPUTED_VALUE"""),"Arr. Turnhout")</f>
        <v>Arr. Turnhout</v>
      </c>
      <c r="B113" t="str">
        <f ca="1">IFERROR(__xludf.DUMMYFUNCTION("""COMPUTED_VALUE"""),"BE213")</f>
        <v>BE213</v>
      </c>
    </row>
    <row r="114" spans="1:2" ht="12.5" x14ac:dyDescent="0.25">
      <c r="A114" t="str">
        <f ca="1">IFERROR(__xludf.DUMMYFUNCTION("""COMPUTED_VALUE"""),"Arr. Verviers - Communes Francophones")</f>
        <v>Arr. Verviers - Communes Francophones</v>
      </c>
      <c r="B114" t="str">
        <f ca="1">IFERROR(__xludf.DUMMYFUNCTION("""COMPUTED_VALUE"""),"BE335")</f>
        <v>BE335</v>
      </c>
    </row>
    <row r="115" spans="1:2" ht="12.5" x14ac:dyDescent="0.25">
      <c r="A115" t="str">
        <f ca="1">IFERROR(__xludf.DUMMYFUNCTION("""COMPUTED_VALUE"""),"Arr. Veurne")</f>
        <v>Arr. Veurne</v>
      </c>
      <c r="B115" t="str">
        <f ca="1">IFERROR(__xludf.DUMMYFUNCTION("""COMPUTED_VALUE"""),"BE258")</f>
        <v>BE258</v>
      </c>
    </row>
    <row r="116" spans="1:2" ht="12.5" x14ac:dyDescent="0.25">
      <c r="A116" t="str">
        <f ca="1">IFERROR(__xludf.DUMMYFUNCTION("""COMPUTED_VALUE"""),"Arr. Virton")</f>
        <v>Arr. Virton</v>
      </c>
      <c r="B116" t="str">
        <f ca="1">IFERROR(__xludf.DUMMYFUNCTION("""COMPUTED_VALUE"""),"BE345")</f>
        <v>BE345</v>
      </c>
    </row>
    <row r="117" spans="1:2" ht="12.5" x14ac:dyDescent="0.25">
      <c r="A117" t="str">
        <f ca="1">IFERROR(__xludf.DUMMYFUNCTION("""COMPUTED_VALUE"""),"Arr. Waremme")</f>
        <v>Arr. Waremme</v>
      </c>
      <c r="B117" t="str">
        <f ca="1">IFERROR(__xludf.DUMMYFUNCTION("""COMPUTED_VALUE"""),"BE334")</f>
        <v>BE334</v>
      </c>
    </row>
    <row r="118" spans="1:2" ht="12.5" x14ac:dyDescent="0.25">
      <c r="A118" t="str">
        <f ca="1">IFERROR(__xludf.DUMMYFUNCTION("""COMPUTED_VALUE"""),"Arta")</f>
        <v>Arta</v>
      </c>
      <c r="B118" t="str">
        <f ca="1">IFERROR(__xludf.DUMMYFUNCTION("""COMPUTED_VALUE"""),"GR211")</f>
        <v>GR211</v>
      </c>
    </row>
    <row r="119" spans="1:2" ht="12.5" x14ac:dyDescent="0.25">
      <c r="A119" t="str">
        <f ca="1">IFERROR(__xludf.DUMMYFUNCTION("""COMPUTED_VALUE"""),"Aschaffenburg, Kreisfreie Stadt")</f>
        <v>Aschaffenburg, Kreisfreie Stadt</v>
      </c>
      <c r="B119" t="str">
        <f ca="1">IFERROR(__xludf.DUMMYFUNCTION("""COMPUTED_VALUE"""),"DE261")</f>
        <v>DE261</v>
      </c>
    </row>
    <row r="120" spans="1:2" ht="12.5" x14ac:dyDescent="0.25">
      <c r="A120" t="str">
        <f ca="1">IFERROR(__xludf.DUMMYFUNCTION("""COMPUTED_VALUE"""),"Aschaffenburg, Landkreis")</f>
        <v>Aschaffenburg, Landkreis</v>
      </c>
      <c r="B120" t="str">
        <f ca="1">IFERROR(__xludf.DUMMYFUNCTION("""COMPUTED_VALUE"""),"DE264")</f>
        <v>DE264</v>
      </c>
    </row>
    <row r="121" spans="1:2" ht="12.5" x14ac:dyDescent="0.25">
      <c r="A121" t="str">
        <f ca="1">IFERROR(__xludf.DUMMYFUNCTION("""COMPUTED_VALUE"""),"Ascoli Piceno")</f>
        <v>Ascoli Piceno</v>
      </c>
      <c r="B121" t="str">
        <f ca="1">IFERROR(__xludf.DUMMYFUNCTION("""COMPUTED_VALUE"""),"ITE34")</f>
        <v>ITE34</v>
      </c>
    </row>
    <row r="122" spans="1:2" ht="12.5" x14ac:dyDescent="0.25">
      <c r="A122" t="str">
        <f ca="1">IFERROR(__xludf.DUMMYFUNCTION("""COMPUTED_VALUE"""),"Asti")</f>
        <v>Asti</v>
      </c>
      <c r="B122" t="str">
        <f ca="1">IFERROR(__xludf.DUMMYFUNCTION("""COMPUTED_VALUE"""),"ITC17")</f>
        <v>ITC17</v>
      </c>
    </row>
    <row r="123" spans="1:2" ht="12.5" x14ac:dyDescent="0.25">
      <c r="A123" t="str">
        <f ca="1">IFERROR(__xludf.DUMMYFUNCTION("""COMPUTED_VALUE"""),"Asturias")</f>
        <v>Asturias</v>
      </c>
      <c r="B123" t="str">
        <f ca="1">IFERROR(__xludf.DUMMYFUNCTION("""COMPUTED_VALUE"""),"ES120")</f>
        <v>ES120</v>
      </c>
    </row>
    <row r="124" spans="1:2" ht="12.5" x14ac:dyDescent="0.25">
      <c r="A124" t="str">
        <f ca="1">IFERROR(__xludf.DUMMYFUNCTION("""COMPUTED_VALUE"""),"Attiki")</f>
        <v>Attiki</v>
      </c>
      <c r="B124" t="str">
        <f ca="1">IFERROR(__xludf.DUMMYFUNCTION("""COMPUTED_VALUE"""),"GR3")</f>
        <v>GR3</v>
      </c>
    </row>
    <row r="125" spans="1:2" ht="12.5" x14ac:dyDescent="0.25">
      <c r="A125" t="str">
        <f ca="1">IFERROR(__xludf.DUMMYFUNCTION("""COMPUTED_VALUE"""),"Attiki (*)")</f>
        <v>Attiki (*)</v>
      </c>
      <c r="B125" t="str">
        <f ca="1">IFERROR(__xludf.DUMMYFUNCTION("""COMPUTED_VALUE"""),"GR30")</f>
        <v>GR30</v>
      </c>
    </row>
    <row r="126" spans="1:2" ht="12.5" x14ac:dyDescent="0.25">
      <c r="A126" t="str">
        <f ca="1">IFERROR(__xludf.DUMMYFUNCTION("""COMPUTED_VALUE"""),"Attiki (**)")</f>
        <v>Attiki (**)</v>
      </c>
      <c r="B126" t="str">
        <f ca="1">IFERROR(__xludf.DUMMYFUNCTION("""COMPUTED_VALUE"""),"GR300")</f>
        <v>GR300</v>
      </c>
    </row>
    <row r="127" spans="1:2" ht="12.5" x14ac:dyDescent="0.25">
      <c r="A127" t="str">
        <f ca="1">IFERROR(__xludf.DUMMYFUNCTION("""COMPUTED_VALUE"""),"Aube")</f>
        <v>Aube</v>
      </c>
      <c r="B127" t="str">
        <f ca="1">IFERROR(__xludf.DUMMYFUNCTION("""COMPUTED_VALUE"""),"FR212")</f>
        <v>FR212</v>
      </c>
    </row>
    <row r="128" spans="1:2" ht="12.5" x14ac:dyDescent="0.25">
      <c r="A128" t="str">
        <f ca="1">IFERROR(__xludf.DUMMYFUNCTION("""COMPUTED_VALUE"""),"Aude")</f>
        <v>Aude</v>
      </c>
      <c r="B128" t="str">
        <f ca="1">IFERROR(__xludf.DUMMYFUNCTION("""COMPUTED_VALUE"""),"FR811")</f>
        <v>FR811</v>
      </c>
    </row>
    <row r="129" spans="1:2" ht="12.5" x14ac:dyDescent="0.25">
      <c r="A129" t="str">
        <f ca="1">IFERROR(__xludf.DUMMYFUNCTION("""COMPUTED_VALUE"""),"Aue-Schwarzenberg")</f>
        <v>Aue-Schwarzenberg</v>
      </c>
      <c r="B129" t="str">
        <f ca="1">IFERROR(__xludf.DUMMYFUNCTION("""COMPUTED_VALUE"""),"DED1B")</f>
        <v>DED1B</v>
      </c>
    </row>
    <row r="130" spans="1:2" ht="12.5" x14ac:dyDescent="0.25">
      <c r="A130" t="str">
        <f ca="1">IFERROR(__xludf.DUMMYFUNCTION("""COMPUTED_VALUE"""),"Augsburg, Kreisfreie Stadt")</f>
        <v>Augsburg, Kreisfreie Stadt</v>
      </c>
      <c r="B130" t="str">
        <f ca="1">IFERROR(__xludf.DUMMYFUNCTION("""COMPUTED_VALUE"""),"DE271")</f>
        <v>DE271</v>
      </c>
    </row>
    <row r="131" spans="1:2" ht="12.5" x14ac:dyDescent="0.25">
      <c r="A131" t="str">
        <f ca="1">IFERROR(__xludf.DUMMYFUNCTION("""COMPUTED_VALUE"""),"Augsburg, Landkreis")</f>
        <v>Augsburg, Landkreis</v>
      </c>
      <c r="B131" t="str">
        <f ca="1">IFERROR(__xludf.DUMMYFUNCTION("""COMPUTED_VALUE"""),"DE276")</f>
        <v>DE276</v>
      </c>
    </row>
    <row r="132" spans="1:2" ht="12.5" x14ac:dyDescent="0.25">
      <c r="A132" t="str">
        <f ca="1">IFERROR(__xludf.DUMMYFUNCTION("""COMPUTED_VALUE"""),"Aurich")</f>
        <v>Aurich</v>
      </c>
      <c r="B132" t="str">
        <f ca="1">IFERROR(__xludf.DUMMYFUNCTION("""COMPUTED_VALUE"""),"DE947")</f>
        <v>DE947</v>
      </c>
    </row>
    <row r="133" spans="1:2" ht="12.5" x14ac:dyDescent="0.25">
      <c r="A133" t="str">
        <f ca="1">IFERROR(__xludf.DUMMYFUNCTION("""COMPUTED_VALUE"""),"Außerfern")</f>
        <v>Außerfern</v>
      </c>
      <c r="B133" t="str">
        <f ca="1">IFERROR(__xludf.DUMMYFUNCTION("""COMPUTED_VALUE"""),"AT331")</f>
        <v>AT331</v>
      </c>
    </row>
    <row r="134" spans="1:2" ht="12.5" x14ac:dyDescent="0.25">
      <c r="A134" t="str">
        <f ca="1">IFERROR(__xludf.DUMMYFUNCTION("""COMPUTED_VALUE"""),"Aust-Agder")</f>
        <v>Aust-Agder</v>
      </c>
      <c r="B134" t="str">
        <f ca="1">IFERROR(__xludf.DUMMYFUNCTION("""COMPUTED_VALUE"""),"NO041")</f>
        <v>NO041</v>
      </c>
    </row>
    <row r="135" spans="1:2" ht="12.5" x14ac:dyDescent="0.25">
      <c r="A135" t="str">
        <f ca="1">IFERROR(__xludf.DUMMYFUNCTION("""COMPUTED_VALUE"""),"Auvergne")</f>
        <v>Auvergne</v>
      </c>
      <c r="B135" t="str">
        <f ca="1">IFERROR(__xludf.DUMMYFUNCTION("""COMPUTED_VALUE"""),"FR72")</f>
        <v>FR72</v>
      </c>
    </row>
    <row r="136" spans="1:2" ht="12.5" x14ac:dyDescent="0.25">
      <c r="A136" t="str">
        <f ca="1">IFERROR(__xludf.DUMMYFUNCTION("""COMPUTED_VALUE"""),"Ave")</f>
        <v>Ave</v>
      </c>
      <c r="B136" t="str">
        <f ca="1">IFERROR(__xludf.DUMMYFUNCTION("""COMPUTED_VALUE"""),"PT113")</f>
        <v>PT113</v>
      </c>
    </row>
    <row r="137" spans="1:2" ht="12.5" x14ac:dyDescent="0.25">
      <c r="A137" t="str">
        <f ca="1">IFERROR(__xludf.DUMMYFUNCTION("""COMPUTED_VALUE"""),"Avellino")</f>
        <v>Avellino</v>
      </c>
      <c r="B137" t="str">
        <f ca="1">IFERROR(__xludf.DUMMYFUNCTION("""COMPUTED_VALUE"""),"ITF34")</f>
        <v>ITF34</v>
      </c>
    </row>
    <row r="138" spans="1:2" ht="12.5" x14ac:dyDescent="0.25">
      <c r="A138" t="str">
        <f ca="1">IFERROR(__xludf.DUMMYFUNCTION("""COMPUTED_VALUE"""),"Aveyron")</f>
        <v>Aveyron</v>
      </c>
      <c r="B138" t="str">
        <f ca="1">IFERROR(__xludf.DUMMYFUNCTION("""COMPUTED_VALUE"""),"FR622")</f>
        <v>FR622</v>
      </c>
    </row>
    <row r="139" spans="1:2" ht="12.5" x14ac:dyDescent="0.25">
      <c r="A139" t="str">
        <f ca="1">IFERROR(__xludf.DUMMYFUNCTION("""COMPUTED_VALUE"""),"Ávila")</f>
        <v>Ávila</v>
      </c>
      <c r="B139" t="str">
        <f ca="1">IFERROR(__xludf.DUMMYFUNCTION("""COMPUTED_VALUE"""),"ES411")</f>
        <v>ES411</v>
      </c>
    </row>
    <row r="140" spans="1:2" ht="12.5" x14ac:dyDescent="0.25">
      <c r="A140" t="str">
        <f ca="1">IFERROR(__xludf.DUMMYFUNCTION("""COMPUTED_VALUE"""),"Bacau")</f>
        <v>Bacau</v>
      </c>
      <c r="B140" t="str">
        <f ca="1">IFERROR(__xludf.DUMMYFUNCTION("""COMPUTED_VALUE"""),"RO211")</f>
        <v>RO211</v>
      </c>
    </row>
    <row r="141" spans="1:2" ht="12.5" x14ac:dyDescent="0.25">
      <c r="A141" t="str">
        <f ca="1">IFERROR(__xludf.DUMMYFUNCTION("""COMPUTED_VALUE"""),"Bacs-Kiskun")</f>
        <v>Bacs-Kiskun</v>
      </c>
      <c r="B141" t="str">
        <f ca="1">IFERROR(__xludf.DUMMYFUNCTION("""COMPUTED_VALUE"""),"HU331")</f>
        <v>HU331</v>
      </c>
    </row>
    <row r="142" spans="1:2" ht="12.5" x14ac:dyDescent="0.25">
      <c r="A142" t="str">
        <f ca="1">IFERROR(__xludf.DUMMYFUNCTION("""COMPUTED_VALUE"""),"Bad Doberan")</f>
        <v>Bad Doberan</v>
      </c>
      <c r="B142" t="str">
        <f ca="1">IFERROR(__xludf.DUMMYFUNCTION("""COMPUTED_VALUE"""),"DE807")</f>
        <v>DE807</v>
      </c>
    </row>
    <row r="143" spans="1:2" ht="12.5" x14ac:dyDescent="0.25">
      <c r="A143" t="str">
        <f ca="1">IFERROR(__xludf.DUMMYFUNCTION("""COMPUTED_VALUE"""),"Bad Dürkheim")</f>
        <v>Bad Dürkheim</v>
      </c>
      <c r="B143" t="str">
        <f ca="1">IFERROR(__xludf.DUMMYFUNCTION("""COMPUTED_VALUE"""),"DEB3C")</f>
        <v>DEB3C</v>
      </c>
    </row>
    <row r="144" spans="1:2" ht="12.5" x14ac:dyDescent="0.25">
      <c r="A144" t="str">
        <f ca="1">IFERROR(__xludf.DUMMYFUNCTION("""COMPUTED_VALUE"""),"Bad Kissingen")</f>
        <v>Bad Kissingen</v>
      </c>
      <c r="B144" t="str">
        <f ca="1">IFERROR(__xludf.DUMMYFUNCTION("""COMPUTED_VALUE"""),"DE265")</f>
        <v>DE265</v>
      </c>
    </row>
    <row r="145" spans="1:2" ht="12.5" x14ac:dyDescent="0.25">
      <c r="A145" t="str">
        <f ca="1">IFERROR(__xludf.DUMMYFUNCTION("""COMPUTED_VALUE"""),"Bad Kreuznach")</f>
        <v>Bad Kreuznach</v>
      </c>
      <c r="B145" t="str">
        <f ca="1">IFERROR(__xludf.DUMMYFUNCTION("""COMPUTED_VALUE"""),"DEB14")</f>
        <v>DEB14</v>
      </c>
    </row>
    <row r="146" spans="1:2" ht="12.5" x14ac:dyDescent="0.25">
      <c r="A146" t="str">
        <f ca="1">IFERROR(__xludf.DUMMYFUNCTION("""COMPUTED_VALUE"""),"Bad Tölz-Wolfratshausen")</f>
        <v>Bad Tölz-Wolfratshausen</v>
      </c>
      <c r="B146" t="str">
        <f ca="1">IFERROR(__xludf.DUMMYFUNCTION("""COMPUTED_VALUE"""),"DE216")</f>
        <v>DE216</v>
      </c>
    </row>
    <row r="147" spans="1:2" ht="12.5" x14ac:dyDescent="0.25">
      <c r="A147" t="str">
        <f ca="1">IFERROR(__xludf.DUMMYFUNCTION("""COMPUTED_VALUE"""),"Badajoz")</f>
        <v>Badajoz</v>
      </c>
      <c r="B147" t="str">
        <f ca="1">IFERROR(__xludf.DUMMYFUNCTION("""COMPUTED_VALUE"""),"ES431")</f>
        <v>ES431</v>
      </c>
    </row>
    <row r="148" spans="1:2" ht="12.5" x14ac:dyDescent="0.25">
      <c r="A148" t="str">
        <f ca="1">IFERROR(__xludf.DUMMYFUNCTION("""COMPUTED_VALUE"""),"Baden-Baden, Stadtkreis")</f>
        <v>Baden-Baden, Stadtkreis</v>
      </c>
      <c r="B148" t="str">
        <f ca="1">IFERROR(__xludf.DUMMYFUNCTION("""COMPUTED_VALUE"""),"DE121")</f>
        <v>DE121</v>
      </c>
    </row>
    <row r="149" spans="1:2" ht="12.5" x14ac:dyDescent="0.25">
      <c r="A149" t="str">
        <f ca="1">IFERROR(__xludf.DUMMYFUNCTION("""COMPUTED_VALUE"""),"Baden-Württemberg")</f>
        <v>Baden-Württemberg</v>
      </c>
      <c r="B149" t="str">
        <f ca="1">IFERROR(__xludf.DUMMYFUNCTION("""COMPUTED_VALUE"""),"DE1")</f>
        <v>DE1</v>
      </c>
    </row>
    <row r="150" spans="1:2" ht="12.5" x14ac:dyDescent="0.25">
      <c r="A150" t="str">
        <f ca="1">IFERROR(__xludf.DUMMYFUNCTION("""COMPUTED_VALUE"""),"Baixo Alentejo")</f>
        <v>Baixo Alentejo</v>
      </c>
      <c r="B150" t="str">
        <f ca="1">IFERROR(__xludf.DUMMYFUNCTION("""COMPUTED_VALUE"""),"PT184")</f>
        <v>PT184</v>
      </c>
    </row>
    <row r="151" spans="1:2" ht="12.5" x14ac:dyDescent="0.25">
      <c r="A151" t="str">
        <f ca="1">IFERROR(__xludf.DUMMYFUNCTION("""COMPUTED_VALUE"""),"Baixo Mondego")</f>
        <v>Baixo Mondego</v>
      </c>
      <c r="B151" t="str">
        <f ca="1">IFERROR(__xludf.DUMMYFUNCTION("""COMPUTED_VALUE"""),"PT162")</f>
        <v>PT162</v>
      </c>
    </row>
    <row r="152" spans="1:2" ht="12.5" x14ac:dyDescent="0.25">
      <c r="A152" t="str">
        <f ca="1">IFERROR(__xludf.DUMMYFUNCTION("""COMPUTED_VALUE"""),"Baixo Vouga")</f>
        <v>Baixo Vouga</v>
      </c>
      <c r="B152" t="str">
        <f ca="1">IFERROR(__xludf.DUMMYFUNCTION("""COMPUTED_VALUE"""),"PT161")</f>
        <v>PT161</v>
      </c>
    </row>
    <row r="153" spans="1:2" ht="12.5" x14ac:dyDescent="0.25">
      <c r="A153" t="str">
        <f ca="1">IFERROR(__xludf.DUMMYFUNCTION("""COMPUTED_VALUE"""),"Bamberg, Kreisfreie Stadt")</f>
        <v>Bamberg, Kreisfreie Stadt</v>
      </c>
      <c r="B153" t="str">
        <f ca="1">IFERROR(__xludf.DUMMYFUNCTION("""COMPUTED_VALUE"""),"DE241")</f>
        <v>DE241</v>
      </c>
    </row>
    <row r="154" spans="1:2" ht="12.5" x14ac:dyDescent="0.25">
      <c r="A154" t="str">
        <f ca="1">IFERROR(__xludf.DUMMYFUNCTION("""COMPUTED_VALUE"""),"Bamberg, Landkreis")</f>
        <v>Bamberg, Landkreis</v>
      </c>
      <c r="B154" t="str">
        <f ca="1">IFERROR(__xludf.DUMMYFUNCTION("""COMPUTED_VALUE"""),"DE245")</f>
        <v>DE245</v>
      </c>
    </row>
    <row r="155" spans="1:2" ht="12.5" x14ac:dyDescent="0.25">
      <c r="A155" t="str">
        <f ca="1">IFERROR(__xludf.DUMMYFUNCTION("""COMPUTED_VALUE"""),"Banskobystricky Kraj")</f>
        <v>Banskobystricky Kraj</v>
      </c>
      <c r="B155" t="str">
        <f ca="1">IFERROR(__xludf.DUMMYFUNCTION("""COMPUTED_VALUE"""),"SK032")</f>
        <v>SK032</v>
      </c>
    </row>
    <row r="156" spans="1:2" ht="12.5" x14ac:dyDescent="0.25">
      <c r="A156" t="str">
        <f ca="1">IFERROR(__xludf.DUMMYFUNCTION("""COMPUTED_VALUE"""),"Baranya")</f>
        <v>Baranya</v>
      </c>
      <c r="B156" t="str">
        <f ca="1">IFERROR(__xludf.DUMMYFUNCTION("""COMPUTED_VALUE"""),"HU231")</f>
        <v>HU231</v>
      </c>
    </row>
    <row r="157" spans="1:2" ht="12.5" x14ac:dyDescent="0.25">
      <c r="A157" t="str">
        <f ca="1">IFERROR(__xludf.DUMMYFUNCTION("""COMPUTED_VALUE"""),"Barcelona")</f>
        <v>Barcelona</v>
      </c>
      <c r="B157" t="str">
        <f ca="1">IFERROR(__xludf.DUMMYFUNCTION("""COMPUTED_VALUE"""),"ES511")</f>
        <v>ES511</v>
      </c>
    </row>
    <row r="158" spans="1:2" ht="12.5" x14ac:dyDescent="0.25">
      <c r="A158" t="str">
        <f ca="1">IFERROR(__xludf.DUMMYFUNCTION("""COMPUTED_VALUE"""),"Bari")</f>
        <v>Bari</v>
      </c>
      <c r="B158" t="str">
        <f ca="1">IFERROR(__xludf.DUMMYFUNCTION("""COMPUTED_VALUE"""),"ITF42")</f>
        <v>ITF42</v>
      </c>
    </row>
    <row r="159" spans="1:2" ht="12.5" x14ac:dyDescent="0.25">
      <c r="A159" t="str">
        <f ca="1">IFERROR(__xludf.DUMMYFUNCTION("""COMPUTED_VALUE"""),"Barnim")</f>
        <v>Barnim</v>
      </c>
      <c r="B159" t="str">
        <f ca="1">IFERROR(__xludf.DUMMYFUNCTION("""COMPUTED_VALUE"""),"DE412")</f>
        <v>DE412</v>
      </c>
    </row>
    <row r="160" spans="1:2" ht="12.5" x14ac:dyDescent="0.25">
      <c r="A160" t="str">
        <f ca="1">IFERROR(__xludf.DUMMYFUNCTION("""COMPUTED_VALUE"""),"Barnsley, Doncaster And Rotherham")</f>
        <v>Barnsley, Doncaster And Rotherham</v>
      </c>
      <c r="B160" t="str">
        <f ca="1">IFERROR(__xludf.DUMMYFUNCTION("""COMPUTED_VALUE"""),"UKE31")</f>
        <v>UKE31</v>
      </c>
    </row>
    <row r="161" spans="1:2" ht="12.5" x14ac:dyDescent="0.25">
      <c r="A161" t="str">
        <f ca="1">IFERROR(__xludf.DUMMYFUNCTION("""COMPUTED_VALUE"""),"Bas-Rhin")</f>
        <v>Bas-Rhin</v>
      </c>
      <c r="B161" t="str">
        <f ca="1">IFERROR(__xludf.DUMMYFUNCTION("""COMPUTED_VALUE"""),"FR421")</f>
        <v>FR421</v>
      </c>
    </row>
    <row r="162" spans="1:2" ht="12.5" x14ac:dyDescent="0.25">
      <c r="A162" t="str">
        <f ca="1">IFERROR(__xludf.DUMMYFUNCTION("""COMPUTED_VALUE"""),"Basel-Landschaft")</f>
        <v>Basel-Landschaft</v>
      </c>
      <c r="B162" t="str">
        <f ca="1">IFERROR(__xludf.DUMMYFUNCTION("""COMPUTED_VALUE"""),"CH032")</f>
        <v>CH032</v>
      </c>
    </row>
    <row r="163" spans="1:2" ht="12.5" x14ac:dyDescent="0.25">
      <c r="A163" t="str">
        <f ca="1">IFERROR(__xludf.DUMMYFUNCTION("""COMPUTED_VALUE"""),"Basel-Stadt")</f>
        <v>Basel-Stadt</v>
      </c>
      <c r="B163" t="str">
        <f ca="1">IFERROR(__xludf.DUMMYFUNCTION("""COMPUTED_VALUE"""),"CH031")</f>
        <v>CH031</v>
      </c>
    </row>
    <row r="164" spans="1:2" ht="12.5" x14ac:dyDescent="0.25">
      <c r="A164" t="str">
        <f ca="1">IFERROR(__xludf.DUMMYFUNCTION("""COMPUTED_VALUE"""),"Basilicata")</f>
        <v>Basilicata</v>
      </c>
      <c r="B164" t="str">
        <f ca="1">IFERROR(__xludf.DUMMYFUNCTION("""COMPUTED_VALUE"""),"ITF5")</f>
        <v>ITF5</v>
      </c>
    </row>
    <row r="165" spans="1:2" ht="12.5" x14ac:dyDescent="0.25">
      <c r="A165" t="str">
        <f ca="1">IFERROR(__xludf.DUMMYFUNCTION("""COMPUTED_VALUE"""),"Basse-Normandie")</f>
        <v>Basse-Normandie</v>
      </c>
      <c r="B165" t="str">
        <f ca="1">IFERROR(__xludf.DUMMYFUNCTION("""COMPUTED_VALUE"""),"FR25")</f>
        <v>FR25</v>
      </c>
    </row>
    <row r="166" spans="1:2" ht="12.5" x14ac:dyDescent="0.25">
      <c r="A166" t="str">
        <f ca="1">IFERROR(__xludf.DUMMYFUNCTION("""COMPUTED_VALUE"""),"Bassin Parisien")</f>
        <v>Bassin Parisien</v>
      </c>
      <c r="B166" t="str">
        <f ca="1">IFERROR(__xludf.DUMMYFUNCTION("""COMPUTED_VALUE"""),"FR2")</f>
        <v>FR2</v>
      </c>
    </row>
    <row r="167" spans="1:2" ht="12.5" x14ac:dyDescent="0.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x14ac:dyDescent="0.25">
      <c r="A168" t="str">
        <f ca="1">IFERROR(__xludf.DUMMYFUNCTION("""COMPUTED_VALUE"""),"Bautzen")</f>
        <v>Bautzen</v>
      </c>
      <c r="B168" t="str">
        <f ca="1">IFERROR(__xludf.DUMMYFUNCTION("""COMPUTED_VALUE"""),"DED24")</f>
        <v>DED24</v>
      </c>
    </row>
    <row r="169" spans="1:2" ht="12.5" x14ac:dyDescent="0.25">
      <c r="A169" t="str">
        <f ca="1">IFERROR(__xludf.DUMMYFUNCTION("""COMPUTED_VALUE"""),"Bayern")</f>
        <v>Bayern</v>
      </c>
      <c r="B169" t="str">
        <f ca="1">IFERROR(__xludf.DUMMYFUNCTION("""COMPUTED_VALUE"""),"DE2")</f>
        <v>DE2</v>
      </c>
    </row>
    <row r="170" spans="1:2" ht="12.5" x14ac:dyDescent="0.25">
      <c r="A170" t="str">
        <f ca="1">IFERROR(__xludf.DUMMYFUNCTION("""COMPUTED_VALUE"""),"Bayreuth, Kreisfreie Stadt")</f>
        <v>Bayreuth, Kreisfreie Stadt</v>
      </c>
      <c r="B170" t="str">
        <f ca="1">IFERROR(__xludf.DUMMYFUNCTION("""COMPUTED_VALUE"""),"DE242")</f>
        <v>DE242</v>
      </c>
    </row>
    <row r="171" spans="1:2" ht="12.5" x14ac:dyDescent="0.25">
      <c r="A171" t="str">
        <f ca="1">IFERROR(__xludf.DUMMYFUNCTION("""COMPUTED_VALUE"""),"Bayreuth, Landkreis")</f>
        <v>Bayreuth, Landkreis</v>
      </c>
      <c r="B171" t="str">
        <f ca="1">IFERROR(__xludf.DUMMYFUNCTION("""COMPUTED_VALUE"""),"DE246")</f>
        <v>DE246</v>
      </c>
    </row>
    <row r="172" spans="1:2" ht="12.5" x14ac:dyDescent="0.25">
      <c r="A172" t="str">
        <f ca="1">IFERROR(__xludf.DUMMYFUNCTION("""COMPUTED_VALUE"""),"Bedfordshire And Hertfordshire")</f>
        <v>Bedfordshire And Hertfordshire</v>
      </c>
      <c r="B172" t="str">
        <f ca="1">IFERROR(__xludf.DUMMYFUNCTION("""COMPUTED_VALUE"""),"UKH2")</f>
        <v>UKH2</v>
      </c>
    </row>
    <row r="173" spans="1:2" ht="12.5" x14ac:dyDescent="0.25">
      <c r="A173" t="str">
        <f ca="1">IFERROR(__xludf.DUMMYFUNCTION("""COMPUTED_VALUE"""),"Bedfordshire Cc")</f>
        <v>Bedfordshire Cc</v>
      </c>
      <c r="B173" t="str">
        <f ca="1">IFERROR(__xludf.DUMMYFUNCTION("""COMPUTED_VALUE"""),"UKH22")</f>
        <v>UKH22</v>
      </c>
    </row>
    <row r="174" spans="1:2" ht="12.5" x14ac:dyDescent="0.25">
      <c r="A174" t="str">
        <f ca="1">IFERROR(__xludf.DUMMYFUNCTION("""COMPUTED_VALUE"""),"Beira Interior Norte")</f>
        <v>Beira Interior Norte</v>
      </c>
      <c r="B174" t="str">
        <f ca="1">IFERROR(__xludf.DUMMYFUNCTION("""COMPUTED_VALUE"""),"PT168")</f>
        <v>PT168</v>
      </c>
    </row>
    <row r="175" spans="1:2" ht="12.5" x14ac:dyDescent="0.25">
      <c r="A175" t="str">
        <f ca="1">IFERROR(__xludf.DUMMYFUNCTION("""COMPUTED_VALUE"""),"Beira Interior Sul")</f>
        <v>Beira Interior Sul</v>
      </c>
      <c r="B175" t="str">
        <f ca="1">IFERROR(__xludf.DUMMYFUNCTION("""COMPUTED_VALUE"""),"PT169")</f>
        <v>PT169</v>
      </c>
    </row>
    <row r="176" spans="1:2" ht="12.5" x14ac:dyDescent="0.25">
      <c r="A176" t="str">
        <f ca="1">IFERROR(__xludf.DUMMYFUNCTION("""COMPUTED_VALUE"""),"Bekes")</f>
        <v>Bekes</v>
      </c>
      <c r="B176" t="str">
        <f ca="1">IFERROR(__xludf.DUMMYFUNCTION("""COMPUTED_VALUE"""),"HU332")</f>
        <v>HU332</v>
      </c>
    </row>
    <row r="177" spans="1:2" ht="12.5" x14ac:dyDescent="0.25">
      <c r="A177" t="str">
        <f ca="1">IFERROR(__xludf.DUMMYFUNCTION("""COMPUTED_VALUE"""),"Belfast")</f>
        <v>Belfast</v>
      </c>
      <c r="B177" t="str">
        <f ca="1">IFERROR(__xludf.DUMMYFUNCTION("""COMPUTED_VALUE"""),"UKN01")</f>
        <v>UKN01</v>
      </c>
    </row>
    <row r="178" spans="1:2" ht="12.5" x14ac:dyDescent="0.25">
      <c r="A178" t="str">
        <f ca="1">IFERROR(__xludf.DUMMYFUNCTION("""COMPUTED_VALUE"""),"Belgique-België")</f>
        <v>Belgique-België</v>
      </c>
      <c r="B178" t="str">
        <f ca="1">IFERROR(__xludf.DUMMYFUNCTION("""COMPUTED_VALUE"""),"BE")</f>
        <v>BE</v>
      </c>
    </row>
    <row r="179" spans="1:2" ht="12.5" x14ac:dyDescent="0.25">
      <c r="A179" t="str">
        <f ca="1">IFERROR(__xludf.DUMMYFUNCTION("""COMPUTED_VALUE"""),"Belluno")</f>
        <v>Belluno</v>
      </c>
      <c r="B179" t="str">
        <f ca="1">IFERROR(__xludf.DUMMYFUNCTION("""COMPUTED_VALUE"""),"ITD33")</f>
        <v>ITD33</v>
      </c>
    </row>
    <row r="180" spans="1:2" ht="12.5" x14ac:dyDescent="0.25">
      <c r="A180" t="str">
        <f ca="1">IFERROR(__xludf.DUMMYFUNCTION("""COMPUTED_VALUE"""),"Benevento")</f>
        <v>Benevento</v>
      </c>
      <c r="B180" t="str">
        <f ca="1">IFERROR(__xludf.DUMMYFUNCTION("""COMPUTED_VALUE"""),"ITF32")</f>
        <v>ITF32</v>
      </c>
    </row>
    <row r="181" spans="1:2" ht="12.5" x14ac:dyDescent="0.25">
      <c r="A181" t="str">
        <f ca="1">IFERROR(__xludf.DUMMYFUNCTION("""COMPUTED_VALUE"""),"Berchtesgadener Land")</f>
        <v>Berchtesgadener Land</v>
      </c>
      <c r="B181" t="str">
        <f ca="1">IFERROR(__xludf.DUMMYFUNCTION("""COMPUTED_VALUE"""),"DE215")</f>
        <v>DE215</v>
      </c>
    </row>
    <row r="182" spans="1:2" ht="12.5" x14ac:dyDescent="0.25">
      <c r="A182" t="str">
        <f ca="1">IFERROR(__xludf.DUMMYFUNCTION("""COMPUTED_VALUE"""),"Bergamo")</f>
        <v>Bergamo</v>
      </c>
      <c r="B182" t="str">
        <f ca="1">IFERROR(__xludf.DUMMYFUNCTION("""COMPUTED_VALUE"""),"ITC46")</f>
        <v>ITC46</v>
      </c>
    </row>
    <row r="183" spans="1:2" ht="12.5" x14ac:dyDescent="0.25">
      <c r="A183" t="str">
        <f ca="1">IFERROR(__xludf.DUMMYFUNCTION("""COMPUTED_VALUE"""),"Bergstraße")</f>
        <v>Bergstraße</v>
      </c>
      <c r="B183" t="str">
        <f ca="1">IFERROR(__xludf.DUMMYFUNCTION("""COMPUTED_VALUE"""),"DE715")</f>
        <v>DE715</v>
      </c>
    </row>
    <row r="184" spans="1:2" ht="12.5" x14ac:dyDescent="0.25">
      <c r="A184" t="str">
        <f ca="1">IFERROR(__xludf.DUMMYFUNCTION("""COMPUTED_VALUE"""),"Berkshire")</f>
        <v>Berkshire</v>
      </c>
      <c r="B184" t="str">
        <f ca="1">IFERROR(__xludf.DUMMYFUNCTION("""COMPUTED_VALUE"""),"UKJ11")</f>
        <v>UKJ11</v>
      </c>
    </row>
    <row r="185" spans="1:2" ht="12.5" x14ac:dyDescent="0.25">
      <c r="A185" t="str">
        <f ca="1">IFERROR(__xludf.DUMMYFUNCTION("""COMPUTED_VALUE"""),"Berkshire, Buckinghamshire And Oxfordshire")</f>
        <v>Berkshire, Buckinghamshire And Oxfordshire</v>
      </c>
      <c r="B185" t="str">
        <f ca="1">IFERROR(__xludf.DUMMYFUNCTION("""COMPUTED_VALUE"""),"UKJ1")</f>
        <v>UKJ1</v>
      </c>
    </row>
    <row r="186" spans="1:2" ht="12.5" x14ac:dyDescent="0.25">
      <c r="A186" t="str">
        <f ca="1">IFERROR(__xludf.DUMMYFUNCTION("""COMPUTED_VALUE"""),"Berlin")</f>
        <v>Berlin</v>
      </c>
      <c r="B186" t="str">
        <f ca="1">IFERROR(__xludf.DUMMYFUNCTION("""COMPUTED_VALUE"""),"DE3")</f>
        <v>DE3</v>
      </c>
    </row>
    <row r="187" spans="1:2" ht="12.5" x14ac:dyDescent="0.25">
      <c r="A187" t="str">
        <f ca="1">IFERROR(__xludf.DUMMYFUNCTION("""COMPUTED_VALUE"""),"Berlin (*)")</f>
        <v>Berlin (*)</v>
      </c>
      <c r="B187" t="str">
        <f ca="1">IFERROR(__xludf.DUMMYFUNCTION("""COMPUTED_VALUE"""),"DE30")</f>
        <v>DE30</v>
      </c>
    </row>
    <row r="188" spans="1:2" ht="12.5" x14ac:dyDescent="0.25">
      <c r="A188" t="str">
        <f ca="1">IFERROR(__xludf.DUMMYFUNCTION("""COMPUTED_VALUE"""),"Berlin (**)")</f>
        <v>Berlin (**)</v>
      </c>
      <c r="B188" t="str">
        <f ca="1">IFERROR(__xludf.DUMMYFUNCTION("""COMPUTED_VALUE"""),"DE300")</f>
        <v>DE300</v>
      </c>
    </row>
    <row r="189" spans="1:2" ht="12.5" x14ac:dyDescent="0.25">
      <c r="A189" t="str">
        <f ca="1">IFERROR(__xludf.DUMMYFUNCTION("""COMPUTED_VALUE"""),"Bern")</f>
        <v>Bern</v>
      </c>
      <c r="B189" t="str">
        <f ca="1">IFERROR(__xludf.DUMMYFUNCTION("""COMPUTED_VALUE"""),"CH021")</f>
        <v>CH021</v>
      </c>
    </row>
    <row r="190" spans="1:2" ht="12.5" x14ac:dyDescent="0.25">
      <c r="A190" t="str">
        <f ca="1">IFERROR(__xludf.DUMMYFUNCTION("""COMPUTED_VALUE"""),"Bernkastel-Wittlich")</f>
        <v>Bernkastel-Wittlich</v>
      </c>
      <c r="B190" t="str">
        <f ca="1">IFERROR(__xludf.DUMMYFUNCTION("""COMPUTED_VALUE"""),"DEB22")</f>
        <v>DEB22</v>
      </c>
    </row>
    <row r="191" spans="1:2" ht="12.5" x14ac:dyDescent="0.25">
      <c r="A191" t="str">
        <f ca="1">IFERROR(__xludf.DUMMYFUNCTION("""COMPUTED_VALUE"""),"Bezirk Verviers - Deutschsprachige Gemeinschaft")</f>
        <v>Bezirk Verviers - Deutschsprachige Gemeinschaft</v>
      </c>
      <c r="B191" t="str">
        <f ca="1">IFERROR(__xludf.DUMMYFUNCTION("""COMPUTED_VALUE"""),"BE336")</f>
        <v>BE336</v>
      </c>
    </row>
    <row r="192" spans="1:2" ht="12.5" x14ac:dyDescent="0.25">
      <c r="A192" t="str">
        <f ca="1">IFERROR(__xludf.DUMMYFUNCTION("""COMPUTED_VALUE"""),"Bialostocki")</f>
        <v>Bialostocki</v>
      </c>
      <c r="B192" t="str">
        <f ca="1">IFERROR(__xludf.DUMMYFUNCTION("""COMPUTED_VALUE"""),"PL343")</f>
        <v>PL343</v>
      </c>
    </row>
    <row r="193" spans="1:2" ht="12.5" x14ac:dyDescent="0.25">
      <c r="A193" t="str">
        <f ca="1">IFERROR(__xludf.DUMMYFUNCTION("""COMPUTED_VALUE"""),"Bialski")</f>
        <v>Bialski</v>
      </c>
      <c r="B193" t="str">
        <f ca="1">IFERROR(__xludf.DUMMYFUNCTION("""COMPUTED_VALUE"""),"PL311")</f>
        <v>PL311</v>
      </c>
    </row>
    <row r="194" spans="1:2" ht="12.5" x14ac:dyDescent="0.25">
      <c r="A194" t="str">
        <f ca="1">IFERROR(__xludf.DUMMYFUNCTION("""COMPUTED_VALUE"""),"Biberach")</f>
        <v>Biberach</v>
      </c>
      <c r="B194" t="str">
        <f ca="1">IFERROR(__xludf.DUMMYFUNCTION("""COMPUTED_VALUE"""),"DE146")</f>
        <v>DE146</v>
      </c>
    </row>
    <row r="195" spans="1:2" ht="12.5" x14ac:dyDescent="0.25">
      <c r="A195" t="str">
        <f ca="1">IFERROR(__xludf.DUMMYFUNCTION("""COMPUTED_VALUE"""),"Bielefeld, Kreisfreie Stadt")</f>
        <v>Bielefeld, Kreisfreie Stadt</v>
      </c>
      <c r="B195" t="str">
        <f ca="1">IFERROR(__xludf.DUMMYFUNCTION("""COMPUTED_VALUE"""),"DEA41")</f>
        <v>DEA41</v>
      </c>
    </row>
    <row r="196" spans="1:2" ht="12.5" x14ac:dyDescent="0.25">
      <c r="A196" t="str">
        <f ca="1">IFERROR(__xludf.DUMMYFUNCTION("""COMPUTED_VALUE"""),"Biella")</f>
        <v>Biella</v>
      </c>
      <c r="B196" t="str">
        <f ca="1">IFERROR(__xludf.DUMMYFUNCTION("""COMPUTED_VALUE"""),"ITC13")</f>
        <v>ITC13</v>
      </c>
    </row>
    <row r="197" spans="1:2" ht="12.5" x14ac:dyDescent="0.25">
      <c r="A197" t="str">
        <f ca="1">IFERROR(__xludf.DUMMYFUNCTION("""COMPUTED_VALUE"""),"Bielski")</f>
        <v>Bielski</v>
      </c>
      <c r="B197" t="str">
        <f ca="1">IFERROR(__xludf.DUMMYFUNCTION("""COMPUTED_VALUE"""),"PL225")</f>
        <v>PL225</v>
      </c>
    </row>
    <row r="198" spans="1:2" ht="12.5" x14ac:dyDescent="0.25">
      <c r="A198" t="str">
        <f ca="1">IFERROR(__xludf.DUMMYFUNCTION("""COMPUTED_VALUE"""),"Bihor")</f>
        <v>Bihor</v>
      </c>
      <c r="B198" t="str">
        <f ca="1">IFERROR(__xludf.DUMMYFUNCTION("""COMPUTED_VALUE"""),"RO111")</f>
        <v>RO111</v>
      </c>
    </row>
    <row r="199" spans="1:2" ht="12.5" x14ac:dyDescent="0.25">
      <c r="A199" t="str">
        <f ca="1">IFERROR(__xludf.DUMMYFUNCTION("""COMPUTED_VALUE"""),"Birkenfeld")</f>
        <v>Birkenfeld</v>
      </c>
      <c r="B199" t="str">
        <f ca="1">IFERROR(__xludf.DUMMYFUNCTION("""COMPUTED_VALUE"""),"DEB15")</f>
        <v>DEB15</v>
      </c>
    </row>
    <row r="200" spans="1:2" ht="12.5" x14ac:dyDescent="0.25">
      <c r="A200" t="str">
        <f ca="1">IFERROR(__xludf.DUMMYFUNCTION("""COMPUTED_VALUE"""),"Birmingham")</f>
        <v>Birmingham</v>
      </c>
      <c r="B200" t="str">
        <f ca="1">IFERROR(__xludf.DUMMYFUNCTION("""COMPUTED_VALUE"""),"UKG31")</f>
        <v>UKG31</v>
      </c>
    </row>
    <row r="201" spans="1:2" ht="12.5" x14ac:dyDescent="0.25">
      <c r="A201" t="str">
        <f ca="1">IFERROR(__xludf.DUMMYFUNCTION("""COMPUTED_VALUE"""),"Bistrita-Nasaud")</f>
        <v>Bistrita-Nasaud</v>
      </c>
      <c r="B201" t="str">
        <f ca="1">IFERROR(__xludf.DUMMYFUNCTION("""COMPUTED_VALUE"""),"RO112")</f>
        <v>RO112</v>
      </c>
    </row>
    <row r="202" spans="1:2" ht="12.5" x14ac:dyDescent="0.25">
      <c r="A202" t="str">
        <f ca="1">IFERROR(__xludf.DUMMYFUNCTION("""COMPUTED_VALUE"""),"Bitburg-Prüm")</f>
        <v>Bitburg-Prüm</v>
      </c>
      <c r="B202" t="str">
        <f ca="1">IFERROR(__xludf.DUMMYFUNCTION("""COMPUTED_VALUE"""),"DEB23")</f>
        <v>DEB23</v>
      </c>
    </row>
    <row r="203" spans="1:2" ht="12.5" x14ac:dyDescent="0.25">
      <c r="A203" t="str">
        <f ca="1">IFERROR(__xludf.DUMMYFUNCTION("""COMPUTED_VALUE"""),"Blackburn With Darwen")</f>
        <v>Blackburn With Darwen</v>
      </c>
      <c r="B203" t="str">
        <f ca="1">IFERROR(__xludf.DUMMYFUNCTION("""COMPUTED_VALUE"""),"UKD41")</f>
        <v>UKD41</v>
      </c>
    </row>
    <row r="204" spans="1:2" ht="12.5" x14ac:dyDescent="0.25">
      <c r="A204" t="str">
        <f ca="1">IFERROR(__xludf.DUMMYFUNCTION("""COMPUTED_VALUE"""),"Blackpool")</f>
        <v>Blackpool</v>
      </c>
      <c r="B204" t="str">
        <f ca="1">IFERROR(__xludf.DUMMYFUNCTION("""COMPUTED_VALUE"""),"UKD42")</f>
        <v>UKD42</v>
      </c>
    </row>
    <row r="205" spans="1:2" ht="12.5" x14ac:dyDescent="0.25">
      <c r="A205" t="str">
        <f ca="1">IFERROR(__xludf.DUMMYFUNCTION("""COMPUTED_VALUE"""),"Blagoevgrad")</f>
        <v>Blagoevgrad</v>
      </c>
      <c r="B205" t="str">
        <f ca="1">IFERROR(__xludf.DUMMYFUNCTION("""COMPUTED_VALUE"""),"BG413")</f>
        <v>BG413</v>
      </c>
    </row>
    <row r="206" spans="1:2" ht="12.5" x14ac:dyDescent="0.25">
      <c r="A206" t="str">
        <f ca="1">IFERROR(__xludf.DUMMYFUNCTION("""COMPUTED_VALUE"""),"Blekinge Län")</f>
        <v>Blekinge Län</v>
      </c>
      <c r="B206" t="str">
        <f ca="1">IFERROR(__xludf.DUMMYFUNCTION("""COMPUTED_VALUE"""),"SE221")</f>
        <v>SE221</v>
      </c>
    </row>
    <row r="207" spans="1:2" ht="12.5" x14ac:dyDescent="0.25">
      <c r="A207" t="str">
        <f ca="1">IFERROR(__xludf.DUMMYFUNCTION("""COMPUTED_VALUE"""),"Bludenz-Bregenzer Wald")</f>
        <v>Bludenz-Bregenzer Wald</v>
      </c>
      <c r="B207" t="str">
        <f ca="1">IFERROR(__xludf.DUMMYFUNCTION("""COMPUTED_VALUE"""),"AT341")</f>
        <v>AT341</v>
      </c>
    </row>
    <row r="208" spans="1:2" ht="12.5" x14ac:dyDescent="0.25">
      <c r="A208" t="str">
        <f ca="1">IFERROR(__xludf.DUMMYFUNCTION("""COMPUTED_VALUE"""),"Böblingen")</f>
        <v>Böblingen</v>
      </c>
      <c r="B208" t="str">
        <f ca="1">IFERROR(__xludf.DUMMYFUNCTION("""COMPUTED_VALUE"""),"DE112")</f>
        <v>DE112</v>
      </c>
    </row>
    <row r="209" spans="1:2" ht="12.5" x14ac:dyDescent="0.25">
      <c r="A209" t="str">
        <f ca="1">IFERROR(__xludf.DUMMYFUNCTION("""COMPUTED_VALUE"""),"Bochum, Kreisfreie Stadt")</f>
        <v>Bochum, Kreisfreie Stadt</v>
      </c>
      <c r="B209" t="str">
        <f ca="1">IFERROR(__xludf.DUMMYFUNCTION("""COMPUTED_VALUE"""),"DEA51")</f>
        <v>DEA51</v>
      </c>
    </row>
    <row r="210" spans="1:2" ht="12.5" x14ac:dyDescent="0.25">
      <c r="A210" t="str">
        <f ca="1">IFERROR(__xludf.DUMMYFUNCTION("""COMPUTED_VALUE"""),"Bodenseekreis")</f>
        <v>Bodenseekreis</v>
      </c>
      <c r="B210" t="str">
        <f ca="1">IFERROR(__xludf.DUMMYFUNCTION("""COMPUTED_VALUE"""),"DE147")</f>
        <v>DE147</v>
      </c>
    </row>
    <row r="211" spans="1:2" ht="12.5" x14ac:dyDescent="0.25">
      <c r="A211" t="str">
        <f ca="1">IFERROR(__xludf.DUMMYFUNCTION("""COMPUTED_VALUE"""),"Bologna")</f>
        <v>Bologna</v>
      </c>
      <c r="B211" t="str">
        <f ca="1">IFERROR(__xludf.DUMMYFUNCTION("""COMPUTED_VALUE"""),"ITD55")</f>
        <v>ITD55</v>
      </c>
    </row>
    <row r="212" spans="1:2" ht="12.5" x14ac:dyDescent="0.25">
      <c r="A212" t="str">
        <f ca="1">IFERROR(__xludf.DUMMYFUNCTION("""COMPUTED_VALUE"""),"Bolzano-Bozen")</f>
        <v>Bolzano-Bozen</v>
      </c>
      <c r="B212" t="str">
        <f ca="1">IFERROR(__xludf.DUMMYFUNCTION("""COMPUTED_VALUE"""),"ITD10")</f>
        <v>ITD10</v>
      </c>
    </row>
    <row r="213" spans="1:2" ht="12.5" x14ac:dyDescent="0.25">
      <c r="A213" t="str">
        <f ca="1">IFERROR(__xludf.DUMMYFUNCTION("""COMPUTED_VALUE"""),"Bonn, Kreisfreie Stadt")</f>
        <v>Bonn, Kreisfreie Stadt</v>
      </c>
      <c r="B213" t="str">
        <f ca="1">IFERROR(__xludf.DUMMYFUNCTION("""COMPUTED_VALUE"""),"DEA22")</f>
        <v>DEA22</v>
      </c>
    </row>
    <row r="214" spans="1:2" ht="12.5" x14ac:dyDescent="0.25">
      <c r="A214" t="str">
        <f ca="1">IFERROR(__xludf.DUMMYFUNCTION("""COMPUTED_VALUE"""),"Börde")</f>
        <v>Börde</v>
      </c>
      <c r="B214" t="str">
        <f ca="1">IFERROR(__xludf.DUMMYFUNCTION("""COMPUTED_VALUE"""),"DEE07")</f>
        <v>DEE07</v>
      </c>
    </row>
    <row r="215" spans="1:2" ht="12.5" x14ac:dyDescent="0.25">
      <c r="A215" t="str">
        <f ca="1">IFERROR(__xludf.DUMMYFUNCTION("""COMPUTED_VALUE"""),"Border")</f>
        <v>Border</v>
      </c>
      <c r="B215" t="str">
        <f ca="1">IFERROR(__xludf.DUMMYFUNCTION("""COMPUTED_VALUE"""),"IE011")</f>
        <v>IE011</v>
      </c>
    </row>
    <row r="216" spans="1:2" ht="12.5" x14ac:dyDescent="0.25">
      <c r="A216" t="str">
        <f ca="1">IFERROR(__xludf.DUMMYFUNCTION("""COMPUTED_VALUE"""),"Border, Midland And Western")</f>
        <v>Border, Midland And Western</v>
      </c>
      <c r="B216" t="str">
        <f ca="1">IFERROR(__xludf.DUMMYFUNCTION("""COMPUTED_VALUE"""),"IE01")</f>
        <v>IE01</v>
      </c>
    </row>
    <row r="217" spans="1:2" ht="12.5" x14ac:dyDescent="0.25">
      <c r="A217" t="str">
        <f ca="1">IFERROR(__xludf.DUMMYFUNCTION("""COMPUTED_VALUE"""),"Borken")</f>
        <v>Borken</v>
      </c>
      <c r="B217" t="str">
        <f ca="1">IFERROR(__xludf.DUMMYFUNCTION("""COMPUTED_VALUE"""),"DEA34")</f>
        <v>DEA34</v>
      </c>
    </row>
    <row r="218" spans="1:2" ht="12.5" x14ac:dyDescent="0.25">
      <c r="A218" t="str">
        <f ca="1">IFERROR(__xludf.DUMMYFUNCTION("""COMPUTED_VALUE"""),"Bornholm")</f>
        <v>Bornholm</v>
      </c>
      <c r="B218" t="str">
        <f ca="1">IFERROR(__xludf.DUMMYFUNCTION("""COMPUTED_VALUE"""),"DK014")</f>
        <v>DK014</v>
      </c>
    </row>
    <row r="219" spans="1:2" ht="12.5" x14ac:dyDescent="0.25">
      <c r="A219" t="str">
        <f ca="1">IFERROR(__xludf.DUMMYFUNCTION("""COMPUTED_VALUE"""),"Borsod-Abauj-Zemplen")</f>
        <v>Borsod-Abauj-Zemplen</v>
      </c>
      <c r="B219" t="str">
        <f ca="1">IFERROR(__xludf.DUMMYFUNCTION("""COMPUTED_VALUE"""),"HU311")</f>
        <v>HU311</v>
      </c>
    </row>
    <row r="220" spans="1:2" ht="12.5" x14ac:dyDescent="0.25">
      <c r="A220" t="str">
        <f ca="1">IFERROR(__xludf.DUMMYFUNCTION("""COMPUTED_VALUE"""),"Botosani")</f>
        <v>Botosani</v>
      </c>
      <c r="B220" t="str">
        <f ca="1">IFERROR(__xludf.DUMMYFUNCTION("""COMPUTED_VALUE"""),"RO212")</f>
        <v>RO212</v>
      </c>
    </row>
    <row r="221" spans="1:2" ht="12.5" x14ac:dyDescent="0.25">
      <c r="A221" t="str">
        <f ca="1">IFERROR(__xludf.DUMMYFUNCTION("""COMPUTED_VALUE"""),"Bottrop, Kreisfreie Stadt")</f>
        <v>Bottrop, Kreisfreie Stadt</v>
      </c>
      <c r="B221" t="str">
        <f ca="1">IFERROR(__xludf.DUMMYFUNCTION("""COMPUTED_VALUE"""),"DEA31")</f>
        <v>DEA31</v>
      </c>
    </row>
    <row r="222" spans="1:2" ht="12.5" x14ac:dyDescent="0.25">
      <c r="A222" t="str">
        <f ca="1">IFERROR(__xludf.DUMMYFUNCTION("""COMPUTED_VALUE"""),"Bouches-Du-Rhône")</f>
        <v>Bouches-Du-Rhône</v>
      </c>
      <c r="B222" t="str">
        <f ca="1">IFERROR(__xludf.DUMMYFUNCTION("""COMPUTED_VALUE"""),"FR824")</f>
        <v>FR824</v>
      </c>
    </row>
    <row r="223" spans="1:2" ht="12.5" x14ac:dyDescent="0.25">
      <c r="A223" t="str">
        <f ca="1">IFERROR(__xludf.DUMMYFUNCTION("""COMPUTED_VALUE"""),"Bourgogne")</f>
        <v>Bourgogne</v>
      </c>
      <c r="B223" t="str">
        <f ca="1">IFERROR(__xludf.DUMMYFUNCTION("""COMPUTED_VALUE"""),"FR26")</f>
        <v>FR26</v>
      </c>
    </row>
    <row r="224" spans="1:2" ht="12.5" x14ac:dyDescent="0.25">
      <c r="A224" t="str">
        <f ca="1">IFERROR(__xludf.DUMMYFUNCTION("""COMPUTED_VALUE"""),"Bournemouth And Poole")</f>
        <v>Bournemouth And Poole</v>
      </c>
      <c r="B224" t="str">
        <f ca="1">IFERROR(__xludf.DUMMYFUNCTION("""COMPUTED_VALUE"""),"UKK21")</f>
        <v>UKK21</v>
      </c>
    </row>
    <row r="225" spans="1:2" ht="12.5" x14ac:dyDescent="0.25">
      <c r="A225" t="str">
        <f ca="1">IFERROR(__xludf.DUMMYFUNCTION("""COMPUTED_VALUE"""),"Bradford")</f>
        <v>Bradford</v>
      </c>
      <c r="B225" t="str">
        <f ca="1">IFERROR(__xludf.DUMMYFUNCTION("""COMPUTED_VALUE"""),"UKE41")</f>
        <v>UKE41</v>
      </c>
    </row>
    <row r="226" spans="1:2" ht="12.5" x14ac:dyDescent="0.25">
      <c r="A226" t="str">
        <f ca="1">IFERROR(__xludf.DUMMYFUNCTION("""COMPUTED_VALUE"""),"Braila")</f>
        <v>Braila</v>
      </c>
      <c r="B226" t="str">
        <f ca="1">IFERROR(__xludf.DUMMYFUNCTION("""COMPUTED_VALUE"""),"RO221")</f>
        <v>RO221</v>
      </c>
    </row>
    <row r="227" spans="1:2" ht="12.5" x14ac:dyDescent="0.25">
      <c r="A227" t="str">
        <f ca="1">IFERROR(__xludf.DUMMYFUNCTION("""COMPUTED_VALUE"""),"Brandenburg")</f>
        <v>Brandenburg</v>
      </c>
      <c r="B227" t="str">
        <f ca="1">IFERROR(__xludf.DUMMYFUNCTION("""COMPUTED_VALUE"""),"DE4")</f>
        <v>DE4</v>
      </c>
    </row>
    <row r="228" spans="1:2" ht="12.5" x14ac:dyDescent="0.25">
      <c r="A228" t="str">
        <f ca="1">IFERROR(__xludf.DUMMYFUNCTION("""COMPUTED_VALUE"""),"Brandenburg - Nordost")</f>
        <v>Brandenburg - Nordost</v>
      </c>
      <c r="B228" t="str">
        <f ca="1">IFERROR(__xludf.DUMMYFUNCTION("""COMPUTED_VALUE"""),"DE41")</f>
        <v>DE41</v>
      </c>
    </row>
    <row r="229" spans="1:2" ht="12.5" x14ac:dyDescent="0.25">
      <c r="A229" t="str">
        <f ca="1">IFERROR(__xludf.DUMMYFUNCTION("""COMPUTED_VALUE"""),"Brandenburg - Südwest")</f>
        <v>Brandenburg - Südwest</v>
      </c>
      <c r="B229" t="str">
        <f ca="1">IFERROR(__xludf.DUMMYFUNCTION("""COMPUTED_VALUE"""),"DE42")</f>
        <v>DE42</v>
      </c>
    </row>
    <row r="230" spans="1:2" ht="12.5" x14ac:dyDescent="0.25">
      <c r="A230" t="str">
        <f ca="1">IFERROR(__xludf.DUMMYFUNCTION("""COMPUTED_VALUE"""),"Brandenburg An Der Havel, Kreisfreie Stadt")</f>
        <v>Brandenburg An Der Havel, Kreisfreie Stadt</v>
      </c>
      <c r="B230" t="str">
        <f ca="1">IFERROR(__xludf.DUMMYFUNCTION("""COMPUTED_VALUE"""),"DE421")</f>
        <v>DE421</v>
      </c>
    </row>
    <row r="231" spans="1:2" ht="12.5" x14ac:dyDescent="0.25">
      <c r="A231" t="str">
        <f ca="1">IFERROR(__xludf.DUMMYFUNCTION("""COMPUTED_VALUE"""),"Brasov")</f>
        <v>Brasov</v>
      </c>
      <c r="B231" t="str">
        <f ca="1">IFERROR(__xludf.DUMMYFUNCTION("""COMPUTED_VALUE"""),"RO122")</f>
        <v>RO122</v>
      </c>
    </row>
    <row r="232" spans="1:2" ht="12.5" x14ac:dyDescent="0.25">
      <c r="A232" t="str">
        <f ca="1">IFERROR(__xludf.DUMMYFUNCTION("""COMPUTED_VALUE"""),"Bratislavsky Kraj")</f>
        <v>Bratislavsky Kraj</v>
      </c>
      <c r="B232" t="str">
        <f ca="1">IFERROR(__xludf.DUMMYFUNCTION("""COMPUTED_VALUE"""),"SK01")</f>
        <v>SK01</v>
      </c>
    </row>
    <row r="233" spans="1:2" ht="12.5" x14ac:dyDescent="0.25">
      <c r="A233" t="str">
        <f ca="1">IFERROR(__xludf.DUMMYFUNCTION("""COMPUTED_VALUE"""),"Bratislavsky Kraj (*)")</f>
        <v>Bratislavsky Kraj (*)</v>
      </c>
      <c r="B233" t="str">
        <f ca="1">IFERROR(__xludf.DUMMYFUNCTION("""COMPUTED_VALUE"""),"SK010")</f>
        <v>SK010</v>
      </c>
    </row>
    <row r="234" spans="1:2" ht="12.5" x14ac:dyDescent="0.25">
      <c r="A234" t="str">
        <f ca="1">IFERROR(__xludf.DUMMYFUNCTION("""COMPUTED_VALUE"""),"Braunschweig")</f>
        <v>Braunschweig</v>
      </c>
      <c r="B234" t="str">
        <f ca="1">IFERROR(__xludf.DUMMYFUNCTION("""COMPUTED_VALUE"""),"DE91")</f>
        <v>DE91</v>
      </c>
    </row>
    <row r="235" spans="1:2" ht="12.5" x14ac:dyDescent="0.25">
      <c r="A235" t="str">
        <f ca="1">IFERROR(__xludf.DUMMYFUNCTION("""COMPUTED_VALUE"""),"Braunschweig, Kreisfreie Stadt")</f>
        <v>Braunschweig, Kreisfreie Stadt</v>
      </c>
      <c r="B235" t="str">
        <f ca="1">IFERROR(__xludf.DUMMYFUNCTION("""COMPUTED_VALUE"""),"DE911")</f>
        <v>DE911</v>
      </c>
    </row>
    <row r="236" spans="1:2" ht="12.5" x14ac:dyDescent="0.25">
      <c r="A236" t="str">
        <f ca="1">IFERROR(__xludf.DUMMYFUNCTION("""COMPUTED_VALUE"""),"Breisgau-Hochschwarzwald")</f>
        <v>Breisgau-Hochschwarzwald</v>
      </c>
      <c r="B236" t="str">
        <f ca="1">IFERROR(__xludf.DUMMYFUNCTION("""COMPUTED_VALUE"""),"DE132")</f>
        <v>DE132</v>
      </c>
    </row>
    <row r="237" spans="1:2" ht="12.5" x14ac:dyDescent="0.25">
      <c r="A237" t="str">
        <f ca="1">IFERROR(__xludf.DUMMYFUNCTION("""COMPUTED_VALUE"""),"Bremen")</f>
        <v>Bremen</v>
      </c>
      <c r="B237" t="str">
        <f ca="1">IFERROR(__xludf.DUMMYFUNCTION("""COMPUTED_VALUE"""),"DE5")</f>
        <v>DE5</v>
      </c>
    </row>
    <row r="238" spans="1:2" ht="12.5" x14ac:dyDescent="0.25">
      <c r="A238" t="str">
        <f ca="1">IFERROR(__xludf.DUMMYFUNCTION("""COMPUTED_VALUE"""),"Bremen (*)")</f>
        <v>Bremen (*)</v>
      </c>
      <c r="B238" t="str">
        <f ca="1">IFERROR(__xludf.DUMMYFUNCTION("""COMPUTED_VALUE"""),"DE50")</f>
        <v>DE50</v>
      </c>
    </row>
    <row r="239" spans="1:2" ht="12.5" x14ac:dyDescent="0.25">
      <c r="A239" t="str">
        <f ca="1">IFERROR(__xludf.DUMMYFUNCTION("""COMPUTED_VALUE"""),"Bremen, Kreisfreie Stadt")</f>
        <v>Bremen, Kreisfreie Stadt</v>
      </c>
      <c r="B239" t="str">
        <f ca="1">IFERROR(__xludf.DUMMYFUNCTION("""COMPUTED_VALUE"""),"DE501")</f>
        <v>DE501</v>
      </c>
    </row>
    <row r="240" spans="1:2" ht="12.5" x14ac:dyDescent="0.25">
      <c r="A240" t="str">
        <f ca="1">IFERROR(__xludf.DUMMYFUNCTION("""COMPUTED_VALUE"""),"Bremerhaven, Kreisfreie Stadt")</f>
        <v>Bremerhaven, Kreisfreie Stadt</v>
      </c>
      <c r="B240" t="str">
        <f ca="1">IFERROR(__xludf.DUMMYFUNCTION("""COMPUTED_VALUE"""),"DE502")</f>
        <v>DE502</v>
      </c>
    </row>
    <row r="241" spans="1:2" ht="12.5" x14ac:dyDescent="0.25">
      <c r="A241" t="str">
        <f ca="1">IFERROR(__xludf.DUMMYFUNCTION("""COMPUTED_VALUE"""),"Brescia")</f>
        <v>Brescia</v>
      </c>
      <c r="B241" t="str">
        <f ca="1">IFERROR(__xludf.DUMMYFUNCTION("""COMPUTED_VALUE"""),"ITC47")</f>
        <v>ITC47</v>
      </c>
    </row>
    <row r="242" spans="1:2" ht="12.5" x14ac:dyDescent="0.25">
      <c r="A242" t="str">
        <f ca="1">IFERROR(__xludf.DUMMYFUNCTION("""COMPUTED_VALUE"""),"Bretagne")</f>
        <v>Bretagne</v>
      </c>
      <c r="B242" t="str">
        <f ca="1">IFERROR(__xludf.DUMMYFUNCTION("""COMPUTED_VALUE"""),"FR52")</f>
        <v>FR52</v>
      </c>
    </row>
    <row r="243" spans="1:2" ht="12.5" x14ac:dyDescent="0.25">
      <c r="A243" t="str">
        <f ca="1">IFERROR(__xludf.DUMMYFUNCTION("""COMPUTED_VALUE"""),"Bridgend And Neath Port Talbot")</f>
        <v>Bridgend And Neath Port Talbot</v>
      </c>
      <c r="B243" t="str">
        <f ca="1">IFERROR(__xludf.DUMMYFUNCTION("""COMPUTED_VALUE"""),"UKL17")</f>
        <v>UKL17</v>
      </c>
    </row>
    <row r="244" spans="1:2" ht="12.5" x14ac:dyDescent="0.25">
      <c r="A244" t="str">
        <f ca="1">IFERROR(__xludf.DUMMYFUNCTION("""COMPUTED_VALUE"""),"Brighton And Hove")</f>
        <v>Brighton And Hove</v>
      </c>
      <c r="B244" t="str">
        <f ca="1">IFERROR(__xludf.DUMMYFUNCTION("""COMPUTED_VALUE"""),"UKJ21")</f>
        <v>UKJ21</v>
      </c>
    </row>
    <row r="245" spans="1:2" ht="12.5" x14ac:dyDescent="0.25">
      <c r="A245" t="str">
        <f ca="1">IFERROR(__xludf.DUMMYFUNCTION("""COMPUTED_VALUE"""),"Brindisi")</f>
        <v>Brindisi</v>
      </c>
      <c r="B245" t="str">
        <f ca="1">IFERROR(__xludf.DUMMYFUNCTION("""COMPUTED_VALUE"""),"ITF44")</f>
        <v>ITF44</v>
      </c>
    </row>
    <row r="246" spans="1:2" ht="12.5" x14ac:dyDescent="0.25">
      <c r="A246" t="str">
        <f ca="1">IFERROR(__xludf.DUMMYFUNCTION("""COMPUTED_VALUE"""),"Bristol, City Of")</f>
        <v>Bristol, City Of</v>
      </c>
      <c r="B246" t="str">
        <f ca="1">IFERROR(__xludf.DUMMYFUNCTION("""COMPUTED_VALUE"""),"UKK11")</f>
        <v>UKK11</v>
      </c>
    </row>
    <row r="247" spans="1:2" ht="12.5" x14ac:dyDescent="0.25">
      <c r="A247" t="str">
        <f ca="1">IFERROR(__xludf.DUMMYFUNCTION("""COMPUTED_VALUE"""),"Buckinghamshire Cc")</f>
        <v>Buckinghamshire Cc</v>
      </c>
      <c r="B247" t="str">
        <f ca="1">IFERROR(__xludf.DUMMYFUNCTION("""COMPUTED_VALUE"""),"UKJ13")</f>
        <v>UKJ13</v>
      </c>
    </row>
    <row r="248" spans="1:2" ht="12.5" x14ac:dyDescent="0.25">
      <c r="A248" t="str">
        <f ca="1">IFERROR(__xludf.DUMMYFUNCTION("""COMPUTED_VALUE"""),"Bucuresti")</f>
        <v>Bucuresti</v>
      </c>
      <c r="B248" t="str">
        <f ca="1">IFERROR(__xludf.DUMMYFUNCTION("""COMPUTED_VALUE"""),"RO321")</f>
        <v>RO321</v>
      </c>
    </row>
    <row r="249" spans="1:2" ht="12.5" x14ac:dyDescent="0.25">
      <c r="A249" t="str">
        <f ca="1">IFERROR(__xludf.DUMMYFUNCTION("""COMPUTED_VALUE"""),"Bucuresti - Ilfov")</f>
        <v>Bucuresti - Ilfov</v>
      </c>
      <c r="B249" t="str">
        <f ca="1">IFERROR(__xludf.DUMMYFUNCTION("""COMPUTED_VALUE"""),"RO32")</f>
        <v>RO32</v>
      </c>
    </row>
    <row r="250" spans="1:2" ht="12.5" x14ac:dyDescent="0.25">
      <c r="A250" t="str">
        <f ca="1">IFERROR(__xludf.DUMMYFUNCTION("""COMPUTED_VALUE"""),"Budapest")</f>
        <v>Budapest</v>
      </c>
      <c r="B250" t="str">
        <f ca="1">IFERROR(__xludf.DUMMYFUNCTION("""COMPUTED_VALUE"""),"HU101")</f>
        <v>HU101</v>
      </c>
    </row>
    <row r="251" spans="1:2" ht="12.5" x14ac:dyDescent="0.25">
      <c r="A251" t="str">
        <f ca="1">IFERROR(__xludf.DUMMYFUNCTION("""COMPUTED_VALUE"""),"Bulgaria")</f>
        <v>Bulgaria</v>
      </c>
      <c r="B251" t="str">
        <f ca="1">IFERROR(__xludf.DUMMYFUNCTION("""COMPUTED_VALUE"""),"BG")</f>
        <v>BG</v>
      </c>
    </row>
    <row r="252" spans="1:2" ht="12.5" x14ac:dyDescent="0.25">
      <c r="A252" t="str">
        <f ca="1">IFERROR(__xludf.DUMMYFUNCTION("""COMPUTED_VALUE"""),"Burgas")</f>
        <v>Burgas</v>
      </c>
      <c r="B252" t="str">
        <f ca="1">IFERROR(__xludf.DUMMYFUNCTION("""COMPUTED_VALUE"""),"BG341")</f>
        <v>BG341</v>
      </c>
    </row>
    <row r="253" spans="1:2" ht="12.5" x14ac:dyDescent="0.25">
      <c r="A253" t="str">
        <f ca="1">IFERROR(__xludf.DUMMYFUNCTION("""COMPUTED_VALUE"""),"Burgenland (A)")</f>
        <v>Burgenland (A)</v>
      </c>
      <c r="B253" t="str">
        <f ca="1">IFERROR(__xludf.DUMMYFUNCTION("""COMPUTED_VALUE"""),"AT11")</f>
        <v>AT11</v>
      </c>
    </row>
    <row r="254" spans="1:2" ht="12.5" x14ac:dyDescent="0.25">
      <c r="A254" t="str">
        <f ca="1">IFERROR(__xludf.DUMMYFUNCTION("""COMPUTED_VALUE"""),"Burgenland (D)")</f>
        <v>Burgenland (D)</v>
      </c>
      <c r="B254" t="str">
        <f ca="1">IFERROR(__xludf.DUMMYFUNCTION("""COMPUTED_VALUE"""),"DEE08")</f>
        <v>DEE08</v>
      </c>
    </row>
    <row r="255" spans="1:2" ht="12.5" x14ac:dyDescent="0.25">
      <c r="A255" t="str">
        <f ca="1">IFERROR(__xludf.DUMMYFUNCTION("""COMPUTED_VALUE"""),"Burgos")</f>
        <v>Burgos</v>
      </c>
      <c r="B255" t="str">
        <f ca="1">IFERROR(__xludf.DUMMYFUNCTION("""COMPUTED_VALUE"""),"ES412")</f>
        <v>ES412</v>
      </c>
    </row>
    <row r="256" spans="1:2" ht="12.5" x14ac:dyDescent="0.25">
      <c r="A256" t="str">
        <f ca="1">IFERROR(__xludf.DUMMYFUNCTION("""COMPUTED_VALUE"""),"Buskerud")</f>
        <v>Buskerud</v>
      </c>
      <c r="B256" t="str">
        <f ca="1">IFERROR(__xludf.DUMMYFUNCTION("""COMPUTED_VALUE"""),"NO032")</f>
        <v>NO032</v>
      </c>
    </row>
    <row r="257" spans="1:2" ht="12.5" x14ac:dyDescent="0.25">
      <c r="A257" t="str">
        <f ca="1">IFERROR(__xludf.DUMMYFUNCTION("""COMPUTED_VALUE"""),"Buzau")</f>
        <v>Buzau</v>
      </c>
      <c r="B257" t="str">
        <f ca="1">IFERROR(__xludf.DUMMYFUNCTION("""COMPUTED_VALUE"""),"RO222")</f>
        <v>RO222</v>
      </c>
    </row>
    <row r="258" spans="1:2" ht="12.5" x14ac:dyDescent="0.25">
      <c r="A258" t="str">
        <f ca="1">IFERROR(__xludf.DUMMYFUNCTION("""COMPUTED_VALUE"""),"Bydgosko-Torunski")</f>
        <v>Bydgosko-Torunski</v>
      </c>
      <c r="B258" t="str">
        <f ca="1">IFERROR(__xludf.DUMMYFUNCTION("""COMPUTED_VALUE"""),"PL613")</f>
        <v>PL613</v>
      </c>
    </row>
    <row r="259" spans="1:2" ht="12.5" x14ac:dyDescent="0.25">
      <c r="A259" t="str">
        <f ca="1">IFERROR(__xludf.DUMMYFUNCTION("""COMPUTED_VALUE"""),"Byen København")</f>
        <v>Byen København</v>
      </c>
      <c r="B259" t="str">
        <f ca="1">IFERROR(__xludf.DUMMYFUNCTION("""COMPUTED_VALUE"""),"DK011")</f>
        <v>DK011</v>
      </c>
    </row>
    <row r="260" spans="1:2" ht="12.5" x14ac:dyDescent="0.25">
      <c r="A260" t="str">
        <f ca="1">IFERROR(__xludf.DUMMYFUNCTION("""COMPUTED_VALUE"""),"Bytomski")</f>
        <v>Bytomski</v>
      </c>
      <c r="B260" t="str">
        <f ca="1">IFERROR(__xludf.DUMMYFUNCTION("""COMPUTED_VALUE"""),"PL228")</f>
        <v>PL228</v>
      </c>
    </row>
    <row r="261" spans="1:2" ht="12.5" x14ac:dyDescent="0.25">
      <c r="A261" t="str">
        <f ca="1">IFERROR(__xludf.DUMMYFUNCTION("""COMPUTED_VALUE"""),"Cáceres")</f>
        <v>Cáceres</v>
      </c>
      <c r="B261" t="str">
        <f ca="1">IFERROR(__xludf.DUMMYFUNCTION("""COMPUTED_VALUE"""),"ES432")</f>
        <v>ES432</v>
      </c>
    </row>
    <row r="262" spans="1:2" ht="12.5" x14ac:dyDescent="0.25">
      <c r="A262" t="str">
        <f ca="1">IFERROR(__xludf.DUMMYFUNCTION("""COMPUTED_VALUE"""),"Cádiz")</f>
        <v>Cádiz</v>
      </c>
      <c r="B262" t="str">
        <f ca="1">IFERROR(__xludf.DUMMYFUNCTION("""COMPUTED_VALUE"""),"ES612")</f>
        <v>ES612</v>
      </c>
    </row>
    <row r="263" spans="1:2" ht="12.5" x14ac:dyDescent="0.25">
      <c r="A263" t="str">
        <f ca="1">IFERROR(__xludf.DUMMYFUNCTION("""COMPUTED_VALUE"""),"Cagliari")</f>
        <v>Cagliari</v>
      </c>
      <c r="B263" t="str">
        <f ca="1">IFERROR(__xludf.DUMMYFUNCTION("""COMPUTED_VALUE"""),"ITG27")</f>
        <v>ITG27</v>
      </c>
    </row>
    <row r="264" spans="1:2" ht="12.5" x14ac:dyDescent="0.25">
      <c r="A264" t="str">
        <f ca="1">IFERROR(__xludf.DUMMYFUNCTION("""COMPUTED_VALUE"""),"Caithness &amp; Sutherland And Ross &amp; Cromarty")</f>
        <v>Caithness &amp; Sutherland And Ross &amp; Cromarty</v>
      </c>
      <c r="B264" t="str">
        <f ca="1">IFERROR(__xludf.DUMMYFUNCTION("""COMPUTED_VALUE"""),"UKM61")</f>
        <v>UKM61</v>
      </c>
    </row>
    <row r="265" spans="1:2" ht="12.5" x14ac:dyDescent="0.25">
      <c r="A265" t="str">
        <f ca="1">IFERROR(__xludf.DUMMYFUNCTION("""COMPUTED_VALUE"""),"Calabria")</f>
        <v>Calabria</v>
      </c>
      <c r="B265" t="str">
        <f ca="1">IFERROR(__xludf.DUMMYFUNCTION("""COMPUTED_VALUE"""),"ITF6")</f>
        <v>ITF6</v>
      </c>
    </row>
    <row r="266" spans="1:2" ht="12.5" x14ac:dyDescent="0.25">
      <c r="A266" t="str">
        <f ca="1">IFERROR(__xludf.DUMMYFUNCTION("""COMPUTED_VALUE"""),"Calarasi")</f>
        <v>Calarasi</v>
      </c>
      <c r="B266" t="str">
        <f ca="1">IFERROR(__xludf.DUMMYFUNCTION("""COMPUTED_VALUE"""),"RO312")</f>
        <v>RO312</v>
      </c>
    </row>
    <row r="267" spans="1:2" ht="12.5" x14ac:dyDescent="0.25">
      <c r="A267" t="str">
        <f ca="1">IFERROR(__xludf.DUMMYFUNCTION("""COMPUTED_VALUE"""),"Calderdale, Kirklees And Wakefield")</f>
        <v>Calderdale, Kirklees And Wakefield</v>
      </c>
      <c r="B267" t="str">
        <f ca="1">IFERROR(__xludf.DUMMYFUNCTION("""COMPUTED_VALUE"""),"UKE43")</f>
        <v>UKE43</v>
      </c>
    </row>
    <row r="268" spans="1:2" ht="12.5" x14ac:dyDescent="0.25">
      <c r="A268" t="str">
        <f ca="1">IFERROR(__xludf.DUMMYFUNCTION("""COMPUTED_VALUE"""),"Caltanissetta")</f>
        <v>Caltanissetta</v>
      </c>
      <c r="B268" t="str">
        <f ca="1">IFERROR(__xludf.DUMMYFUNCTION("""COMPUTED_VALUE"""),"ITG15")</f>
        <v>ITG15</v>
      </c>
    </row>
    <row r="269" spans="1:2" ht="12.5" x14ac:dyDescent="0.25">
      <c r="A269" t="str">
        <f ca="1">IFERROR(__xludf.DUMMYFUNCTION("""COMPUTED_VALUE"""),"Calvados")</f>
        <v>Calvados</v>
      </c>
      <c r="B269" t="str">
        <f ca="1">IFERROR(__xludf.DUMMYFUNCTION("""COMPUTED_VALUE"""),"FR251")</f>
        <v>FR251</v>
      </c>
    </row>
    <row r="270" spans="1:2" ht="12.5" x14ac:dyDescent="0.25">
      <c r="A270" t="str">
        <f ca="1">IFERROR(__xludf.DUMMYFUNCTION("""COMPUTED_VALUE"""),"Calw")</f>
        <v>Calw</v>
      </c>
      <c r="B270" t="str">
        <f ca="1">IFERROR(__xludf.DUMMYFUNCTION("""COMPUTED_VALUE"""),"DE12A")</f>
        <v>DE12A</v>
      </c>
    </row>
    <row r="271" spans="1:2" ht="12.5" x14ac:dyDescent="0.25">
      <c r="A271" t="str">
        <f ca="1">IFERROR(__xludf.DUMMYFUNCTION("""COMPUTED_VALUE"""),"Cambridgeshire Cc")</f>
        <v>Cambridgeshire Cc</v>
      </c>
      <c r="B271" t="str">
        <f ca="1">IFERROR(__xludf.DUMMYFUNCTION("""COMPUTED_VALUE"""),"UKH12")</f>
        <v>UKH12</v>
      </c>
    </row>
    <row r="272" spans="1:2" ht="12.5" x14ac:dyDescent="0.25">
      <c r="A272" t="str">
        <f ca="1">IFERROR(__xludf.DUMMYFUNCTION("""COMPUTED_VALUE"""),"Campania")</f>
        <v>Campania</v>
      </c>
      <c r="B272" t="str">
        <f ca="1">IFERROR(__xludf.DUMMYFUNCTION("""COMPUTED_VALUE"""),"ITF3")</f>
        <v>ITF3</v>
      </c>
    </row>
    <row r="273" spans="1:2" ht="12.5" x14ac:dyDescent="0.25">
      <c r="A273" t="str">
        <f ca="1">IFERROR(__xludf.DUMMYFUNCTION("""COMPUTED_VALUE"""),"Campobasso")</f>
        <v>Campobasso</v>
      </c>
      <c r="B273" t="str">
        <f ca="1">IFERROR(__xludf.DUMMYFUNCTION("""COMPUTED_VALUE"""),"ITF22")</f>
        <v>ITF22</v>
      </c>
    </row>
    <row r="274" spans="1:2" ht="12.5" x14ac:dyDescent="0.25">
      <c r="A274" t="str">
        <f ca="1">IFERROR(__xludf.DUMMYFUNCTION("""COMPUTED_VALUE"""),"Canarias")</f>
        <v>Canarias</v>
      </c>
      <c r="B274" t="str">
        <f ca="1">IFERROR(__xludf.DUMMYFUNCTION("""COMPUTED_VALUE"""),"ES7")</f>
        <v>ES7</v>
      </c>
    </row>
    <row r="275" spans="1:2" ht="12.5" x14ac:dyDescent="0.25">
      <c r="A275" t="str">
        <f ca="1">IFERROR(__xludf.DUMMYFUNCTION("""COMPUTED_VALUE"""),"Canarias (*)")</f>
        <v>Canarias (*)</v>
      </c>
      <c r="B275" t="str">
        <f ca="1">IFERROR(__xludf.DUMMYFUNCTION("""COMPUTED_VALUE"""),"ES70")</f>
        <v>ES70</v>
      </c>
    </row>
    <row r="276" spans="1:2" ht="12.5" x14ac:dyDescent="0.25">
      <c r="A276" t="str">
        <f ca="1">IFERROR(__xludf.DUMMYFUNCTION("""COMPUTED_VALUE"""),"Cantabria")</f>
        <v>Cantabria</v>
      </c>
      <c r="B276" t="str">
        <f ca="1">IFERROR(__xludf.DUMMYFUNCTION("""COMPUTED_VALUE"""),"ES13")</f>
        <v>ES13</v>
      </c>
    </row>
    <row r="277" spans="1:2" ht="12.5" x14ac:dyDescent="0.25">
      <c r="A277" t="str">
        <f ca="1">IFERROR(__xludf.DUMMYFUNCTION("""COMPUTED_VALUE"""),"Cantabria (*)")</f>
        <v>Cantabria (*)</v>
      </c>
      <c r="B277" t="str">
        <f ca="1">IFERROR(__xludf.DUMMYFUNCTION("""COMPUTED_VALUE"""),"ES130")</f>
        <v>ES130</v>
      </c>
    </row>
    <row r="278" spans="1:2" ht="12.5" x14ac:dyDescent="0.25">
      <c r="A278" t="str">
        <f ca="1">IFERROR(__xludf.DUMMYFUNCTION("""COMPUTED_VALUE"""),"Cantal")</f>
        <v>Cantal</v>
      </c>
      <c r="B278" t="str">
        <f ca="1">IFERROR(__xludf.DUMMYFUNCTION("""COMPUTED_VALUE"""),"FR722")</f>
        <v>FR722</v>
      </c>
    </row>
    <row r="279" spans="1:2" ht="12.5" x14ac:dyDescent="0.25">
      <c r="A279" t="str">
        <f ca="1">IFERROR(__xludf.DUMMYFUNCTION("""COMPUTED_VALUE"""),"Caras-Severin")</f>
        <v>Caras-Severin</v>
      </c>
      <c r="B279" t="str">
        <f ca="1">IFERROR(__xludf.DUMMYFUNCTION("""COMPUTED_VALUE"""),"RO422")</f>
        <v>RO422</v>
      </c>
    </row>
    <row r="280" spans="1:2" ht="12.5" x14ac:dyDescent="0.25">
      <c r="A280" t="str">
        <f ca="1">IFERROR(__xludf.DUMMYFUNCTION("""COMPUTED_VALUE"""),"Carbonia-Iglesias")</f>
        <v>Carbonia-Iglesias</v>
      </c>
      <c r="B280" t="str">
        <f ca="1">IFERROR(__xludf.DUMMYFUNCTION("""COMPUTED_VALUE"""),"ITG2C")</f>
        <v>ITG2C</v>
      </c>
    </row>
    <row r="281" spans="1:2" ht="12.5" x14ac:dyDescent="0.25">
      <c r="A281" t="str">
        <f ca="1">IFERROR(__xludf.DUMMYFUNCTION("""COMPUTED_VALUE"""),"Cardiff And Vale Of Glamorgan")</f>
        <v>Cardiff And Vale Of Glamorgan</v>
      </c>
      <c r="B281" t="str">
        <f ca="1">IFERROR(__xludf.DUMMYFUNCTION("""COMPUTED_VALUE"""),"UKL22")</f>
        <v>UKL22</v>
      </c>
    </row>
    <row r="282" spans="1:2" ht="12.5" x14ac:dyDescent="0.25">
      <c r="A282" t="str">
        <f ca="1">IFERROR(__xludf.DUMMYFUNCTION("""COMPUTED_VALUE"""),"Caserta")</f>
        <v>Caserta</v>
      </c>
      <c r="B282" t="str">
        <f ca="1">IFERROR(__xludf.DUMMYFUNCTION("""COMPUTED_VALUE"""),"ITF31")</f>
        <v>ITF31</v>
      </c>
    </row>
    <row r="283" spans="1:2" ht="12.5" x14ac:dyDescent="0.25">
      <c r="A283" t="str">
        <f ca="1">IFERROR(__xludf.DUMMYFUNCTION("""COMPUTED_VALUE"""),"Castellón / Castelló")</f>
        <v>Castellón / Castelló</v>
      </c>
      <c r="B283" t="str">
        <f ca="1">IFERROR(__xludf.DUMMYFUNCTION("""COMPUTED_VALUE"""),"ES522")</f>
        <v>ES522</v>
      </c>
    </row>
    <row r="284" spans="1:2" ht="12.5" x14ac:dyDescent="0.25">
      <c r="A284" t="str">
        <f ca="1">IFERROR(__xludf.DUMMYFUNCTION("""COMPUTED_VALUE"""),"Castilla Y León")</f>
        <v>Castilla Y León</v>
      </c>
      <c r="B284" t="str">
        <f ca="1">IFERROR(__xludf.DUMMYFUNCTION("""COMPUTED_VALUE"""),"ES41")</f>
        <v>ES41</v>
      </c>
    </row>
    <row r="285" spans="1:2" ht="12.5" x14ac:dyDescent="0.25">
      <c r="A285" t="str">
        <f ca="1">IFERROR(__xludf.DUMMYFUNCTION("""COMPUTED_VALUE"""),"Castilla-La Mancha")</f>
        <v>Castilla-La Mancha</v>
      </c>
      <c r="B285" t="str">
        <f ca="1">IFERROR(__xludf.DUMMYFUNCTION("""COMPUTED_VALUE"""),"ES42")</f>
        <v>ES42</v>
      </c>
    </row>
    <row r="286" spans="1:2" ht="12.5" x14ac:dyDescent="0.25">
      <c r="A286" t="str">
        <f ca="1">IFERROR(__xludf.DUMMYFUNCTION("""COMPUTED_VALUE"""),"Cataluña")</f>
        <v>Cataluña</v>
      </c>
      <c r="B286" t="str">
        <f ca="1">IFERROR(__xludf.DUMMYFUNCTION("""COMPUTED_VALUE"""),"ES51")</f>
        <v>ES51</v>
      </c>
    </row>
    <row r="287" spans="1:2" ht="12.5" x14ac:dyDescent="0.25">
      <c r="A287" t="str">
        <f ca="1">IFERROR(__xludf.DUMMYFUNCTION("""COMPUTED_VALUE"""),"Catania")</f>
        <v>Catania</v>
      </c>
      <c r="B287" t="str">
        <f ca="1">IFERROR(__xludf.DUMMYFUNCTION("""COMPUTED_VALUE"""),"ITG17")</f>
        <v>ITG17</v>
      </c>
    </row>
    <row r="288" spans="1:2" ht="12.5" x14ac:dyDescent="0.25">
      <c r="A288" t="str">
        <f ca="1">IFERROR(__xludf.DUMMYFUNCTION("""COMPUTED_VALUE"""),"Catanzaro")</f>
        <v>Catanzaro</v>
      </c>
      <c r="B288" t="str">
        <f ca="1">IFERROR(__xludf.DUMMYFUNCTION("""COMPUTED_VALUE"""),"ITF63")</f>
        <v>ITF63</v>
      </c>
    </row>
    <row r="289" spans="1:2" ht="12.5" x14ac:dyDescent="0.25">
      <c r="A289" t="str">
        <f ca="1">IFERROR(__xludf.DUMMYFUNCTION("""COMPUTED_VALUE"""),"Cávado")</f>
        <v>Cávado</v>
      </c>
      <c r="B289" t="str">
        <f ca="1">IFERROR(__xludf.DUMMYFUNCTION("""COMPUTED_VALUE"""),"PT112")</f>
        <v>PT112</v>
      </c>
    </row>
    <row r="290" spans="1:2" ht="12.5" x14ac:dyDescent="0.25">
      <c r="A290" t="str">
        <f ca="1">IFERROR(__xludf.DUMMYFUNCTION("""COMPUTED_VALUE"""),"Celle")</f>
        <v>Celle</v>
      </c>
      <c r="B290" t="str">
        <f ca="1">IFERROR(__xludf.DUMMYFUNCTION("""COMPUTED_VALUE"""),"DE931")</f>
        <v>DE931</v>
      </c>
    </row>
    <row r="291" spans="1:2" ht="12.5" x14ac:dyDescent="0.25">
      <c r="A291" t="str">
        <f ca="1">IFERROR(__xludf.DUMMYFUNCTION("""COMPUTED_VALUE"""),"Central Valleys")</f>
        <v>Central Valleys</v>
      </c>
      <c r="B291" t="str">
        <f ca="1">IFERROR(__xludf.DUMMYFUNCTION("""COMPUTED_VALUE"""),"UKL15")</f>
        <v>UKL15</v>
      </c>
    </row>
    <row r="292" spans="1:2" ht="12.5" x14ac:dyDescent="0.25">
      <c r="A292" t="str">
        <f ca="1">IFERROR(__xludf.DUMMYFUNCTION("""COMPUTED_VALUE"""),"Centre")</f>
        <v>Centre</v>
      </c>
      <c r="B292" t="str">
        <f ca="1">IFERROR(__xludf.DUMMYFUNCTION("""COMPUTED_VALUE"""),"FR24")</f>
        <v>FR24</v>
      </c>
    </row>
    <row r="293" spans="1:2" ht="12.5" x14ac:dyDescent="0.25">
      <c r="A293" t="str">
        <f ca="1">IFERROR(__xludf.DUMMYFUNCTION("""COMPUTED_VALUE"""),"Centre-Est")</f>
        <v>Centre-Est</v>
      </c>
      <c r="B293" t="str">
        <f ca="1">IFERROR(__xludf.DUMMYFUNCTION("""COMPUTED_VALUE"""),"FR7")</f>
        <v>FR7</v>
      </c>
    </row>
    <row r="294" spans="1:2" ht="12.5" x14ac:dyDescent="0.25">
      <c r="A294" t="str">
        <f ca="1">IFERROR(__xludf.DUMMYFUNCTION("""COMPUTED_VALUE"""),"Centro (E)")</f>
        <v>Centro (E)</v>
      </c>
      <c r="B294" t="str">
        <f ca="1">IFERROR(__xludf.DUMMYFUNCTION("""COMPUTED_VALUE"""),"ES4")</f>
        <v>ES4</v>
      </c>
    </row>
    <row r="295" spans="1:2" ht="12.5" x14ac:dyDescent="0.25">
      <c r="A295" t="str">
        <f ca="1">IFERROR(__xludf.DUMMYFUNCTION("""COMPUTED_VALUE"""),"Centro (I)")</f>
        <v>Centro (I)</v>
      </c>
      <c r="B295" t="str">
        <f ca="1">IFERROR(__xludf.DUMMYFUNCTION("""COMPUTED_VALUE"""),"ITE")</f>
        <v>ITE</v>
      </c>
    </row>
    <row r="296" spans="1:2" ht="12.5" x14ac:dyDescent="0.25">
      <c r="A296" t="str">
        <f ca="1">IFERROR(__xludf.DUMMYFUNCTION("""COMPUTED_VALUE"""),"Centro (P)")</f>
        <v>Centro (P)</v>
      </c>
      <c r="B296" t="str">
        <f ca="1">IFERROR(__xludf.DUMMYFUNCTION("""COMPUTED_VALUE"""),"PT16")</f>
        <v>PT16</v>
      </c>
    </row>
    <row r="297" spans="1:2" ht="12.5" x14ac:dyDescent="0.25">
      <c r="A297" t="str">
        <f ca="1">IFERROR(__xludf.DUMMYFUNCTION("""COMPUTED_VALUE"""),"Centru")</f>
        <v>Centru</v>
      </c>
      <c r="B297" t="str">
        <f ca="1">IFERROR(__xludf.DUMMYFUNCTION("""COMPUTED_VALUE"""),"RO12")</f>
        <v>RO12</v>
      </c>
    </row>
    <row r="298" spans="1:2" ht="12.5" x14ac:dyDescent="0.25">
      <c r="A298" t="str">
        <f ca="1">IFERROR(__xludf.DUMMYFUNCTION("""COMPUTED_VALUE"""),"Ceska Republika")</f>
        <v>Ceska Republika</v>
      </c>
      <c r="B298" t="str">
        <f ca="1">IFERROR(__xludf.DUMMYFUNCTION("""COMPUTED_VALUE"""),"CZ")</f>
        <v>CZ</v>
      </c>
    </row>
    <row r="299" spans="1:2" ht="12.5" x14ac:dyDescent="0.25">
      <c r="A299" t="str">
        <f ca="1">IFERROR(__xludf.DUMMYFUNCTION("""COMPUTED_VALUE"""),"Ceska Republika (*)")</f>
        <v>Ceska Republika (*)</v>
      </c>
      <c r="B299" t="str">
        <f ca="1">IFERROR(__xludf.DUMMYFUNCTION("""COMPUTED_VALUE"""),"CZ0")</f>
        <v>CZ0</v>
      </c>
    </row>
    <row r="300" spans="1:2" ht="12.5" x14ac:dyDescent="0.25">
      <c r="A300" t="str">
        <f ca="1">IFERROR(__xludf.DUMMYFUNCTION("""COMPUTED_VALUE"""),"Ceuta")</f>
        <v>Ceuta</v>
      </c>
      <c r="B300" t="str">
        <f ca="1">IFERROR(__xludf.DUMMYFUNCTION("""COMPUTED_VALUE"""),"ES630")</f>
        <v>ES630</v>
      </c>
    </row>
    <row r="301" spans="1:2" ht="12.5" x14ac:dyDescent="0.25">
      <c r="A301" t="str">
        <f ca="1">IFERROR(__xludf.DUMMYFUNCTION("""COMPUTED_VALUE"""),"Chalkidiki")</f>
        <v>Chalkidiki</v>
      </c>
      <c r="B301" t="str">
        <f ca="1">IFERROR(__xludf.DUMMYFUNCTION("""COMPUTED_VALUE"""),"GR127")</f>
        <v>GR127</v>
      </c>
    </row>
    <row r="302" spans="1:2" ht="12.5" x14ac:dyDescent="0.25">
      <c r="A302" t="str">
        <f ca="1">IFERROR(__xludf.DUMMYFUNCTION("""COMPUTED_VALUE"""),"Cham")</f>
        <v>Cham</v>
      </c>
      <c r="B302" t="str">
        <f ca="1">IFERROR(__xludf.DUMMYFUNCTION("""COMPUTED_VALUE"""),"DE235")</f>
        <v>DE235</v>
      </c>
    </row>
    <row r="303" spans="1:2" ht="12.5" x14ac:dyDescent="0.25">
      <c r="A303" t="str">
        <f ca="1">IFERROR(__xludf.DUMMYFUNCTION("""COMPUTED_VALUE"""),"Champagne-Ardenne")</f>
        <v>Champagne-Ardenne</v>
      </c>
      <c r="B303" t="str">
        <f ca="1">IFERROR(__xludf.DUMMYFUNCTION("""COMPUTED_VALUE"""),"FR21")</f>
        <v>FR21</v>
      </c>
    </row>
    <row r="304" spans="1:2" ht="12.5" x14ac:dyDescent="0.25">
      <c r="A304" t="str">
        <f ca="1">IFERROR(__xludf.DUMMYFUNCTION("""COMPUTED_VALUE"""),"Chania")</f>
        <v>Chania</v>
      </c>
      <c r="B304" t="str">
        <f ca="1">IFERROR(__xludf.DUMMYFUNCTION("""COMPUTED_VALUE"""),"GR434")</f>
        <v>GR434</v>
      </c>
    </row>
    <row r="305" spans="1:2" ht="12.5" x14ac:dyDescent="0.25">
      <c r="A305" t="str">
        <f ca="1">IFERROR(__xludf.DUMMYFUNCTION("""COMPUTED_VALUE"""),"Charente")</f>
        <v>Charente</v>
      </c>
      <c r="B305" t="str">
        <f ca="1">IFERROR(__xludf.DUMMYFUNCTION("""COMPUTED_VALUE"""),"FR531")</f>
        <v>FR531</v>
      </c>
    </row>
    <row r="306" spans="1:2" ht="12.5" x14ac:dyDescent="0.25">
      <c r="A306" t="str">
        <f ca="1">IFERROR(__xludf.DUMMYFUNCTION("""COMPUTED_VALUE"""),"Charente-Maritime")</f>
        <v>Charente-Maritime</v>
      </c>
      <c r="B306" t="str">
        <f ca="1">IFERROR(__xludf.DUMMYFUNCTION("""COMPUTED_VALUE"""),"FR532")</f>
        <v>FR532</v>
      </c>
    </row>
    <row r="307" spans="1:2" ht="12.5" x14ac:dyDescent="0.25">
      <c r="A307" t="str">
        <f ca="1">IFERROR(__xludf.DUMMYFUNCTION("""COMPUTED_VALUE"""),"Chelmsko-Zamojski")</f>
        <v>Chelmsko-Zamojski</v>
      </c>
      <c r="B307" t="str">
        <f ca="1">IFERROR(__xludf.DUMMYFUNCTION("""COMPUTED_VALUE"""),"PL312")</f>
        <v>PL312</v>
      </c>
    </row>
    <row r="308" spans="1:2" ht="12.5" x14ac:dyDescent="0.25">
      <c r="A308" t="str">
        <f ca="1">IFERROR(__xludf.DUMMYFUNCTION("""COMPUTED_VALUE"""),"Chemnitz")</f>
        <v>Chemnitz</v>
      </c>
      <c r="B308" t="str">
        <f ca="1">IFERROR(__xludf.DUMMYFUNCTION("""COMPUTED_VALUE"""),"DED1")</f>
        <v>DED1</v>
      </c>
    </row>
    <row r="309" spans="1:2" ht="12.5" x14ac:dyDescent="0.25">
      <c r="A309" t="str">
        <f ca="1">IFERROR(__xludf.DUMMYFUNCTION("""COMPUTED_VALUE"""),"Chemnitz, Kreisfreie Stadt")</f>
        <v>Chemnitz, Kreisfreie Stadt</v>
      </c>
      <c r="B309" t="str">
        <f ca="1">IFERROR(__xludf.DUMMYFUNCTION("""COMPUTED_VALUE"""),"DED11")</f>
        <v>DED11</v>
      </c>
    </row>
    <row r="310" spans="1:2" ht="12.5" x14ac:dyDescent="0.25">
      <c r="A310" t="str">
        <f ca="1">IFERROR(__xludf.DUMMYFUNCTION("""COMPUTED_VALUE"""),"Chemnitzer Land")</f>
        <v>Chemnitzer Land</v>
      </c>
      <c r="B310" t="str">
        <f ca="1">IFERROR(__xludf.DUMMYFUNCTION("""COMPUTED_VALUE"""),"DED15")</f>
        <v>DED15</v>
      </c>
    </row>
    <row r="311" spans="1:2" ht="12.5" x14ac:dyDescent="0.25">
      <c r="A311" t="str">
        <f ca="1">IFERROR(__xludf.DUMMYFUNCTION("""COMPUTED_VALUE"""),"Cher")</f>
        <v>Cher</v>
      </c>
      <c r="B311" t="str">
        <f ca="1">IFERROR(__xludf.DUMMYFUNCTION("""COMPUTED_VALUE"""),"FR241")</f>
        <v>FR241</v>
      </c>
    </row>
    <row r="312" spans="1:2" ht="12.5" x14ac:dyDescent="0.25">
      <c r="A312" t="str">
        <f ca="1">IFERROR(__xludf.DUMMYFUNCTION("""COMPUTED_VALUE"""),"Cheshire")</f>
        <v>Cheshire</v>
      </c>
      <c r="B312" t="str">
        <f ca="1">IFERROR(__xludf.DUMMYFUNCTION("""COMPUTED_VALUE"""),"UKD2")</f>
        <v>UKD2</v>
      </c>
    </row>
    <row r="313" spans="1:2" ht="12.5" x14ac:dyDescent="0.25">
      <c r="A313" t="str">
        <f ca="1">IFERROR(__xludf.DUMMYFUNCTION("""COMPUTED_VALUE"""),"Cheshire Cc")</f>
        <v>Cheshire Cc</v>
      </c>
      <c r="B313" t="str">
        <f ca="1">IFERROR(__xludf.DUMMYFUNCTION("""COMPUTED_VALUE"""),"UKD22")</f>
        <v>UKD22</v>
      </c>
    </row>
    <row r="314" spans="1:2" ht="12.5" x14ac:dyDescent="0.25">
      <c r="A314" t="str">
        <f ca="1">IFERROR(__xludf.DUMMYFUNCTION("""COMPUTED_VALUE"""),"Chieti")</f>
        <v>Chieti</v>
      </c>
      <c r="B314" t="str">
        <f ca="1">IFERROR(__xludf.DUMMYFUNCTION("""COMPUTED_VALUE"""),"ITF14")</f>
        <v>ITF14</v>
      </c>
    </row>
    <row r="315" spans="1:2" ht="12.5" x14ac:dyDescent="0.25">
      <c r="A315" t="str">
        <f ca="1">IFERROR(__xludf.DUMMYFUNCTION("""COMPUTED_VALUE"""),"Chios")</f>
        <v>Chios</v>
      </c>
      <c r="B315" t="str">
        <f ca="1">IFERROR(__xludf.DUMMYFUNCTION("""COMPUTED_VALUE"""),"GR413")</f>
        <v>GR413</v>
      </c>
    </row>
    <row r="316" spans="1:2" ht="12.5" x14ac:dyDescent="0.25">
      <c r="A316" t="str">
        <f ca="1">IFERROR(__xludf.DUMMYFUNCTION("""COMPUTED_VALUE"""),"Ciechanowsko-Plocki")</f>
        <v>Ciechanowsko-Plocki</v>
      </c>
      <c r="B316" t="str">
        <f ca="1">IFERROR(__xludf.DUMMYFUNCTION("""COMPUTED_VALUE"""),"PL121")</f>
        <v>PL121</v>
      </c>
    </row>
    <row r="317" spans="1:2" ht="12.5" x14ac:dyDescent="0.25">
      <c r="A317" t="str">
        <f ca="1">IFERROR(__xludf.DUMMYFUNCTION("""COMPUTED_VALUE"""),"Ciudad Autónoma De Ceuta")</f>
        <v>Ciudad Autónoma De Ceuta</v>
      </c>
      <c r="B317" t="str">
        <f ca="1">IFERROR(__xludf.DUMMYFUNCTION("""COMPUTED_VALUE"""),"ES63")</f>
        <v>ES63</v>
      </c>
    </row>
    <row r="318" spans="1:2" ht="12.5" x14ac:dyDescent="0.25">
      <c r="A318" t="str">
        <f ca="1">IFERROR(__xludf.DUMMYFUNCTION("""COMPUTED_VALUE"""),"Ciudad Autónoma De Melilla")</f>
        <v>Ciudad Autónoma De Melilla</v>
      </c>
      <c r="B318" t="str">
        <f ca="1">IFERROR(__xludf.DUMMYFUNCTION("""COMPUTED_VALUE"""),"ES64")</f>
        <v>ES64</v>
      </c>
    </row>
    <row r="319" spans="1:2" ht="12.5" x14ac:dyDescent="0.25">
      <c r="A319" t="str">
        <f ca="1">IFERROR(__xludf.DUMMYFUNCTION("""COMPUTED_VALUE"""),"Ciudad Real")</f>
        <v>Ciudad Real</v>
      </c>
      <c r="B319" t="str">
        <f ca="1">IFERROR(__xludf.DUMMYFUNCTION("""COMPUTED_VALUE"""),"ES422")</f>
        <v>ES422</v>
      </c>
    </row>
    <row r="320" spans="1:2" ht="12.5" x14ac:dyDescent="0.25">
      <c r="A320" t="str">
        <f ca="1">IFERROR(__xludf.DUMMYFUNCTION("""COMPUTED_VALUE"""),"Clackmannanshire And Fife")</f>
        <v>Clackmannanshire And Fife</v>
      </c>
      <c r="B320" t="str">
        <f ca="1">IFERROR(__xludf.DUMMYFUNCTION("""COMPUTED_VALUE"""),"UKM22")</f>
        <v>UKM22</v>
      </c>
    </row>
    <row r="321" spans="1:2" ht="12.5" x14ac:dyDescent="0.25">
      <c r="A321" t="str">
        <f ca="1">IFERROR(__xludf.DUMMYFUNCTION("""COMPUTED_VALUE"""),"Cloppenburg")</f>
        <v>Cloppenburg</v>
      </c>
      <c r="B321" t="str">
        <f ca="1">IFERROR(__xludf.DUMMYFUNCTION("""COMPUTED_VALUE"""),"DE948")</f>
        <v>DE948</v>
      </c>
    </row>
    <row r="322" spans="1:2" ht="12.5" x14ac:dyDescent="0.25">
      <c r="A322" t="str">
        <f ca="1">IFERROR(__xludf.DUMMYFUNCTION("""COMPUTED_VALUE"""),"Cluj")</f>
        <v>Cluj</v>
      </c>
      <c r="B322" t="str">
        <f ca="1">IFERROR(__xludf.DUMMYFUNCTION("""COMPUTED_VALUE"""),"RO113")</f>
        <v>RO113</v>
      </c>
    </row>
    <row r="323" spans="1:2" ht="12.5" x14ac:dyDescent="0.25">
      <c r="A323" t="str">
        <f ca="1">IFERROR(__xludf.DUMMYFUNCTION("""COMPUTED_VALUE"""),"Coburg, Kreisfreie Stadt")</f>
        <v>Coburg, Kreisfreie Stadt</v>
      </c>
      <c r="B323" t="str">
        <f ca="1">IFERROR(__xludf.DUMMYFUNCTION("""COMPUTED_VALUE"""),"DE243")</f>
        <v>DE243</v>
      </c>
    </row>
    <row r="324" spans="1:2" ht="12.5" x14ac:dyDescent="0.25">
      <c r="A324" t="str">
        <f ca="1">IFERROR(__xludf.DUMMYFUNCTION("""COMPUTED_VALUE"""),"Coburg, Landkreis")</f>
        <v>Coburg, Landkreis</v>
      </c>
      <c r="B324" t="str">
        <f ca="1">IFERROR(__xludf.DUMMYFUNCTION("""COMPUTED_VALUE"""),"DE247")</f>
        <v>DE247</v>
      </c>
    </row>
    <row r="325" spans="1:2" ht="12.5" x14ac:dyDescent="0.25">
      <c r="A325" t="str">
        <f ca="1">IFERROR(__xludf.DUMMYFUNCTION("""COMPUTED_VALUE"""),"Cochem-Zell")</f>
        <v>Cochem-Zell</v>
      </c>
      <c r="B325" t="str">
        <f ca="1">IFERROR(__xludf.DUMMYFUNCTION("""COMPUTED_VALUE"""),"DEB16")</f>
        <v>DEB16</v>
      </c>
    </row>
    <row r="326" spans="1:2" ht="12.5" x14ac:dyDescent="0.25">
      <c r="A326" t="str">
        <f ca="1">IFERROR(__xludf.DUMMYFUNCTION("""COMPUTED_VALUE"""),"Coesfeld")</f>
        <v>Coesfeld</v>
      </c>
      <c r="B326" t="str">
        <f ca="1">IFERROR(__xludf.DUMMYFUNCTION("""COMPUTED_VALUE"""),"DEA35")</f>
        <v>DEA35</v>
      </c>
    </row>
    <row r="327" spans="1:2" ht="12.5" x14ac:dyDescent="0.25">
      <c r="A327" t="str">
        <f ca="1">IFERROR(__xludf.DUMMYFUNCTION("""COMPUTED_VALUE"""),"Como")</f>
        <v>Como</v>
      </c>
      <c r="B327" t="str">
        <f ca="1">IFERROR(__xludf.DUMMYFUNCTION("""COMPUTED_VALUE"""),"ITC42")</f>
        <v>ITC42</v>
      </c>
    </row>
    <row r="328" spans="1:2" ht="12.5" x14ac:dyDescent="0.25">
      <c r="A328" t="str">
        <f ca="1">IFERROR(__xludf.DUMMYFUNCTION("""COMPUTED_VALUE"""),"Comunidad De Madrid")</f>
        <v>Comunidad De Madrid</v>
      </c>
      <c r="B328" t="str">
        <f ca="1">IFERROR(__xludf.DUMMYFUNCTION("""COMPUTED_VALUE"""),"ES3")</f>
        <v>ES3</v>
      </c>
    </row>
    <row r="329" spans="1:2" ht="12.5" x14ac:dyDescent="0.25">
      <c r="A329" t="str">
        <f ca="1">IFERROR(__xludf.DUMMYFUNCTION("""COMPUTED_VALUE"""),"Comunidad De Madrid (*)")</f>
        <v>Comunidad De Madrid (*)</v>
      </c>
      <c r="B329" t="str">
        <f ca="1">IFERROR(__xludf.DUMMYFUNCTION("""COMPUTED_VALUE"""),"ES30")</f>
        <v>ES30</v>
      </c>
    </row>
    <row r="330" spans="1:2" ht="12.5" x14ac:dyDescent="0.25">
      <c r="A330" t="str">
        <f ca="1">IFERROR(__xludf.DUMMYFUNCTION("""COMPUTED_VALUE"""),"Comunidad Foral De Navarra")</f>
        <v>Comunidad Foral De Navarra</v>
      </c>
      <c r="B330" t="str">
        <f ca="1">IFERROR(__xludf.DUMMYFUNCTION("""COMPUTED_VALUE"""),"ES22")</f>
        <v>ES22</v>
      </c>
    </row>
    <row r="331" spans="1:2" ht="12.5" x14ac:dyDescent="0.25">
      <c r="A331" t="str">
        <f ca="1">IFERROR(__xludf.DUMMYFUNCTION("""COMPUTED_VALUE"""),"Comunidad Valenciana")</f>
        <v>Comunidad Valenciana</v>
      </c>
      <c r="B331" t="str">
        <f ca="1">IFERROR(__xludf.DUMMYFUNCTION("""COMPUTED_VALUE"""),"ES52")</f>
        <v>ES52</v>
      </c>
    </row>
    <row r="332" spans="1:2" ht="12.5" x14ac:dyDescent="0.25">
      <c r="A332" t="str">
        <f ca="1">IFERROR(__xludf.DUMMYFUNCTION("""COMPUTED_VALUE"""),"Constanta")</f>
        <v>Constanta</v>
      </c>
      <c r="B332" t="str">
        <f ca="1">IFERROR(__xludf.DUMMYFUNCTION("""COMPUTED_VALUE"""),"RO223")</f>
        <v>RO223</v>
      </c>
    </row>
    <row r="333" spans="1:2" ht="12.5" x14ac:dyDescent="0.25">
      <c r="A333" t="str">
        <f ca="1">IFERROR(__xludf.DUMMYFUNCTION("""COMPUTED_VALUE"""),"Continente")</f>
        <v>Continente</v>
      </c>
      <c r="B333" t="str">
        <f ca="1">IFERROR(__xludf.DUMMYFUNCTION("""COMPUTED_VALUE"""),"PT1")</f>
        <v>PT1</v>
      </c>
    </row>
    <row r="334" spans="1:2" ht="12.5" x14ac:dyDescent="0.25">
      <c r="A334" t="str">
        <f ca="1">IFERROR(__xludf.DUMMYFUNCTION("""COMPUTED_VALUE"""),"Conwy And Denbighshire")</f>
        <v>Conwy And Denbighshire</v>
      </c>
      <c r="B334" t="str">
        <f ca="1">IFERROR(__xludf.DUMMYFUNCTION("""COMPUTED_VALUE"""),"UKL13")</f>
        <v>UKL13</v>
      </c>
    </row>
    <row r="335" spans="1:2" ht="12.5" x14ac:dyDescent="0.25">
      <c r="A335" t="str">
        <f ca="1">IFERROR(__xludf.DUMMYFUNCTION("""COMPUTED_VALUE"""),"Córdoba")</f>
        <v>Córdoba</v>
      </c>
      <c r="B335" t="str">
        <f ca="1">IFERROR(__xludf.DUMMYFUNCTION("""COMPUTED_VALUE"""),"ES613")</f>
        <v>ES613</v>
      </c>
    </row>
    <row r="336" spans="1:2" ht="12.5" x14ac:dyDescent="0.25">
      <c r="A336" t="str">
        <f ca="1">IFERROR(__xludf.DUMMYFUNCTION("""COMPUTED_VALUE"""),"Cornwall And Isles Of Scilly")</f>
        <v>Cornwall And Isles Of Scilly</v>
      </c>
      <c r="B336" t="str">
        <f ca="1">IFERROR(__xludf.DUMMYFUNCTION("""COMPUTED_VALUE"""),"UKK3")</f>
        <v>UKK3</v>
      </c>
    </row>
    <row r="337" spans="1:2" ht="12.5" x14ac:dyDescent="0.25">
      <c r="A337" t="str">
        <f ca="1">IFERROR(__xludf.DUMMYFUNCTION("""COMPUTED_VALUE"""),"Cornwall And Isles Of Scilly (*)")</f>
        <v>Cornwall And Isles Of Scilly (*)</v>
      </c>
      <c r="B337" t="str">
        <f ca="1">IFERROR(__xludf.DUMMYFUNCTION("""COMPUTED_VALUE"""),"UKK30")</f>
        <v>UKK30</v>
      </c>
    </row>
    <row r="338" spans="1:2" ht="12.5" x14ac:dyDescent="0.25">
      <c r="A338" t="str">
        <f ca="1">IFERROR(__xludf.DUMMYFUNCTION("""COMPUTED_VALUE"""),"Corrèze")</f>
        <v>Corrèze</v>
      </c>
      <c r="B338" t="str">
        <f ca="1">IFERROR(__xludf.DUMMYFUNCTION("""COMPUTED_VALUE"""),"FR631")</f>
        <v>FR631</v>
      </c>
    </row>
    <row r="339" spans="1:2" ht="12.5" x14ac:dyDescent="0.25">
      <c r="A339" t="str">
        <f ca="1">IFERROR(__xludf.DUMMYFUNCTION("""COMPUTED_VALUE"""),"Corse")</f>
        <v>Corse</v>
      </c>
      <c r="B339" t="str">
        <f ca="1">IFERROR(__xludf.DUMMYFUNCTION("""COMPUTED_VALUE"""),"FR83")</f>
        <v>FR83</v>
      </c>
    </row>
    <row r="340" spans="1:2" ht="12.5" x14ac:dyDescent="0.25">
      <c r="A340" t="str">
        <f ca="1">IFERROR(__xludf.DUMMYFUNCTION("""COMPUTED_VALUE"""),"Corse-Du-Sud")</f>
        <v>Corse-Du-Sud</v>
      </c>
      <c r="B340" t="str">
        <f ca="1">IFERROR(__xludf.DUMMYFUNCTION("""COMPUTED_VALUE"""),"FR831")</f>
        <v>FR831</v>
      </c>
    </row>
    <row r="341" spans="1:2" ht="12.5" x14ac:dyDescent="0.25">
      <c r="A341" t="str">
        <f ca="1">IFERROR(__xludf.DUMMYFUNCTION("""COMPUTED_VALUE"""),"Cosenza")</f>
        <v>Cosenza</v>
      </c>
      <c r="B341" t="str">
        <f ca="1">IFERROR(__xludf.DUMMYFUNCTION("""COMPUTED_VALUE"""),"ITF61")</f>
        <v>ITF61</v>
      </c>
    </row>
    <row r="342" spans="1:2" ht="12.5" x14ac:dyDescent="0.25">
      <c r="A342" t="str">
        <f ca="1">IFERROR(__xludf.DUMMYFUNCTION("""COMPUTED_VALUE"""),"Côte-D'Or")</f>
        <v>Côte-D'Or</v>
      </c>
      <c r="B342" t="str">
        <f ca="1">IFERROR(__xludf.DUMMYFUNCTION("""COMPUTED_VALUE"""),"FR261")</f>
        <v>FR261</v>
      </c>
    </row>
    <row r="343" spans="1:2" ht="12.5" x14ac:dyDescent="0.25">
      <c r="A343" t="str">
        <f ca="1">IFERROR(__xludf.DUMMYFUNCTION("""COMPUTED_VALUE"""),"Côtes-D'Armor")</f>
        <v>Côtes-D'Armor</v>
      </c>
      <c r="B343" t="str">
        <f ca="1">IFERROR(__xludf.DUMMYFUNCTION("""COMPUTED_VALUE"""),"FR521")</f>
        <v>FR521</v>
      </c>
    </row>
    <row r="344" spans="1:2" ht="12.5" x14ac:dyDescent="0.25">
      <c r="A344" t="str">
        <f ca="1">IFERROR(__xludf.DUMMYFUNCTION("""COMPUTED_VALUE"""),"Cottbus, Kreisfreie Stadt")</f>
        <v>Cottbus, Kreisfreie Stadt</v>
      </c>
      <c r="B344" t="str">
        <f ca="1">IFERROR(__xludf.DUMMYFUNCTION("""COMPUTED_VALUE"""),"DE422")</f>
        <v>DE422</v>
      </c>
    </row>
    <row r="345" spans="1:2" ht="12.5" x14ac:dyDescent="0.25">
      <c r="A345" t="str">
        <f ca="1">IFERROR(__xludf.DUMMYFUNCTION("""COMPUTED_VALUE"""),"Cova Da Beira")</f>
        <v>Cova Da Beira</v>
      </c>
      <c r="B345" t="str">
        <f ca="1">IFERROR(__xludf.DUMMYFUNCTION("""COMPUTED_VALUE"""),"PT16A")</f>
        <v>PT16A</v>
      </c>
    </row>
    <row r="346" spans="1:2" ht="12.5" x14ac:dyDescent="0.25">
      <c r="A346" t="str">
        <f ca="1">IFERROR(__xludf.DUMMYFUNCTION("""COMPUTED_VALUE"""),"Covasna")</f>
        <v>Covasna</v>
      </c>
      <c r="B346" t="str">
        <f ca="1">IFERROR(__xludf.DUMMYFUNCTION("""COMPUTED_VALUE"""),"RO123")</f>
        <v>RO123</v>
      </c>
    </row>
    <row r="347" spans="1:2" ht="12.5" x14ac:dyDescent="0.25">
      <c r="A347" t="str">
        <f ca="1">IFERROR(__xludf.DUMMYFUNCTION("""COMPUTED_VALUE"""),"Coventry")</f>
        <v>Coventry</v>
      </c>
      <c r="B347" t="str">
        <f ca="1">IFERROR(__xludf.DUMMYFUNCTION("""COMPUTED_VALUE"""),"UKG33")</f>
        <v>UKG33</v>
      </c>
    </row>
    <row r="348" spans="1:2" ht="12.5" x14ac:dyDescent="0.25">
      <c r="A348" t="str">
        <f ca="1">IFERROR(__xludf.DUMMYFUNCTION("""COMPUTED_VALUE"""),"Cremona")</f>
        <v>Cremona</v>
      </c>
      <c r="B348" t="str">
        <f ca="1">IFERROR(__xludf.DUMMYFUNCTION("""COMPUTED_VALUE"""),"ITC4A")</f>
        <v>ITC4A</v>
      </c>
    </row>
    <row r="349" spans="1:2" ht="12.5" x14ac:dyDescent="0.25">
      <c r="A349" t="str">
        <f ca="1">IFERROR(__xludf.DUMMYFUNCTION("""COMPUTED_VALUE"""),"Creuse")</f>
        <v>Creuse</v>
      </c>
      <c r="B349" t="str">
        <f ca="1">IFERROR(__xludf.DUMMYFUNCTION("""COMPUTED_VALUE"""),"FR632")</f>
        <v>FR632</v>
      </c>
    </row>
    <row r="350" spans="1:2" ht="12.5" x14ac:dyDescent="0.25">
      <c r="A350" t="str">
        <f ca="1">IFERROR(__xludf.DUMMYFUNCTION("""COMPUTED_VALUE"""),"Crotone")</f>
        <v>Crotone</v>
      </c>
      <c r="B350" t="str">
        <f ca="1">IFERROR(__xludf.DUMMYFUNCTION("""COMPUTED_VALUE"""),"ITF62")</f>
        <v>ITF62</v>
      </c>
    </row>
    <row r="351" spans="1:2" ht="12.5" x14ac:dyDescent="0.25">
      <c r="A351" t="str">
        <f ca="1">IFERROR(__xludf.DUMMYFUNCTION("""COMPUTED_VALUE"""),"Csongrad")</f>
        <v>Csongrad</v>
      </c>
      <c r="B351" t="str">
        <f ca="1">IFERROR(__xludf.DUMMYFUNCTION("""COMPUTED_VALUE"""),"HU333")</f>
        <v>HU333</v>
      </c>
    </row>
    <row r="352" spans="1:2" ht="12.5" x14ac:dyDescent="0.25">
      <c r="A352" t="str">
        <f ca="1">IFERROR(__xludf.DUMMYFUNCTION("""COMPUTED_VALUE"""),"Cuenca")</f>
        <v>Cuenca</v>
      </c>
      <c r="B352" t="str">
        <f ca="1">IFERROR(__xludf.DUMMYFUNCTION("""COMPUTED_VALUE"""),"ES423")</f>
        <v>ES423</v>
      </c>
    </row>
    <row r="353" spans="1:2" ht="12.5" x14ac:dyDescent="0.25">
      <c r="A353" t="str">
        <f ca="1">IFERROR(__xludf.DUMMYFUNCTION("""COMPUTED_VALUE"""),"Cumbria")</f>
        <v>Cumbria</v>
      </c>
      <c r="B353" t="str">
        <f ca="1">IFERROR(__xludf.DUMMYFUNCTION("""COMPUTED_VALUE"""),"UKD1")</f>
        <v>UKD1</v>
      </c>
    </row>
    <row r="354" spans="1:2" ht="12.5" x14ac:dyDescent="0.25">
      <c r="A354" t="str">
        <f ca="1">IFERROR(__xludf.DUMMYFUNCTION("""COMPUTED_VALUE"""),"Cuneo")</f>
        <v>Cuneo</v>
      </c>
      <c r="B354" t="str">
        <f ca="1">IFERROR(__xludf.DUMMYFUNCTION("""COMPUTED_VALUE"""),"ITC16")</f>
        <v>ITC16</v>
      </c>
    </row>
    <row r="355" spans="1:2" ht="12.5" x14ac:dyDescent="0.25">
      <c r="A355" t="str">
        <f ca="1">IFERROR(__xludf.DUMMYFUNCTION("""COMPUTED_VALUE"""),"Cuxhaven")</f>
        <v>Cuxhaven</v>
      </c>
      <c r="B355" t="str">
        <f ca="1">IFERROR(__xludf.DUMMYFUNCTION("""COMPUTED_VALUE"""),"DE932")</f>
        <v>DE932</v>
      </c>
    </row>
    <row r="356" spans="1:2" ht="12.5" x14ac:dyDescent="0.25">
      <c r="A356" t="str">
        <f ca="1">IFERROR(__xludf.DUMMYFUNCTION("""COMPUTED_VALUE"""),"Czestochowski")</f>
        <v>Czestochowski</v>
      </c>
      <c r="B356" t="str">
        <f ca="1">IFERROR(__xludf.DUMMYFUNCTION("""COMPUTED_VALUE"""),"PL224")</f>
        <v>PL224</v>
      </c>
    </row>
    <row r="357" spans="1:2" ht="12.5" x14ac:dyDescent="0.25">
      <c r="A357" t="str">
        <f ca="1">IFERROR(__xludf.DUMMYFUNCTION("""COMPUTED_VALUE"""),"Dachau")</f>
        <v>Dachau</v>
      </c>
      <c r="B357" t="str">
        <f ca="1">IFERROR(__xludf.DUMMYFUNCTION("""COMPUTED_VALUE"""),"DE217")</f>
        <v>DE217</v>
      </c>
    </row>
    <row r="358" spans="1:2" ht="12.5" x14ac:dyDescent="0.25">
      <c r="A358" t="str">
        <f ca="1">IFERROR(__xludf.DUMMYFUNCTION("""COMPUTED_VALUE"""),"Dahme-Spreewald")</f>
        <v>Dahme-Spreewald</v>
      </c>
      <c r="B358" t="str">
        <f ca="1">IFERROR(__xludf.DUMMYFUNCTION("""COMPUTED_VALUE"""),"DE424")</f>
        <v>DE424</v>
      </c>
    </row>
    <row r="359" spans="1:2" ht="12.5" x14ac:dyDescent="0.25">
      <c r="A359" t="str">
        <f ca="1">IFERROR(__xludf.DUMMYFUNCTION("""COMPUTED_VALUE"""),"Dalarnas Län")</f>
        <v>Dalarnas Län</v>
      </c>
      <c r="B359" t="str">
        <f ca="1">IFERROR(__xludf.DUMMYFUNCTION("""COMPUTED_VALUE"""),"SE312")</f>
        <v>SE312</v>
      </c>
    </row>
    <row r="360" spans="1:2" ht="12.5" x14ac:dyDescent="0.25">
      <c r="A360" t="str">
        <f ca="1">IFERROR(__xludf.DUMMYFUNCTION("""COMPUTED_VALUE"""),"Dambovita")</f>
        <v>Dambovita</v>
      </c>
      <c r="B360" t="str">
        <f ca="1">IFERROR(__xludf.DUMMYFUNCTION("""COMPUTED_VALUE"""),"RO313")</f>
        <v>RO313</v>
      </c>
    </row>
    <row r="361" spans="1:2" ht="12.5" x14ac:dyDescent="0.25">
      <c r="A361" t="str">
        <f ca="1">IFERROR(__xludf.DUMMYFUNCTION("""COMPUTED_VALUE"""),"Danmark")</f>
        <v>Danmark</v>
      </c>
      <c r="B361" t="str">
        <f ca="1">IFERROR(__xludf.DUMMYFUNCTION("""COMPUTED_VALUE"""),"DK")</f>
        <v>DK</v>
      </c>
    </row>
    <row r="362" spans="1:2" ht="12.5" x14ac:dyDescent="0.25">
      <c r="A362" t="str">
        <f ca="1">IFERROR(__xludf.DUMMYFUNCTION("""COMPUTED_VALUE"""),"Danmark (*)")</f>
        <v>Danmark (*)</v>
      </c>
      <c r="B362" t="str">
        <f ca="1">IFERROR(__xludf.DUMMYFUNCTION("""COMPUTED_VALUE"""),"DK0")</f>
        <v>DK0</v>
      </c>
    </row>
    <row r="363" spans="1:2" ht="12.5" x14ac:dyDescent="0.25">
      <c r="A363" t="str">
        <f ca="1">IFERROR(__xludf.DUMMYFUNCTION("""COMPUTED_VALUE"""),"Dâo-Lafôes")</f>
        <v>Dâo-Lafôes</v>
      </c>
      <c r="B363" t="str">
        <f ca="1">IFERROR(__xludf.DUMMYFUNCTION("""COMPUTED_VALUE"""),"PT165")</f>
        <v>PT165</v>
      </c>
    </row>
    <row r="364" spans="1:2" ht="12.5" x14ac:dyDescent="0.25">
      <c r="A364" t="str">
        <f ca="1">IFERROR(__xludf.DUMMYFUNCTION("""COMPUTED_VALUE"""),"Darlington")</f>
        <v>Darlington</v>
      </c>
      <c r="B364" t="str">
        <f ca="1">IFERROR(__xludf.DUMMYFUNCTION("""COMPUTED_VALUE"""),"UKC13")</f>
        <v>UKC13</v>
      </c>
    </row>
    <row r="365" spans="1:2" ht="12.5" x14ac:dyDescent="0.25">
      <c r="A365" t="str">
        <f ca="1">IFERROR(__xludf.DUMMYFUNCTION("""COMPUTED_VALUE"""),"Darmstadt")</f>
        <v>Darmstadt</v>
      </c>
      <c r="B365" t="str">
        <f ca="1">IFERROR(__xludf.DUMMYFUNCTION("""COMPUTED_VALUE"""),"DE71")</f>
        <v>DE71</v>
      </c>
    </row>
    <row r="366" spans="1:2" ht="12.5" x14ac:dyDescent="0.25">
      <c r="A366" t="str">
        <f ca="1">IFERROR(__xludf.DUMMYFUNCTION("""COMPUTED_VALUE"""),"Darmstadt-Dieburg")</f>
        <v>Darmstadt-Dieburg</v>
      </c>
      <c r="B366" t="str">
        <f ca="1">IFERROR(__xludf.DUMMYFUNCTION("""COMPUTED_VALUE"""),"DE716")</f>
        <v>DE716</v>
      </c>
    </row>
    <row r="367" spans="1:2" ht="12.5" x14ac:dyDescent="0.25">
      <c r="A367" t="str">
        <f ca="1">IFERROR(__xludf.DUMMYFUNCTION("""COMPUTED_VALUE"""),"Darmstadt, Kreisfreie Stadt")</f>
        <v>Darmstadt, Kreisfreie Stadt</v>
      </c>
      <c r="B367" t="str">
        <f ca="1">IFERROR(__xludf.DUMMYFUNCTION("""COMPUTED_VALUE"""),"DE711")</f>
        <v>DE711</v>
      </c>
    </row>
    <row r="368" spans="1:2" ht="12.5" x14ac:dyDescent="0.25">
      <c r="A368" t="str">
        <f ca="1">IFERROR(__xludf.DUMMYFUNCTION("""COMPUTED_VALUE"""),"Daun")</f>
        <v>Daun</v>
      </c>
      <c r="B368" t="str">
        <f ca="1">IFERROR(__xludf.DUMMYFUNCTION("""COMPUTED_VALUE"""),"DEB24")</f>
        <v>DEB24</v>
      </c>
    </row>
    <row r="369" spans="1:2" ht="12.5" x14ac:dyDescent="0.25">
      <c r="A369" t="str">
        <f ca="1">IFERROR(__xludf.DUMMYFUNCTION("""COMPUTED_VALUE"""),"Deggendorf")</f>
        <v>Deggendorf</v>
      </c>
      <c r="B369" t="str">
        <f ca="1">IFERROR(__xludf.DUMMYFUNCTION("""COMPUTED_VALUE"""),"DE224")</f>
        <v>DE224</v>
      </c>
    </row>
    <row r="370" spans="1:2" ht="12.5" x14ac:dyDescent="0.25">
      <c r="A370" t="str">
        <f ca="1">IFERROR(__xludf.DUMMYFUNCTION("""COMPUTED_VALUE"""),"Del-Alfold")</f>
        <v>Del-Alfold</v>
      </c>
      <c r="B370" t="str">
        <f ca="1">IFERROR(__xludf.DUMMYFUNCTION("""COMPUTED_VALUE"""),"HU33")</f>
        <v>HU33</v>
      </c>
    </row>
    <row r="371" spans="1:2" ht="12.5" x14ac:dyDescent="0.25">
      <c r="A371" t="str">
        <f ca="1">IFERROR(__xludf.DUMMYFUNCTION("""COMPUTED_VALUE"""),"Del-Dunantul")</f>
        <v>Del-Dunantul</v>
      </c>
      <c r="B371" t="str">
        <f ca="1">IFERROR(__xludf.DUMMYFUNCTION("""COMPUTED_VALUE"""),"HU23")</f>
        <v>HU23</v>
      </c>
    </row>
    <row r="372" spans="1:2" ht="12.5" x14ac:dyDescent="0.25">
      <c r="A372" t="str">
        <f ca="1">IFERROR(__xludf.DUMMYFUNCTION("""COMPUTED_VALUE"""),"Delft En Westland")</f>
        <v>Delft En Westland</v>
      </c>
      <c r="B372" t="str">
        <f ca="1">IFERROR(__xludf.DUMMYFUNCTION("""COMPUTED_VALUE"""),"NL333")</f>
        <v>NL333</v>
      </c>
    </row>
    <row r="373" spans="1:2" ht="12.5" x14ac:dyDescent="0.25">
      <c r="A373" t="str">
        <f ca="1">IFERROR(__xludf.DUMMYFUNCTION("""COMPUTED_VALUE"""),"Delfzijl En Omgeving")</f>
        <v>Delfzijl En Omgeving</v>
      </c>
      <c r="B373" t="str">
        <f ca="1">IFERROR(__xludf.DUMMYFUNCTION("""COMPUTED_VALUE"""),"NL112")</f>
        <v>NL112</v>
      </c>
    </row>
    <row r="374" spans="1:2" ht="12.5" x14ac:dyDescent="0.25">
      <c r="A374" t="str">
        <f ca="1">IFERROR(__xludf.DUMMYFUNCTION("""COMPUTED_VALUE"""),"Delitzsch")</f>
        <v>Delitzsch</v>
      </c>
      <c r="B374" t="str">
        <f ca="1">IFERROR(__xludf.DUMMYFUNCTION("""COMPUTED_VALUE"""),"DED32")</f>
        <v>DED32</v>
      </c>
    </row>
    <row r="375" spans="1:2" ht="12.5" x14ac:dyDescent="0.25">
      <c r="A375" t="str">
        <f ca="1">IFERROR(__xludf.DUMMYFUNCTION("""COMPUTED_VALUE"""),"Delmenhorst, Kreisfreie Stadt")</f>
        <v>Delmenhorst, Kreisfreie Stadt</v>
      </c>
      <c r="B375" t="str">
        <f ca="1">IFERROR(__xludf.DUMMYFUNCTION("""COMPUTED_VALUE"""),"DE941")</f>
        <v>DE941</v>
      </c>
    </row>
    <row r="376" spans="1:2" ht="12.5" x14ac:dyDescent="0.25">
      <c r="A376" t="str">
        <f ca="1">IFERROR(__xludf.DUMMYFUNCTION("""COMPUTED_VALUE"""),"Demmin")</f>
        <v>Demmin</v>
      </c>
      <c r="B376" t="str">
        <f ca="1">IFERROR(__xludf.DUMMYFUNCTION("""COMPUTED_VALUE"""),"DE808")</f>
        <v>DE808</v>
      </c>
    </row>
    <row r="377" spans="1:2" ht="12.5" x14ac:dyDescent="0.25">
      <c r="A377" t="str">
        <f ca="1">IFERROR(__xludf.DUMMYFUNCTION("""COMPUTED_VALUE"""),"Départements D'Outre-Mer")</f>
        <v>Départements D'Outre-Mer</v>
      </c>
      <c r="B377" t="str">
        <f ca="1">IFERROR(__xludf.DUMMYFUNCTION("""COMPUTED_VALUE"""),"FR9")</f>
        <v>FR9</v>
      </c>
    </row>
    <row r="378" spans="1:2" ht="12.5" x14ac:dyDescent="0.25">
      <c r="A378" t="str">
        <f ca="1">IFERROR(__xludf.DUMMYFUNCTION("""COMPUTED_VALUE"""),"Derby")</f>
        <v>Derby</v>
      </c>
      <c r="B378" t="str">
        <f ca="1">IFERROR(__xludf.DUMMYFUNCTION("""COMPUTED_VALUE"""),"UKF11")</f>
        <v>UKF11</v>
      </c>
    </row>
    <row r="379" spans="1:2" ht="12.5" x14ac:dyDescent="0.25">
      <c r="A379" t="str">
        <f ca="1">IFERROR(__xludf.DUMMYFUNCTION("""COMPUTED_VALUE"""),"Derbyshire And Nottinghamshire")</f>
        <v>Derbyshire And Nottinghamshire</v>
      </c>
      <c r="B379" t="str">
        <f ca="1">IFERROR(__xludf.DUMMYFUNCTION("""COMPUTED_VALUE"""),"UKF1")</f>
        <v>UKF1</v>
      </c>
    </row>
    <row r="380" spans="1:2" ht="12.5" x14ac:dyDescent="0.25">
      <c r="A380" t="str">
        <f ca="1">IFERROR(__xludf.DUMMYFUNCTION("""COMPUTED_VALUE"""),"Dessau-Roßlau, Kreisfreie Stadt")</f>
        <v>Dessau-Roßlau, Kreisfreie Stadt</v>
      </c>
      <c r="B380" t="str">
        <f ca="1">IFERROR(__xludf.DUMMYFUNCTION("""COMPUTED_VALUE"""),"DEE01")</f>
        <v>DEE01</v>
      </c>
    </row>
    <row r="381" spans="1:2" ht="12.5" x14ac:dyDescent="0.25">
      <c r="A381" t="str">
        <f ca="1">IFERROR(__xludf.DUMMYFUNCTION("""COMPUTED_VALUE"""),"Detmold")</f>
        <v>Detmold</v>
      </c>
      <c r="B381" t="str">
        <f ca="1">IFERROR(__xludf.DUMMYFUNCTION("""COMPUTED_VALUE"""),"DEA4")</f>
        <v>DEA4</v>
      </c>
    </row>
    <row r="382" spans="1:2" ht="12.5" x14ac:dyDescent="0.25">
      <c r="A382" t="str">
        <f ca="1">IFERROR(__xludf.DUMMYFUNCTION("""COMPUTED_VALUE"""),"Deutschland")</f>
        <v>Deutschland</v>
      </c>
      <c r="B382" t="str">
        <f ca="1">IFERROR(__xludf.DUMMYFUNCTION("""COMPUTED_VALUE"""),"DE")</f>
        <v>DE</v>
      </c>
    </row>
    <row r="383" spans="1:2" ht="12.5" x14ac:dyDescent="0.25">
      <c r="A383" t="str">
        <f ca="1">IFERROR(__xludf.DUMMYFUNCTION("""COMPUTED_VALUE"""),"Deux-Sèvres")</f>
        <v>Deux-Sèvres</v>
      </c>
      <c r="B383" t="str">
        <f ca="1">IFERROR(__xludf.DUMMYFUNCTION("""COMPUTED_VALUE"""),"FR533")</f>
        <v>FR533</v>
      </c>
    </row>
    <row r="384" spans="1:2" ht="12.5" x14ac:dyDescent="0.25">
      <c r="A384" t="str">
        <f ca="1">IFERROR(__xludf.DUMMYFUNCTION("""COMPUTED_VALUE"""),"Devon")</f>
        <v>Devon</v>
      </c>
      <c r="B384" t="str">
        <f ca="1">IFERROR(__xludf.DUMMYFUNCTION("""COMPUTED_VALUE"""),"UKK4")</f>
        <v>UKK4</v>
      </c>
    </row>
    <row r="385" spans="1:2" ht="12.5" x14ac:dyDescent="0.25">
      <c r="A385" t="str">
        <f ca="1">IFERROR(__xludf.DUMMYFUNCTION("""COMPUTED_VALUE"""),"Devon Cc")</f>
        <v>Devon Cc</v>
      </c>
      <c r="B385" t="str">
        <f ca="1">IFERROR(__xludf.DUMMYFUNCTION("""COMPUTED_VALUE"""),"UKK43")</f>
        <v>UKK43</v>
      </c>
    </row>
    <row r="386" spans="1:2" ht="12.5" x14ac:dyDescent="0.25">
      <c r="A386" t="str">
        <f ca="1">IFERROR(__xludf.DUMMYFUNCTION("""COMPUTED_VALUE"""),"Diepholz")</f>
        <v>Diepholz</v>
      </c>
      <c r="B386" t="str">
        <f ca="1">IFERROR(__xludf.DUMMYFUNCTION("""COMPUTED_VALUE"""),"DE922")</f>
        <v>DE922</v>
      </c>
    </row>
    <row r="387" spans="1:2" ht="12.5" x14ac:dyDescent="0.25">
      <c r="A387" t="str">
        <f ca="1">IFERROR(__xludf.DUMMYFUNCTION("""COMPUTED_VALUE"""),"Dillingen A.D. Donau")</f>
        <v>Dillingen A.D. Donau</v>
      </c>
      <c r="B387" t="str">
        <f ca="1">IFERROR(__xludf.DUMMYFUNCTION("""COMPUTED_VALUE"""),"DE277")</f>
        <v>DE277</v>
      </c>
    </row>
    <row r="388" spans="1:2" ht="12.5" x14ac:dyDescent="0.25">
      <c r="A388" t="str">
        <f ca="1">IFERROR(__xludf.DUMMYFUNCTION("""COMPUTED_VALUE"""),"Dingolfing-Landau")</f>
        <v>Dingolfing-Landau</v>
      </c>
      <c r="B388" t="str">
        <f ca="1">IFERROR(__xludf.DUMMYFUNCTION("""COMPUTED_VALUE"""),"DE22C")</f>
        <v>DE22C</v>
      </c>
    </row>
    <row r="389" spans="1:2" ht="12.5" x14ac:dyDescent="0.25">
      <c r="A389" t="str">
        <f ca="1">IFERROR(__xludf.DUMMYFUNCTION("""COMPUTED_VALUE"""),"Dithmarschen")</f>
        <v>Dithmarschen</v>
      </c>
      <c r="B389" t="str">
        <f ca="1">IFERROR(__xludf.DUMMYFUNCTION("""COMPUTED_VALUE"""),"DEF05")</f>
        <v>DEF05</v>
      </c>
    </row>
    <row r="390" spans="1:2" ht="12.5" x14ac:dyDescent="0.25">
      <c r="A390" t="str">
        <f ca="1">IFERROR(__xludf.DUMMYFUNCTION("""COMPUTED_VALUE"""),"Döbeln")</f>
        <v>Döbeln</v>
      </c>
      <c r="B390" t="str">
        <f ca="1">IFERROR(__xludf.DUMMYFUNCTION("""COMPUTED_VALUE"""),"DED33")</f>
        <v>DED33</v>
      </c>
    </row>
    <row r="391" spans="1:2" ht="12.5" x14ac:dyDescent="0.25">
      <c r="A391" t="str">
        <f ca="1">IFERROR(__xludf.DUMMYFUNCTION("""COMPUTED_VALUE"""),"Dobrich")</f>
        <v>Dobrich</v>
      </c>
      <c r="B391" t="str">
        <f ca="1">IFERROR(__xludf.DUMMYFUNCTION("""COMPUTED_VALUE"""),"BG332")</f>
        <v>BG332</v>
      </c>
    </row>
    <row r="392" spans="1:2" ht="12.5" x14ac:dyDescent="0.25">
      <c r="A392" t="str">
        <f ca="1">IFERROR(__xludf.DUMMYFUNCTION("""COMPUTED_VALUE"""),"Dodekanisos")</f>
        <v>Dodekanisos</v>
      </c>
      <c r="B392" t="str">
        <f ca="1">IFERROR(__xludf.DUMMYFUNCTION("""COMPUTED_VALUE"""),"GR421")</f>
        <v>GR421</v>
      </c>
    </row>
    <row r="393" spans="1:2" ht="12.5" x14ac:dyDescent="0.25">
      <c r="A393" t="str">
        <f ca="1">IFERROR(__xludf.DUMMYFUNCTION("""COMPUTED_VALUE"""),"Dolj")</f>
        <v>Dolj</v>
      </c>
      <c r="B393" t="str">
        <f ca="1">IFERROR(__xludf.DUMMYFUNCTION("""COMPUTED_VALUE"""),"RO411")</f>
        <v>RO411</v>
      </c>
    </row>
    <row r="394" spans="1:2" ht="12.5" x14ac:dyDescent="0.25">
      <c r="A394" t="str">
        <f ca="1">IFERROR(__xludf.DUMMYFUNCTION("""COMPUTED_VALUE"""),"Dolnoslaskie")</f>
        <v>Dolnoslaskie</v>
      </c>
      <c r="B394" t="str">
        <f ca="1">IFERROR(__xludf.DUMMYFUNCTION("""COMPUTED_VALUE"""),"PL51")</f>
        <v>PL51</v>
      </c>
    </row>
    <row r="395" spans="1:2" ht="12.5" x14ac:dyDescent="0.25">
      <c r="A395" t="str">
        <f ca="1">IFERROR(__xludf.DUMMYFUNCTION("""COMPUTED_VALUE"""),"Donau-Ries")</f>
        <v>Donau-Ries</v>
      </c>
      <c r="B395" t="str">
        <f ca="1">IFERROR(__xludf.DUMMYFUNCTION("""COMPUTED_VALUE"""),"DE27D")</f>
        <v>DE27D</v>
      </c>
    </row>
    <row r="396" spans="1:2" ht="12.5" x14ac:dyDescent="0.25">
      <c r="A396" t="str">
        <f ca="1">IFERROR(__xludf.DUMMYFUNCTION("""COMPUTED_VALUE"""),"Donnersbergkreis")</f>
        <v>Donnersbergkreis</v>
      </c>
      <c r="B396" t="str">
        <f ca="1">IFERROR(__xludf.DUMMYFUNCTION("""COMPUTED_VALUE"""),"DEB3D")</f>
        <v>DEB3D</v>
      </c>
    </row>
    <row r="397" spans="1:2" ht="12.5" x14ac:dyDescent="0.25">
      <c r="A397" t="str">
        <f ca="1">IFERROR(__xludf.DUMMYFUNCTION("""COMPUTED_VALUE"""),"Dordogne")</f>
        <v>Dordogne</v>
      </c>
      <c r="B397" t="str">
        <f ca="1">IFERROR(__xludf.DUMMYFUNCTION("""COMPUTED_VALUE"""),"FR611")</f>
        <v>FR611</v>
      </c>
    </row>
    <row r="398" spans="1:2" ht="12.5" x14ac:dyDescent="0.25">
      <c r="A398" t="str">
        <f ca="1">IFERROR(__xludf.DUMMYFUNCTION("""COMPUTED_VALUE"""),"Dorset And Somerset")</f>
        <v>Dorset And Somerset</v>
      </c>
      <c r="B398" t="str">
        <f ca="1">IFERROR(__xludf.DUMMYFUNCTION("""COMPUTED_VALUE"""),"UKK2")</f>
        <v>UKK2</v>
      </c>
    </row>
    <row r="399" spans="1:2" ht="12.5" x14ac:dyDescent="0.25">
      <c r="A399" t="str">
        <f ca="1">IFERROR(__xludf.DUMMYFUNCTION("""COMPUTED_VALUE"""),"Dorset Cc")</f>
        <v>Dorset Cc</v>
      </c>
      <c r="B399" t="str">
        <f ca="1">IFERROR(__xludf.DUMMYFUNCTION("""COMPUTED_VALUE"""),"UKK22")</f>
        <v>UKK22</v>
      </c>
    </row>
    <row r="400" spans="1:2" ht="12.5" x14ac:dyDescent="0.25">
      <c r="A400" t="str">
        <f ca="1">IFERROR(__xludf.DUMMYFUNCTION("""COMPUTED_VALUE"""),"Dortmund, Kreisfreie Stadt")</f>
        <v>Dortmund, Kreisfreie Stadt</v>
      </c>
      <c r="B400" t="str">
        <f ca="1">IFERROR(__xludf.DUMMYFUNCTION("""COMPUTED_VALUE"""),"DEA52")</f>
        <v>DEA52</v>
      </c>
    </row>
    <row r="401" spans="1:2" ht="12.5" x14ac:dyDescent="0.25">
      <c r="A401" t="str">
        <f ca="1">IFERROR(__xludf.DUMMYFUNCTION("""COMPUTED_VALUE"""),"Doubs")</f>
        <v>Doubs</v>
      </c>
      <c r="B401" t="str">
        <f ca="1">IFERROR(__xludf.DUMMYFUNCTION("""COMPUTED_VALUE"""),"FR431")</f>
        <v>FR431</v>
      </c>
    </row>
    <row r="402" spans="1:2" ht="12.5" x14ac:dyDescent="0.25">
      <c r="A402" t="str">
        <f ca="1">IFERROR(__xludf.DUMMYFUNCTION("""COMPUTED_VALUE"""),"Douro")</f>
        <v>Douro</v>
      </c>
      <c r="B402" t="str">
        <f ca="1">IFERROR(__xludf.DUMMYFUNCTION("""COMPUTED_VALUE"""),"PT117")</f>
        <v>PT117</v>
      </c>
    </row>
    <row r="403" spans="1:2" ht="12.5" x14ac:dyDescent="0.25">
      <c r="A403" t="str">
        <f ca="1">IFERROR(__xludf.DUMMYFUNCTION("""COMPUTED_VALUE"""),"Drama")</f>
        <v>Drama</v>
      </c>
      <c r="B403" t="str">
        <f ca="1">IFERROR(__xludf.DUMMYFUNCTION("""COMPUTED_VALUE"""),"GR114")</f>
        <v>GR114</v>
      </c>
    </row>
    <row r="404" spans="1:2" ht="12.5" x14ac:dyDescent="0.25">
      <c r="A404" t="str">
        <f ca="1">IFERROR(__xludf.DUMMYFUNCTION("""COMPUTED_VALUE"""),"Drenthe")</f>
        <v>Drenthe</v>
      </c>
      <c r="B404" t="str">
        <f ca="1">IFERROR(__xludf.DUMMYFUNCTION("""COMPUTED_VALUE"""),"NL13")</f>
        <v>NL13</v>
      </c>
    </row>
    <row r="405" spans="1:2" ht="12.5" x14ac:dyDescent="0.25">
      <c r="A405" t="str">
        <f ca="1">IFERROR(__xludf.DUMMYFUNCTION("""COMPUTED_VALUE"""),"Dresden")</f>
        <v>Dresden</v>
      </c>
      <c r="B405" t="str">
        <f ca="1">IFERROR(__xludf.DUMMYFUNCTION("""COMPUTED_VALUE"""),"DED2")</f>
        <v>DED2</v>
      </c>
    </row>
    <row r="406" spans="1:2" ht="12.5" x14ac:dyDescent="0.25">
      <c r="A406" t="str">
        <f ca="1">IFERROR(__xludf.DUMMYFUNCTION("""COMPUTED_VALUE"""),"Dresden, Kreisfreie Stadt")</f>
        <v>Dresden, Kreisfreie Stadt</v>
      </c>
      <c r="B406" t="str">
        <f ca="1">IFERROR(__xludf.DUMMYFUNCTION("""COMPUTED_VALUE"""),"DED21")</f>
        <v>DED21</v>
      </c>
    </row>
    <row r="407" spans="1:2" ht="12.5" x14ac:dyDescent="0.25">
      <c r="A407" t="str">
        <f ca="1">IFERROR(__xludf.DUMMYFUNCTION("""COMPUTED_VALUE"""),"Drôme")</f>
        <v>Drôme</v>
      </c>
      <c r="B407" t="str">
        <f ca="1">IFERROR(__xludf.DUMMYFUNCTION("""COMPUTED_VALUE"""),"FR713")</f>
        <v>FR713</v>
      </c>
    </row>
    <row r="408" spans="1:2" ht="12.5" x14ac:dyDescent="0.25">
      <c r="A408" t="str">
        <f ca="1">IFERROR(__xludf.DUMMYFUNCTION("""COMPUTED_VALUE"""),"Dublin")</f>
        <v>Dublin</v>
      </c>
      <c r="B408" t="str">
        <f ca="1">IFERROR(__xludf.DUMMYFUNCTION("""COMPUTED_VALUE"""),"IE021")</f>
        <v>IE021</v>
      </c>
    </row>
    <row r="409" spans="1:2" ht="12.5" x14ac:dyDescent="0.25">
      <c r="A409" t="str">
        <f ca="1">IFERROR(__xludf.DUMMYFUNCTION("""COMPUTED_VALUE"""),"Dudley And Sandwell")</f>
        <v>Dudley And Sandwell</v>
      </c>
      <c r="B409" t="str">
        <f ca="1">IFERROR(__xludf.DUMMYFUNCTION("""COMPUTED_VALUE"""),"UKG34")</f>
        <v>UKG34</v>
      </c>
    </row>
    <row r="410" spans="1:2" ht="12.5" x14ac:dyDescent="0.25">
      <c r="A410" t="str">
        <f ca="1">IFERROR(__xludf.DUMMYFUNCTION("""COMPUTED_VALUE"""),"Duisburg, Kreisfreie Stadt")</f>
        <v>Duisburg, Kreisfreie Stadt</v>
      </c>
      <c r="B410" t="str">
        <f ca="1">IFERROR(__xludf.DUMMYFUNCTION("""COMPUTED_VALUE"""),"DEA12")</f>
        <v>DEA12</v>
      </c>
    </row>
    <row r="411" spans="1:2" ht="12.5" x14ac:dyDescent="0.25">
      <c r="A411" t="str">
        <f ca="1">IFERROR(__xludf.DUMMYFUNCTION("""COMPUTED_VALUE"""),"Dumfries &amp; Galloway")</f>
        <v>Dumfries &amp; Galloway</v>
      </c>
      <c r="B411" t="str">
        <f ca="1">IFERROR(__xludf.DUMMYFUNCTION("""COMPUTED_VALUE"""),"UKM32")</f>
        <v>UKM32</v>
      </c>
    </row>
    <row r="412" spans="1:2" ht="12.5" x14ac:dyDescent="0.25">
      <c r="A412" t="str">
        <f ca="1">IFERROR(__xludf.DUMMYFUNCTION("""COMPUTED_VALUE"""),"Dunantul")</f>
        <v>Dunantul</v>
      </c>
      <c r="B412" t="str">
        <f ca="1">IFERROR(__xludf.DUMMYFUNCTION("""COMPUTED_VALUE"""),"HU2")</f>
        <v>HU2</v>
      </c>
    </row>
    <row r="413" spans="1:2" ht="12.5" x14ac:dyDescent="0.25">
      <c r="A413" t="str">
        <f ca="1">IFERROR(__xludf.DUMMYFUNCTION("""COMPUTED_VALUE"""),"Düren")</f>
        <v>Düren</v>
      </c>
      <c r="B413" t="str">
        <f ca="1">IFERROR(__xludf.DUMMYFUNCTION("""COMPUTED_VALUE"""),"DEA26")</f>
        <v>DEA26</v>
      </c>
    </row>
    <row r="414" spans="1:2" ht="12.5" x14ac:dyDescent="0.25">
      <c r="A414" t="str">
        <f ca="1">IFERROR(__xludf.DUMMYFUNCTION("""COMPUTED_VALUE"""),"Durham Cc")</f>
        <v>Durham Cc</v>
      </c>
      <c r="B414" t="str">
        <f ca="1">IFERROR(__xludf.DUMMYFUNCTION("""COMPUTED_VALUE"""),"UKC14")</f>
        <v>UKC14</v>
      </c>
    </row>
    <row r="415" spans="1:2" ht="12.5" x14ac:dyDescent="0.25">
      <c r="A415" t="str">
        <f ca="1">IFERROR(__xludf.DUMMYFUNCTION("""COMPUTED_VALUE"""),"Düsseldorf")</f>
        <v>Düsseldorf</v>
      </c>
      <c r="B415" t="str">
        <f ca="1">IFERROR(__xludf.DUMMYFUNCTION("""COMPUTED_VALUE"""),"DEA1")</f>
        <v>DEA1</v>
      </c>
    </row>
    <row r="416" spans="1:2" ht="12.5" x14ac:dyDescent="0.25">
      <c r="A416" t="str">
        <f ca="1">IFERROR(__xludf.DUMMYFUNCTION("""COMPUTED_VALUE"""),"Düsseldorf, Kreisfreie Stadt")</f>
        <v>Düsseldorf, Kreisfreie Stadt</v>
      </c>
      <c r="B416" t="str">
        <f ca="1">IFERROR(__xludf.DUMMYFUNCTION("""COMPUTED_VALUE"""),"DEA11")</f>
        <v>DEA11</v>
      </c>
    </row>
    <row r="417" spans="1:2" ht="12.5" x14ac:dyDescent="0.25">
      <c r="A417" t="str">
        <f ca="1">IFERROR(__xludf.DUMMYFUNCTION("""COMPUTED_VALUE"""),"Dytiki Ellada")</f>
        <v>Dytiki Ellada</v>
      </c>
      <c r="B417" t="str">
        <f ca="1">IFERROR(__xludf.DUMMYFUNCTION("""COMPUTED_VALUE"""),"GR23")</f>
        <v>GR23</v>
      </c>
    </row>
    <row r="418" spans="1:2" ht="12.5" x14ac:dyDescent="0.25">
      <c r="A418" t="str">
        <f ca="1">IFERROR(__xludf.DUMMYFUNCTION("""COMPUTED_VALUE"""),"Dytiki Makedonia")</f>
        <v>Dytiki Makedonia</v>
      </c>
      <c r="B418" t="str">
        <f ca="1">IFERROR(__xludf.DUMMYFUNCTION("""COMPUTED_VALUE"""),"GR13")</f>
        <v>GR13</v>
      </c>
    </row>
    <row r="419" spans="1:2" ht="12.5" x14ac:dyDescent="0.25">
      <c r="A419" t="str">
        <f ca="1">IFERROR(__xludf.DUMMYFUNCTION("""COMPUTED_VALUE"""),"East Anglia")</f>
        <v>East Anglia</v>
      </c>
      <c r="B419" t="str">
        <f ca="1">IFERROR(__xludf.DUMMYFUNCTION("""COMPUTED_VALUE"""),"UKH1")</f>
        <v>UKH1</v>
      </c>
    </row>
    <row r="420" spans="1:2" ht="12.5" x14ac:dyDescent="0.25">
      <c r="A420" t="str">
        <f ca="1">IFERROR(__xludf.DUMMYFUNCTION("""COMPUTED_VALUE"""),"East Ayrshire And North Ayrshire Mainland")</f>
        <v>East Ayrshire And North Ayrshire Mainland</v>
      </c>
      <c r="B420" t="str">
        <f ca="1">IFERROR(__xludf.DUMMYFUNCTION("""COMPUTED_VALUE"""),"UKM33")</f>
        <v>UKM33</v>
      </c>
    </row>
    <row r="421" spans="1:2" ht="12.5" x14ac:dyDescent="0.25">
      <c r="A421" t="str">
        <f ca="1">IFERROR(__xludf.DUMMYFUNCTION("""COMPUTED_VALUE"""),"East Cumbria")</f>
        <v>East Cumbria</v>
      </c>
      <c r="B421" t="str">
        <f ca="1">IFERROR(__xludf.DUMMYFUNCTION("""COMPUTED_VALUE"""),"UKD12")</f>
        <v>UKD12</v>
      </c>
    </row>
    <row r="422" spans="1:2" ht="12.5" x14ac:dyDescent="0.25">
      <c r="A422" t="str">
        <f ca="1">IFERROR(__xludf.DUMMYFUNCTION("""COMPUTED_VALUE"""),"East Derbyshire")</f>
        <v>East Derbyshire</v>
      </c>
      <c r="B422" t="str">
        <f ca="1">IFERROR(__xludf.DUMMYFUNCTION("""COMPUTED_VALUE"""),"UKF12")</f>
        <v>UKF12</v>
      </c>
    </row>
    <row r="423" spans="1:2" ht="12.5" x14ac:dyDescent="0.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x14ac:dyDescent="0.25">
      <c r="A424" t="str">
        <f ca="1">IFERROR(__xludf.DUMMYFUNCTION("""COMPUTED_VALUE"""),"East Lothian And Midlothian")</f>
        <v>East Lothian And Midlothian</v>
      </c>
      <c r="B424" t="str">
        <f ca="1">IFERROR(__xludf.DUMMYFUNCTION("""COMPUTED_VALUE"""),"UKM23")</f>
        <v>UKM23</v>
      </c>
    </row>
    <row r="425" spans="1:2" ht="12.5" x14ac:dyDescent="0.25">
      <c r="A425" t="str">
        <f ca="1">IFERROR(__xludf.DUMMYFUNCTION("""COMPUTED_VALUE"""),"East Merseyside")</f>
        <v>East Merseyside</v>
      </c>
      <c r="B425" t="str">
        <f ca="1">IFERROR(__xludf.DUMMYFUNCTION("""COMPUTED_VALUE"""),"UKD51")</f>
        <v>UKD51</v>
      </c>
    </row>
    <row r="426" spans="1:2" ht="12.5" x14ac:dyDescent="0.25">
      <c r="A426" t="str">
        <f ca="1">IFERROR(__xludf.DUMMYFUNCTION("""COMPUTED_VALUE"""),"East Midlands (England)")</f>
        <v>East Midlands (England)</v>
      </c>
      <c r="B426" t="str">
        <f ca="1">IFERROR(__xludf.DUMMYFUNCTION("""COMPUTED_VALUE"""),"UKF")</f>
        <v>UKF</v>
      </c>
    </row>
    <row r="427" spans="1:2" ht="12.5" x14ac:dyDescent="0.25">
      <c r="A427" t="str">
        <f ca="1">IFERROR(__xludf.DUMMYFUNCTION("""COMPUTED_VALUE"""),"East Of England")</f>
        <v>East Of England</v>
      </c>
      <c r="B427" t="str">
        <f ca="1">IFERROR(__xludf.DUMMYFUNCTION("""COMPUTED_VALUE"""),"UKH")</f>
        <v>UKH</v>
      </c>
    </row>
    <row r="428" spans="1:2" ht="12.5" x14ac:dyDescent="0.25">
      <c r="A428" t="str">
        <f ca="1">IFERROR(__xludf.DUMMYFUNCTION("""COMPUTED_VALUE"""),"East Of Northern Ireland")</f>
        <v>East Of Northern Ireland</v>
      </c>
      <c r="B428" t="str">
        <f ca="1">IFERROR(__xludf.DUMMYFUNCTION("""COMPUTED_VALUE"""),"UKN03")</f>
        <v>UKN03</v>
      </c>
    </row>
    <row r="429" spans="1:2" ht="12.5" x14ac:dyDescent="0.25">
      <c r="A429" t="str">
        <f ca="1">IFERROR(__xludf.DUMMYFUNCTION("""COMPUTED_VALUE"""),"East Riding Of Yorkshire")</f>
        <v>East Riding Of Yorkshire</v>
      </c>
      <c r="B429" t="str">
        <f ca="1">IFERROR(__xludf.DUMMYFUNCTION("""COMPUTED_VALUE"""),"UKE12")</f>
        <v>UKE12</v>
      </c>
    </row>
    <row r="430" spans="1:2" ht="12.5" x14ac:dyDescent="0.25">
      <c r="A430" t="str">
        <f ca="1">IFERROR(__xludf.DUMMYFUNCTION("""COMPUTED_VALUE"""),"East Sussex Cc")</f>
        <v>East Sussex Cc</v>
      </c>
      <c r="B430" t="str">
        <f ca="1">IFERROR(__xludf.DUMMYFUNCTION("""COMPUTED_VALUE"""),"UKJ22")</f>
        <v>UKJ22</v>
      </c>
    </row>
    <row r="431" spans="1:2" ht="12.5" x14ac:dyDescent="0.25">
      <c r="A431" t="str">
        <f ca="1">IFERROR(__xludf.DUMMYFUNCTION("""COMPUTED_VALUE"""),"East Wales")</f>
        <v>East Wales</v>
      </c>
      <c r="B431" t="str">
        <f ca="1">IFERROR(__xludf.DUMMYFUNCTION("""COMPUTED_VALUE"""),"UKL2")</f>
        <v>UKL2</v>
      </c>
    </row>
    <row r="432" spans="1:2" ht="12.5" x14ac:dyDescent="0.25">
      <c r="A432" t="str">
        <f ca="1">IFERROR(__xludf.DUMMYFUNCTION("""COMPUTED_VALUE"""),"East Yorkshire And Northern Lincolnshire")</f>
        <v>East Yorkshire And Northern Lincolnshire</v>
      </c>
      <c r="B432" t="str">
        <f ca="1">IFERROR(__xludf.DUMMYFUNCTION("""COMPUTED_VALUE"""),"UKE1")</f>
        <v>UKE1</v>
      </c>
    </row>
    <row r="433" spans="1:2" ht="12.5" x14ac:dyDescent="0.25">
      <c r="A433" t="str">
        <f ca="1">IFERROR(__xludf.DUMMYFUNCTION("""COMPUTED_VALUE"""),"Eastern Scotland")</f>
        <v>Eastern Scotland</v>
      </c>
      <c r="B433" t="str">
        <f ca="1">IFERROR(__xludf.DUMMYFUNCTION("""COMPUTED_VALUE"""),"UKM2")</f>
        <v>UKM2</v>
      </c>
    </row>
    <row r="434" spans="1:2" ht="12.5" x14ac:dyDescent="0.25">
      <c r="A434" t="str">
        <f ca="1">IFERROR(__xludf.DUMMYFUNCTION("""COMPUTED_VALUE"""),"Ebersberg")</f>
        <v>Ebersberg</v>
      </c>
      <c r="B434" t="str">
        <f ca="1">IFERROR(__xludf.DUMMYFUNCTION("""COMPUTED_VALUE"""),"DE218")</f>
        <v>DE218</v>
      </c>
    </row>
    <row r="435" spans="1:2" ht="12.5" x14ac:dyDescent="0.25">
      <c r="A435" t="str">
        <f ca="1">IFERROR(__xludf.DUMMYFUNCTION("""COMPUTED_VALUE"""),"Edinburgh, City Of")</f>
        <v>Edinburgh, City Of</v>
      </c>
      <c r="B435" t="str">
        <f ca="1">IFERROR(__xludf.DUMMYFUNCTION("""COMPUTED_VALUE"""),"UKM25")</f>
        <v>UKM25</v>
      </c>
    </row>
    <row r="436" spans="1:2" ht="12.5" x14ac:dyDescent="0.25">
      <c r="A436" t="str">
        <f ca="1">IFERROR(__xludf.DUMMYFUNCTION("""COMPUTED_VALUE"""),"Eesti")</f>
        <v>Eesti</v>
      </c>
      <c r="B436" t="str">
        <f ca="1">IFERROR(__xludf.DUMMYFUNCTION("""COMPUTED_VALUE"""),"EE")</f>
        <v>EE</v>
      </c>
    </row>
    <row r="437" spans="1:2" ht="12.5" x14ac:dyDescent="0.25">
      <c r="A437" t="str">
        <f ca="1">IFERROR(__xludf.DUMMYFUNCTION("""COMPUTED_VALUE"""),"Eesti (*)")</f>
        <v>Eesti (*)</v>
      </c>
      <c r="B437" t="str">
        <f ca="1">IFERROR(__xludf.DUMMYFUNCTION("""COMPUTED_VALUE"""),"EE0")</f>
        <v>EE0</v>
      </c>
    </row>
    <row r="438" spans="1:2" ht="12.5" x14ac:dyDescent="0.25">
      <c r="A438" t="str">
        <f ca="1">IFERROR(__xludf.DUMMYFUNCTION("""COMPUTED_VALUE"""),"Eesti (**)")</f>
        <v>Eesti (**)</v>
      </c>
      <c r="B438" t="str">
        <f ca="1">IFERROR(__xludf.DUMMYFUNCTION("""COMPUTED_VALUE"""),"EE00")</f>
        <v>EE00</v>
      </c>
    </row>
    <row r="439" spans="1:2" ht="12.5" x14ac:dyDescent="0.25">
      <c r="A439" t="str">
        <f ca="1">IFERROR(__xludf.DUMMYFUNCTION("""COMPUTED_VALUE"""),"Eichsfeld")</f>
        <v>Eichsfeld</v>
      </c>
      <c r="B439" t="str">
        <f ca="1">IFERROR(__xludf.DUMMYFUNCTION("""COMPUTED_VALUE"""),"DEG06")</f>
        <v>DEG06</v>
      </c>
    </row>
    <row r="440" spans="1:2" ht="12.5" x14ac:dyDescent="0.25">
      <c r="A440" t="str">
        <f ca="1">IFERROR(__xludf.DUMMYFUNCTION("""COMPUTED_VALUE"""),"Eichstätt")</f>
        <v>Eichstätt</v>
      </c>
      <c r="B440" t="str">
        <f ca="1">IFERROR(__xludf.DUMMYFUNCTION("""COMPUTED_VALUE"""),"DE219")</f>
        <v>DE219</v>
      </c>
    </row>
    <row r="441" spans="1:2" ht="12.5" x14ac:dyDescent="0.25">
      <c r="A441" t="str">
        <f ca="1">IFERROR(__xludf.DUMMYFUNCTION("""COMPUTED_VALUE"""),"Eilean Siar (Western Isles)")</f>
        <v>Eilean Siar (Western Isles)</v>
      </c>
      <c r="B441" t="str">
        <f ca="1">IFERROR(__xludf.DUMMYFUNCTION("""COMPUTED_VALUE"""),"UKM64")</f>
        <v>UKM64</v>
      </c>
    </row>
    <row r="442" spans="1:2" ht="12.5" x14ac:dyDescent="0.25">
      <c r="A442" t="str">
        <f ca="1">IFERROR(__xludf.DUMMYFUNCTION("""COMPUTED_VALUE"""),"Eisenach, Kreisfreie Stadt")</f>
        <v>Eisenach, Kreisfreie Stadt</v>
      </c>
      <c r="B442" t="str">
        <f ca="1">IFERROR(__xludf.DUMMYFUNCTION("""COMPUTED_VALUE"""),"DEG0N")</f>
        <v>DEG0N</v>
      </c>
    </row>
    <row r="443" spans="1:2" ht="12.5" x14ac:dyDescent="0.25">
      <c r="A443" t="str">
        <f ca="1">IFERROR(__xludf.DUMMYFUNCTION("""COMPUTED_VALUE"""),"Eivissa Y Formentera")</f>
        <v>Eivissa Y Formentera</v>
      </c>
      <c r="B443" t="str">
        <f ca="1">IFERROR(__xludf.DUMMYFUNCTION("""COMPUTED_VALUE"""),"ES531")</f>
        <v>ES531</v>
      </c>
    </row>
    <row r="444" spans="1:2" ht="12.5" x14ac:dyDescent="0.25">
      <c r="A444" t="str">
        <f ca="1">IFERROR(__xludf.DUMMYFUNCTION("""COMPUTED_VALUE"""),"El Hierro")</f>
        <v>El Hierro</v>
      </c>
      <c r="B444" t="str">
        <f ca="1">IFERROR(__xludf.DUMMYFUNCTION("""COMPUTED_VALUE"""),"ES703")</f>
        <v>ES703</v>
      </c>
    </row>
    <row r="445" spans="1:2" ht="12.5" x14ac:dyDescent="0.25">
      <c r="A445" t="str">
        <f ca="1">IFERROR(__xludf.DUMMYFUNCTION("""COMPUTED_VALUE"""),"Elbe-Elster")</f>
        <v>Elbe-Elster</v>
      </c>
      <c r="B445" t="str">
        <f ca="1">IFERROR(__xludf.DUMMYFUNCTION("""COMPUTED_VALUE"""),"DE425")</f>
        <v>DE425</v>
      </c>
    </row>
    <row r="446" spans="1:2" ht="12.5" x14ac:dyDescent="0.25">
      <c r="A446" t="str">
        <f ca="1">IFERROR(__xludf.DUMMYFUNCTION("""COMPUTED_VALUE"""),"Elblaski")</f>
        <v>Elblaski</v>
      </c>
      <c r="B446" t="str">
        <f ca="1">IFERROR(__xludf.DUMMYFUNCTION("""COMPUTED_VALUE"""),"PL621")</f>
        <v>PL621</v>
      </c>
    </row>
    <row r="447" spans="1:2" ht="12.5" x14ac:dyDescent="0.25">
      <c r="A447" t="str">
        <f ca="1">IFERROR(__xludf.DUMMYFUNCTION("""COMPUTED_VALUE"""),"Elcki")</f>
        <v>Elcki</v>
      </c>
      <c r="B447" t="str">
        <f ca="1">IFERROR(__xludf.DUMMYFUNCTION("""COMPUTED_VALUE"""),"PL623")</f>
        <v>PL623</v>
      </c>
    </row>
    <row r="448" spans="1:2" ht="12.5" x14ac:dyDescent="0.25">
      <c r="A448" t="str">
        <f ca="1">IFERROR(__xludf.DUMMYFUNCTION("""COMPUTED_VALUE"""),"Ellada")</f>
        <v>Ellada</v>
      </c>
      <c r="B448" t="str">
        <f ca="1">IFERROR(__xludf.DUMMYFUNCTION("""COMPUTED_VALUE"""),"GR")</f>
        <v>GR</v>
      </c>
    </row>
    <row r="449" spans="1:2" ht="12.5" x14ac:dyDescent="0.25">
      <c r="A449" t="str">
        <f ca="1">IFERROR(__xludf.DUMMYFUNCTION("""COMPUTED_VALUE"""),"Emden, Kreisfreie Stadt")</f>
        <v>Emden, Kreisfreie Stadt</v>
      </c>
      <c r="B449" t="str">
        <f ca="1">IFERROR(__xludf.DUMMYFUNCTION("""COMPUTED_VALUE"""),"DE942")</f>
        <v>DE942</v>
      </c>
    </row>
    <row r="450" spans="1:2" ht="12.5" x14ac:dyDescent="0.25">
      <c r="A450" t="str">
        <f ca="1">IFERROR(__xludf.DUMMYFUNCTION("""COMPUTED_VALUE"""),"Emilia-Romagna")</f>
        <v>Emilia-Romagna</v>
      </c>
      <c r="B450" t="str">
        <f ca="1">IFERROR(__xludf.DUMMYFUNCTION("""COMPUTED_VALUE"""),"ITD5")</f>
        <v>ITD5</v>
      </c>
    </row>
    <row r="451" spans="1:2" ht="12.5" x14ac:dyDescent="0.25">
      <c r="A451" t="str">
        <f ca="1">IFERROR(__xludf.DUMMYFUNCTION("""COMPUTED_VALUE"""),"Emmendingen")</f>
        <v>Emmendingen</v>
      </c>
      <c r="B451" t="str">
        <f ca="1">IFERROR(__xludf.DUMMYFUNCTION("""COMPUTED_VALUE"""),"DE133")</f>
        <v>DE133</v>
      </c>
    </row>
    <row r="452" spans="1:2" ht="12.5" x14ac:dyDescent="0.25">
      <c r="A452" t="str">
        <f ca="1">IFERROR(__xludf.DUMMYFUNCTION("""COMPUTED_VALUE"""),"Emsland")</f>
        <v>Emsland</v>
      </c>
      <c r="B452" t="str">
        <f ca="1">IFERROR(__xludf.DUMMYFUNCTION("""COMPUTED_VALUE"""),"DE949")</f>
        <v>DE949</v>
      </c>
    </row>
    <row r="453" spans="1:2" ht="12.5" x14ac:dyDescent="0.25">
      <c r="A453" t="str">
        <f ca="1">IFERROR(__xludf.DUMMYFUNCTION("""COMPUTED_VALUE"""),"Enna")</f>
        <v>Enna</v>
      </c>
      <c r="B453" t="str">
        <f ca="1">IFERROR(__xludf.DUMMYFUNCTION("""COMPUTED_VALUE"""),"ITG16")</f>
        <v>ITG16</v>
      </c>
    </row>
    <row r="454" spans="1:2" ht="12.5" x14ac:dyDescent="0.25">
      <c r="A454" t="str">
        <f ca="1">IFERROR(__xludf.DUMMYFUNCTION("""COMPUTED_VALUE"""),"Ennepe-Ruhr-Kreis")</f>
        <v>Ennepe-Ruhr-Kreis</v>
      </c>
      <c r="B454" t="str">
        <f ca="1">IFERROR(__xludf.DUMMYFUNCTION("""COMPUTED_VALUE"""),"DEA56")</f>
        <v>DEA56</v>
      </c>
    </row>
    <row r="455" spans="1:2" ht="12.5" x14ac:dyDescent="0.25">
      <c r="A455" t="str">
        <f ca="1">IFERROR(__xludf.DUMMYFUNCTION("""COMPUTED_VALUE"""),"Entre Douro E Vouga")</f>
        <v>Entre Douro E Vouga</v>
      </c>
      <c r="B455" t="str">
        <f ca="1">IFERROR(__xludf.DUMMYFUNCTION("""COMPUTED_VALUE"""),"PT116")</f>
        <v>PT116</v>
      </c>
    </row>
    <row r="456" spans="1:2" ht="12.5" x14ac:dyDescent="0.25">
      <c r="A456" t="str">
        <f ca="1">IFERROR(__xludf.DUMMYFUNCTION("""COMPUTED_VALUE"""),"Enzkreis")</f>
        <v>Enzkreis</v>
      </c>
      <c r="B456" t="str">
        <f ca="1">IFERROR(__xludf.DUMMYFUNCTION("""COMPUTED_VALUE"""),"DE12B")</f>
        <v>DE12B</v>
      </c>
    </row>
    <row r="457" spans="1:2" ht="12.5" x14ac:dyDescent="0.25">
      <c r="A457" t="str">
        <f ca="1">IFERROR(__xludf.DUMMYFUNCTION("""COMPUTED_VALUE"""),"Erding")</f>
        <v>Erding</v>
      </c>
      <c r="B457" t="str">
        <f ca="1">IFERROR(__xludf.DUMMYFUNCTION("""COMPUTED_VALUE"""),"DE21A")</f>
        <v>DE21A</v>
      </c>
    </row>
    <row r="458" spans="1:2" ht="12.5" x14ac:dyDescent="0.25">
      <c r="A458" t="str">
        <f ca="1">IFERROR(__xludf.DUMMYFUNCTION("""COMPUTED_VALUE"""),"Erfurt, Kreisfreie Stadt")</f>
        <v>Erfurt, Kreisfreie Stadt</v>
      </c>
      <c r="B458" t="str">
        <f ca="1">IFERROR(__xludf.DUMMYFUNCTION("""COMPUTED_VALUE"""),"DEG01")</f>
        <v>DEG01</v>
      </c>
    </row>
    <row r="459" spans="1:2" ht="12.5" x14ac:dyDescent="0.25">
      <c r="A459" t="str">
        <f ca="1">IFERROR(__xludf.DUMMYFUNCTION("""COMPUTED_VALUE"""),"Erlangen-Höchstadt")</f>
        <v>Erlangen-Höchstadt</v>
      </c>
      <c r="B459" t="str">
        <f ca="1">IFERROR(__xludf.DUMMYFUNCTION("""COMPUTED_VALUE"""),"DE257")</f>
        <v>DE257</v>
      </c>
    </row>
    <row r="460" spans="1:2" ht="12.5" x14ac:dyDescent="0.25">
      <c r="A460" t="str">
        <f ca="1">IFERROR(__xludf.DUMMYFUNCTION("""COMPUTED_VALUE"""),"Erlangen, Kreisfreie Stadt")</f>
        <v>Erlangen, Kreisfreie Stadt</v>
      </c>
      <c r="B460" t="str">
        <f ca="1">IFERROR(__xludf.DUMMYFUNCTION("""COMPUTED_VALUE"""),"DE252")</f>
        <v>DE252</v>
      </c>
    </row>
    <row r="461" spans="1:2" ht="12.5" x14ac:dyDescent="0.25">
      <c r="A461" t="str">
        <f ca="1">IFERROR(__xludf.DUMMYFUNCTION("""COMPUTED_VALUE"""),"Espace Mittelland")</f>
        <v>Espace Mittelland</v>
      </c>
      <c r="B461" t="str">
        <f ca="1">IFERROR(__xludf.DUMMYFUNCTION("""COMPUTED_VALUE"""),"CH02")</f>
        <v>CH02</v>
      </c>
    </row>
    <row r="462" spans="1:2" ht="12.5" x14ac:dyDescent="0.25">
      <c r="A462" t="str">
        <f ca="1">IFERROR(__xludf.DUMMYFUNCTION("""COMPUTED_VALUE"""),"España")</f>
        <v>España</v>
      </c>
      <c r="B462" t="str">
        <f ca="1">IFERROR(__xludf.DUMMYFUNCTION("""COMPUTED_VALUE"""),"ES")</f>
        <v>ES</v>
      </c>
    </row>
    <row r="463" spans="1:2" ht="12.5" x14ac:dyDescent="0.25">
      <c r="A463" t="str">
        <f ca="1">IFERROR(__xludf.DUMMYFUNCTION("""COMPUTED_VALUE"""),"Essen, Kreisfreie Stadt")</f>
        <v>Essen, Kreisfreie Stadt</v>
      </c>
      <c r="B463" t="str">
        <f ca="1">IFERROR(__xludf.DUMMYFUNCTION("""COMPUTED_VALUE"""),"DEA13")</f>
        <v>DEA13</v>
      </c>
    </row>
    <row r="464" spans="1:2" ht="12.5" x14ac:dyDescent="0.25">
      <c r="A464" t="str">
        <f ca="1">IFERROR(__xludf.DUMMYFUNCTION("""COMPUTED_VALUE"""),"Essex")</f>
        <v>Essex</v>
      </c>
      <c r="B464" t="str">
        <f ca="1">IFERROR(__xludf.DUMMYFUNCTION("""COMPUTED_VALUE"""),"UKH3")</f>
        <v>UKH3</v>
      </c>
    </row>
    <row r="465" spans="1:2" ht="12.5" x14ac:dyDescent="0.25">
      <c r="A465" t="str">
        <f ca="1">IFERROR(__xludf.DUMMYFUNCTION("""COMPUTED_VALUE"""),"Essex Cc")</f>
        <v>Essex Cc</v>
      </c>
      <c r="B465" t="str">
        <f ca="1">IFERROR(__xludf.DUMMYFUNCTION("""COMPUTED_VALUE"""),"UKH33")</f>
        <v>UKH33</v>
      </c>
    </row>
    <row r="466" spans="1:2" ht="12.5" x14ac:dyDescent="0.25">
      <c r="A466" t="str">
        <f ca="1">IFERROR(__xludf.DUMMYFUNCTION("""COMPUTED_VALUE"""),"Esslingen")</f>
        <v>Esslingen</v>
      </c>
      <c r="B466" t="str">
        <f ca="1">IFERROR(__xludf.DUMMYFUNCTION("""COMPUTED_VALUE"""),"DE113")</f>
        <v>DE113</v>
      </c>
    </row>
    <row r="467" spans="1:2" ht="12.5" x14ac:dyDescent="0.25">
      <c r="A467" t="str">
        <f ca="1">IFERROR(__xludf.DUMMYFUNCTION("""COMPUTED_VALUE"""),"Essonne")</f>
        <v>Essonne</v>
      </c>
      <c r="B467" t="str">
        <f ca="1">IFERROR(__xludf.DUMMYFUNCTION("""COMPUTED_VALUE"""),"FR104")</f>
        <v>FR104</v>
      </c>
    </row>
    <row r="468" spans="1:2" ht="12.5" x14ac:dyDescent="0.25">
      <c r="A468" t="str">
        <f ca="1">IFERROR(__xludf.DUMMYFUNCTION("""COMPUTED_VALUE"""),"Est")</f>
        <v>Est</v>
      </c>
      <c r="B468" t="str">
        <f ca="1">IFERROR(__xludf.DUMMYFUNCTION("""COMPUTED_VALUE"""),"FR4")</f>
        <v>FR4</v>
      </c>
    </row>
    <row r="469" spans="1:2" ht="12.5" x14ac:dyDescent="0.25">
      <c r="A469" t="str">
        <f ca="1">IFERROR(__xludf.DUMMYFUNCTION("""COMPUTED_VALUE"""),"Este")</f>
        <v>Este</v>
      </c>
      <c r="B469" t="str">
        <f ca="1">IFERROR(__xludf.DUMMYFUNCTION("""COMPUTED_VALUE"""),"ES5")</f>
        <v>ES5</v>
      </c>
    </row>
    <row r="470" spans="1:2" ht="12.5" x14ac:dyDescent="0.25">
      <c r="A470" t="str">
        <f ca="1">IFERROR(__xludf.DUMMYFUNCTION("""COMPUTED_VALUE"""),"Eszak-Alfold")</f>
        <v>Eszak-Alfold</v>
      </c>
      <c r="B470" t="str">
        <f ca="1">IFERROR(__xludf.DUMMYFUNCTION("""COMPUTED_VALUE"""),"HU32")</f>
        <v>HU32</v>
      </c>
    </row>
    <row r="471" spans="1:2" ht="12.5" x14ac:dyDescent="0.25">
      <c r="A471" t="str">
        <f ca="1">IFERROR(__xludf.DUMMYFUNCTION("""COMPUTED_VALUE"""),"Eszak-Magyarorszag")</f>
        <v>Eszak-Magyarorszag</v>
      </c>
      <c r="B471" t="str">
        <f ca="1">IFERROR(__xludf.DUMMYFUNCTION("""COMPUTED_VALUE"""),"HU31")</f>
        <v>HU31</v>
      </c>
    </row>
    <row r="472" spans="1:2" ht="12.5" x14ac:dyDescent="0.25">
      <c r="A472" t="str">
        <f ca="1">IFERROR(__xludf.DUMMYFUNCTION("""COMPUTED_VALUE"""),"Etelä-Karjala")</f>
        <v>Etelä-Karjala</v>
      </c>
      <c r="B472" t="str">
        <f ca="1">IFERROR(__xludf.DUMMYFUNCTION("""COMPUTED_VALUE"""),"FI187")</f>
        <v>FI187</v>
      </c>
    </row>
    <row r="473" spans="1:2" ht="12.5" x14ac:dyDescent="0.25">
      <c r="A473" t="str">
        <f ca="1">IFERROR(__xludf.DUMMYFUNCTION("""COMPUTED_VALUE"""),"Etelä-Pohjanmaa")</f>
        <v>Etelä-Pohjanmaa</v>
      </c>
      <c r="B473" t="str">
        <f ca="1">IFERROR(__xludf.DUMMYFUNCTION("""COMPUTED_VALUE"""),"FI194")</f>
        <v>FI194</v>
      </c>
    </row>
    <row r="474" spans="1:2" ht="12.5" x14ac:dyDescent="0.25">
      <c r="A474" t="str">
        <f ca="1">IFERROR(__xludf.DUMMYFUNCTION("""COMPUTED_VALUE"""),"Etelä-Savo")</f>
        <v>Etelä-Savo</v>
      </c>
      <c r="B474" t="str">
        <f ca="1">IFERROR(__xludf.DUMMYFUNCTION("""COMPUTED_VALUE"""),"FI131")</f>
        <v>FI131</v>
      </c>
    </row>
    <row r="475" spans="1:2" ht="12.5" x14ac:dyDescent="0.25">
      <c r="A475" t="str">
        <f ca="1">IFERROR(__xludf.DUMMYFUNCTION("""COMPUTED_VALUE"""),"Etelä-Suomi")</f>
        <v>Etelä-Suomi</v>
      </c>
      <c r="B475" t="str">
        <f ca="1">IFERROR(__xludf.DUMMYFUNCTION("""COMPUTED_VALUE"""),"FI18")</f>
        <v>FI18</v>
      </c>
    </row>
    <row r="476" spans="1:2" ht="12.5" x14ac:dyDescent="0.25">
      <c r="A476" t="str">
        <f ca="1">IFERROR(__xludf.DUMMYFUNCTION("""COMPUTED_VALUE"""),"Eure")</f>
        <v>Eure</v>
      </c>
      <c r="B476" t="str">
        <f ca="1">IFERROR(__xludf.DUMMYFUNCTION("""COMPUTED_VALUE"""),"FR231")</f>
        <v>FR231</v>
      </c>
    </row>
    <row r="477" spans="1:2" ht="12.5" x14ac:dyDescent="0.25">
      <c r="A477" t="str">
        <f ca="1">IFERROR(__xludf.DUMMYFUNCTION("""COMPUTED_VALUE"""),"Eure-Et-Loir")</f>
        <v>Eure-Et-Loir</v>
      </c>
      <c r="B477" t="str">
        <f ca="1">IFERROR(__xludf.DUMMYFUNCTION("""COMPUTED_VALUE"""),"FR242")</f>
        <v>FR242</v>
      </c>
    </row>
    <row r="478" spans="1:2" ht="12.5" x14ac:dyDescent="0.25">
      <c r="A478" t="str">
        <f ca="1">IFERROR(__xludf.DUMMYFUNCTION("""COMPUTED_VALUE"""),"Euskirchen")</f>
        <v>Euskirchen</v>
      </c>
      <c r="B478" t="str">
        <f ca="1">IFERROR(__xludf.DUMMYFUNCTION("""COMPUTED_VALUE"""),"DEA28")</f>
        <v>DEA28</v>
      </c>
    </row>
    <row r="479" spans="1:2" ht="12.5" x14ac:dyDescent="0.25">
      <c r="A479" t="str">
        <f ca="1">IFERROR(__xludf.DUMMYFUNCTION("""COMPUTED_VALUE"""),"Evros")</f>
        <v>Evros</v>
      </c>
      <c r="B479" t="str">
        <f ca="1">IFERROR(__xludf.DUMMYFUNCTION("""COMPUTED_VALUE"""),"GR111")</f>
        <v>GR111</v>
      </c>
    </row>
    <row r="480" spans="1:2" ht="12.5" x14ac:dyDescent="0.25">
      <c r="A480" t="str">
        <f ca="1">IFERROR(__xludf.DUMMYFUNCTION("""COMPUTED_VALUE"""),"Evrytania")</f>
        <v>Evrytania</v>
      </c>
      <c r="B480" t="str">
        <f ca="1">IFERROR(__xludf.DUMMYFUNCTION("""COMPUTED_VALUE"""),"GR243")</f>
        <v>GR243</v>
      </c>
    </row>
    <row r="481" spans="1:2" ht="12.5" x14ac:dyDescent="0.25">
      <c r="A481" t="str">
        <f ca="1">IFERROR(__xludf.DUMMYFUNCTION("""COMPUTED_VALUE"""),"Evvoia")</f>
        <v>Evvoia</v>
      </c>
      <c r="B481" t="str">
        <f ca="1">IFERROR(__xludf.DUMMYFUNCTION("""COMPUTED_VALUE"""),"GR242")</f>
        <v>GR242</v>
      </c>
    </row>
    <row r="482" spans="1:2" ht="12.5" x14ac:dyDescent="0.25">
      <c r="A482" t="str">
        <f ca="1">IFERROR(__xludf.DUMMYFUNCTION("""COMPUTED_VALUE"""),"Extra-Regio (ATZ)")</f>
        <v>Extra-Regio (ATZ)</v>
      </c>
      <c r="B482" t="str">
        <f ca="1">IFERROR(__xludf.DUMMYFUNCTION("""COMPUTED_VALUE"""),"ATZ")</f>
        <v>ATZ</v>
      </c>
    </row>
    <row r="483" spans="1:2" ht="12.5" x14ac:dyDescent="0.25">
      <c r="A483" t="str">
        <f ca="1">IFERROR(__xludf.DUMMYFUNCTION("""COMPUTED_VALUE"""),"Extra-Regio (ATZZ)")</f>
        <v>Extra-Regio (ATZZ)</v>
      </c>
      <c r="B483" t="str">
        <f ca="1">IFERROR(__xludf.DUMMYFUNCTION("""COMPUTED_VALUE"""),"ATZZ")</f>
        <v>ATZZ</v>
      </c>
    </row>
    <row r="484" spans="1:2" ht="12.5" x14ac:dyDescent="0.25">
      <c r="A484" t="str">
        <f ca="1">IFERROR(__xludf.DUMMYFUNCTION("""COMPUTED_VALUE"""),"Extra-Regio (ATZZZ)")</f>
        <v>Extra-Regio (ATZZZ)</v>
      </c>
      <c r="B484" t="str">
        <f ca="1">IFERROR(__xludf.DUMMYFUNCTION("""COMPUTED_VALUE"""),"ATZZZ")</f>
        <v>ATZZZ</v>
      </c>
    </row>
    <row r="485" spans="1:2" ht="12.5" x14ac:dyDescent="0.25">
      <c r="A485" t="str">
        <f ca="1">IFERROR(__xludf.DUMMYFUNCTION("""COMPUTED_VALUE"""),"Extra-Regio (BEZ)")</f>
        <v>Extra-Regio (BEZ)</v>
      </c>
      <c r="B485" t="str">
        <f ca="1">IFERROR(__xludf.DUMMYFUNCTION("""COMPUTED_VALUE"""),"BEZ")</f>
        <v>BEZ</v>
      </c>
    </row>
    <row r="486" spans="1:2" ht="12.5" x14ac:dyDescent="0.25">
      <c r="A486" t="str">
        <f ca="1">IFERROR(__xludf.DUMMYFUNCTION("""COMPUTED_VALUE"""),"Extra-Regio (BEZZ)")</f>
        <v>Extra-Regio (BEZZ)</v>
      </c>
      <c r="B486" t="str">
        <f ca="1">IFERROR(__xludf.DUMMYFUNCTION("""COMPUTED_VALUE"""),"BEZZ")</f>
        <v>BEZZ</v>
      </c>
    </row>
    <row r="487" spans="1:2" ht="12.5" x14ac:dyDescent="0.25">
      <c r="A487" t="str">
        <f ca="1">IFERROR(__xludf.DUMMYFUNCTION("""COMPUTED_VALUE"""),"Extra-Regio (BEZZZ)")</f>
        <v>Extra-Regio (BEZZZ)</v>
      </c>
      <c r="B487" t="str">
        <f ca="1">IFERROR(__xludf.DUMMYFUNCTION("""COMPUTED_VALUE"""),"BEZZZ")</f>
        <v>BEZZZ</v>
      </c>
    </row>
    <row r="488" spans="1:2" ht="12.5" x14ac:dyDescent="0.25">
      <c r="A488" t="str">
        <f ca="1">IFERROR(__xludf.DUMMYFUNCTION("""COMPUTED_VALUE"""),"Extra-Regio (BGZ)")</f>
        <v>Extra-Regio (BGZ)</v>
      </c>
      <c r="B488" t="str">
        <f ca="1">IFERROR(__xludf.DUMMYFUNCTION("""COMPUTED_VALUE"""),"BGZ")</f>
        <v>BGZ</v>
      </c>
    </row>
    <row r="489" spans="1:2" ht="12.5" x14ac:dyDescent="0.25">
      <c r="A489" t="str">
        <f ca="1">IFERROR(__xludf.DUMMYFUNCTION("""COMPUTED_VALUE"""),"Extra-Regio (BGZZ)")</f>
        <v>Extra-Regio (BGZZ)</v>
      </c>
      <c r="B489" t="str">
        <f ca="1">IFERROR(__xludf.DUMMYFUNCTION("""COMPUTED_VALUE"""),"BGZZ")</f>
        <v>BGZZ</v>
      </c>
    </row>
    <row r="490" spans="1:2" ht="12.5" x14ac:dyDescent="0.25">
      <c r="A490" t="str">
        <f ca="1">IFERROR(__xludf.DUMMYFUNCTION("""COMPUTED_VALUE"""),"Extra-Regio (BGZZZ)")</f>
        <v>Extra-Regio (BGZZZ)</v>
      </c>
      <c r="B490" t="str">
        <f ca="1">IFERROR(__xludf.DUMMYFUNCTION("""COMPUTED_VALUE"""),"BGZZZ")</f>
        <v>BGZZZ</v>
      </c>
    </row>
    <row r="491" spans="1:2" ht="12.5" x14ac:dyDescent="0.25">
      <c r="A491" t="str">
        <f ca="1">IFERROR(__xludf.DUMMYFUNCTION("""COMPUTED_VALUE"""),"Extra-Regio (CYZ)")</f>
        <v>Extra-Regio (CYZ)</v>
      </c>
      <c r="B491" t="str">
        <f ca="1">IFERROR(__xludf.DUMMYFUNCTION("""COMPUTED_VALUE"""),"CYZ")</f>
        <v>CYZ</v>
      </c>
    </row>
    <row r="492" spans="1:2" ht="12.5" x14ac:dyDescent="0.25">
      <c r="A492" t="str">
        <f ca="1">IFERROR(__xludf.DUMMYFUNCTION("""COMPUTED_VALUE"""),"Extra-Regio (CYZZ)")</f>
        <v>Extra-Regio (CYZZ)</v>
      </c>
      <c r="B492" t="str">
        <f ca="1">IFERROR(__xludf.DUMMYFUNCTION("""COMPUTED_VALUE"""),"CYZZ")</f>
        <v>CYZZ</v>
      </c>
    </row>
    <row r="493" spans="1:2" ht="12.5" x14ac:dyDescent="0.25">
      <c r="A493" t="str">
        <f ca="1">IFERROR(__xludf.DUMMYFUNCTION("""COMPUTED_VALUE"""),"Extra-Regio (CYZZZ)")</f>
        <v>Extra-Regio (CYZZZ)</v>
      </c>
      <c r="B493" t="str">
        <f ca="1">IFERROR(__xludf.DUMMYFUNCTION("""COMPUTED_VALUE"""),"CYZZZ")</f>
        <v>CYZZZ</v>
      </c>
    </row>
    <row r="494" spans="1:2" ht="12.5" x14ac:dyDescent="0.25">
      <c r="A494" t="str">
        <f ca="1">IFERROR(__xludf.DUMMYFUNCTION("""COMPUTED_VALUE"""),"Extra-Regio (CZZ)")</f>
        <v>Extra-Regio (CZZ)</v>
      </c>
      <c r="B494" t="str">
        <f ca="1">IFERROR(__xludf.DUMMYFUNCTION("""COMPUTED_VALUE"""),"CZZ")</f>
        <v>CZZ</v>
      </c>
    </row>
    <row r="495" spans="1:2" ht="12.5" x14ac:dyDescent="0.25">
      <c r="A495" t="str">
        <f ca="1">IFERROR(__xludf.DUMMYFUNCTION("""COMPUTED_VALUE"""),"Extra-Regio (CZZZ)")</f>
        <v>Extra-Regio (CZZZ)</v>
      </c>
      <c r="B495" t="str">
        <f ca="1">IFERROR(__xludf.DUMMYFUNCTION("""COMPUTED_VALUE"""),"CZZZ")</f>
        <v>CZZZ</v>
      </c>
    </row>
    <row r="496" spans="1:2" ht="12.5" x14ac:dyDescent="0.25">
      <c r="A496" t="str">
        <f ca="1">IFERROR(__xludf.DUMMYFUNCTION("""COMPUTED_VALUE"""),"Extra-Regio (CZZZZ)")</f>
        <v>Extra-Regio (CZZZZ)</v>
      </c>
      <c r="B496" t="str">
        <f ca="1">IFERROR(__xludf.DUMMYFUNCTION("""COMPUTED_VALUE"""),"CZZZZ")</f>
        <v>CZZZZ</v>
      </c>
    </row>
    <row r="497" spans="1:2" ht="12.5" x14ac:dyDescent="0.25">
      <c r="A497" t="str">
        <f ca="1">IFERROR(__xludf.DUMMYFUNCTION("""COMPUTED_VALUE"""),"Extra-Regio (DEZ)")</f>
        <v>Extra-Regio (DEZ)</v>
      </c>
      <c r="B497" t="str">
        <f ca="1">IFERROR(__xludf.DUMMYFUNCTION("""COMPUTED_VALUE"""),"DEZ")</f>
        <v>DEZ</v>
      </c>
    </row>
    <row r="498" spans="1:2" ht="12.5" x14ac:dyDescent="0.25">
      <c r="A498" t="str">
        <f ca="1">IFERROR(__xludf.DUMMYFUNCTION("""COMPUTED_VALUE"""),"Extra-Regio (DEZZ)")</f>
        <v>Extra-Regio (DEZZ)</v>
      </c>
      <c r="B498" t="str">
        <f ca="1">IFERROR(__xludf.DUMMYFUNCTION("""COMPUTED_VALUE"""),"DEZZ")</f>
        <v>DEZZ</v>
      </c>
    </row>
    <row r="499" spans="1:2" ht="12.5" x14ac:dyDescent="0.25">
      <c r="A499" t="str">
        <f ca="1">IFERROR(__xludf.DUMMYFUNCTION("""COMPUTED_VALUE"""),"Extra-Regio (DEZZZ)")</f>
        <v>Extra-Regio (DEZZZ)</v>
      </c>
      <c r="B499" t="str">
        <f ca="1">IFERROR(__xludf.DUMMYFUNCTION("""COMPUTED_VALUE"""),"DEZZZ")</f>
        <v>DEZZZ</v>
      </c>
    </row>
    <row r="500" spans="1:2" ht="12.5" x14ac:dyDescent="0.25">
      <c r="A500" t="str">
        <f ca="1">IFERROR(__xludf.DUMMYFUNCTION("""COMPUTED_VALUE"""),"Extra-Regio (DKZ)")</f>
        <v>Extra-Regio (DKZ)</v>
      </c>
      <c r="B500" t="str">
        <f ca="1">IFERROR(__xludf.DUMMYFUNCTION("""COMPUTED_VALUE"""),"DKZ")</f>
        <v>DKZ</v>
      </c>
    </row>
    <row r="501" spans="1:2" ht="12.5" x14ac:dyDescent="0.25">
      <c r="A501" t="str">
        <f ca="1">IFERROR(__xludf.DUMMYFUNCTION("""COMPUTED_VALUE"""),"Extra-Regio (DKZZ)")</f>
        <v>Extra-Regio (DKZZ)</v>
      </c>
      <c r="B501" t="str">
        <f ca="1">IFERROR(__xludf.DUMMYFUNCTION("""COMPUTED_VALUE"""),"DKZZ")</f>
        <v>DKZZ</v>
      </c>
    </row>
    <row r="502" spans="1:2" ht="12.5" x14ac:dyDescent="0.25">
      <c r="A502" t="str">
        <f ca="1">IFERROR(__xludf.DUMMYFUNCTION("""COMPUTED_VALUE"""),"Extra-Regio (DKZZZ)")</f>
        <v>Extra-Regio (DKZZZ)</v>
      </c>
      <c r="B502" t="str">
        <f ca="1">IFERROR(__xludf.DUMMYFUNCTION("""COMPUTED_VALUE"""),"DKZZZ")</f>
        <v>DKZZZ</v>
      </c>
    </row>
    <row r="503" spans="1:2" ht="12.5" x14ac:dyDescent="0.25">
      <c r="A503" t="str">
        <f ca="1">IFERROR(__xludf.DUMMYFUNCTION("""COMPUTED_VALUE"""),"Extra-Regio (EEZ)")</f>
        <v>Extra-Regio (EEZ)</v>
      </c>
      <c r="B503" t="str">
        <f ca="1">IFERROR(__xludf.DUMMYFUNCTION("""COMPUTED_VALUE"""),"EEZ")</f>
        <v>EEZ</v>
      </c>
    </row>
    <row r="504" spans="1:2" ht="12.5" x14ac:dyDescent="0.25">
      <c r="A504" t="str">
        <f ca="1">IFERROR(__xludf.DUMMYFUNCTION("""COMPUTED_VALUE"""),"Extra-Regio (EEZZ)")</f>
        <v>Extra-Regio (EEZZ)</v>
      </c>
      <c r="B504" t="str">
        <f ca="1">IFERROR(__xludf.DUMMYFUNCTION("""COMPUTED_VALUE"""),"EEZZ")</f>
        <v>EEZZ</v>
      </c>
    </row>
    <row r="505" spans="1:2" ht="12.5" x14ac:dyDescent="0.25">
      <c r="A505" t="str">
        <f ca="1">IFERROR(__xludf.DUMMYFUNCTION("""COMPUTED_VALUE"""),"Extra-Regio (EEZZZ)")</f>
        <v>Extra-Regio (EEZZZ)</v>
      </c>
      <c r="B505" t="str">
        <f ca="1">IFERROR(__xludf.DUMMYFUNCTION("""COMPUTED_VALUE"""),"EEZZZ")</f>
        <v>EEZZZ</v>
      </c>
    </row>
    <row r="506" spans="1:2" ht="12.5" x14ac:dyDescent="0.25">
      <c r="A506" t="str">
        <f ca="1">IFERROR(__xludf.DUMMYFUNCTION("""COMPUTED_VALUE"""),"Extra-Regio (ESZ)")</f>
        <v>Extra-Regio (ESZ)</v>
      </c>
      <c r="B506" t="str">
        <f ca="1">IFERROR(__xludf.DUMMYFUNCTION("""COMPUTED_VALUE"""),"ESZ")</f>
        <v>ESZ</v>
      </c>
    </row>
    <row r="507" spans="1:2" ht="12.5" x14ac:dyDescent="0.25">
      <c r="A507" t="str">
        <f ca="1">IFERROR(__xludf.DUMMYFUNCTION("""COMPUTED_VALUE"""),"Extra-Regio (ESZZ)")</f>
        <v>Extra-Regio (ESZZ)</v>
      </c>
      <c r="B507" t="str">
        <f ca="1">IFERROR(__xludf.DUMMYFUNCTION("""COMPUTED_VALUE"""),"ESZZ")</f>
        <v>ESZZ</v>
      </c>
    </row>
    <row r="508" spans="1:2" ht="12.5" x14ac:dyDescent="0.25">
      <c r="A508" t="str">
        <f ca="1">IFERROR(__xludf.DUMMYFUNCTION("""COMPUTED_VALUE"""),"Extra-Regio (ESZZZ)")</f>
        <v>Extra-Regio (ESZZZ)</v>
      </c>
      <c r="B508" t="str">
        <f ca="1">IFERROR(__xludf.DUMMYFUNCTION("""COMPUTED_VALUE"""),"ESZZZ")</f>
        <v>ESZZZ</v>
      </c>
    </row>
    <row r="509" spans="1:2" ht="12.5" x14ac:dyDescent="0.25">
      <c r="A509" t="str">
        <f ca="1">IFERROR(__xludf.DUMMYFUNCTION("""COMPUTED_VALUE"""),"Extra-Regio (FIZ)")</f>
        <v>Extra-Regio (FIZ)</v>
      </c>
      <c r="B509" t="str">
        <f ca="1">IFERROR(__xludf.DUMMYFUNCTION("""COMPUTED_VALUE"""),"FIZ")</f>
        <v>FIZ</v>
      </c>
    </row>
    <row r="510" spans="1:2" ht="12.5" x14ac:dyDescent="0.25">
      <c r="A510" t="str">
        <f ca="1">IFERROR(__xludf.DUMMYFUNCTION("""COMPUTED_VALUE"""),"Extra-Regio (FIZZ)")</f>
        <v>Extra-Regio (FIZZ)</v>
      </c>
      <c r="B510" t="str">
        <f ca="1">IFERROR(__xludf.DUMMYFUNCTION("""COMPUTED_VALUE"""),"FIZZ")</f>
        <v>FIZZ</v>
      </c>
    </row>
    <row r="511" spans="1:2" ht="12.5" x14ac:dyDescent="0.25">
      <c r="A511" t="str">
        <f ca="1">IFERROR(__xludf.DUMMYFUNCTION("""COMPUTED_VALUE"""),"Extra-Regio (FIZZZ)")</f>
        <v>Extra-Regio (FIZZZ)</v>
      </c>
      <c r="B511" t="str">
        <f ca="1">IFERROR(__xludf.DUMMYFUNCTION("""COMPUTED_VALUE"""),"FIZZZ")</f>
        <v>FIZZZ</v>
      </c>
    </row>
    <row r="512" spans="1:2" ht="12.5" x14ac:dyDescent="0.25">
      <c r="A512" t="str">
        <f ca="1">IFERROR(__xludf.DUMMYFUNCTION("""COMPUTED_VALUE"""),"Extra-Regio (FRZ)")</f>
        <v>Extra-Regio (FRZ)</v>
      </c>
      <c r="B512" t="str">
        <f ca="1">IFERROR(__xludf.DUMMYFUNCTION("""COMPUTED_VALUE"""),"FRZ")</f>
        <v>FRZ</v>
      </c>
    </row>
    <row r="513" spans="1:2" ht="12.5" x14ac:dyDescent="0.25">
      <c r="A513" t="str">
        <f ca="1">IFERROR(__xludf.DUMMYFUNCTION("""COMPUTED_VALUE"""),"Extra-Regio (FRZZ)")</f>
        <v>Extra-Regio (FRZZ)</v>
      </c>
      <c r="B513" t="str">
        <f ca="1">IFERROR(__xludf.DUMMYFUNCTION("""COMPUTED_VALUE"""),"FRZZ")</f>
        <v>FRZZ</v>
      </c>
    </row>
    <row r="514" spans="1:2" ht="12.5" x14ac:dyDescent="0.25">
      <c r="A514" t="str">
        <f ca="1">IFERROR(__xludf.DUMMYFUNCTION("""COMPUTED_VALUE"""),"Extra-Regio (FRZZZ)")</f>
        <v>Extra-Regio (FRZZZ)</v>
      </c>
      <c r="B514" t="str">
        <f ca="1">IFERROR(__xludf.DUMMYFUNCTION("""COMPUTED_VALUE"""),"FRZZZ")</f>
        <v>FRZZZ</v>
      </c>
    </row>
    <row r="515" spans="1:2" ht="12.5" x14ac:dyDescent="0.25">
      <c r="A515" t="str">
        <f ca="1">IFERROR(__xludf.DUMMYFUNCTION("""COMPUTED_VALUE"""),"Extra-Regio (GRZ)")</f>
        <v>Extra-Regio (GRZ)</v>
      </c>
      <c r="B515" t="str">
        <f ca="1">IFERROR(__xludf.DUMMYFUNCTION("""COMPUTED_VALUE"""),"GRZ")</f>
        <v>GRZ</v>
      </c>
    </row>
    <row r="516" spans="1:2" ht="12.5" x14ac:dyDescent="0.25">
      <c r="A516" t="str">
        <f ca="1">IFERROR(__xludf.DUMMYFUNCTION("""COMPUTED_VALUE"""),"Extra-Regio (GRZZ)")</f>
        <v>Extra-Regio (GRZZ)</v>
      </c>
      <c r="B516" t="str">
        <f ca="1">IFERROR(__xludf.DUMMYFUNCTION("""COMPUTED_VALUE"""),"GRZZ")</f>
        <v>GRZZ</v>
      </c>
    </row>
    <row r="517" spans="1:2" ht="12.5" x14ac:dyDescent="0.25">
      <c r="A517" t="str">
        <f ca="1">IFERROR(__xludf.DUMMYFUNCTION("""COMPUTED_VALUE"""),"Extra-Regio (GRZZZ)")</f>
        <v>Extra-Regio (GRZZZ)</v>
      </c>
      <c r="B517" t="str">
        <f ca="1">IFERROR(__xludf.DUMMYFUNCTION("""COMPUTED_VALUE"""),"GRZZZ")</f>
        <v>GRZZZ</v>
      </c>
    </row>
    <row r="518" spans="1:2" ht="12.5" x14ac:dyDescent="0.25">
      <c r="A518" t="str">
        <f ca="1">IFERROR(__xludf.DUMMYFUNCTION("""COMPUTED_VALUE"""),"Extra-Regio (HUZ)")</f>
        <v>Extra-Regio (HUZ)</v>
      </c>
      <c r="B518" t="str">
        <f ca="1">IFERROR(__xludf.DUMMYFUNCTION("""COMPUTED_VALUE"""),"HUZ")</f>
        <v>HUZ</v>
      </c>
    </row>
    <row r="519" spans="1:2" ht="12.5" x14ac:dyDescent="0.25">
      <c r="A519" t="str">
        <f ca="1">IFERROR(__xludf.DUMMYFUNCTION("""COMPUTED_VALUE"""),"Extra-Regio (HUZZ)")</f>
        <v>Extra-Regio (HUZZ)</v>
      </c>
      <c r="B519" t="str">
        <f ca="1">IFERROR(__xludf.DUMMYFUNCTION("""COMPUTED_VALUE"""),"HUZZ")</f>
        <v>HUZZ</v>
      </c>
    </row>
    <row r="520" spans="1:2" ht="12.5" x14ac:dyDescent="0.25">
      <c r="A520" t="str">
        <f ca="1">IFERROR(__xludf.DUMMYFUNCTION("""COMPUTED_VALUE"""),"Extra-Regio (HUZZZ)")</f>
        <v>Extra-Regio (HUZZZ)</v>
      </c>
      <c r="B520" t="str">
        <f ca="1">IFERROR(__xludf.DUMMYFUNCTION("""COMPUTED_VALUE"""),"HUZZZ")</f>
        <v>HUZZZ</v>
      </c>
    </row>
    <row r="521" spans="1:2" ht="12.5" x14ac:dyDescent="0.25">
      <c r="A521" t="str">
        <f ca="1">IFERROR(__xludf.DUMMYFUNCTION("""COMPUTED_VALUE"""),"Extra-Regio (IEZ)")</f>
        <v>Extra-Regio (IEZ)</v>
      </c>
      <c r="B521" t="str">
        <f ca="1">IFERROR(__xludf.DUMMYFUNCTION("""COMPUTED_VALUE"""),"IEZ")</f>
        <v>IEZ</v>
      </c>
    </row>
    <row r="522" spans="1:2" ht="12.5" x14ac:dyDescent="0.25">
      <c r="A522" t="str">
        <f ca="1">IFERROR(__xludf.DUMMYFUNCTION("""COMPUTED_VALUE"""),"Extra-Regio (IEZZ)")</f>
        <v>Extra-Regio (IEZZ)</v>
      </c>
      <c r="B522" t="str">
        <f ca="1">IFERROR(__xludf.DUMMYFUNCTION("""COMPUTED_VALUE"""),"IEZZ")</f>
        <v>IEZZ</v>
      </c>
    </row>
    <row r="523" spans="1:2" ht="12.5" x14ac:dyDescent="0.25">
      <c r="A523" t="str">
        <f ca="1">IFERROR(__xludf.DUMMYFUNCTION("""COMPUTED_VALUE"""),"Extra-Regio (IEZZZ)")</f>
        <v>Extra-Regio (IEZZZ)</v>
      </c>
      <c r="B523" t="str">
        <f ca="1">IFERROR(__xludf.DUMMYFUNCTION("""COMPUTED_VALUE"""),"IEZZZ")</f>
        <v>IEZZZ</v>
      </c>
    </row>
    <row r="524" spans="1:2" ht="12.5" x14ac:dyDescent="0.25">
      <c r="A524" t="str">
        <f ca="1">IFERROR(__xludf.DUMMYFUNCTION("""COMPUTED_VALUE"""),"Extra-Regio (ITZ)")</f>
        <v>Extra-Regio (ITZ)</v>
      </c>
      <c r="B524" t="str">
        <f ca="1">IFERROR(__xludf.DUMMYFUNCTION("""COMPUTED_VALUE"""),"ITZ")</f>
        <v>ITZ</v>
      </c>
    </row>
    <row r="525" spans="1:2" ht="12.5" x14ac:dyDescent="0.25">
      <c r="A525" t="str">
        <f ca="1">IFERROR(__xludf.DUMMYFUNCTION("""COMPUTED_VALUE"""),"Extra-Regio (ITZZ)")</f>
        <v>Extra-Regio (ITZZ)</v>
      </c>
      <c r="B525" t="str">
        <f ca="1">IFERROR(__xludf.DUMMYFUNCTION("""COMPUTED_VALUE"""),"ITZZ")</f>
        <v>ITZZ</v>
      </c>
    </row>
    <row r="526" spans="1:2" ht="12.5" x14ac:dyDescent="0.25">
      <c r="A526" t="str">
        <f ca="1">IFERROR(__xludf.DUMMYFUNCTION("""COMPUTED_VALUE"""),"Extra-Regio (ITZZZ)")</f>
        <v>Extra-Regio (ITZZZ)</v>
      </c>
      <c r="B526" t="str">
        <f ca="1">IFERROR(__xludf.DUMMYFUNCTION("""COMPUTED_VALUE"""),"ITZZZ")</f>
        <v>ITZZZ</v>
      </c>
    </row>
    <row r="527" spans="1:2" ht="12.5" x14ac:dyDescent="0.25">
      <c r="A527" t="str">
        <f ca="1">IFERROR(__xludf.DUMMYFUNCTION("""COMPUTED_VALUE"""),"Extra-Regio (LTZ)")</f>
        <v>Extra-Regio (LTZ)</v>
      </c>
      <c r="B527" t="str">
        <f ca="1">IFERROR(__xludf.DUMMYFUNCTION("""COMPUTED_VALUE"""),"LTZ")</f>
        <v>LTZ</v>
      </c>
    </row>
    <row r="528" spans="1:2" ht="12.5" x14ac:dyDescent="0.25">
      <c r="A528" t="str">
        <f ca="1">IFERROR(__xludf.DUMMYFUNCTION("""COMPUTED_VALUE"""),"Extra-Regio (LTZZ)")</f>
        <v>Extra-Regio (LTZZ)</v>
      </c>
      <c r="B528" t="str">
        <f ca="1">IFERROR(__xludf.DUMMYFUNCTION("""COMPUTED_VALUE"""),"LTZZ")</f>
        <v>LTZZ</v>
      </c>
    </row>
    <row r="529" spans="1:2" ht="12.5" x14ac:dyDescent="0.25">
      <c r="A529" t="str">
        <f ca="1">IFERROR(__xludf.DUMMYFUNCTION("""COMPUTED_VALUE"""),"Extra-Regio (LTZZZ)")</f>
        <v>Extra-Regio (LTZZZ)</v>
      </c>
      <c r="B529" t="str">
        <f ca="1">IFERROR(__xludf.DUMMYFUNCTION("""COMPUTED_VALUE"""),"LTZZZ")</f>
        <v>LTZZZ</v>
      </c>
    </row>
    <row r="530" spans="1:2" ht="12.5" x14ac:dyDescent="0.25">
      <c r="A530" t="str">
        <f ca="1">IFERROR(__xludf.DUMMYFUNCTION("""COMPUTED_VALUE"""),"Extra-Regio (LUZ)")</f>
        <v>Extra-Regio (LUZ)</v>
      </c>
      <c r="B530" t="str">
        <f ca="1">IFERROR(__xludf.DUMMYFUNCTION("""COMPUTED_VALUE"""),"LUZ")</f>
        <v>LUZ</v>
      </c>
    </row>
    <row r="531" spans="1:2" ht="12.5" x14ac:dyDescent="0.25">
      <c r="A531" t="str">
        <f ca="1">IFERROR(__xludf.DUMMYFUNCTION("""COMPUTED_VALUE"""),"Extra-Regio (LUZZ)")</f>
        <v>Extra-Regio (LUZZ)</v>
      </c>
      <c r="B531" t="str">
        <f ca="1">IFERROR(__xludf.DUMMYFUNCTION("""COMPUTED_VALUE"""),"LUZZ")</f>
        <v>LUZZ</v>
      </c>
    </row>
    <row r="532" spans="1:2" ht="12.5" x14ac:dyDescent="0.25">
      <c r="A532" t="str">
        <f ca="1">IFERROR(__xludf.DUMMYFUNCTION("""COMPUTED_VALUE"""),"Extra-Regio (LUZZZ)")</f>
        <v>Extra-Regio (LUZZZ)</v>
      </c>
      <c r="B532" t="str">
        <f ca="1">IFERROR(__xludf.DUMMYFUNCTION("""COMPUTED_VALUE"""),"LUZZZ")</f>
        <v>LUZZZ</v>
      </c>
    </row>
    <row r="533" spans="1:2" ht="12.5" x14ac:dyDescent="0.25">
      <c r="A533" t="str">
        <f ca="1">IFERROR(__xludf.DUMMYFUNCTION("""COMPUTED_VALUE"""),"Extra-Regio (LVZ)")</f>
        <v>Extra-Regio (LVZ)</v>
      </c>
      <c r="B533" t="str">
        <f ca="1">IFERROR(__xludf.DUMMYFUNCTION("""COMPUTED_VALUE"""),"LVZ")</f>
        <v>LVZ</v>
      </c>
    </row>
    <row r="534" spans="1:2" ht="12.5" x14ac:dyDescent="0.25">
      <c r="A534" t="str">
        <f ca="1">IFERROR(__xludf.DUMMYFUNCTION("""COMPUTED_VALUE"""),"Extra-Regio (LVZZ)")</f>
        <v>Extra-Regio (LVZZ)</v>
      </c>
      <c r="B534" t="str">
        <f ca="1">IFERROR(__xludf.DUMMYFUNCTION("""COMPUTED_VALUE"""),"LVZZ")</f>
        <v>LVZZ</v>
      </c>
    </row>
    <row r="535" spans="1:2" ht="12.5" x14ac:dyDescent="0.25">
      <c r="A535" t="str">
        <f ca="1">IFERROR(__xludf.DUMMYFUNCTION("""COMPUTED_VALUE"""),"Extra-Regio (LVZZZ)")</f>
        <v>Extra-Regio (LVZZZ)</v>
      </c>
      <c r="B535" t="str">
        <f ca="1">IFERROR(__xludf.DUMMYFUNCTION("""COMPUTED_VALUE"""),"LVZZZ")</f>
        <v>LVZZZ</v>
      </c>
    </row>
    <row r="536" spans="1:2" ht="12.5" x14ac:dyDescent="0.25">
      <c r="A536" t="str">
        <f ca="1">IFERROR(__xludf.DUMMYFUNCTION("""COMPUTED_VALUE"""),"Extra-Regio (MTZ)")</f>
        <v>Extra-Regio (MTZ)</v>
      </c>
      <c r="B536" t="str">
        <f ca="1">IFERROR(__xludf.DUMMYFUNCTION("""COMPUTED_VALUE"""),"MTZ")</f>
        <v>MTZ</v>
      </c>
    </row>
    <row r="537" spans="1:2" ht="12.5" x14ac:dyDescent="0.25">
      <c r="A537" t="str">
        <f ca="1">IFERROR(__xludf.DUMMYFUNCTION("""COMPUTED_VALUE"""),"Extra-Regio (MTZZ)")</f>
        <v>Extra-Regio (MTZZ)</v>
      </c>
      <c r="B537" t="str">
        <f ca="1">IFERROR(__xludf.DUMMYFUNCTION("""COMPUTED_VALUE"""),"MTZZ")</f>
        <v>MTZZ</v>
      </c>
    </row>
    <row r="538" spans="1:2" ht="12.5" x14ac:dyDescent="0.25">
      <c r="A538" t="str">
        <f ca="1">IFERROR(__xludf.DUMMYFUNCTION("""COMPUTED_VALUE"""),"Extra-Regio (MTZZZ)")</f>
        <v>Extra-Regio (MTZZZ)</v>
      </c>
      <c r="B538" t="str">
        <f ca="1">IFERROR(__xludf.DUMMYFUNCTION("""COMPUTED_VALUE"""),"MTZZZ")</f>
        <v>MTZZZ</v>
      </c>
    </row>
    <row r="539" spans="1:2" ht="12.5" x14ac:dyDescent="0.25">
      <c r="A539" t="str">
        <f ca="1">IFERROR(__xludf.DUMMYFUNCTION("""COMPUTED_VALUE"""),"Extra-Regio (NLZ)")</f>
        <v>Extra-Regio (NLZ)</v>
      </c>
      <c r="B539" t="str">
        <f ca="1">IFERROR(__xludf.DUMMYFUNCTION("""COMPUTED_VALUE"""),"NLZ")</f>
        <v>NLZ</v>
      </c>
    </row>
    <row r="540" spans="1:2" ht="12.5" x14ac:dyDescent="0.25">
      <c r="A540" t="str">
        <f ca="1">IFERROR(__xludf.DUMMYFUNCTION("""COMPUTED_VALUE"""),"Extra-Regio (NLZZ)")</f>
        <v>Extra-Regio (NLZZ)</v>
      </c>
      <c r="B540" t="str">
        <f ca="1">IFERROR(__xludf.DUMMYFUNCTION("""COMPUTED_VALUE"""),"NLZZ")</f>
        <v>NLZZ</v>
      </c>
    </row>
    <row r="541" spans="1:2" ht="12.5" x14ac:dyDescent="0.25">
      <c r="A541" t="str">
        <f ca="1">IFERROR(__xludf.DUMMYFUNCTION("""COMPUTED_VALUE"""),"Extra-Regio (NLZZZ)")</f>
        <v>Extra-Regio (NLZZZ)</v>
      </c>
      <c r="B541" t="str">
        <f ca="1">IFERROR(__xludf.DUMMYFUNCTION("""COMPUTED_VALUE"""),"NLZZZ")</f>
        <v>NLZZZ</v>
      </c>
    </row>
    <row r="542" spans="1:2" ht="12.5" x14ac:dyDescent="0.25">
      <c r="A542" t="str">
        <f ca="1">IFERROR(__xludf.DUMMYFUNCTION("""COMPUTED_VALUE"""),"Extra-Regio (PLZ)")</f>
        <v>Extra-Regio (PLZ)</v>
      </c>
      <c r="B542" t="str">
        <f ca="1">IFERROR(__xludf.DUMMYFUNCTION("""COMPUTED_VALUE"""),"PLZ")</f>
        <v>PLZ</v>
      </c>
    </row>
    <row r="543" spans="1:2" ht="12.5" x14ac:dyDescent="0.25">
      <c r="A543" t="str">
        <f ca="1">IFERROR(__xludf.DUMMYFUNCTION("""COMPUTED_VALUE"""),"Extra-Regio (PLZZ)")</f>
        <v>Extra-Regio (PLZZ)</v>
      </c>
      <c r="B543" t="str">
        <f ca="1">IFERROR(__xludf.DUMMYFUNCTION("""COMPUTED_VALUE"""),"PLZZ")</f>
        <v>PLZZ</v>
      </c>
    </row>
    <row r="544" spans="1:2" ht="12.5" x14ac:dyDescent="0.25">
      <c r="A544" t="str">
        <f ca="1">IFERROR(__xludf.DUMMYFUNCTION("""COMPUTED_VALUE"""),"Extra-Regio (PLZZZ)")</f>
        <v>Extra-Regio (PLZZZ)</v>
      </c>
      <c r="B544" t="str">
        <f ca="1">IFERROR(__xludf.DUMMYFUNCTION("""COMPUTED_VALUE"""),"PLZZZ")</f>
        <v>PLZZZ</v>
      </c>
    </row>
    <row r="545" spans="1:2" ht="12.5" x14ac:dyDescent="0.25">
      <c r="A545" t="str">
        <f ca="1">IFERROR(__xludf.DUMMYFUNCTION("""COMPUTED_VALUE"""),"Extra-Regio (PTZ)")</f>
        <v>Extra-Regio (PTZ)</v>
      </c>
      <c r="B545" t="str">
        <f ca="1">IFERROR(__xludf.DUMMYFUNCTION("""COMPUTED_VALUE"""),"PTZ")</f>
        <v>PTZ</v>
      </c>
    </row>
    <row r="546" spans="1:2" ht="12.5" x14ac:dyDescent="0.25">
      <c r="A546" t="str">
        <f ca="1">IFERROR(__xludf.DUMMYFUNCTION("""COMPUTED_VALUE"""),"Extra-Regio (PTZZ)")</f>
        <v>Extra-Regio (PTZZ)</v>
      </c>
      <c r="B546" t="str">
        <f ca="1">IFERROR(__xludf.DUMMYFUNCTION("""COMPUTED_VALUE"""),"PTZZ")</f>
        <v>PTZZ</v>
      </c>
    </row>
    <row r="547" spans="1:2" ht="12.5" x14ac:dyDescent="0.25">
      <c r="A547" t="str">
        <f ca="1">IFERROR(__xludf.DUMMYFUNCTION("""COMPUTED_VALUE"""),"Extra-Regio (PTZZZ)")</f>
        <v>Extra-Regio (PTZZZ)</v>
      </c>
      <c r="B547" t="str">
        <f ca="1">IFERROR(__xludf.DUMMYFUNCTION("""COMPUTED_VALUE"""),"PTZZZ")</f>
        <v>PTZZZ</v>
      </c>
    </row>
    <row r="548" spans="1:2" ht="12.5" x14ac:dyDescent="0.25">
      <c r="A548" t="str">
        <f ca="1">IFERROR(__xludf.DUMMYFUNCTION("""COMPUTED_VALUE"""),"Extra-Regio (ROZ)")</f>
        <v>Extra-Regio (ROZ)</v>
      </c>
      <c r="B548" t="str">
        <f ca="1">IFERROR(__xludf.DUMMYFUNCTION("""COMPUTED_VALUE"""),"ROZ")</f>
        <v>ROZ</v>
      </c>
    </row>
    <row r="549" spans="1:2" ht="12.5" x14ac:dyDescent="0.25">
      <c r="A549" t="str">
        <f ca="1">IFERROR(__xludf.DUMMYFUNCTION("""COMPUTED_VALUE"""),"Extra-Regio (ROZZ)")</f>
        <v>Extra-Regio (ROZZ)</v>
      </c>
      <c r="B549" t="str">
        <f ca="1">IFERROR(__xludf.DUMMYFUNCTION("""COMPUTED_VALUE"""),"ROZZ")</f>
        <v>ROZZ</v>
      </c>
    </row>
    <row r="550" spans="1:2" ht="12.5" x14ac:dyDescent="0.25">
      <c r="A550" t="str">
        <f ca="1">IFERROR(__xludf.DUMMYFUNCTION("""COMPUTED_VALUE"""),"Extra-Regio (ROZZZ)")</f>
        <v>Extra-Regio (ROZZZ)</v>
      </c>
      <c r="B550" t="str">
        <f ca="1">IFERROR(__xludf.DUMMYFUNCTION("""COMPUTED_VALUE"""),"ROZZZ")</f>
        <v>ROZZZ</v>
      </c>
    </row>
    <row r="551" spans="1:2" ht="12.5" x14ac:dyDescent="0.25">
      <c r="A551" t="str">
        <f ca="1">IFERROR(__xludf.DUMMYFUNCTION("""COMPUTED_VALUE"""),"Extra-Regio (SEZ)")</f>
        <v>Extra-Regio (SEZ)</v>
      </c>
      <c r="B551" t="str">
        <f ca="1">IFERROR(__xludf.DUMMYFUNCTION("""COMPUTED_VALUE"""),"SEZ")</f>
        <v>SEZ</v>
      </c>
    </row>
    <row r="552" spans="1:2" ht="12.5" x14ac:dyDescent="0.25">
      <c r="A552" t="str">
        <f ca="1">IFERROR(__xludf.DUMMYFUNCTION("""COMPUTED_VALUE"""),"Extra-Regio (SEZZ)")</f>
        <v>Extra-Regio (SEZZ)</v>
      </c>
      <c r="B552" t="str">
        <f ca="1">IFERROR(__xludf.DUMMYFUNCTION("""COMPUTED_VALUE"""),"SEZZ")</f>
        <v>SEZZ</v>
      </c>
    </row>
    <row r="553" spans="1:2" ht="12.5" x14ac:dyDescent="0.25">
      <c r="A553" t="str">
        <f ca="1">IFERROR(__xludf.DUMMYFUNCTION("""COMPUTED_VALUE"""),"Extra-Regio (SEZZZ)")</f>
        <v>Extra-Regio (SEZZZ)</v>
      </c>
      <c r="B553" t="str">
        <f ca="1">IFERROR(__xludf.DUMMYFUNCTION("""COMPUTED_VALUE"""),"SEZZZ")</f>
        <v>SEZZZ</v>
      </c>
    </row>
    <row r="554" spans="1:2" ht="12.5" x14ac:dyDescent="0.25">
      <c r="A554" t="str">
        <f ca="1">IFERROR(__xludf.DUMMYFUNCTION("""COMPUTED_VALUE"""),"Extra-Regio (SIZ)")</f>
        <v>Extra-Regio (SIZ)</v>
      </c>
      <c r="B554" t="str">
        <f ca="1">IFERROR(__xludf.DUMMYFUNCTION("""COMPUTED_VALUE"""),"SIZ")</f>
        <v>SIZ</v>
      </c>
    </row>
    <row r="555" spans="1:2" ht="12.5" x14ac:dyDescent="0.25">
      <c r="A555" t="str">
        <f ca="1">IFERROR(__xludf.DUMMYFUNCTION("""COMPUTED_VALUE"""),"Extra-Regio (SIZZ)")</f>
        <v>Extra-Regio (SIZZ)</v>
      </c>
      <c r="B555" t="str">
        <f ca="1">IFERROR(__xludf.DUMMYFUNCTION("""COMPUTED_VALUE"""),"SIZZ")</f>
        <v>SIZZ</v>
      </c>
    </row>
    <row r="556" spans="1:2" ht="12.5" x14ac:dyDescent="0.25">
      <c r="A556" t="str">
        <f ca="1">IFERROR(__xludf.DUMMYFUNCTION("""COMPUTED_VALUE"""),"Extra-Regio (SIZZZ)")</f>
        <v>Extra-Regio (SIZZZ)</v>
      </c>
      <c r="B556" t="str">
        <f ca="1">IFERROR(__xludf.DUMMYFUNCTION("""COMPUTED_VALUE"""),"SIZZZ")</f>
        <v>SIZZZ</v>
      </c>
    </row>
    <row r="557" spans="1:2" ht="12.5" x14ac:dyDescent="0.25">
      <c r="A557" t="str">
        <f ca="1">IFERROR(__xludf.DUMMYFUNCTION("""COMPUTED_VALUE"""),"Extra-Regio (SKZ)")</f>
        <v>Extra-Regio (SKZ)</v>
      </c>
      <c r="B557" t="str">
        <f ca="1">IFERROR(__xludf.DUMMYFUNCTION("""COMPUTED_VALUE"""),"SKZ")</f>
        <v>SKZ</v>
      </c>
    </row>
    <row r="558" spans="1:2" ht="12.5" x14ac:dyDescent="0.25">
      <c r="A558" t="str">
        <f ca="1">IFERROR(__xludf.DUMMYFUNCTION("""COMPUTED_VALUE"""),"Extra-Regio (SKZZ)")</f>
        <v>Extra-Regio (SKZZ)</v>
      </c>
      <c r="B558" t="str">
        <f ca="1">IFERROR(__xludf.DUMMYFUNCTION("""COMPUTED_VALUE"""),"SKZZ")</f>
        <v>SKZZ</v>
      </c>
    </row>
    <row r="559" spans="1:2" ht="12.5" x14ac:dyDescent="0.25">
      <c r="A559" t="str">
        <f ca="1">IFERROR(__xludf.DUMMYFUNCTION("""COMPUTED_VALUE"""),"Extra-Regio (SKZZZ)")</f>
        <v>Extra-Regio (SKZZZ)</v>
      </c>
      <c r="B559" t="str">
        <f ca="1">IFERROR(__xludf.DUMMYFUNCTION("""COMPUTED_VALUE"""),"SKZZZ")</f>
        <v>SKZZZ</v>
      </c>
    </row>
    <row r="560" spans="1:2" ht="12.5" x14ac:dyDescent="0.25">
      <c r="A560" t="str">
        <f ca="1">IFERROR(__xludf.DUMMYFUNCTION("""COMPUTED_VALUE"""),"Extra-Regio (UKZ)")</f>
        <v>Extra-Regio (UKZ)</v>
      </c>
      <c r="B560" t="str">
        <f ca="1">IFERROR(__xludf.DUMMYFUNCTION("""COMPUTED_VALUE"""),"UKZ")</f>
        <v>UKZ</v>
      </c>
    </row>
    <row r="561" spans="1:2" ht="12.5" x14ac:dyDescent="0.25">
      <c r="A561" t="str">
        <f ca="1">IFERROR(__xludf.DUMMYFUNCTION("""COMPUTED_VALUE"""),"Extra-Regio (UKZZ)")</f>
        <v>Extra-Regio (UKZZ)</v>
      </c>
      <c r="B561" t="str">
        <f ca="1">IFERROR(__xludf.DUMMYFUNCTION("""COMPUTED_VALUE"""),"UKZZ")</f>
        <v>UKZZ</v>
      </c>
    </row>
    <row r="562" spans="1:2" ht="12.5" x14ac:dyDescent="0.25">
      <c r="A562" t="str">
        <f ca="1">IFERROR(__xludf.DUMMYFUNCTION("""COMPUTED_VALUE"""),"Extra-Regio (UKZZZ)")</f>
        <v>Extra-Regio (UKZZZ)</v>
      </c>
      <c r="B562" t="str">
        <f ca="1">IFERROR(__xludf.DUMMYFUNCTION("""COMPUTED_VALUE"""),"UKZZZ")</f>
        <v>UKZZZ</v>
      </c>
    </row>
    <row r="563" spans="1:2" ht="12.5" x14ac:dyDescent="0.25">
      <c r="A563" t="str">
        <f ca="1">IFERROR(__xludf.DUMMYFUNCTION("""COMPUTED_VALUE"""),"Extremadura")</f>
        <v>Extremadura</v>
      </c>
      <c r="B563" t="str">
        <f ca="1">IFERROR(__xludf.DUMMYFUNCTION("""COMPUTED_VALUE"""),"ES43")</f>
        <v>ES43</v>
      </c>
    </row>
    <row r="564" spans="1:2" ht="12.5" x14ac:dyDescent="0.25">
      <c r="A564" t="str">
        <f ca="1">IFERROR(__xludf.DUMMYFUNCTION("""COMPUTED_VALUE"""),"Falkirk")</f>
        <v>Falkirk</v>
      </c>
      <c r="B564" t="str">
        <f ca="1">IFERROR(__xludf.DUMMYFUNCTION("""COMPUTED_VALUE"""),"UKM26")</f>
        <v>UKM26</v>
      </c>
    </row>
    <row r="565" spans="1:2" ht="12.5" x14ac:dyDescent="0.25">
      <c r="A565" t="str">
        <f ca="1">IFERROR(__xludf.DUMMYFUNCTION("""COMPUTED_VALUE"""),"Fejer")</f>
        <v>Fejer</v>
      </c>
      <c r="B565" t="str">
        <f ca="1">IFERROR(__xludf.DUMMYFUNCTION("""COMPUTED_VALUE"""),"HU211")</f>
        <v>HU211</v>
      </c>
    </row>
    <row r="566" spans="1:2" ht="12.5" x14ac:dyDescent="0.25">
      <c r="A566" t="str">
        <f ca="1">IFERROR(__xludf.DUMMYFUNCTION("""COMPUTED_VALUE"""),"Ferrara")</f>
        <v>Ferrara</v>
      </c>
      <c r="B566" t="str">
        <f ca="1">IFERROR(__xludf.DUMMYFUNCTION("""COMPUTED_VALUE"""),"ITD56")</f>
        <v>ITD56</v>
      </c>
    </row>
    <row r="567" spans="1:2" ht="12.5" x14ac:dyDescent="0.25">
      <c r="A567" t="str">
        <f ca="1">IFERROR(__xludf.DUMMYFUNCTION("""COMPUTED_VALUE"""),"Finistère")</f>
        <v>Finistère</v>
      </c>
      <c r="B567" t="str">
        <f ca="1">IFERROR(__xludf.DUMMYFUNCTION("""COMPUTED_VALUE"""),"FR522")</f>
        <v>FR522</v>
      </c>
    </row>
    <row r="568" spans="1:2" ht="12.5" x14ac:dyDescent="0.25">
      <c r="A568" t="str">
        <f ca="1">IFERROR(__xludf.DUMMYFUNCTION("""COMPUTED_VALUE"""),"Finnmark")</f>
        <v>Finnmark</v>
      </c>
      <c r="B568" t="str">
        <f ca="1">IFERROR(__xludf.DUMMYFUNCTION("""COMPUTED_VALUE"""),"NO073")</f>
        <v>NO073</v>
      </c>
    </row>
    <row r="569" spans="1:2" ht="12.5" x14ac:dyDescent="0.25">
      <c r="A569" t="str">
        <f ca="1">IFERROR(__xludf.DUMMYFUNCTION("""COMPUTED_VALUE"""),"Firenze")</f>
        <v>Firenze</v>
      </c>
      <c r="B569" t="str">
        <f ca="1">IFERROR(__xludf.DUMMYFUNCTION("""COMPUTED_VALUE"""),"ITE14")</f>
        <v>ITE14</v>
      </c>
    </row>
    <row r="570" spans="1:2" ht="12.5" x14ac:dyDescent="0.25">
      <c r="A570" t="str">
        <f ca="1">IFERROR(__xludf.DUMMYFUNCTION("""COMPUTED_VALUE"""),"Flensburg, Kreisfreie Stadt")</f>
        <v>Flensburg, Kreisfreie Stadt</v>
      </c>
      <c r="B570" t="str">
        <f ca="1">IFERROR(__xludf.DUMMYFUNCTION("""COMPUTED_VALUE"""),"DEF01")</f>
        <v>DEF01</v>
      </c>
    </row>
    <row r="571" spans="1:2" ht="12.5" x14ac:dyDescent="0.25">
      <c r="A571" t="str">
        <f ca="1">IFERROR(__xludf.DUMMYFUNCTION("""COMPUTED_VALUE"""),"Flevoland")</f>
        <v>Flevoland</v>
      </c>
      <c r="B571" t="str">
        <f ca="1">IFERROR(__xludf.DUMMYFUNCTION("""COMPUTED_VALUE"""),"NL23")</f>
        <v>NL23</v>
      </c>
    </row>
    <row r="572" spans="1:2" ht="12.5" x14ac:dyDescent="0.25">
      <c r="A572" t="str">
        <f ca="1">IFERROR(__xludf.DUMMYFUNCTION("""COMPUTED_VALUE"""),"Flevoland (*)")</f>
        <v>Flevoland (*)</v>
      </c>
      <c r="B572" t="str">
        <f ca="1">IFERROR(__xludf.DUMMYFUNCTION("""COMPUTED_VALUE"""),"NL230")</f>
        <v>NL230</v>
      </c>
    </row>
    <row r="573" spans="1:2" ht="12.5" x14ac:dyDescent="0.25">
      <c r="A573" t="str">
        <f ca="1">IFERROR(__xludf.DUMMYFUNCTION("""COMPUTED_VALUE"""),"Flintshire And Wrexham")</f>
        <v>Flintshire And Wrexham</v>
      </c>
      <c r="B573" t="str">
        <f ca="1">IFERROR(__xludf.DUMMYFUNCTION("""COMPUTED_VALUE"""),"UKL23")</f>
        <v>UKL23</v>
      </c>
    </row>
    <row r="574" spans="1:2" ht="12.5" x14ac:dyDescent="0.25">
      <c r="A574" t="str">
        <f ca="1">IFERROR(__xludf.DUMMYFUNCTION("""COMPUTED_VALUE"""),"Florina")</f>
        <v>Florina</v>
      </c>
      <c r="B574" t="str">
        <f ca="1">IFERROR(__xludf.DUMMYFUNCTION("""COMPUTED_VALUE"""),"GR134")</f>
        <v>GR134</v>
      </c>
    </row>
    <row r="575" spans="1:2" ht="12.5" x14ac:dyDescent="0.25">
      <c r="A575" t="str">
        <f ca="1">IFERROR(__xludf.DUMMYFUNCTION("""COMPUTED_VALUE"""),"Foggia")</f>
        <v>Foggia</v>
      </c>
      <c r="B575" t="str">
        <f ca="1">IFERROR(__xludf.DUMMYFUNCTION("""COMPUTED_VALUE"""),"ITF41")</f>
        <v>ITF41</v>
      </c>
    </row>
    <row r="576" spans="1:2" ht="12.5" x14ac:dyDescent="0.25">
      <c r="A576" t="str">
        <f ca="1">IFERROR(__xludf.DUMMYFUNCTION("""COMPUTED_VALUE"""),"Fokida")</f>
        <v>Fokida</v>
      </c>
      <c r="B576" t="str">
        <f ca="1">IFERROR(__xludf.DUMMYFUNCTION("""COMPUTED_VALUE"""),"GR245")</f>
        <v>GR245</v>
      </c>
    </row>
    <row r="577" spans="1:2" ht="12.5" x14ac:dyDescent="0.25">
      <c r="A577" t="str">
        <f ca="1">IFERROR(__xludf.DUMMYFUNCTION("""COMPUTED_VALUE"""),"Forchheim")</f>
        <v>Forchheim</v>
      </c>
      <c r="B577" t="str">
        <f ca="1">IFERROR(__xludf.DUMMYFUNCTION("""COMPUTED_VALUE"""),"DE248")</f>
        <v>DE248</v>
      </c>
    </row>
    <row r="578" spans="1:2" ht="12.5" x14ac:dyDescent="0.25">
      <c r="A578" t="str">
        <f ca="1">IFERROR(__xludf.DUMMYFUNCTION("""COMPUTED_VALUE"""),"Forlì-Cesena")</f>
        <v>Forlì-Cesena</v>
      </c>
      <c r="B578" t="str">
        <f ca="1">IFERROR(__xludf.DUMMYFUNCTION("""COMPUTED_VALUE"""),"ITD58")</f>
        <v>ITD58</v>
      </c>
    </row>
    <row r="579" spans="1:2" ht="12.5" x14ac:dyDescent="0.25">
      <c r="A579" t="str">
        <f ca="1">IFERROR(__xludf.DUMMYFUNCTION("""COMPUTED_VALUE"""),"France")</f>
        <v>France</v>
      </c>
      <c r="B579" t="str">
        <f ca="1">IFERROR(__xludf.DUMMYFUNCTION("""COMPUTED_VALUE"""),"FR")</f>
        <v>FR</v>
      </c>
    </row>
    <row r="580" spans="1:2" ht="12.5" x14ac:dyDescent="0.25">
      <c r="A580" t="str">
        <f ca="1">IFERROR(__xludf.DUMMYFUNCTION("""COMPUTED_VALUE"""),"Franche-Comté")</f>
        <v>Franche-Comté</v>
      </c>
      <c r="B580" t="str">
        <f ca="1">IFERROR(__xludf.DUMMYFUNCTION("""COMPUTED_VALUE"""),"FR43")</f>
        <v>FR43</v>
      </c>
    </row>
    <row r="581" spans="1:2" ht="12.5" x14ac:dyDescent="0.25">
      <c r="A581" t="str">
        <f ca="1">IFERROR(__xludf.DUMMYFUNCTION("""COMPUTED_VALUE"""),"Frankenthal (Pfalz), Kreisfreie Stadt")</f>
        <v>Frankenthal (Pfalz), Kreisfreie Stadt</v>
      </c>
      <c r="B581" t="str">
        <f ca="1">IFERROR(__xludf.DUMMYFUNCTION("""COMPUTED_VALUE"""),"DEB31")</f>
        <v>DEB31</v>
      </c>
    </row>
    <row r="582" spans="1:2" ht="12.5" x14ac:dyDescent="0.25">
      <c r="A582" t="str">
        <f ca="1">IFERROR(__xludf.DUMMYFUNCTION("""COMPUTED_VALUE"""),"Frankfurt (Oder), Kreisfreie Stadt")</f>
        <v>Frankfurt (Oder), Kreisfreie Stadt</v>
      </c>
      <c r="B582" t="str">
        <f ca="1">IFERROR(__xludf.DUMMYFUNCTION("""COMPUTED_VALUE"""),"DE411")</f>
        <v>DE411</v>
      </c>
    </row>
    <row r="583" spans="1:2" ht="12.5" x14ac:dyDescent="0.25">
      <c r="A583" t="str">
        <f ca="1">IFERROR(__xludf.DUMMYFUNCTION("""COMPUTED_VALUE"""),"Frankfurt Am Main, Kreisfreie Stadt")</f>
        <v>Frankfurt Am Main, Kreisfreie Stadt</v>
      </c>
      <c r="B583" t="str">
        <f ca="1">IFERROR(__xludf.DUMMYFUNCTION("""COMPUTED_VALUE"""),"DE712")</f>
        <v>DE712</v>
      </c>
    </row>
    <row r="584" spans="1:2" ht="12.5" x14ac:dyDescent="0.25">
      <c r="A584" t="str">
        <f ca="1">IFERROR(__xludf.DUMMYFUNCTION("""COMPUTED_VALUE"""),"Freiberg")</f>
        <v>Freiberg</v>
      </c>
      <c r="B584" t="str">
        <f ca="1">IFERROR(__xludf.DUMMYFUNCTION("""COMPUTED_VALUE"""),"DED16")</f>
        <v>DED16</v>
      </c>
    </row>
    <row r="585" spans="1:2" ht="12.5" x14ac:dyDescent="0.25">
      <c r="A585" t="str">
        <f ca="1">IFERROR(__xludf.DUMMYFUNCTION("""COMPUTED_VALUE"""),"Freiburg")</f>
        <v>Freiburg</v>
      </c>
      <c r="B585" t="str">
        <f ca="1">IFERROR(__xludf.DUMMYFUNCTION("""COMPUTED_VALUE"""),"CH022")</f>
        <v>CH022</v>
      </c>
    </row>
    <row r="586" spans="1:2" ht="12.5" x14ac:dyDescent="0.25">
      <c r="A586" t="str">
        <f ca="1">IFERROR(__xludf.DUMMYFUNCTION("""COMPUTED_VALUE"""),"Freiburg (*)")</f>
        <v>Freiburg (*)</v>
      </c>
      <c r="B586" t="str">
        <f ca="1">IFERROR(__xludf.DUMMYFUNCTION("""COMPUTED_VALUE"""),"DE13")</f>
        <v>DE13</v>
      </c>
    </row>
    <row r="587" spans="1:2" ht="12.5" x14ac:dyDescent="0.25">
      <c r="A587" t="str">
        <f ca="1">IFERROR(__xludf.DUMMYFUNCTION("""COMPUTED_VALUE"""),"Freiburg Im Breisgau, Stadtkreis")</f>
        <v>Freiburg Im Breisgau, Stadtkreis</v>
      </c>
      <c r="B587" t="str">
        <f ca="1">IFERROR(__xludf.DUMMYFUNCTION("""COMPUTED_VALUE"""),"DE131")</f>
        <v>DE131</v>
      </c>
    </row>
    <row r="588" spans="1:2" ht="12.5" x14ac:dyDescent="0.25">
      <c r="A588" t="str">
        <f ca="1">IFERROR(__xludf.DUMMYFUNCTION("""COMPUTED_VALUE"""),"Freising")</f>
        <v>Freising</v>
      </c>
      <c r="B588" t="str">
        <f ca="1">IFERROR(__xludf.DUMMYFUNCTION("""COMPUTED_VALUE"""),"DE21B")</f>
        <v>DE21B</v>
      </c>
    </row>
    <row r="589" spans="1:2" ht="12.5" x14ac:dyDescent="0.25">
      <c r="A589" t="str">
        <f ca="1">IFERROR(__xludf.DUMMYFUNCTION("""COMPUTED_VALUE"""),"Freudenstadt")</f>
        <v>Freudenstadt</v>
      </c>
      <c r="B589" t="str">
        <f ca="1">IFERROR(__xludf.DUMMYFUNCTION("""COMPUTED_VALUE"""),"DE12C")</f>
        <v>DE12C</v>
      </c>
    </row>
    <row r="590" spans="1:2" ht="12.5" x14ac:dyDescent="0.25">
      <c r="A590" t="str">
        <f ca="1">IFERROR(__xludf.DUMMYFUNCTION("""COMPUTED_VALUE"""),"Freyung-Grafenau")</f>
        <v>Freyung-Grafenau</v>
      </c>
      <c r="B590" t="str">
        <f ca="1">IFERROR(__xludf.DUMMYFUNCTION("""COMPUTED_VALUE"""),"DE225")</f>
        <v>DE225</v>
      </c>
    </row>
    <row r="591" spans="1:2" ht="12.5" x14ac:dyDescent="0.25">
      <c r="A591" t="str">
        <f ca="1">IFERROR(__xludf.DUMMYFUNCTION("""COMPUTED_VALUE"""),"Friesland (D)")</f>
        <v>Friesland (D)</v>
      </c>
      <c r="B591" t="str">
        <f ca="1">IFERROR(__xludf.DUMMYFUNCTION("""COMPUTED_VALUE"""),"DE94A")</f>
        <v>DE94A</v>
      </c>
    </row>
    <row r="592" spans="1:2" ht="12.5" x14ac:dyDescent="0.25">
      <c r="A592" t="str">
        <f ca="1">IFERROR(__xludf.DUMMYFUNCTION("""COMPUTED_VALUE"""),"Friesland (Nl)")</f>
        <v>Friesland (Nl)</v>
      </c>
      <c r="B592" t="str">
        <f ca="1">IFERROR(__xludf.DUMMYFUNCTION("""COMPUTED_VALUE"""),"NL12")</f>
        <v>NL12</v>
      </c>
    </row>
    <row r="593" spans="1:2" ht="12.5" x14ac:dyDescent="0.25">
      <c r="A593" t="str">
        <f ca="1">IFERROR(__xludf.DUMMYFUNCTION("""COMPUTED_VALUE"""),"Friuli-Venezia Giulia")</f>
        <v>Friuli-Venezia Giulia</v>
      </c>
      <c r="B593" t="str">
        <f ca="1">IFERROR(__xludf.DUMMYFUNCTION("""COMPUTED_VALUE"""),"ITD4")</f>
        <v>ITD4</v>
      </c>
    </row>
    <row r="594" spans="1:2" ht="12.5" x14ac:dyDescent="0.25">
      <c r="A594" t="str">
        <f ca="1">IFERROR(__xludf.DUMMYFUNCTION("""COMPUTED_VALUE"""),"Frosinone")</f>
        <v>Frosinone</v>
      </c>
      <c r="B594" t="str">
        <f ca="1">IFERROR(__xludf.DUMMYFUNCTION("""COMPUTED_VALUE"""),"ITE45")</f>
        <v>ITE45</v>
      </c>
    </row>
    <row r="595" spans="1:2" ht="12.5" x14ac:dyDescent="0.25">
      <c r="A595" t="str">
        <f ca="1">IFERROR(__xludf.DUMMYFUNCTION("""COMPUTED_VALUE"""),"Fthiotida")</f>
        <v>Fthiotida</v>
      </c>
      <c r="B595" t="str">
        <f ca="1">IFERROR(__xludf.DUMMYFUNCTION("""COMPUTED_VALUE"""),"GR244")</f>
        <v>GR244</v>
      </c>
    </row>
    <row r="596" spans="1:2" ht="12.5" x14ac:dyDescent="0.25">
      <c r="A596" t="str">
        <f ca="1">IFERROR(__xludf.DUMMYFUNCTION("""COMPUTED_VALUE"""),"Fuerteventura")</f>
        <v>Fuerteventura</v>
      </c>
      <c r="B596" t="str">
        <f ca="1">IFERROR(__xludf.DUMMYFUNCTION("""COMPUTED_VALUE"""),"ES704")</f>
        <v>ES704</v>
      </c>
    </row>
    <row r="597" spans="1:2" ht="12.5" x14ac:dyDescent="0.25">
      <c r="A597" t="str">
        <f ca="1">IFERROR(__xludf.DUMMYFUNCTION("""COMPUTED_VALUE"""),"Fulda")</f>
        <v>Fulda</v>
      </c>
      <c r="B597" t="str">
        <f ca="1">IFERROR(__xludf.DUMMYFUNCTION("""COMPUTED_VALUE"""),"DE732")</f>
        <v>DE732</v>
      </c>
    </row>
    <row r="598" spans="1:2" ht="12.5" x14ac:dyDescent="0.25">
      <c r="A598" t="str">
        <f ca="1">IFERROR(__xludf.DUMMYFUNCTION("""COMPUTED_VALUE"""),"Fürstenfeldbruck")</f>
        <v>Fürstenfeldbruck</v>
      </c>
      <c r="B598" t="str">
        <f ca="1">IFERROR(__xludf.DUMMYFUNCTION("""COMPUTED_VALUE"""),"DE21C")</f>
        <v>DE21C</v>
      </c>
    </row>
    <row r="599" spans="1:2" ht="12.5" x14ac:dyDescent="0.25">
      <c r="A599" t="str">
        <f ca="1">IFERROR(__xludf.DUMMYFUNCTION("""COMPUTED_VALUE"""),"Fürth, Kreisfreie Stadt")</f>
        <v>Fürth, Kreisfreie Stadt</v>
      </c>
      <c r="B599" t="str">
        <f ca="1">IFERROR(__xludf.DUMMYFUNCTION("""COMPUTED_VALUE"""),"DE253")</f>
        <v>DE253</v>
      </c>
    </row>
    <row r="600" spans="1:2" ht="12.5" x14ac:dyDescent="0.25">
      <c r="A600" t="str">
        <f ca="1">IFERROR(__xludf.DUMMYFUNCTION("""COMPUTED_VALUE"""),"Fürth, Landkreis")</f>
        <v>Fürth, Landkreis</v>
      </c>
      <c r="B600" t="str">
        <f ca="1">IFERROR(__xludf.DUMMYFUNCTION("""COMPUTED_VALUE"""),"DE258")</f>
        <v>DE258</v>
      </c>
    </row>
    <row r="601" spans="1:2" ht="12.5" x14ac:dyDescent="0.25">
      <c r="A601" t="str">
        <f ca="1">IFERROR(__xludf.DUMMYFUNCTION("""COMPUTED_VALUE"""),"Fyn")</f>
        <v>Fyn</v>
      </c>
      <c r="B601" t="str">
        <f ca="1">IFERROR(__xludf.DUMMYFUNCTION("""COMPUTED_VALUE"""),"DK031")</f>
        <v>DK031</v>
      </c>
    </row>
    <row r="602" spans="1:2" ht="12.5" x14ac:dyDescent="0.25">
      <c r="A602" t="str">
        <f ca="1">IFERROR(__xludf.DUMMYFUNCTION("""COMPUTED_VALUE"""),"Gabrovo")</f>
        <v>Gabrovo</v>
      </c>
      <c r="B602" t="str">
        <f ca="1">IFERROR(__xludf.DUMMYFUNCTION("""COMPUTED_VALUE"""),"BG322")</f>
        <v>BG322</v>
      </c>
    </row>
    <row r="603" spans="1:2" ht="12.5" x14ac:dyDescent="0.25">
      <c r="A603" t="str">
        <f ca="1">IFERROR(__xludf.DUMMYFUNCTION("""COMPUTED_VALUE"""),"Galati")</f>
        <v>Galati</v>
      </c>
      <c r="B603" t="str">
        <f ca="1">IFERROR(__xludf.DUMMYFUNCTION("""COMPUTED_VALUE"""),"RO224")</f>
        <v>RO224</v>
      </c>
    </row>
    <row r="604" spans="1:2" ht="12.5" x14ac:dyDescent="0.25">
      <c r="A604" t="str">
        <f ca="1">IFERROR(__xludf.DUMMYFUNCTION("""COMPUTED_VALUE"""),"Galicia")</f>
        <v>Galicia</v>
      </c>
      <c r="B604" t="str">
        <f ca="1">IFERROR(__xludf.DUMMYFUNCTION("""COMPUTED_VALUE"""),"ES11")</f>
        <v>ES11</v>
      </c>
    </row>
    <row r="605" spans="1:2" ht="12.5" x14ac:dyDescent="0.25">
      <c r="A605" t="str">
        <f ca="1">IFERROR(__xludf.DUMMYFUNCTION("""COMPUTED_VALUE"""),"Gard")</f>
        <v>Gard</v>
      </c>
      <c r="B605" t="str">
        <f ca="1">IFERROR(__xludf.DUMMYFUNCTION("""COMPUTED_VALUE"""),"FR812")</f>
        <v>FR812</v>
      </c>
    </row>
    <row r="606" spans="1:2" ht="12.5" x14ac:dyDescent="0.25">
      <c r="A606" t="str">
        <f ca="1">IFERROR(__xludf.DUMMYFUNCTION("""COMPUTED_VALUE"""),"Garmisch-Partenkirchen")</f>
        <v>Garmisch-Partenkirchen</v>
      </c>
      <c r="B606" t="str">
        <f ca="1">IFERROR(__xludf.DUMMYFUNCTION("""COMPUTED_VALUE"""),"DE21D")</f>
        <v>DE21D</v>
      </c>
    </row>
    <row r="607" spans="1:2" ht="12.5" x14ac:dyDescent="0.25">
      <c r="A607" t="str">
        <f ca="1">IFERROR(__xludf.DUMMYFUNCTION("""COMPUTED_VALUE"""),"Gävleborgs Län")</f>
        <v>Gävleborgs Län</v>
      </c>
      <c r="B607" t="str">
        <f ca="1">IFERROR(__xludf.DUMMYFUNCTION("""COMPUTED_VALUE"""),"SE313")</f>
        <v>SE313</v>
      </c>
    </row>
    <row r="608" spans="1:2" ht="12.5" x14ac:dyDescent="0.25">
      <c r="A608" t="str">
        <f ca="1">IFERROR(__xludf.DUMMYFUNCTION("""COMPUTED_VALUE"""),"Gdanski")</f>
        <v>Gdanski</v>
      </c>
      <c r="B608" t="str">
        <f ca="1">IFERROR(__xludf.DUMMYFUNCTION("""COMPUTED_VALUE"""),"PL634")</f>
        <v>PL634</v>
      </c>
    </row>
    <row r="609" spans="1:2" ht="12.5" x14ac:dyDescent="0.25">
      <c r="A609" t="str">
        <f ca="1">IFERROR(__xludf.DUMMYFUNCTION("""COMPUTED_VALUE"""),"Gelderland")</f>
        <v>Gelderland</v>
      </c>
      <c r="B609" t="str">
        <f ca="1">IFERROR(__xludf.DUMMYFUNCTION("""COMPUTED_VALUE"""),"NL22")</f>
        <v>NL22</v>
      </c>
    </row>
    <row r="610" spans="1:2" ht="12.5" x14ac:dyDescent="0.25">
      <c r="A610" t="str">
        <f ca="1">IFERROR(__xludf.DUMMYFUNCTION("""COMPUTED_VALUE"""),"Gelsenkirchen, Kreisfreie Stadt")</f>
        <v>Gelsenkirchen, Kreisfreie Stadt</v>
      </c>
      <c r="B610" t="str">
        <f ca="1">IFERROR(__xludf.DUMMYFUNCTION("""COMPUTED_VALUE"""),"DEA32")</f>
        <v>DEA32</v>
      </c>
    </row>
    <row r="611" spans="1:2" ht="12.5" x14ac:dyDescent="0.25">
      <c r="A611" t="str">
        <f ca="1">IFERROR(__xludf.DUMMYFUNCTION("""COMPUTED_VALUE"""),"Genève")</f>
        <v>Genève</v>
      </c>
      <c r="B611" t="str">
        <f ca="1">IFERROR(__xludf.DUMMYFUNCTION("""COMPUTED_VALUE"""),"CH013")</f>
        <v>CH013</v>
      </c>
    </row>
    <row r="612" spans="1:2" ht="12.5" x14ac:dyDescent="0.25">
      <c r="A612" t="str">
        <f ca="1">IFERROR(__xludf.DUMMYFUNCTION("""COMPUTED_VALUE"""),"Genova")</f>
        <v>Genova</v>
      </c>
      <c r="B612" t="str">
        <f ca="1">IFERROR(__xludf.DUMMYFUNCTION("""COMPUTED_VALUE"""),"ITC33")</f>
        <v>ITC33</v>
      </c>
    </row>
    <row r="613" spans="1:2" ht="12.5" x14ac:dyDescent="0.25">
      <c r="A613" t="str">
        <f ca="1">IFERROR(__xludf.DUMMYFUNCTION("""COMPUTED_VALUE"""),"Gera, Kreisfreie Stadt")</f>
        <v>Gera, Kreisfreie Stadt</v>
      </c>
      <c r="B613" t="str">
        <f ca="1">IFERROR(__xludf.DUMMYFUNCTION("""COMPUTED_VALUE"""),"DEG02")</f>
        <v>DEG02</v>
      </c>
    </row>
    <row r="614" spans="1:2" ht="12.5" x14ac:dyDescent="0.25">
      <c r="A614" t="str">
        <f ca="1">IFERROR(__xludf.DUMMYFUNCTION("""COMPUTED_VALUE"""),"Germersheim")</f>
        <v>Germersheim</v>
      </c>
      <c r="B614" t="str">
        <f ca="1">IFERROR(__xludf.DUMMYFUNCTION("""COMPUTED_VALUE"""),"DEB3E")</f>
        <v>DEB3E</v>
      </c>
    </row>
    <row r="615" spans="1:2" ht="12.5" x14ac:dyDescent="0.25">
      <c r="A615" t="str">
        <f ca="1">IFERROR(__xludf.DUMMYFUNCTION("""COMPUTED_VALUE"""),"Gers")</f>
        <v>Gers</v>
      </c>
      <c r="B615" t="str">
        <f ca="1">IFERROR(__xludf.DUMMYFUNCTION("""COMPUTED_VALUE"""),"FR624")</f>
        <v>FR624</v>
      </c>
    </row>
    <row r="616" spans="1:2" ht="12.5" x14ac:dyDescent="0.25">
      <c r="A616" t="str">
        <f ca="1">IFERROR(__xludf.DUMMYFUNCTION("""COMPUTED_VALUE"""),"Gießen")</f>
        <v>Gießen</v>
      </c>
      <c r="B616" t="str">
        <f ca="1">IFERROR(__xludf.DUMMYFUNCTION("""COMPUTED_VALUE"""),"DE72")</f>
        <v>DE72</v>
      </c>
    </row>
    <row r="617" spans="1:2" ht="12.5" x14ac:dyDescent="0.25">
      <c r="A617" t="str">
        <f ca="1">IFERROR(__xludf.DUMMYFUNCTION("""COMPUTED_VALUE"""),"Gießen, Landkreis")</f>
        <v>Gießen, Landkreis</v>
      </c>
      <c r="B617" t="str">
        <f ca="1">IFERROR(__xludf.DUMMYFUNCTION("""COMPUTED_VALUE"""),"DE721")</f>
        <v>DE721</v>
      </c>
    </row>
    <row r="618" spans="1:2" ht="12.5" x14ac:dyDescent="0.25">
      <c r="A618" t="str">
        <f ca="1">IFERROR(__xludf.DUMMYFUNCTION("""COMPUTED_VALUE"""),"Gifhorn")</f>
        <v>Gifhorn</v>
      </c>
      <c r="B618" t="str">
        <f ca="1">IFERROR(__xludf.DUMMYFUNCTION("""COMPUTED_VALUE"""),"DE914")</f>
        <v>DE914</v>
      </c>
    </row>
    <row r="619" spans="1:2" ht="12.5" x14ac:dyDescent="0.25">
      <c r="A619" t="str">
        <f ca="1">IFERROR(__xludf.DUMMYFUNCTION("""COMPUTED_VALUE"""),"Girona")</f>
        <v>Girona</v>
      </c>
      <c r="B619" t="str">
        <f ca="1">IFERROR(__xludf.DUMMYFUNCTION("""COMPUTED_VALUE"""),"ES512")</f>
        <v>ES512</v>
      </c>
    </row>
    <row r="620" spans="1:2" ht="12.5" x14ac:dyDescent="0.25">
      <c r="A620" t="str">
        <f ca="1">IFERROR(__xludf.DUMMYFUNCTION("""COMPUTED_VALUE"""),"Gironde")</f>
        <v>Gironde</v>
      </c>
      <c r="B620" t="str">
        <f ca="1">IFERROR(__xludf.DUMMYFUNCTION("""COMPUTED_VALUE"""),"FR612")</f>
        <v>FR612</v>
      </c>
    </row>
    <row r="621" spans="1:2" ht="12.5" x14ac:dyDescent="0.25">
      <c r="A621" t="str">
        <f ca="1">IFERROR(__xludf.DUMMYFUNCTION("""COMPUTED_VALUE"""),"Giurgiu")</f>
        <v>Giurgiu</v>
      </c>
      <c r="B621" t="str">
        <f ca="1">IFERROR(__xludf.DUMMYFUNCTION("""COMPUTED_VALUE"""),"RO314")</f>
        <v>RO314</v>
      </c>
    </row>
    <row r="622" spans="1:2" ht="12.5" x14ac:dyDescent="0.25">
      <c r="A622" t="str">
        <f ca="1">IFERROR(__xludf.DUMMYFUNCTION("""COMPUTED_VALUE"""),"Glarus")</f>
        <v>Glarus</v>
      </c>
      <c r="B622" t="str">
        <f ca="1">IFERROR(__xludf.DUMMYFUNCTION("""COMPUTED_VALUE"""),"CH051")</f>
        <v>CH051</v>
      </c>
    </row>
    <row r="623" spans="1:2" ht="12.5" x14ac:dyDescent="0.25">
      <c r="A623" t="str">
        <f ca="1">IFERROR(__xludf.DUMMYFUNCTION("""COMPUTED_VALUE"""),"Glasgow City")</f>
        <v>Glasgow City</v>
      </c>
      <c r="B623" t="str">
        <f ca="1">IFERROR(__xludf.DUMMYFUNCTION("""COMPUTED_VALUE"""),"UKM34")</f>
        <v>UKM34</v>
      </c>
    </row>
    <row r="624" spans="1:2" ht="12.5" x14ac:dyDescent="0.25">
      <c r="A624" t="str">
        <f ca="1">IFERROR(__xludf.DUMMYFUNCTION("""COMPUTED_VALUE"""),"Gliwicki")</f>
        <v>Gliwicki</v>
      </c>
      <c r="B624" t="str">
        <f ca="1">IFERROR(__xludf.DUMMYFUNCTION("""COMPUTED_VALUE"""),"PL229")</f>
        <v>PL229</v>
      </c>
    </row>
    <row r="625" spans="1:2" ht="12.5" x14ac:dyDescent="0.25">
      <c r="A625" t="str">
        <f ca="1">IFERROR(__xludf.DUMMYFUNCTION("""COMPUTED_VALUE"""),"Gloucestershire")</f>
        <v>Gloucestershire</v>
      </c>
      <c r="B625" t="str">
        <f ca="1">IFERROR(__xludf.DUMMYFUNCTION("""COMPUTED_VALUE"""),"UKK13")</f>
        <v>UKK13</v>
      </c>
    </row>
    <row r="626" spans="1:2" ht="12.5" x14ac:dyDescent="0.25">
      <c r="A626" t="str">
        <f ca="1">IFERROR(__xludf.DUMMYFUNCTION("""COMPUTED_VALUE"""),"Gloucestershire, Wiltshire And Bristol/Bath Area")</f>
        <v>Gloucestershire, Wiltshire And Bristol/Bath Area</v>
      </c>
      <c r="B626" t="str">
        <f ca="1">IFERROR(__xludf.DUMMYFUNCTION("""COMPUTED_VALUE"""),"UKK1")</f>
        <v>UKK1</v>
      </c>
    </row>
    <row r="627" spans="1:2" ht="12.5" x14ac:dyDescent="0.25">
      <c r="A627" t="str">
        <f ca="1">IFERROR(__xludf.DUMMYFUNCTION("""COMPUTED_VALUE"""),"Göppingen")</f>
        <v>Göppingen</v>
      </c>
      <c r="B627" t="str">
        <f ca="1">IFERROR(__xludf.DUMMYFUNCTION("""COMPUTED_VALUE"""),"DE114")</f>
        <v>DE114</v>
      </c>
    </row>
    <row r="628" spans="1:2" ht="12.5" x14ac:dyDescent="0.25">
      <c r="A628" t="str">
        <f ca="1">IFERROR(__xludf.DUMMYFUNCTION("""COMPUTED_VALUE"""),"Gorenjska")</f>
        <v>Gorenjska</v>
      </c>
      <c r="B628" t="str">
        <f ca="1">IFERROR(__xludf.DUMMYFUNCTION("""COMPUTED_VALUE"""),"SI022")</f>
        <v>SI022</v>
      </c>
    </row>
    <row r="629" spans="1:2" ht="12.5" x14ac:dyDescent="0.25">
      <c r="A629" t="str">
        <f ca="1">IFERROR(__xludf.DUMMYFUNCTION("""COMPUTED_VALUE"""),"Goriska")</f>
        <v>Goriska</v>
      </c>
      <c r="B629" t="str">
        <f ca="1">IFERROR(__xludf.DUMMYFUNCTION("""COMPUTED_VALUE"""),"SI023")</f>
        <v>SI023</v>
      </c>
    </row>
    <row r="630" spans="1:2" ht="12.5" x14ac:dyDescent="0.25">
      <c r="A630" t="str">
        <f ca="1">IFERROR(__xludf.DUMMYFUNCTION("""COMPUTED_VALUE"""),"Gorizia")</f>
        <v>Gorizia</v>
      </c>
      <c r="B630" t="str">
        <f ca="1">IFERROR(__xludf.DUMMYFUNCTION("""COMPUTED_VALUE"""),"ITD43")</f>
        <v>ITD43</v>
      </c>
    </row>
    <row r="631" spans="1:2" ht="12.5" x14ac:dyDescent="0.25">
      <c r="A631" t="str">
        <f ca="1">IFERROR(__xludf.DUMMYFUNCTION("""COMPUTED_VALUE"""),"Gorj")</f>
        <v>Gorj</v>
      </c>
      <c r="B631" t="str">
        <f ca="1">IFERROR(__xludf.DUMMYFUNCTION("""COMPUTED_VALUE"""),"RO412")</f>
        <v>RO412</v>
      </c>
    </row>
    <row r="632" spans="1:2" ht="12.5" x14ac:dyDescent="0.25">
      <c r="A632" t="str">
        <f ca="1">IFERROR(__xludf.DUMMYFUNCTION("""COMPUTED_VALUE"""),"Görlitz, Kreisfreie Stadt")</f>
        <v>Görlitz, Kreisfreie Stadt</v>
      </c>
      <c r="B632" t="str">
        <f ca="1">IFERROR(__xludf.DUMMYFUNCTION("""COMPUTED_VALUE"""),"DED22")</f>
        <v>DED22</v>
      </c>
    </row>
    <row r="633" spans="1:2" ht="12.5" x14ac:dyDescent="0.25">
      <c r="A633" t="str">
        <f ca="1">IFERROR(__xludf.DUMMYFUNCTION("""COMPUTED_VALUE"""),"Gorzowski")</f>
        <v>Gorzowski</v>
      </c>
      <c r="B633" t="str">
        <f ca="1">IFERROR(__xludf.DUMMYFUNCTION("""COMPUTED_VALUE"""),"PL431")</f>
        <v>PL431</v>
      </c>
    </row>
    <row r="634" spans="1:2" ht="12.5" x14ac:dyDescent="0.25">
      <c r="A634" t="str">
        <f ca="1">IFERROR(__xludf.DUMMYFUNCTION("""COMPUTED_VALUE"""),"Goslar")</f>
        <v>Goslar</v>
      </c>
      <c r="B634" t="str">
        <f ca="1">IFERROR(__xludf.DUMMYFUNCTION("""COMPUTED_VALUE"""),"DE916")</f>
        <v>DE916</v>
      </c>
    </row>
    <row r="635" spans="1:2" ht="12.5" x14ac:dyDescent="0.25">
      <c r="A635" t="str">
        <f ca="1">IFERROR(__xludf.DUMMYFUNCTION("""COMPUTED_VALUE"""),"Gotha")</f>
        <v>Gotha</v>
      </c>
      <c r="B635" t="str">
        <f ca="1">IFERROR(__xludf.DUMMYFUNCTION("""COMPUTED_VALUE"""),"DEG0C")</f>
        <v>DEG0C</v>
      </c>
    </row>
    <row r="636" spans="1:2" ht="12.5" x14ac:dyDescent="0.25">
      <c r="A636" t="str">
        <f ca="1">IFERROR(__xludf.DUMMYFUNCTION("""COMPUTED_VALUE"""),"Gotlands Län")</f>
        <v>Gotlands Län</v>
      </c>
      <c r="B636" t="str">
        <f ca="1">IFERROR(__xludf.DUMMYFUNCTION("""COMPUTED_VALUE"""),"SE214")</f>
        <v>SE214</v>
      </c>
    </row>
    <row r="637" spans="1:2" ht="12.5" x14ac:dyDescent="0.25">
      <c r="A637" t="str">
        <f ca="1">IFERROR(__xludf.DUMMYFUNCTION("""COMPUTED_VALUE"""),"Göttingen")</f>
        <v>Göttingen</v>
      </c>
      <c r="B637" t="str">
        <f ca="1">IFERROR(__xludf.DUMMYFUNCTION("""COMPUTED_VALUE"""),"DE915")</f>
        <v>DE915</v>
      </c>
    </row>
    <row r="638" spans="1:2" ht="12.5" x14ac:dyDescent="0.25">
      <c r="A638" t="str">
        <f ca="1">IFERROR(__xludf.DUMMYFUNCTION("""COMPUTED_VALUE"""),"Gozo And Comino/Ghawdex U Kemmuna")</f>
        <v>Gozo And Comino/Ghawdex U Kemmuna</v>
      </c>
      <c r="B638" t="str">
        <f ca="1">IFERROR(__xludf.DUMMYFUNCTION("""COMPUTED_VALUE"""),"MT002")</f>
        <v>MT002</v>
      </c>
    </row>
    <row r="639" spans="1:2" ht="12.5" x14ac:dyDescent="0.25">
      <c r="A639" t="str">
        <f ca="1">IFERROR(__xludf.DUMMYFUNCTION("""COMPUTED_VALUE"""),"Grafschaft Bentheim")</f>
        <v>Grafschaft Bentheim</v>
      </c>
      <c r="B639" t="str">
        <f ca="1">IFERROR(__xludf.DUMMYFUNCTION("""COMPUTED_VALUE"""),"DE94B")</f>
        <v>DE94B</v>
      </c>
    </row>
    <row r="640" spans="1:2" ht="12.5" x14ac:dyDescent="0.25">
      <c r="A640" t="str">
        <f ca="1">IFERROR(__xludf.DUMMYFUNCTION("""COMPUTED_VALUE"""),"Gran Canaria")</f>
        <v>Gran Canaria</v>
      </c>
      <c r="B640" t="str">
        <f ca="1">IFERROR(__xludf.DUMMYFUNCTION("""COMPUTED_VALUE"""),"ES705")</f>
        <v>ES705</v>
      </c>
    </row>
    <row r="641" spans="1:2" ht="12.5" x14ac:dyDescent="0.25">
      <c r="A641" t="str">
        <f ca="1">IFERROR(__xludf.DUMMYFUNCTION("""COMPUTED_VALUE"""),"Granada")</f>
        <v>Granada</v>
      </c>
      <c r="B641" t="str">
        <f ca="1">IFERROR(__xludf.DUMMYFUNCTION("""COMPUTED_VALUE"""),"ES614")</f>
        <v>ES614</v>
      </c>
    </row>
    <row r="642" spans="1:2" ht="12.5" x14ac:dyDescent="0.25">
      <c r="A642" t="str">
        <f ca="1">IFERROR(__xludf.DUMMYFUNCTION("""COMPUTED_VALUE"""),"Grande Lisboa")</f>
        <v>Grande Lisboa</v>
      </c>
      <c r="B642" t="str">
        <f ca="1">IFERROR(__xludf.DUMMYFUNCTION("""COMPUTED_VALUE"""),"PT171")</f>
        <v>PT171</v>
      </c>
    </row>
    <row r="643" spans="1:2" ht="12.5" x14ac:dyDescent="0.25">
      <c r="A643" t="str">
        <f ca="1">IFERROR(__xludf.DUMMYFUNCTION("""COMPUTED_VALUE"""),"Grande Porto")</f>
        <v>Grande Porto</v>
      </c>
      <c r="B643" t="str">
        <f ca="1">IFERROR(__xludf.DUMMYFUNCTION("""COMPUTED_VALUE"""),"PT114")</f>
        <v>PT114</v>
      </c>
    </row>
    <row r="644" spans="1:2" ht="12.5" x14ac:dyDescent="0.25">
      <c r="A644" t="str">
        <f ca="1">IFERROR(__xludf.DUMMYFUNCTION("""COMPUTED_VALUE"""),"Graubünden")</f>
        <v>Graubünden</v>
      </c>
      <c r="B644" t="str">
        <f ca="1">IFERROR(__xludf.DUMMYFUNCTION("""COMPUTED_VALUE"""),"CH056")</f>
        <v>CH056</v>
      </c>
    </row>
    <row r="645" spans="1:2" ht="12.5" x14ac:dyDescent="0.25">
      <c r="A645" t="str">
        <f ca="1">IFERROR(__xludf.DUMMYFUNCTION("""COMPUTED_VALUE"""),"Graz")</f>
        <v>Graz</v>
      </c>
      <c r="B645" t="str">
        <f ca="1">IFERROR(__xludf.DUMMYFUNCTION("""COMPUTED_VALUE"""),"AT221")</f>
        <v>AT221</v>
      </c>
    </row>
    <row r="646" spans="1:2" ht="12.5" x14ac:dyDescent="0.25">
      <c r="A646" t="str">
        <f ca="1">IFERROR(__xludf.DUMMYFUNCTION("""COMPUTED_VALUE"""),"Greater Manchester")</f>
        <v>Greater Manchester</v>
      </c>
      <c r="B646" t="str">
        <f ca="1">IFERROR(__xludf.DUMMYFUNCTION("""COMPUTED_VALUE"""),"UKD3")</f>
        <v>UKD3</v>
      </c>
    </row>
    <row r="647" spans="1:2" ht="12.5" x14ac:dyDescent="0.25">
      <c r="A647" t="str">
        <f ca="1">IFERROR(__xludf.DUMMYFUNCTION("""COMPUTED_VALUE"""),"Greater Manchester North")</f>
        <v>Greater Manchester North</v>
      </c>
      <c r="B647" t="str">
        <f ca="1">IFERROR(__xludf.DUMMYFUNCTION("""COMPUTED_VALUE"""),"UKD32")</f>
        <v>UKD32</v>
      </c>
    </row>
    <row r="648" spans="1:2" ht="12.5" x14ac:dyDescent="0.25">
      <c r="A648" t="str">
        <f ca="1">IFERROR(__xludf.DUMMYFUNCTION("""COMPUTED_VALUE"""),"Greater Manchester South")</f>
        <v>Greater Manchester South</v>
      </c>
      <c r="B648" t="str">
        <f ca="1">IFERROR(__xludf.DUMMYFUNCTION("""COMPUTED_VALUE"""),"UKD31")</f>
        <v>UKD31</v>
      </c>
    </row>
    <row r="649" spans="1:2" ht="12.5" x14ac:dyDescent="0.25">
      <c r="A649" t="str">
        <f ca="1">IFERROR(__xludf.DUMMYFUNCTION("""COMPUTED_VALUE"""),"Greifswald, Kreisfreie Stadt")</f>
        <v>Greifswald, Kreisfreie Stadt</v>
      </c>
      <c r="B649" t="str">
        <f ca="1">IFERROR(__xludf.DUMMYFUNCTION("""COMPUTED_VALUE"""),"DE801")</f>
        <v>DE801</v>
      </c>
    </row>
    <row r="650" spans="1:2" ht="12.5" x14ac:dyDescent="0.25">
      <c r="A650" t="str">
        <f ca="1">IFERROR(__xludf.DUMMYFUNCTION("""COMPUTED_VALUE"""),"Greiz")</f>
        <v>Greiz</v>
      </c>
      <c r="B650" t="str">
        <f ca="1">IFERROR(__xludf.DUMMYFUNCTION("""COMPUTED_VALUE"""),"DEG0L")</f>
        <v>DEG0L</v>
      </c>
    </row>
    <row r="651" spans="1:2" ht="12.5" x14ac:dyDescent="0.25">
      <c r="A651" t="str">
        <f ca="1">IFERROR(__xludf.DUMMYFUNCTION("""COMPUTED_VALUE"""),"Grevena")</f>
        <v>Grevena</v>
      </c>
      <c r="B651" t="str">
        <f ca="1">IFERROR(__xludf.DUMMYFUNCTION("""COMPUTED_VALUE"""),"GR131")</f>
        <v>GR131</v>
      </c>
    </row>
    <row r="652" spans="1:2" ht="12.5" x14ac:dyDescent="0.25">
      <c r="A652" t="str">
        <f ca="1">IFERROR(__xludf.DUMMYFUNCTION("""COMPUTED_VALUE"""),"Groningen")</f>
        <v>Groningen</v>
      </c>
      <c r="B652" t="str">
        <f ca="1">IFERROR(__xludf.DUMMYFUNCTION("""COMPUTED_VALUE"""),"NL11")</f>
        <v>NL11</v>
      </c>
    </row>
    <row r="653" spans="1:2" ht="12.5" x14ac:dyDescent="0.25">
      <c r="A653" t="str">
        <f ca="1">IFERROR(__xludf.DUMMYFUNCTION("""COMPUTED_VALUE"""),"Groot-Amsterdam")</f>
        <v>Groot-Amsterdam</v>
      </c>
      <c r="B653" t="str">
        <f ca="1">IFERROR(__xludf.DUMMYFUNCTION("""COMPUTED_VALUE"""),"NL326")</f>
        <v>NL326</v>
      </c>
    </row>
    <row r="654" spans="1:2" ht="12.5" x14ac:dyDescent="0.25">
      <c r="A654" t="str">
        <f ca="1">IFERROR(__xludf.DUMMYFUNCTION("""COMPUTED_VALUE"""),"Groot-Rijnmond")</f>
        <v>Groot-Rijnmond</v>
      </c>
      <c r="B654" t="str">
        <f ca="1">IFERROR(__xludf.DUMMYFUNCTION("""COMPUTED_VALUE"""),"NL335")</f>
        <v>NL335</v>
      </c>
    </row>
    <row r="655" spans="1:2" ht="12.5" x14ac:dyDescent="0.25">
      <c r="A655" t="str">
        <f ca="1">IFERROR(__xludf.DUMMYFUNCTION("""COMPUTED_VALUE"""),"Groß-Gerau")</f>
        <v>Groß-Gerau</v>
      </c>
      <c r="B655" t="str">
        <f ca="1">IFERROR(__xludf.DUMMYFUNCTION("""COMPUTED_VALUE"""),"DE717")</f>
        <v>DE717</v>
      </c>
    </row>
    <row r="656" spans="1:2" ht="12.5" x14ac:dyDescent="0.25">
      <c r="A656" t="str">
        <f ca="1">IFERROR(__xludf.DUMMYFUNCTION("""COMPUTED_VALUE"""),"Grosseto")</f>
        <v>Grosseto</v>
      </c>
      <c r="B656" t="str">
        <f ca="1">IFERROR(__xludf.DUMMYFUNCTION("""COMPUTED_VALUE"""),"ITE1A")</f>
        <v>ITE1A</v>
      </c>
    </row>
    <row r="657" spans="1:2" ht="12.5" x14ac:dyDescent="0.25">
      <c r="A657" t="str">
        <f ca="1">IFERROR(__xludf.DUMMYFUNCTION("""COMPUTED_VALUE"""),"Grudziadzki")</f>
        <v>Grudziadzki</v>
      </c>
      <c r="B657" t="str">
        <f ca="1">IFERROR(__xludf.DUMMYFUNCTION("""COMPUTED_VALUE"""),"PL614")</f>
        <v>PL614</v>
      </c>
    </row>
    <row r="658" spans="1:2" ht="12.5" x14ac:dyDescent="0.25">
      <c r="A658" t="str">
        <f ca="1">IFERROR(__xludf.DUMMYFUNCTION("""COMPUTED_VALUE"""),"Guadalajara")</f>
        <v>Guadalajara</v>
      </c>
      <c r="B658" t="str">
        <f ca="1">IFERROR(__xludf.DUMMYFUNCTION("""COMPUTED_VALUE"""),"ES424")</f>
        <v>ES424</v>
      </c>
    </row>
    <row r="659" spans="1:2" ht="12.5" x14ac:dyDescent="0.25">
      <c r="A659" t="str">
        <f ca="1">IFERROR(__xludf.DUMMYFUNCTION("""COMPUTED_VALUE"""),"Guadeloupe")</f>
        <v>Guadeloupe</v>
      </c>
      <c r="B659" t="str">
        <f ca="1">IFERROR(__xludf.DUMMYFUNCTION("""COMPUTED_VALUE"""),"FR91")</f>
        <v>FR91</v>
      </c>
    </row>
    <row r="660" spans="1:2" ht="12.5" x14ac:dyDescent="0.25">
      <c r="A660" t="str">
        <f ca="1">IFERROR(__xludf.DUMMYFUNCTION("""COMPUTED_VALUE"""),"Guadeloupe (*)")</f>
        <v>Guadeloupe (*)</v>
      </c>
      <c r="B660" t="str">
        <f ca="1">IFERROR(__xludf.DUMMYFUNCTION("""COMPUTED_VALUE"""),"FR910")</f>
        <v>FR910</v>
      </c>
    </row>
    <row r="661" spans="1:2" ht="12.5" x14ac:dyDescent="0.25">
      <c r="A661" t="str">
        <f ca="1">IFERROR(__xludf.DUMMYFUNCTION("""COMPUTED_VALUE"""),"Guipúzcoa")</f>
        <v>Guipúzcoa</v>
      </c>
      <c r="B661" t="str">
        <f ca="1">IFERROR(__xludf.DUMMYFUNCTION("""COMPUTED_VALUE"""),"ES212")</f>
        <v>ES212</v>
      </c>
    </row>
    <row r="662" spans="1:2" ht="12.5" x14ac:dyDescent="0.25">
      <c r="A662" t="str">
        <f ca="1">IFERROR(__xludf.DUMMYFUNCTION("""COMPUTED_VALUE"""),"Günzburg")</f>
        <v>Günzburg</v>
      </c>
      <c r="B662" t="str">
        <f ca="1">IFERROR(__xludf.DUMMYFUNCTION("""COMPUTED_VALUE"""),"DE278")</f>
        <v>DE278</v>
      </c>
    </row>
    <row r="663" spans="1:2" ht="12.5" x14ac:dyDescent="0.25">
      <c r="A663" t="str">
        <f ca="1">IFERROR(__xludf.DUMMYFUNCTION("""COMPUTED_VALUE"""),"Güstrow")</f>
        <v>Güstrow</v>
      </c>
      <c r="B663" t="str">
        <f ca="1">IFERROR(__xludf.DUMMYFUNCTION("""COMPUTED_VALUE"""),"DE809")</f>
        <v>DE809</v>
      </c>
    </row>
    <row r="664" spans="1:2" ht="12.5" x14ac:dyDescent="0.25">
      <c r="A664" t="str">
        <f ca="1">IFERROR(__xludf.DUMMYFUNCTION("""COMPUTED_VALUE"""),"Gütersloh")</f>
        <v>Gütersloh</v>
      </c>
      <c r="B664" t="str">
        <f ca="1">IFERROR(__xludf.DUMMYFUNCTION("""COMPUTED_VALUE"""),"DEA42")</f>
        <v>DEA42</v>
      </c>
    </row>
    <row r="665" spans="1:2" ht="12.5" x14ac:dyDescent="0.25">
      <c r="A665" t="str">
        <f ca="1">IFERROR(__xludf.DUMMYFUNCTION("""COMPUTED_VALUE"""),"Guyane")</f>
        <v>Guyane</v>
      </c>
      <c r="B665" t="str">
        <f ca="1">IFERROR(__xludf.DUMMYFUNCTION("""COMPUTED_VALUE"""),"FR93")</f>
        <v>FR93</v>
      </c>
    </row>
    <row r="666" spans="1:2" ht="12.5" x14ac:dyDescent="0.25">
      <c r="A666" t="str">
        <f ca="1">IFERROR(__xludf.DUMMYFUNCTION("""COMPUTED_VALUE"""),"Guyane (*)")</f>
        <v>Guyane (*)</v>
      </c>
      <c r="B666" t="str">
        <f ca="1">IFERROR(__xludf.DUMMYFUNCTION("""COMPUTED_VALUE"""),"FR930")</f>
        <v>FR930</v>
      </c>
    </row>
    <row r="667" spans="1:2" ht="12.5" x14ac:dyDescent="0.25">
      <c r="A667" t="str">
        <f ca="1">IFERROR(__xludf.DUMMYFUNCTION("""COMPUTED_VALUE"""),"Gwent Valleys")</f>
        <v>Gwent Valleys</v>
      </c>
      <c r="B667" t="str">
        <f ca="1">IFERROR(__xludf.DUMMYFUNCTION("""COMPUTED_VALUE"""),"UKL16")</f>
        <v>UKL16</v>
      </c>
    </row>
    <row r="668" spans="1:2" ht="12.5" x14ac:dyDescent="0.25">
      <c r="A668" t="str">
        <f ca="1">IFERROR(__xludf.DUMMYFUNCTION("""COMPUTED_VALUE"""),"Gwynedd")</f>
        <v>Gwynedd</v>
      </c>
      <c r="B668" t="str">
        <f ca="1">IFERROR(__xludf.DUMMYFUNCTION("""COMPUTED_VALUE"""),"UKL12")</f>
        <v>UKL12</v>
      </c>
    </row>
    <row r="669" spans="1:2" ht="12.5" x14ac:dyDescent="0.25">
      <c r="A669" t="str">
        <f ca="1">IFERROR(__xludf.DUMMYFUNCTION("""COMPUTED_VALUE"""),"Gyor-Moson-Sopron")</f>
        <v>Gyor-Moson-Sopron</v>
      </c>
      <c r="B669" t="str">
        <f ca="1">IFERROR(__xludf.DUMMYFUNCTION("""COMPUTED_VALUE"""),"HU221")</f>
        <v>HU221</v>
      </c>
    </row>
    <row r="670" spans="1:2" ht="12.5" x14ac:dyDescent="0.25">
      <c r="A670" t="str">
        <f ca="1">IFERROR(__xludf.DUMMYFUNCTION("""COMPUTED_VALUE"""),"Hagen, Kreisfreie Stadt")</f>
        <v>Hagen, Kreisfreie Stadt</v>
      </c>
      <c r="B670" t="str">
        <f ca="1">IFERROR(__xludf.DUMMYFUNCTION("""COMPUTED_VALUE"""),"DEA53")</f>
        <v>DEA53</v>
      </c>
    </row>
    <row r="671" spans="1:2" ht="12.5" x14ac:dyDescent="0.25">
      <c r="A671" t="str">
        <f ca="1">IFERROR(__xludf.DUMMYFUNCTION("""COMPUTED_VALUE"""),"Hajdu-Bihar")</f>
        <v>Hajdu-Bihar</v>
      </c>
      <c r="B671" t="str">
        <f ca="1">IFERROR(__xludf.DUMMYFUNCTION("""COMPUTED_VALUE"""),"HU321")</f>
        <v>HU321</v>
      </c>
    </row>
    <row r="672" spans="1:2" ht="12.5" x14ac:dyDescent="0.25">
      <c r="A672" t="str">
        <f ca="1">IFERROR(__xludf.DUMMYFUNCTION("""COMPUTED_VALUE"""),"Hallands Län")</f>
        <v>Hallands Län</v>
      </c>
      <c r="B672" t="str">
        <f ca="1">IFERROR(__xludf.DUMMYFUNCTION("""COMPUTED_VALUE"""),"SE231")</f>
        <v>SE231</v>
      </c>
    </row>
    <row r="673" spans="1:2" ht="12.5" x14ac:dyDescent="0.25">
      <c r="A673" t="str">
        <f ca="1">IFERROR(__xludf.DUMMYFUNCTION("""COMPUTED_VALUE"""),"Halle (Saale), Kreisfreie Stadt")</f>
        <v>Halle (Saale), Kreisfreie Stadt</v>
      </c>
      <c r="B673" t="str">
        <f ca="1">IFERROR(__xludf.DUMMYFUNCTION("""COMPUTED_VALUE"""),"DEE02")</f>
        <v>DEE02</v>
      </c>
    </row>
    <row r="674" spans="1:2" ht="12.5" x14ac:dyDescent="0.25">
      <c r="A674" t="str">
        <f ca="1">IFERROR(__xludf.DUMMYFUNCTION("""COMPUTED_VALUE"""),"Halton And Warrington")</f>
        <v>Halton And Warrington</v>
      </c>
      <c r="B674" t="str">
        <f ca="1">IFERROR(__xludf.DUMMYFUNCTION("""COMPUTED_VALUE"""),"UKD21")</f>
        <v>UKD21</v>
      </c>
    </row>
    <row r="675" spans="1:2" ht="12.5" x14ac:dyDescent="0.25">
      <c r="A675" t="str">
        <f ca="1">IFERROR(__xludf.DUMMYFUNCTION("""COMPUTED_VALUE"""),"Hamburg")</f>
        <v>Hamburg</v>
      </c>
      <c r="B675" t="str">
        <f ca="1">IFERROR(__xludf.DUMMYFUNCTION("""COMPUTED_VALUE"""),"DE6")</f>
        <v>DE6</v>
      </c>
    </row>
    <row r="676" spans="1:2" ht="12.5" x14ac:dyDescent="0.25">
      <c r="A676" t="str">
        <f ca="1">IFERROR(__xludf.DUMMYFUNCTION("""COMPUTED_VALUE"""),"Hamburg (*)")</f>
        <v>Hamburg (*)</v>
      </c>
      <c r="B676" t="str">
        <f ca="1">IFERROR(__xludf.DUMMYFUNCTION("""COMPUTED_VALUE"""),"DE60")</f>
        <v>DE60</v>
      </c>
    </row>
    <row r="677" spans="1:2" ht="12.5" x14ac:dyDescent="0.25">
      <c r="A677" t="str">
        <f ca="1">IFERROR(__xludf.DUMMYFUNCTION("""COMPUTED_VALUE"""),"Hamburg (**)")</f>
        <v>Hamburg (**)</v>
      </c>
      <c r="B677" t="str">
        <f ca="1">IFERROR(__xludf.DUMMYFUNCTION("""COMPUTED_VALUE"""),"DE600")</f>
        <v>DE600</v>
      </c>
    </row>
    <row r="678" spans="1:2" ht="12.5" x14ac:dyDescent="0.25">
      <c r="A678" t="str">
        <f ca="1">IFERROR(__xludf.DUMMYFUNCTION("""COMPUTED_VALUE"""),"Hameln-Pyrmont")</f>
        <v>Hameln-Pyrmont</v>
      </c>
      <c r="B678" t="str">
        <f ca="1">IFERROR(__xludf.DUMMYFUNCTION("""COMPUTED_VALUE"""),"DE923")</f>
        <v>DE923</v>
      </c>
    </row>
    <row r="679" spans="1:2" ht="12.5" x14ac:dyDescent="0.25">
      <c r="A679" t="str">
        <f ca="1">IFERROR(__xludf.DUMMYFUNCTION("""COMPUTED_VALUE"""),"Hamm, Kreisfreie Stadt")</f>
        <v>Hamm, Kreisfreie Stadt</v>
      </c>
      <c r="B679" t="str">
        <f ca="1">IFERROR(__xludf.DUMMYFUNCTION("""COMPUTED_VALUE"""),"DEA54")</f>
        <v>DEA54</v>
      </c>
    </row>
    <row r="680" spans="1:2" ht="12.5" x14ac:dyDescent="0.25">
      <c r="A680" t="str">
        <f ca="1">IFERROR(__xludf.DUMMYFUNCTION("""COMPUTED_VALUE"""),"Hampshire And Isle Of Wight")</f>
        <v>Hampshire And Isle Of Wight</v>
      </c>
      <c r="B680" t="str">
        <f ca="1">IFERROR(__xludf.DUMMYFUNCTION("""COMPUTED_VALUE"""),"UKJ3")</f>
        <v>UKJ3</v>
      </c>
    </row>
    <row r="681" spans="1:2" ht="12.5" x14ac:dyDescent="0.25">
      <c r="A681" t="str">
        <f ca="1">IFERROR(__xludf.DUMMYFUNCTION("""COMPUTED_VALUE"""),"Hampshire Cc")</f>
        <v>Hampshire Cc</v>
      </c>
      <c r="B681" t="str">
        <f ca="1">IFERROR(__xludf.DUMMYFUNCTION("""COMPUTED_VALUE"""),"UKJ33")</f>
        <v>UKJ33</v>
      </c>
    </row>
    <row r="682" spans="1:2" ht="12.5" x14ac:dyDescent="0.25">
      <c r="A682" t="str">
        <f ca="1">IFERROR(__xludf.DUMMYFUNCTION("""COMPUTED_VALUE"""),"Hannover")</f>
        <v>Hannover</v>
      </c>
      <c r="B682" t="str">
        <f ca="1">IFERROR(__xludf.DUMMYFUNCTION("""COMPUTED_VALUE"""),"DE92")</f>
        <v>DE92</v>
      </c>
    </row>
    <row r="683" spans="1:2" ht="12.5" x14ac:dyDescent="0.25">
      <c r="A683" t="str">
        <f ca="1">IFERROR(__xludf.DUMMYFUNCTION("""COMPUTED_VALUE"""),"Harburg")</f>
        <v>Harburg</v>
      </c>
      <c r="B683" t="str">
        <f ca="1">IFERROR(__xludf.DUMMYFUNCTION("""COMPUTED_VALUE"""),"DE933")</f>
        <v>DE933</v>
      </c>
    </row>
    <row r="684" spans="1:2" ht="12.5" x14ac:dyDescent="0.25">
      <c r="A684" t="str">
        <f ca="1">IFERROR(__xludf.DUMMYFUNCTION("""COMPUTED_VALUE"""),"Harghita")</f>
        <v>Harghita</v>
      </c>
      <c r="B684" t="str">
        <f ca="1">IFERROR(__xludf.DUMMYFUNCTION("""COMPUTED_VALUE"""),"RO124")</f>
        <v>RO124</v>
      </c>
    </row>
    <row r="685" spans="1:2" ht="12.5" x14ac:dyDescent="0.25">
      <c r="A685" t="str">
        <f ca="1">IFERROR(__xludf.DUMMYFUNCTION("""COMPUTED_VALUE"""),"Hartlepool And Stockton-On-Tees")</f>
        <v>Hartlepool And Stockton-On-Tees</v>
      </c>
      <c r="B685" t="str">
        <f ca="1">IFERROR(__xludf.DUMMYFUNCTION("""COMPUTED_VALUE"""),"UKC11")</f>
        <v>UKC11</v>
      </c>
    </row>
    <row r="686" spans="1:2" ht="12.5" x14ac:dyDescent="0.25">
      <c r="A686" t="str">
        <f ca="1">IFERROR(__xludf.DUMMYFUNCTION("""COMPUTED_VALUE"""),"Harz")</f>
        <v>Harz</v>
      </c>
      <c r="B686" t="str">
        <f ca="1">IFERROR(__xludf.DUMMYFUNCTION("""COMPUTED_VALUE"""),"DEE09")</f>
        <v>DEE09</v>
      </c>
    </row>
    <row r="687" spans="1:2" ht="12.5" x14ac:dyDescent="0.25">
      <c r="A687" t="str">
        <f ca="1">IFERROR(__xludf.DUMMYFUNCTION("""COMPUTED_VALUE"""),"Haskovo")</f>
        <v>Haskovo</v>
      </c>
      <c r="B687" t="str">
        <f ca="1">IFERROR(__xludf.DUMMYFUNCTION("""COMPUTED_VALUE"""),"BG422")</f>
        <v>BG422</v>
      </c>
    </row>
    <row r="688" spans="1:2" ht="12.5" x14ac:dyDescent="0.25">
      <c r="A688" t="str">
        <f ca="1">IFERROR(__xludf.DUMMYFUNCTION("""COMPUTED_VALUE"""),"Haßberge")</f>
        <v>Haßberge</v>
      </c>
      <c r="B688" t="str">
        <f ca="1">IFERROR(__xludf.DUMMYFUNCTION("""COMPUTED_VALUE"""),"DE267")</f>
        <v>DE267</v>
      </c>
    </row>
    <row r="689" spans="1:2" ht="12.5" x14ac:dyDescent="0.25">
      <c r="A689" t="str">
        <f ca="1">IFERROR(__xludf.DUMMYFUNCTION("""COMPUTED_VALUE"""),"Haut-Rhin")</f>
        <v>Haut-Rhin</v>
      </c>
      <c r="B689" t="str">
        <f ca="1">IFERROR(__xludf.DUMMYFUNCTION("""COMPUTED_VALUE"""),"FR422")</f>
        <v>FR422</v>
      </c>
    </row>
    <row r="690" spans="1:2" ht="12.5" x14ac:dyDescent="0.25">
      <c r="A690" t="str">
        <f ca="1">IFERROR(__xludf.DUMMYFUNCTION("""COMPUTED_VALUE"""),"Haute-Corse")</f>
        <v>Haute-Corse</v>
      </c>
      <c r="B690" t="str">
        <f ca="1">IFERROR(__xludf.DUMMYFUNCTION("""COMPUTED_VALUE"""),"FR832")</f>
        <v>FR832</v>
      </c>
    </row>
    <row r="691" spans="1:2" ht="12.5" x14ac:dyDescent="0.25">
      <c r="A691" t="str">
        <f ca="1">IFERROR(__xludf.DUMMYFUNCTION("""COMPUTED_VALUE"""),"Haute-Garonne")</f>
        <v>Haute-Garonne</v>
      </c>
      <c r="B691" t="str">
        <f ca="1">IFERROR(__xludf.DUMMYFUNCTION("""COMPUTED_VALUE"""),"FR623")</f>
        <v>FR623</v>
      </c>
    </row>
    <row r="692" spans="1:2" ht="12.5" x14ac:dyDescent="0.25">
      <c r="A692" t="str">
        <f ca="1">IFERROR(__xludf.DUMMYFUNCTION("""COMPUTED_VALUE"""),"Haute-Loire")</f>
        <v>Haute-Loire</v>
      </c>
      <c r="B692" t="str">
        <f ca="1">IFERROR(__xludf.DUMMYFUNCTION("""COMPUTED_VALUE"""),"FR723")</f>
        <v>FR723</v>
      </c>
    </row>
    <row r="693" spans="1:2" ht="12.5" x14ac:dyDescent="0.25">
      <c r="A693" t="str">
        <f ca="1">IFERROR(__xludf.DUMMYFUNCTION("""COMPUTED_VALUE"""),"Haute-Marne")</f>
        <v>Haute-Marne</v>
      </c>
      <c r="B693" t="str">
        <f ca="1">IFERROR(__xludf.DUMMYFUNCTION("""COMPUTED_VALUE"""),"FR214")</f>
        <v>FR214</v>
      </c>
    </row>
    <row r="694" spans="1:2" ht="12.5" x14ac:dyDescent="0.25">
      <c r="A694" t="str">
        <f ca="1">IFERROR(__xludf.DUMMYFUNCTION("""COMPUTED_VALUE"""),"Haute-Normandie")</f>
        <v>Haute-Normandie</v>
      </c>
      <c r="B694" t="str">
        <f ca="1">IFERROR(__xludf.DUMMYFUNCTION("""COMPUTED_VALUE"""),"FR23")</f>
        <v>FR23</v>
      </c>
    </row>
    <row r="695" spans="1:2" ht="12.5" x14ac:dyDescent="0.25">
      <c r="A695" t="str">
        <f ca="1">IFERROR(__xludf.DUMMYFUNCTION("""COMPUTED_VALUE"""),"Haute-Saône")</f>
        <v>Haute-Saône</v>
      </c>
      <c r="B695" t="str">
        <f ca="1">IFERROR(__xludf.DUMMYFUNCTION("""COMPUTED_VALUE"""),"FR433")</f>
        <v>FR433</v>
      </c>
    </row>
    <row r="696" spans="1:2" ht="12.5" x14ac:dyDescent="0.25">
      <c r="A696" t="str">
        <f ca="1">IFERROR(__xludf.DUMMYFUNCTION("""COMPUTED_VALUE"""),"Haute-Savoie")</f>
        <v>Haute-Savoie</v>
      </c>
      <c r="B696" t="str">
        <f ca="1">IFERROR(__xludf.DUMMYFUNCTION("""COMPUTED_VALUE"""),"FR718")</f>
        <v>FR718</v>
      </c>
    </row>
    <row r="697" spans="1:2" ht="12.5" x14ac:dyDescent="0.25">
      <c r="A697" t="str">
        <f ca="1">IFERROR(__xludf.DUMMYFUNCTION("""COMPUTED_VALUE"""),"Haute-Vienne")</f>
        <v>Haute-Vienne</v>
      </c>
      <c r="B697" t="str">
        <f ca="1">IFERROR(__xludf.DUMMYFUNCTION("""COMPUTED_VALUE"""),"FR633")</f>
        <v>FR633</v>
      </c>
    </row>
    <row r="698" spans="1:2" ht="12.5" x14ac:dyDescent="0.25">
      <c r="A698" t="str">
        <f ca="1">IFERROR(__xludf.DUMMYFUNCTION("""COMPUTED_VALUE"""),"Hautes-Alpes")</f>
        <v>Hautes-Alpes</v>
      </c>
      <c r="B698" t="str">
        <f ca="1">IFERROR(__xludf.DUMMYFUNCTION("""COMPUTED_VALUE"""),"FR822")</f>
        <v>FR822</v>
      </c>
    </row>
    <row r="699" spans="1:2" ht="12.5" x14ac:dyDescent="0.25">
      <c r="A699" t="str">
        <f ca="1">IFERROR(__xludf.DUMMYFUNCTION("""COMPUTED_VALUE"""),"Hautes-Pyrénées")</f>
        <v>Hautes-Pyrénées</v>
      </c>
      <c r="B699" t="str">
        <f ca="1">IFERROR(__xludf.DUMMYFUNCTION("""COMPUTED_VALUE"""),"FR626")</f>
        <v>FR626</v>
      </c>
    </row>
    <row r="700" spans="1:2" ht="12.5" x14ac:dyDescent="0.25">
      <c r="A700" t="str">
        <f ca="1">IFERROR(__xludf.DUMMYFUNCTION("""COMPUTED_VALUE"""),"Hauts-De-Seine")</f>
        <v>Hauts-De-Seine</v>
      </c>
      <c r="B700" t="str">
        <f ca="1">IFERROR(__xludf.DUMMYFUNCTION("""COMPUTED_VALUE"""),"FR105")</f>
        <v>FR105</v>
      </c>
    </row>
    <row r="701" spans="1:2" ht="12.5" x14ac:dyDescent="0.25">
      <c r="A701" t="str">
        <f ca="1">IFERROR(__xludf.DUMMYFUNCTION("""COMPUTED_VALUE"""),"Havelland")</f>
        <v>Havelland</v>
      </c>
      <c r="B701" t="str">
        <f ca="1">IFERROR(__xludf.DUMMYFUNCTION("""COMPUTED_VALUE"""),"DE426")</f>
        <v>DE426</v>
      </c>
    </row>
    <row r="702" spans="1:2" ht="12.5" x14ac:dyDescent="0.25">
      <c r="A702" t="str">
        <f ca="1">IFERROR(__xludf.DUMMYFUNCTION("""COMPUTED_VALUE"""),"Hedmark")</f>
        <v>Hedmark</v>
      </c>
      <c r="B702" t="str">
        <f ca="1">IFERROR(__xludf.DUMMYFUNCTION("""COMPUTED_VALUE"""),"NO021")</f>
        <v>NO021</v>
      </c>
    </row>
    <row r="703" spans="1:2" ht="12.5" x14ac:dyDescent="0.25">
      <c r="A703" t="str">
        <f ca="1">IFERROR(__xludf.DUMMYFUNCTION("""COMPUTED_VALUE"""),"Hedmark Og Oppland")</f>
        <v>Hedmark Og Oppland</v>
      </c>
      <c r="B703" t="str">
        <f ca="1">IFERROR(__xludf.DUMMYFUNCTION("""COMPUTED_VALUE"""),"NO02")</f>
        <v>NO02</v>
      </c>
    </row>
    <row r="704" spans="1:2" ht="12.5" x14ac:dyDescent="0.25">
      <c r="A704" t="str">
        <f ca="1">IFERROR(__xludf.DUMMYFUNCTION("""COMPUTED_VALUE"""),"Heidelberg, Stadtkreis")</f>
        <v>Heidelberg, Stadtkreis</v>
      </c>
      <c r="B704" t="str">
        <f ca="1">IFERROR(__xludf.DUMMYFUNCTION("""COMPUTED_VALUE"""),"DE125")</f>
        <v>DE125</v>
      </c>
    </row>
    <row r="705" spans="1:2" ht="12.5" x14ac:dyDescent="0.25">
      <c r="A705" t="str">
        <f ca="1">IFERROR(__xludf.DUMMYFUNCTION("""COMPUTED_VALUE"""),"Heidenheim")</f>
        <v>Heidenheim</v>
      </c>
      <c r="B705" t="str">
        <f ca="1">IFERROR(__xludf.DUMMYFUNCTION("""COMPUTED_VALUE"""),"DE11C")</f>
        <v>DE11C</v>
      </c>
    </row>
    <row r="706" spans="1:2" ht="12.5" x14ac:dyDescent="0.25">
      <c r="A706" t="str">
        <f ca="1">IFERROR(__xludf.DUMMYFUNCTION("""COMPUTED_VALUE"""),"Heilbronn, Landkreis")</f>
        <v>Heilbronn, Landkreis</v>
      </c>
      <c r="B706" t="str">
        <f ca="1">IFERROR(__xludf.DUMMYFUNCTION("""COMPUTED_VALUE"""),"DE118")</f>
        <v>DE118</v>
      </c>
    </row>
    <row r="707" spans="1:2" ht="12.5" x14ac:dyDescent="0.25">
      <c r="A707" t="str">
        <f ca="1">IFERROR(__xludf.DUMMYFUNCTION("""COMPUTED_VALUE"""),"Heilbronn, Stadtkreis")</f>
        <v>Heilbronn, Stadtkreis</v>
      </c>
      <c r="B707" t="str">
        <f ca="1">IFERROR(__xludf.DUMMYFUNCTION("""COMPUTED_VALUE"""),"DE117")</f>
        <v>DE117</v>
      </c>
    </row>
    <row r="708" spans="1:2" ht="12.5" x14ac:dyDescent="0.25">
      <c r="A708" t="str">
        <f ca="1">IFERROR(__xludf.DUMMYFUNCTION("""COMPUTED_VALUE"""),"Heinsberg")</f>
        <v>Heinsberg</v>
      </c>
      <c r="B708" t="str">
        <f ca="1">IFERROR(__xludf.DUMMYFUNCTION("""COMPUTED_VALUE"""),"DEA29")</f>
        <v>DEA29</v>
      </c>
    </row>
    <row r="709" spans="1:2" ht="12.5" x14ac:dyDescent="0.25">
      <c r="A709" t="str">
        <f ca="1">IFERROR(__xludf.DUMMYFUNCTION("""COMPUTED_VALUE"""),"Helmstedt")</f>
        <v>Helmstedt</v>
      </c>
      <c r="B709" t="str">
        <f ca="1">IFERROR(__xludf.DUMMYFUNCTION("""COMPUTED_VALUE"""),"DE917")</f>
        <v>DE917</v>
      </c>
    </row>
    <row r="710" spans="1:2" ht="12.5" x14ac:dyDescent="0.25">
      <c r="A710" t="str">
        <f ca="1">IFERROR(__xludf.DUMMYFUNCTION("""COMPUTED_VALUE"""),"Hérault")</f>
        <v>Hérault</v>
      </c>
      <c r="B710" t="str">
        <f ca="1">IFERROR(__xludf.DUMMYFUNCTION("""COMPUTED_VALUE"""),"FR813")</f>
        <v>FR813</v>
      </c>
    </row>
    <row r="711" spans="1:2" ht="12.5" x14ac:dyDescent="0.25">
      <c r="A711" t="str">
        <f ca="1">IFERROR(__xludf.DUMMYFUNCTION("""COMPUTED_VALUE"""),"Herefordshire, County Of")</f>
        <v>Herefordshire, County Of</v>
      </c>
      <c r="B711" t="str">
        <f ca="1">IFERROR(__xludf.DUMMYFUNCTION("""COMPUTED_VALUE"""),"UKG11")</f>
        <v>UKG11</v>
      </c>
    </row>
    <row r="712" spans="1:2" ht="12.5" x14ac:dyDescent="0.25">
      <c r="A712" t="str">
        <f ca="1">IFERROR(__xludf.DUMMYFUNCTION("""COMPUTED_VALUE"""),"Herefordshire, Worcestershire And Warwickshire")</f>
        <v>Herefordshire, Worcestershire And Warwickshire</v>
      </c>
      <c r="B712" t="str">
        <f ca="1">IFERROR(__xludf.DUMMYFUNCTION("""COMPUTED_VALUE"""),"UKG1")</f>
        <v>UKG1</v>
      </c>
    </row>
    <row r="713" spans="1:2" ht="12.5" x14ac:dyDescent="0.25">
      <c r="A713" t="str">
        <f ca="1">IFERROR(__xludf.DUMMYFUNCTION("""COMPUTED_VALUE"""),"Herford")</f>
        <v>Herford</v>
      </c>
      <c r="B713" t="str">
        <f ca="1">IFERROR(__xludf.DUMMYFUNCTION("""COMPUTED_VALUE"""),"DEA43")</f>
        <v>DEA43</v>
      </c>
    </row>
    <row r="714" spans="1:2" ht="12.5" x14ac:dyDescent="0.25">
      <c r="A714" t="str">
        <f ca="1">IFERROR(__xludf.DUMMYFUNCTION("""COMPUTED_VALUE"""),"Herne, Kreisfreie Stadt")</f>
        <v>Herne, Kreisfreie Stadt</v>
      </c>
      <c r="B714" t="str">
        <f ca="1">IFERROR(__xludf.DUMMYFUNCTION("""COMPUTED_VALUE"""),"DEA55")</f>
        <v>DEA55</v>
      </c>
    </row>
    <row r="715" spans="1:2" ht="12.5" x14ac:dyDescent="0.25">
      <c r="A715" t="str">
        <f ca="1">IFERROR(__xludf.DUMMYFUNCTION("""COMPUTED_VALUE"""),"Hersfeld-Rotenburg")</f>
        <v>Hersfeld-Rotenburg</v>
      </c>
      <c r="B715" t="str">
        <f ca="1">IFERROR(__xludf.DUMMYFUNCTION("""COMPUTED_VALUE"""),"DE733")</f>
        <v>DE733</v>
      </c>
    </row>
    <row r="716" spans="1:2" ht="12.5" x14ac:dyDescent="0.25">
      <c r="A716" t="str">
        <f ca="1">IFERROR(__xludf.DUMMYFUNCTION("""COMPUTED_VALUE"""),"Hertfordshire")</f>
        <v>Hertfordshire</v>
      </c>
      <c r="B716" t="str">
        <f ca="1">IFERROR(__xludf.DUMMYFUNCTION("""COMPUTED_VALUE"""),"UKH23")</f>
        <v>UKH23</v>
      </c>
    </row>
    <row r="717" spans="1:2" ht="12.5" x14ac:dyDescent="0.25">
      <c r="A717" t="str">
        <f ca="1">IFERROR(__xludf.DUMMYFUNCTION("""COMPUTED_VALUE"""),"Herzogtum Lauenburg")</f>
        <v>Herzogtum Lauenburg</v>
      </c>
      <c r="B717" t="str">
        <f ca="1">IFERROR(__xludf.DUMMYFUNCTION("""COMPUTED_VALUE"""),"DEF06")</f>
        <v>DEF06</v>
      </c>
    </row>
    <row r="718" spans="1:2" ht="12.5" x14ac:dyDescent="0.25">
      <c r="A718" t="str">
        <f ca="1">IFERROR(__xludf.DUMMYFUNCTION("""COMPUTED_VALUE"""),"Hessen")</f>
        <v>Hessen</v>
      </c>
      <c r="B718" t="str">
        <f ca="1">IFERROR(__xludf.DUMMYFUNCTION("""COMPUTED_VALUE"""),"DE7")</f>
        <v>DE7</v>
      </c>
    </row>
    <row r="719" spans="1:2" ht="12.5" x14ac:dyDescent="0.25">
      <c r="A719" t="str">
        <f ca="1">IFERROR(__xludf.DUMMYFUNCTION("""COMPUTED_VALUE"""),"Het Gooi En Vechtstreek")</f>
        <v>Het Gooi En Vechtstreek</v>
      </c>
      <c r="B719" t="str">
        <f ca="1">IFERROR(__xludf.DUMMYFUNCTION("""COMPUTED_VALUE"""),"NL327")</f>
        <v>NL327</v>
      </c>
    </row>
    <row r="720" spans="1:2" ht="12.5" x14ac:dyDescent="0.25">
      <c r="A720" t="str">
        <f ca="1">IFERROR(__xludf.DUMMYFUNCTION("""COMPUTED_VALUE"""),"Heves")</f>
        <v>Heves</v>
      </c>
      <c r="B720" t="str">
        <f ca="1">IFERROR(__xludf.DUMMYFUNCTION("""COMPUTED_VALUE"""),"HU312")</f>
        <v>HU312</v>
      </c>
    </row>
    <row r="721" spans="1:2" ht="12.5" x14ac:dyDescent="0.25">
      <c r="A721" t="str">
        <f ca="1">IFERROR(__xludf.DUMMYFUNCTION("""COMPUTED_VALUE"""),"Highlands And Islands")</f>
        <v>Highlands And Islands</v>
      </c>
      <c r="B721" t="str">
        <f ca="1">IFERROR(__xludf.DUMMYFUNCTION("""COMPUTED_VALUE"""),"UKM6")</f>
        <v>UKM6</v>
      </c>
    </row>
    <row r="722" spans="1:2" ht="12.5" x14ac:dyDescent="0.25">
      <c r="A722" t="str">
        <f ca="1">IFERROR(__xludf.DUMMYFUNCTION("""COMPUTED_VALUE"""),"Hildburghausen")</f>
        <v>Hildburghausen</v>
      </c>
      <c r="B722" t="str">
        <f ca="1">IFERROR(__xludf.DUMMYFUNCTION("""COMPUTED_VALUE"""),"DEG0E")</f>
        <v>DEG0E</v>
      </c>
    </row>
    <row r="723" spans="1:2" ht="12.5" x14ac:dyDescent="0.25">
      <c r="A723" t="str">
        <f ca="1">IFERROR(__xludf.DUMMYFUNCTION("""COMPUTED_VALUE"""),"Hildesheim")</f>
        <v>Hildesheim</v>
      </c>
      <c r="B723" t="str">
        <f ca="1">IFERROR(__xludf.DUMMYFUNCTION("""COMPUTED_VALUE"""),"DE925")</f>
        <v>DE925</v>
      </c>
    </row>
    <row r="724" spans="1:2" ht="12.5" x14ac:dyDescent="0.25">
      <c r="A724" t="str">
        <f ca="1">IFERROR(__xludf.DUMMYFUNCTION("""COMPUTED_VALUE"""),"Hlavni Mesto Praha")</f>
        <v>Hlavni Mesto Praha</v>
      </c>
      <c r="B724" t="str">
        <f ca="1">IFERROR(__xludf.DUMMYFUNCTION("""COMPUTED_VALUE"""),"CZ010")</f>
        <v>CZ010</v>
      </c>
    </row>
    <row r="725" spans="1:2" ht="12.5" x14ac:dyDescent="0.25">
      <c r="A725" t="str">
        <f ca="1">IFERROR(__xludf.DUMMYFUNCTION("""COMPUTED_VALUE"""),"Hochsauerlandkreis")</f>
        <v>Hochsauerlandkreis</v>
      </c>
      <c r="B725" t="str">
        <f ca="1">IFERROR(__xludf.DUMMYFUNCTION("""COMPUTED_VALUE"""),"DEA57")</f>
        <v>DEA57</v>
      </c>
    </row>
    <row r="726" spans="1:2" ht="12.5" x14ac:dyDescent="0.25">
      <c r="A726" t="str">
        <f ca="1">IFERROR(__xludf.DUMMYFUNCTION("""COMPUTED_VALUE"""),"Hochtaunuskreis")</f>
        <v>Hochtaunuskreis</v>
      </c>
      <c r="B726" t="str">
        <f ca="1">IFERROR(__xludf.DUMMYFUNCTION("""COMPUTED_VALUE"""),"DE718")</f>
        <v>DE718</v>
      </c>
    </row>
    <row r="727" spans="1:2" ht="12.5" x14ac:dyDescent="0.25">
      <c r="A727" t="str">
        <f ca="1">IFERROR(__xludf.DUMMYFUNCTION("""COMPUTED_VALUE"""),"Hof, Kreisfreie Stadt")</f>
        <v>Hof, Kreisfreie Stadt</v>
      </c>
      <c r="B727" t="str">
        <f ca="1">IFERROR(__xludf.DUMMYFUNCTION("""COMPUTED_VALUE"""),"DE244")</f>
        <v>DE244</v>
      </c>
    </row>
    <row r="728" spans="1:2" ht="12.5" x14ac:dyDescent="0.25">
      <c r="A728" t="str">
        <f ca="1">IFERROR(__xludf.DUMMYFUNCTION("""COMPUTED_VALUE"""),"Hof, Landkreis")</f>
        <v>Hof, Landkreis</v>
      </c>
      <c r="B728" t="str">
        <f ca="1">IFERROR(__xludf.DUMMYFUNCTION("""COMPUTED_VALUE"""),"DE249")</f>
        <v>DE249</v>
      </c>
    </row>
    <row r="729" spans="1:2" ht="12.5" x14ac:dyDescent="0.25">
      <c r="A729" t="str">
        <f ca="1">IFERROR(__xludf.DUMMYFUNCTION("""COMPUTED_VALUE"""),"Höfuðborgarsvæði")</f>
        <v>Höfuðborgarsvæði</v>
      </c>
      <c r="B729" t="str">
        <f ca="1">IFERROR(__xludf.DUMMYFUNCTION("""COMPUTED_VALUE"""),"IS001")</f>
        <v>IS001</v>
      </c>
    </row>
    <row r="730" spans="1:2" ht="12.5" x14ac:dyDescent="0.25">
      <c r="A730" t="str">
        <f ca="1">IFERROR(__xludf.DUMMYFUNCTION("""COMPUTED_VALUE"""),"Hohenlohekreis")</f>
        <v>Hohenlohekreis</v>
      </c>
      <c r="B730" t="str">
        <f ca="1">IFERROR(__xludf.DUMMYFUNCTION("""COMPUTED_VALUE"""),"DE119")</f>
        <v>DE119</v>
      </c>
    </row>
    <row r="731" spans="1:2" ht="12.5" x14ac:dyDescent="0.25">
      <c r="A731" t="str">
        <f ca="1">IFERROR(__xludf.DUMMYFUNCTION("""COMPUTED_VALUE"""),"Holzminden")</f>
        <v>Holzminden</v>
      </c>
      <c r="B731" t="str">
        <f ca="1">IFERROR(__xludf.DUMMYFUNCTION("""COMPUTED_VALUE"""),"DE926")</f>
        <v>DE926</v>
      </c>
    </row>
    <row r="732" spans="1:2" ht="12.5" x14ac:dyDescent="0.25">
      <c r="A732" t="str">
        <f ca="1">IFERROR(__xludf.DUMMYFUNCTION("""COMPUTED_VALUE"""),"Hordaland")</f>
        <v>Hordaland</v>
      </c>
      <c r="B732" t="str">
        <f ca="1">IFERROR(__xludf.DUMMYFUNCTION("""COMPUTED_VALUE"""),"NO051")</f>
        <v>NO051</v>
      </c>
    </row>
    <row r="733" spans="1:2" ht="12.5" x14ac:dyDescent="0.25">
      <c r="A733" t="str">
        <f ca="1">IFERROR(__xludf.DUMMYFUNCTION("""COMPUTED_VALUE"""),"Hovedstaden")</f>
        <v>Hovedstaden</v>
      </c>
      <c r="B733" t="str">
        <f ca="1">IFERROR(__xludf.DUMMYFUNCTION("""COMPUTED_VALUE"""),"DK01")</f>
        <v>DK01</v>
      </c>
    </row>
    <row r="734" spans="1:2" ht="12.5" x14ac:dyDescent="0.25">
      <c r="A734" t="str">
        <f ca="1">IFERROR(__xludf.DUMMYFUNCTION("""COMPUTED_VALUE"""),"Höxter")</f>
        <v>Höxter</v>
      </c>
      <c r="B734" t="str">
        <f ca="1">IFERROR(__xludf.DUMMYFUNCTION("""COMPUTED_VALUE"""),"DEA44")</f>
        <v>DEA44</v>
      </c>
    </row>
    <row r="735" spans="1:2" ht="12.5" x14ac:dyDescent="0.25">
      <c r="A735" t="str">
        <f ca="1">IFERROR(__xludf.DUMMYFUNCTION("""COMPUTED_VALUE"""),"Hoyerswerda, Kreisfreie Stadt")</f>
        <v>Hoyerswerda, Kreisfreie Stadt</v>
      </c>
      <c r="B735" t="str">
        <f ca="1">IFERROR(__xludf.DUMMYFUNCTION("""COMPUTED_VALUE"""),"DED23")</f>
        <v>DED23</v>
      </c>
    </row>
    <row r="736" spans="1:2" ht="12.5" x14ac:dyDescent="0.25">
      <c r="A736" t="str">
        <f ca="1">IFERROR(__xludf.DUMMYFUNCTION("""COMPUTED_VALUE"""),"Huelva")</f>
        <v>Huelva</v>
      </c>
      <c r="B736" t="str">
        <f ca="1">IFERROR(__xludf.DUMMYFUNCTION("""COMPUTED_VALUE"""),"ES615")</f>
        <v>ES615</v>
      </c>
    </row>
    <row r="737" spans="1:2" ht="12.5" x14ac:dyDescent="0.25">
      <c r="A737" t="str">
        <f ca="1">IFERROR(__xludf.DUMMYFUNCTION("""COMPUTED_VALUE"""),"Huesca")</f>
        <v>Huesca</v>
      </c>
      <c r="B737" t="str">
        <f ca="1">IFERROR(__xludf.DUMMYFUNCTION("""COMPUTED_VALUE"""),"ES241")</f>
        <v>ES241</v>
      </c>
    </row>
    <row r="738" spans="1:2" ht="12.5" x14ac:dyDescent="0.25">
      <c r="A738" t="str">
        <f ca="1">IFERROR(__xludf.DUMMYFUNCTION("""COMPUTED_VALUE"""),"Hunedoara")</f>
        <v>Hunedoara</v>
      </c>
      <c r="B738" t="str">
        <f ca="1">IFERROR(__xludf.DUMMYFUNCTION("""COMPUTED_VALUE"""),"RO423")</f>
        <v>RO423</v>
      </c>
    </row>
    <row r="739" spans="1:2" ht="12.5" x14ac:dyDescent="0.25">
      <c r="A739" t="str">
        <f ca="1">IFERROR(__xludf.DUMMYFUNCTION("""COMPUTED_VALUE"""),"Ialomita")</f>
        <v>Ialomita</v>
      </c>
      <c r="B739" t="str">
        <f ca="1">IFERROR(__xludf.DUMMYFUNCTION("""COMPUTED_VALUE"""),"RO315")</f>
        <v>RO315</v>
      </c>
    </row>
    <row r="740" spans="1:2" ht="12.5" x14ac:dyDescent="0.25">
      <c r="A740" t="str">
        <f ca="1">IFERROR(__xludf.DUMMYFUNCTION("""COMPUTED_VALUE"""),"Iasi")</f>
        <v>Iasi</v>
      </c>
      <c r="B740" t="str">
        <f ca="1">IFERROR(__xludf.DUMMYFUNCTION("""COMPUTED_VALUE"""),"RO213")</f>
        <v>RO213</v>
      </c>
    </row>
    <row r="741" spans="1:2" ht="12.5" x14ac:dyDescent="0.25">
      <c r="A741" t="str">
        <f ca="1">IFERROR(__xludf.DUMMYFUNCTION("""COMPUTED_VALUE"""),"Ijmond")</f>
        <v>Ijmond</v>
      </c>
      <c r="B741" t="str">
        <f ca="1">IFERROR(__xludf.DUMMYFUNCTION("""COMPUTED_VALUE"""),"NL323")</f>
        <v>NL323</v>
      </c>
    </row>
    <row r="742" spans="1:2" ht="12.5" x14ac:dyDescent="0.25">
      <c r="A742" t="str">
        <f ca="1">IFERROR(__xludf.DUMMYFUNCTION("""COMPUTED_VALUE"""),"Île De France")</f>
        <v>Île De France</v>
      </c>
      <c r="B742" t="str">
        <f ca="1">IFERROR(__xludf.DUMMYFUNCTION("""COMPUTED_VALUE"""),"FR1")</f>
        <v>FR1</v>
      </c>
    </row>
    <row r="743" spans="1:2" ht="12.5" x14ac:dyDescent="0.25">
      <c r="A743" t="str">
        <f ca="1">IFERROR(__xludf.DUMMYFUNCTION("""COMPUTED_VALUE"""),"Île De France (*)")</f>
        <v>Île De France (*)</v>
      </c>
      <c r="B743" t="str">
        <f ca="1">IFERROR(__xludf.DUMMYFUNCTION("""COMPUTED_VALUE"""),"FR10")</f>
        <v>FR10</v>
      </c>
    </row>
    <row r="744" spans="1:2" ht="12.5" x14ac:dyDescent="0.25">
      <c r="A744" t="str">
        <f ca="1">IFERROR(__xludf.DUMMYFUNCTION("""COMPUTED_VALUE"""),"Ileia")</f>
        <v>Ileia</v>
      </c>
      <c r="B744" t="str">
        <f ca="1">IFERROR(__xludf.DUMMYFUNCTION("""COMPUTED_VALUE"""),"GR233")</f>
        <v>GR233</v>
      </c>
    </row>
    <row r="745" spans="1:2" ht="12.5" x14ac:dyDescent="0.25">
      <c r="A745" t="str">
        <f ca="1">IFERROR(__xludf.DUMMYFUNCTION("""COMPUTED_VALUE"""),"Ilfov")</f>
        <v>Ilfov</v>
      </c>
      <c r="B745" t="str">
        <f ca="1">IFERROR(__xludf.DUMMYFUNCTION("""COMPUTED_VALUE"""),"RO322")</f>
        <v>RO322</v>
      </c>
    </row>
    <row r="746" spans="1:2" ht="12.5" x14ac:dyDescent="0.25">
      <c r="A746" t="str">
        <f ca="1">IFERROR(__xludf.DUMMYFUNCTION("""COMPUTED_VALUE"""),"Ille-Et-Vilaine")</f>
        <v>Ille-Et-Vilaine</v>
      </c>
      <c r="B746" t="str">
        <f ca="1">IFERROR(__xludf.DUMMYFUNCTION("""COMPUTED_VALUE"""),"FR523")</f>
        <v>FR523</v>
      </c>
    </row>
    <row r="747" spans="1:2" ht="12.5" x14ac:dyDescent="0.25">
      <c r="A747" t="str">
        <f ca="1">IFERROR(__xludf.DUMMYFUNCTION("""COMPUTED_VALUE"""),"Illes Balears")</f>
        <v>Illes Balears</v>
      </c>
      <c r="B747" t="str">
        <f ca="1">IFERROR(__xludf.DUMMYFUNCTION("""COMPUTED_VALUE"""),"ES53")</f>
        <v>ES53</v>
      </c>
    </row>
    <row r="748" spans="1:2" ht="12.5" x14ac:dyDescent="0.25">
      <c r="A748" t="str">
        <f ca="1">IFERROR(__xludf.DUMMYFUNCTION("""COMPUTED_VALUE"""),"Ilm-Kreis")</f>
        <v>Ilm-Kreis</v>
      </c>
      <c r="B748" t="str">
        <f ca="1">IFERROR(__xludf.DUMMYFUNCTION("""COMPUTED_VALUE"""),"DEG0F")</f>
        <v>DEG0F</v>
      </c>
    </row>
    <row r="749" spans="1:2" ht="12.5" x14ac:dyDescent="0.25">
      <c r="A749" t="str">
        <f ca="1">IFERROR(__xludf.DUMMYFUNCTION("""COMPUTED_VALUE"""),"Imathia")</f>
        <v>Imathia</v>
      </c>
      <c r="B749" t="str">
        <f ca="1">IFERROR(__xludf.DUMMYFUNCTION("""COMPUTED_VALUE"""),"GR121")</f>
        <v>GR121</v>
      </c>
    </row>
    <row r="750" spans="1:2" ht="12.5" x14ac:dyDescent="0.25">
      <c r="A750" t="str">
        <f ca="1">IFERROR(__xludf.DUMMYFUNCTION("""COMPUTED_VALUE"""),"Imperia")</f>
        <v>Imperia</v>
      </c>
      <c r="B750" t="str">
        <f ca="1">IFERROR(__xludf.DUMMYFUNCTION("""COMPUTED_VALUE"""),"ITC31")</f>
        <v>ITC31</v>
      </c>
    </row>
    <row r="751" spans="1:2" ht="12.5" x14ac:dyDescent="0.25">
      <c r="A751" t="str">
        <f ca="1">IFERROR(__xludf.DUMMYFUNCTION("""COMPUTED_VALUE"""),"Indre")</f>
        <v>Indre</v>
      </c>
      <c r="B751" t="str">
        <f ca="1">IFERROR(__xludf.DUMMYFUNCTION("""COMPUTED_VALUE"""),"FR243")</f>
        <v>FR243</v>
      </c>
    </row>
    <row r="752" spans="1:2" ht="12.5" x14ac:dyDescent="0.25">
      <c r="A752" t="str">
        <f ca="1">IFERROR(__xludf.DUMMYFUNCTION("""COMPUTED_VALUE"""),"Indre-Et-Loire")</f>
        <v>Indre-Et-Loire</v>
      </c>
      <c r="B752" t="str">
        <f ca="1">IFERROR(__xludf.DUMMYFUNCTION("""COMPUTED_VALUE"""),"FR244")</f>
        <v>FR244</v>
      </c>
    </row>
    <row r="753" spans="1:2" ht="12.5" x14ac:dyDescent="0.25">
      <c r="A753" t="str">
        <f ca="1">IFERROR(__xludf.DUMMYFUNCTION("""COMPUTED_VALUE"""),"Ingolstadt, Kreisfreie Stadt")</f>
        <v>Ingolstadt, Kreisfreie Stadt</v>
      </c>
      <c r="B753" t="str">
        <f ca="1">IFERROR(__xludf.DUMMYFUNCTION("""COMPUTED_VALUE"""),"DE211")</f>
        <v>DE211</v>
      </c>
    </row>
    <row r="754" spans="1:2" ht="12.5" x14ac:dyDescent="0.25">
      <c r="A754" t="str">
        <f ca="1">IFERROR(__xludf.DUMMYFUNCTION("""COMPUTED_VALUE"""),"Inner London")</f>
        <v>Inner London</v>
      </c>
      <c r="B754" t="str">
        <f ca="1">IFERROR(__xludf.DUMMYFUNCTION("""COMPUTED_VALUE"""),"UKI1")</f>
        <v>UKI1</v>
      </c>
    </row>
    <row r="755" spans="1:2" ht="12.5" x14ac:dyDescent="0.25">
      <c r="A755" t="str">
        <f ca="1">IFERROR(__xludf.DUMMYFUNCTION("""COMPUTED_VALUE"""),"Inner London - East")</f>
        <v>Inner London - East</v>
      </c>
      <c r="B755" t="str">
        <f ca="1">IFERROR(__xludf.DUMMYFUNCTION("""COMPUTED_VALUE"""),"UKI12")</f>
        <v>UKI12</v>
      </c>
    </row>
    <row r="756" spans="1:2" ht="12.5" x14ac:dyDescent="0.25">
      <c r="A756" t="str">
        <f ca="1">IFERROR(__xludf.DUMMYFUNCTION("""COMPUTED_VALUE"""),"Inner London - West")</f>
        <v>Inner London - West</v>
      </c>
      <c r="B756" t="str">
        <f ca="1">IFERROR(__xludf.DUMMYFUNCTION("""COMPUTED_VALUE"""),"UKI11")</f>
        <v>UKI11</v>
      </c>
    </row>
    <row r="757" spans="1:2" ht="12.5" x14ac:dyDescent="0.25">
      <c r="A757" t="str">
        <f ca="1">IFERROR(__xludf.DUMMYFUNCTION("""COMPUTED_VALUE"""),"Innsbruck")</f>
        <v>Innsbruck</v>
      </c>
      <c r="B757" t="str">
        <f ca="1">IFERROR(__xludf.DUMMYFUNCTION("""COMPUTED_VALUE"""),"AT332")</f>
        <v>AT332</v>
      </c>
    </row>
    <row r="758" spans="1:2" ht="12.5" x14ac:dyDescent="0.25">
      <c r="A758" t="str">
        <f ca="1">IFERROR(__xludf.DUMMYFUNCTION("""COMPUTED_VALUE"""),"Innviertel")</f>
        <v>Innviertel</v>
      </c>
      <c r="B758" t="str">
        <f ca="1">IFERROR(__xludf.DUMMYFUNCTION("""COMPUTED_VALUE"""),"AT311")</f>
        <v>AT311</v>
      </c>
    </row>
    <row r="759" spans="1:2" ht="12.5" x14ac:dyDescent="0.25">
      <c r="A759" t="str">
        <f ca="1">IFERROR(__xludf.DUMMYFUNCTION("""COMPUTED_VALUE"""),"Inverclyde, East Renfrewshire And Renfrewshire")</f>
        <v>Inverclyde, East Renfrewshire And Renfrewshire</v>
      </c>
      <c r="B759" t="str">
        <f ca="1">IFERROR(__xludf.DUMMYFUNCTION("""COMPUTED_VALUE"""),"UKM35")</f>
        <v>UKM35</v>
      </c>
    </row>
    <row r="760" spans="1:2" ht="12.5" x14ac:dyDescent="0.25">
      <c r="A760" t="str">
        <f ca="1">IFERROR(__xludf.DUMMYFUNCTION("""COMPUTED_VALUE"""),"Inverness &amp; Nairn And Moray, Badenoch &amp; Strathspey")</f>
        <v>Inverness &amp; Nairn And Moray, Badenoch &amp; Strathspey</v>
      </c>
      <c r="B760" t="str">
        <f ca="1">IFERROR(__xludf.DUMMYFUNCTION("""COMPUTED_VALUE"""),"UKM62")</f>
        <v>UKM62</v>
      </c>
    </row>
    <row r="761" spans="1:2" ht="12.5" x14ac:dyDescent="0.25">
      <c r="A761" t="str">
        <f ca="1">IFERROR(__xludf.DUMMYFUNCTION("""COMPUTED_VALUE"""),"Ioannina")</f>
        <v>Ioannina</v>
      </c>
      <c r="B761" t="str">
        <f ca="1">IFERROR(__xludf.DUMMYFUNCTION("""COMPUTED_VALUE"""),"GR213")</f>
        <v>GR213</v>
      </c>
    </row>
    <row r="762" spans="1:2" ht="12.5" x14ac:dyDescent="0.25">
      <c r="A762" t="str">
        <f ca="1">IFERROR(__xludf.DUMMYFUNCTION("""COMPUTED_VALUE"""),"Ionia Nisia")</f>
        <v>Ionia Nisia</v>
      </c>
      <c r="B762" t="str">
        <f ca="1">IFERROR(__xludf.DUMMYFUNCTION("""COMPUTED_VALUE"""),"GR22")</f>
        <v>GR22</v>
      </c>
    </row>
    <row r="763" spans="1:2" ht="12.5" x14ac:dyDescent="0.25">
      <c r="A763" t="str">
        <f ca="1">IFERROR(__xludf.DUMMYFUNCTION("""COMPUTED_VALUE"""),"Ipeiros")</f>
        <v>Ipeiros</v>
      </c>
      <c r="B763" t="str">
        <f ca="1">IFERROR(__xludf.DUMMYFUNCTION("""COMPUTED_VALUE"""),"GR21")</f>
        <v>GR21</v>
      </c>
    </row>
    <row r="764" spans="1:2" ht="12.5" x14ac:dyDescent="0.25">
      <c r="A764" t="str">
        <f ca="1">IFERROR(__xludf.DUMMYFUNCTION("""COMPUTED_VALUE"""),"Irakleio")</f>
        <v>Irakleio</v>
      </c>
      <c r="B764" t="str">
        <f ca="1">IFERROR(__xludf.DUMMYFUNCTION("""COMPUTED_VALUE"""),"GR431")</f>
        <v>GR431</v>
      </c>
    </row>
    <row r="765" spans="1:2" ht="12.5" x14ac:dyDescent="0.25">
      <c r="A765" t="str">
        <f ca="1">IFERROR(__xludf.DUMMYFUNCTION("""COMPUTED_VALUE"""),"Ireland")</f>
        <v>Ireland</v>
      </c>
      <c r="B765" t="str">
        <f ca="1">IFERROR(__xludf.DUMMYFUNCTION("""COMPUTED_VALUE"""),"IE")</f>
        <v>IE</v>
      </c>
    </row>
    <row r="766" spans="1:2" ht="12.5" x14ac:dyDescent="0.25">
      <c r="A766" t="str">
        <f ca="1">IFERROR(__xludf.DUMMYFUNCTION("""COMPUTED_VALUE"""),"Ireland (*)")</f>
        <v>Ireland (*)</v>
      </c>
      <c r="B766" t="str">
        <f ca="1">IFERROR(__xludf.DUMMYFUNCTION("""COMPUTED_VALUE"""),"IE0")</f>
        <v>IE0</v>
      </c>
    </row>
    <row r="767" spans="1:2" ht="12.5" x14ac:dyDescent="0.25">
      <c r="A767" t="str">
        <f ca="1">IFERROR(__xludf.DUMMYFUNCTION("""COMPUTED_VALUE"""),"Isère")</f>
        <v>Isère</v>
      </c>
      <c r="B767" t="str">
        <f ca="1">IFERROR(__xludf.DUMMYFUNCTION("""COMPUTED_VALUE"""),"FR714")</f>
        <v>FR714</v>
      </c>
    </row>
    <row r="768" spans="1:2" ht="12.5" x14ac:dyDescent="0.25">
      <c r="A768" t="str">
        <f ca="1">IFERROR(__xludf.DUMMYFUNCTION("""COMPUTED_VALUE"""),"Isernia")</f>
        <v>Isernia</v>
      </c>
      <c r="B768" t="str">
        <f ca="1">IFERROR(__xludf.DUMMYFUNCTION("""COMPUTED_VALUE"""),"ITF21")</f>
        <v>ITF21</v>
      </c>
    </row>
    <row r="769" spans="1:2" ht="12.5" x14ac:dyDescent="0.25">
      <c r="A769" t="str">
        <f ca="1">IFERROR(__xludf.DUMMYFUNCTION("""COMPUTED_VALUE"""),"Ísland")</f>
        <v>Ísland</v>
      </c>
      <c r="B769" t="str">
        <f ca="1">IFERROR(__xludf.DUMMYFUNCTION("""COMPUTED_VALUE"""),"IS")</f>
        <v>IS</v>
      </c>
    </row>
    <row r="770" spans="1:2" ht="12.5" x14ac:dyDescent="0.25">
      <c r="A770" t="str">
        <f ca="1">IFERROR(__xludf.DUMMYFUNCTION("""COMPUTED_VALUE"""),"Ísland (*)")</f>
        <v>Ísland (*)</v>
      </c>
      <c r="B770" t="str">
        <f ca="1">IFERROR(__xludf.DUMMYFUNCTION("""COMPUTED_VALUE"""),"IS0")</f>
        <v>IS0</v>
      </c>
    </row>
    <row r="771" spans="1:2" ht="12.5" x14ac:dyDescent="0.25">
      <c r="A771" t="str">
        <f ca="1">IFERROR(__xludf.DUMMYFUNCTION("""COMPUTED_VALUE"""),"Ísland (**)")</f>
        <v>Ísland (**)</v>
      </c>
      <c r="B771" t="str">
        <f ca="1">IFERROR(__xludf.DUMMYFUNCTION("""COMPUTED_VALUE"""),"IS00")</f>
        <v>IS00</v>
      </c>
    </row>
    <row r="772" spans="1:2" ht="12.5" x14ac:dyDescent="0.25">
      <c r="A772" t="str">
        <f ca="1">IFERROR(__xludf.DUMMYFUNCTION("""COMPUTED_VALUE"""),"Isle Of Anglesey")</f>
        <v>Isle Of Anglesey</v>
      </c>
      <c r="B772" t="str">
        <f ca="1">IFERROR(__xludf.DUMMYFUNCTION("""COMPUTED_VALUE"""),"UKL11")</f>
        <v>UKL11</v>
      </c>
    </row>
    <row r="773" spans="1:2" ht="12.5" x14ac:dyDescent="0.25">
      <c r="A773" t="str">
        <f ca="1">IFERROR(__xludf.DUMMYFUNCTION("""COMPUTED_VALUE"""),"Isle Of Wight")</f>
        <v>Isle Of Wight</v>
      </c>
      <c r="B773" t="str">
        <f ca="1">IFERROR(__xludf.DUMMYFUNCTION("""COMPUTED_VALUE"""),"UKJ34")</f>
        <v>UKJ34</v>
      </c>
    </row>
    <row r="774" spans="1:2" ht="12.5" x14ac:dyDescent="0.25">
      <c r="A774" t="str">
        <f ca="1">IFERROR(__xludf.DUMMYFUNCTION("""COMPUTED_VALUE"""),"Isole")</f>
        <v>Isole</v>
      </c>
      <c r="B774" t="str">
        <f ca="1">IFERROR(__xludf.DUMMYFUNCTION("""COMPUTED_VALUE"""),"ITG")</f>
        <v>ITG</v>
      </c>
    </row>
    <row r="775" spans="1:2" ht="12.5" x14ac:dyDescent="0.25">
      <c r="A775" t="str">
        <f ca="1">IFERROR(__xludf.DUMMYFUNCTION("""COMPUTED_VALUE"""),"Itä-Suomi")</f>
        <v>Itä-Suomi</v>
      </c>
      <c r="B775" t="str">
        <f ca="1">IFERROR(__xludf.DUMMYFUNCTION("""COMPUTED_VALUE"""),"FI13")</f>
        <v>FI13</v>
      </c>
    </row>
    <row r="776" spans="1:2" ht="12.5" x14ac:dyDescent="0.25">
      <c r="A776" t="str">
        <f ca="1">IFERROR(__xludf.DUMMYFUNCTION("""COMPUTED_VALUE"""),"Itä-Uusimaa")</f>
        <v>Itä-Uusimaa</v>
      </c>
      <c r="B776" t="str">
        <f ca="1">IFERROR(__xludf.DUMMYFUNCTION("""COMPUTED_VALUE"""),"FI182")</f>
        <v>FI182</v>
      </c>
    </row>
    <row r="777" spans="1:2" ht="12.5" x14ac:dyDescent="0.25">
      <c r="A777" t="str">
        <f ca="1">IFERROR(__xludf.DUMMYFUNCTION("""COMPUTED_VALUE"""),"Italia")</f>
        <v>Italia</v>
      </c>
      <c r="B777" t="str">
        <f ca="1">IFERROR(__xludf.DUMMYFUNCTION("""COMPUTED_VALUE"""),"IT")</f>
        <v>IT</v>
      </c>
    </row>
    <row r="778" spans="1:2" ht="12.5" x14ac:dyDescent="0.25">
      <c r="A778" t="str">
        <f ca="1">IFERROR(__xludf.DUMMYFUNCTION("""COMPUTED_VALUE"""),"Jaén")</f>
        <v>Jaén</v>
      </c>
      <c r="B778" t="str">
        <f ca="1">IFERROR(__xludf.DUMMYFUNCTION("""COMPUTED_VALUE"""),"ES616")</f>
        <v>ES616</v>
      </c>
    </row>
    <row r="779" spans="1:2" ht="12.5" x14ac:dyDescent="0.25">
      <c r="A779" t="str">
        <f ca="1">IFERROR(__xludf.DUMMYFUNCTION("""COMPUTED_VALUE"""),"Jämtlands Län")</f>
        <v>Jämtlands Län</v>
      </c>
      <c r="B779" t="str">
        <f ca="1">IFERROR(__xludf.DUMMYFUNCTION("""COMPUTED_VALUE"""),"SE322")</f>
        <v>SE322</v>
      </c>
    </row>
    <row r="780" spans="1:2" ht="12.5" x14ac:dyDescent="0.25">
      <c r="A780" t="str">
        <f ca="1">IFERROR(__xludf.DUMMYFUNCTION("""COMPUTED_VALUE"""),"Jasz-Nagykun-Szolnok")</f>
        <v>Jasz-Nagykun-Szolnok</v>
      </c>
      <c r="B780" t="str">
        <f ca="1">IFERROR(__xludf.DUMMYFUNCTION("""COMPUTED_VALUE"""),"HU322")</f>
        <v>HU322</v>
      </c>
    </row>
    <row r="781" spans="1:2" ht="12.5" x14ac:dyDescent="0.25">
      <c r="A781" t="str">
        <f ca="1">IFERROR(__xludf.DUMMYFUNCTION("""COMPUTED_VALUE"""),"Jeleniogorski")</f>
        <v>Jeleniogorski</v>
      </c>
      <c r="B781" t="str">
        <f ca="1">IFERROR(__xludf.DUMMYFUNCTION("""COMPUTED_VALUE"""),"PL515")</f>
        <v>PL515</v>
      </c>
    </row>
    <row r="782" spans="1:2" ht="12.5" x14ac:dyDescent="0.25">
      <c r="A782" t="str">
        <f ca="1">IFERROR(__xludf.DUMMYFUNCTION("""COMPUTED_VALUE"""),"Jena, Kreisfreie Stadt")</f>
        <v>Jena, Kreisfreie Stadt</v>
      </c>
      <c r="B782" t="str">
        <f ca="1">IFERROR(__xludf.DUMMYFUNCTION("""COMPUTED_VALUE"""),"DEG03")</f>
        <v>DEG03</v>
      </c>
    </row>
    <row r="783" spans="1:2" ht="12.5" x14ac:dyDescent="0.25">
      <c r="A783" t="str">
        <f ca="1">IFERROR(__xludf.DUMMYFUNCTION("""COMPUTED_VALUE"""),"Jerichower Land")</f>
        <v>Jerichower Land</v>
      </c>
      <c r="B783" t="str">
        <f ca="1">IFERROR(__xludf.DUMMYFUNCTION("""COMPUTED_VALUE"""),"DEE06")</f>
        <v>DEE06</v>
      </c>
    </row>
    <row r="784" spans="1:2" ht="12.5" x14ac:dyDescent="0.25">
      <c r="A784" t="str">
        <f ca="1">IFERROR(__xludf.DUMMYFUNCTION("""COMPUTED_VALUE"""),"Jihocesky Kraj")</f>
        <v>Jihocesky Kraj</v>
      </c>
      <c r="B784" t="str">
        <f ca="1">IFERROR(__xludf.DUMMYFUNCTION("""COMPUTED_VALUE"""),"CZ031")</f>
        <v>CZ031</v>
      </c>
    </row>
    <row r="785" spans="1:2" ht="12.5" x14ac:dyDescent="0.25">
      <c r="A785" t="str">
        <f ca="1">IFERROR(__xludf.DUMMYFUNCTION("""COMPUTED_VALUE"""),"Jihomoravsky Kraj")</f>
        <v>Jihomoravsky Kraj</v>
      </c>
      <c r="B785" t="str">
        <f ca="1">IFERROR(__xludf.DUMMYFUNCTION("""COMPUTED_VALUE"""),"CZ064")</f>
        <v>CZ064</v>
      </c>
    </row>
    <row r="786" spans="1:2" ht="12.5" x14ac:dyDescent="0.25">
      <c r="A786" t="str">
        <f ca="1">IFERROR(__xludf.DUMMYFUNCTION("""COMPUTED_VALUE"""),"Jihovychod")</f>
        <v>Jihovychod</v>
      </c>
      <c r="B786" t="str">
        <f ca="1">IFERROR(__xludf.DUMMYFUNCTION("""COMPUTED_VALUE"""),"CZ06")</f>
        <v>CZ06</v>
      </c>
    </row>
    <row r="787" spans="1:2" ht="12.5" x14ac:dyDescent="0.25">
      <c r="A787" t="str">
        <f ca="1">IFERROR(__xludf.DUMMYFUNCTION("""COMPUTED_VALUE"""),"Jihozapad")</f>
        <v>Jihozapad</v>
      </c>
      <c r="B787" t="str">
        <f ca="1">IFERROR(__xludf.DUMMYFUNCTION("""COMPUTED_VALUE"""),"CZ03")</f>
        <v>CZ03</v>
      </c>
    </row>
    <row r="788" spans="1:2" ht="12.5" x14ac:dyDescent="0.25">
      <c r="A788" t="str">
        <f ca="1">IFERROR(__xludf.DUMMYFUNCTION("""COMPUTED_VALUE"""),"Jönköpings Län")</f>
        <v>Jönköpings Län</v>
      </c>
      <c r="B788" t="str">
        <f ca="1">IFERROR(__xludf.DUMMYFUNCTION("""COMPUTED_VALUE"""),"SE211")</f>
        <v>SE211</v>
      </c>
    </row>
    <row r="789" spans="1:2" ht="12.5" x14ac:dyDescent="0.25">
      <c r="A789" t="str">
        <f ca="1">IFERROR(__xludf.DUMMYFUNCTION("""COMPUTED_VALUE"""),"Jugovzhodna Slovenija")</f>
        <v>Jugovzhodna Slovenija</v>
      </c>
      <c r="B789" t="str">
        <f ca="1">IFERROR(__xludf.DUMMYFUNCTION("""COMPUTED_VALUE"""),"SI017")</f>
        <v>SI017</v>
      </c>
    </row>
    <row r="790" spans="1:2" ht="12.5" x14ac:dyDescent="0.25">
      <c r="A790" t="str">
        <f ca="1">IFERROR(__xludf.DUMMYFUNCTION("""COMPUTED_VALUE"""),"Jura")</f>
        <v>Jura</v>
      </c>
      <c r="B790" t="str">
        <f ca="1">IFERROR(__xludf.DUMMYFUNCTION("""COMPUTED_VALUE"""),"CH025")</f>
        <v>CH025</v>
      </c>
    </row>
    <row r="791" spans="1:2" ht="12.5" x14ac:dyDescent="0.25">
      <c r="A791" t="str">
        <f ca="1">IFERROR(__xludf.DUMMYFUNCTION("""COMPUTED_VALUE"""),"Jura (*)")</f>
        <v>Jura (*)</v>
      </c>
      <c r="B791" t="str">
        <f ca="1">IFERROR(__xludf.DUMMYFUNCTION("""COMPUTED_VALUE"""),"FR432")</f>
        <v>FR432</v>
      </c>
    </row>
    <row r="792" spans="1:2" ht="12.5" x14ac:dyDescent="0.25">
      <c r="A792" t="str">
        <f ca="1">IFERROR(__xludf.DUMMYFUNCTION("""COMPUTED_VALUE"""),"Kainuu")</f>
        <v>Kainuu</v>
      </c>
      <c r="B792" t="str">
        <f ca="1">IFERROR(__xludf.DUMMYFUNCTION("""COMPUTED_VALUE"""),"FI134")</f>
        <v>FI134</v>
      </c>
    </row>
    <row r="793" spans="1:2" ht="12.5" x14ac:dyDescent="0.25">
      <c r="A793" t="str">
        <f ca="1">IFERROR(__xludf.DUMMYFUNCTION("""COMPUTED_VALUE"""),"Kaiserslautern, Kreisfreie Stadt")</f>
        <v>Kaiserslautern, Kreisfreie Stadt</v>
      </c>
      <c r="B793" t="str">
        <f ca="1">IFERROR(__xludf.DUMMYFUNCTION("""COMPUTED_VALUE"""),"DEB32")</f>
        <v>DEB32</v>
      </c>
    </row>
    <row r="794" spans="1:2" ht="12.5" x14ac:dyDescent="0.25">
      <c r="A794" t="str">
        <f ca="1">IFERROR(__xludf.DUMMYFUNCTION("""COMPUTED_VALUE"""),"Kaiserslautern, Landkreis")</f>
        <v>Kaiserslautern, Landkreis</v>
      </c>
      <c r="B794" t="str">
        <f ca="1">IFERROR(__xludf.DUMMYFUNCTION("""COMPUTED_VALUE"""),"DEB3F")</f>
        <v>DEB3F</v>
      </c>
    </row>
    <row r="795" spans="1:2" ht="12.5" x14ac:dyDescent="0.25">
      <c r="A795" t="str">
        <f ca="1">IFERROR(__xludf.DUMMYFUNCTION("""COMPUTED_VALUE"""),"Kaliski")</f>
        <v>Kaliski</v>
      </c>
      <c r="B795" t="str">
        <f ca="1">IFERROR(__xludf.DUMMYFUNCTION("""COMPUTED_VALUE"""),"PL416")</f>
        <v>PL416</v>
      </c>
    </row>
    <row r="796" spans="1:2" ht="12.5" x14ac:dyDescent="0.25">
      <c r="A796" t="str">
        <f ca="1">IFERROR(__xludf.DUMMYFUNCTION("""COMPUTED_VALUE"""),"Kalmar Län")</f>
        <v>Kalmar Län</v>
      </c>
      <c r="B796" t="str">
        <f ca="1">IFERROR(__xludf.DUMMYFUNCTION("""COMPUTED_VALUE"""),"SE213")</f>
        <v>SE213</v>
      </c>
    </row>
    <row r="797" spans="1:2" ht="12.5" x14ac:dyDescent="0.25">
      <c r="A797" t="str">
        <f ca="1">IFERROR(__xludf.DUMMYFUNCTION("""COMPUTED_VALUE"""),"Kamenz")</f>
        <v>Kamenz</v>
      </c>
      <c r="B797" t="str">
        <f ca="1">IFERROR(__xludf.DUMMYFUNCTION("""COMPUTED_VALUE"""),"DED2B")</f>
        <v>DED2B</v>
      </c>
    </row>
    <row r="798" spans="1:2" ht="12.5" x14ac:dyDescent="0.25">
      <c r="A798" t="str">
        <f ca="1">IFERROR(__xludf.DUMMYFUNCTION("""COMPUTED_VALUE"""),"Kanta-Häme")</f>
        <v>Kanta-Häme</v>
      </c>
      <c r="B798" t="str">
        <f ca="1">IFERROR(__xludf.DUMMYFUNCTION("""COMPUTED_VALUE"""),"FI184")</f>
        <v>FI184</v>
      </c>
    </row>
    <row r="799" spans="1:2" ht="12.5" x14ac:dyDescent="0.25">
      <c r="A799" t="str">
        <f ca="1">IFERROR(__xludf.DUMMYFUNCTION("""COMPUTED_VALUE"""),"Karditsa")</f>
        <v>Karditsa</v>
      </c>
      <c r="B799" t="str">
        <f ca="1">IFERROR(__xludf.DUMMYFUNCTION("""COMPUTED_VALUE"""),"GR141")</f>
        <v>GR141</v>
      </c>
    </row>
    <row r="800" spans="1:2" ht="12.5" x14ac:dyDescent="0.25">
      <c r="A800" t="str">
        <f ca="1">IFERROR(__xludf.DUMMYFUNCTION("""COMPUTED_VALUE"""),"Kardzhali")</f>
        <v>Kardzhali</v>
      </c>
      <c r="B800" t="str">
        <f ca="1">IFERROR(__xludf.DUMMYFUNCTION("""COMPUTED_VALUE"""),"BG425")</f>
        <v>BG425</v>
      </c>
    </row>
    <row r="801" spans="1:2" ht="12.5" x14ac:dyDescent="0.25">
      <c r="A801" t="str">
        <f ca="1">IFERROR(__xludf.DUMMYFUNCTION("""COMPUTED_VALUE"""),"Karlovarsky Kraj")</f>
        <v>Karlovarsky Kraj</v>
      </c>
      <c r="B801" t="str">
        <f ca="1">IFERROR(__xludf.DUMMYFUNCTION("""COMPUTED_VALUE"""),"CZ041")</f>
        <v>CZ041</v>
      </c>
    </row>
    <row r="802" spans="1:2" ht="12.5" x14ac:dyDescent="0.25">
      <c r="A802" t="str">
        <f ca="1">IFERROR(__xludf.DUMMYFUNCTION("""COMPUTED_VALUE"""),"Karlsruhe")</f>
        <v>Karlsruhe</v>
      </c>
      <c r="B802" t="str">
        <f ca="1">IFERROR(__xludf.DUMMYFUNCTION("""COMPUTED_VALUE"""),"DE12")</f>
        <v>DE12</v>
      </c>
    </row>
    <row r="803" spans="1:2" ht="12.5" x14ac:dyDescent="0.25">
      <c r="A803" t="str">
        <f ca="1">IFERROR(__xludf.DUMMYFUNCTION("""COMPUTED_VALUE"""),"Karlsruhe, Landkreis")</f>
        <v>Karlsruhe, Landkreis</v>
      </c>
      <c r="B803" t="str">
        <f ca="1">IFERROR(__xludf.DUMMYFUNCTION("""COMPUTED_VALUE"""),"DE123")</f>
        <v>DE123</v>
      </c>
    </row>
    <row r="804" spans="1:2" ht="12.5" x14ac:dyDescent="0.25">
      <c r="A804" t="str">
        <f ca="1">IFERROR(__xludf.DUMMYFUNCTION("""COMPUTED_VALUE"""),"Karlsruhe, Stadtkreis")</f>
        <v>Karlsruhe, Stadtkreis</v>
      </c>
      <c r="B804" t="str">
        <f ca="1">IFERROR(__xludf.DUMMYFUNCTION("""COMPUTED_VALUE"""),"DE122")</f>
        <v>DE122</v>
      </c>
    </row>
    <row r="805" spans="1:2" ht="12.5" x14ac:dyDescent="0.25">
      <c r="A805" t="str">
        <f ca="1">IFERROR(__xludf.DUMMYFUNCTION("""COMPUTED_VALUE"""),"Kärnten")</f>
        <v>Kärnten</v>
      </c>
      <c r="B805" t="str">
        <f ca="1">IFERROR(__xludf.DUMMYFUNCTION("""COMPUTED_VALUE"""),"AT21")</f>
        <v>AT21</v>
      </c>
    </row>
    <row r="806" spans="1:2" ht="12.5" x14ac:dyDescent="0.25">
      <c r="A806" t="str">
        <f ca="1">IFERROR(__xludf.DUMMYFUNCTION("""COMPUTED_VALUE"""),"Kassel")</f>
        <v>Kassel</v>
      </c>
      <c r="B806" t="str">
        <f ca="1">IFERROR(__xludf.DUMMYFUNCTION("""COMPUTED_VALUE"""),"DE73")</f>
        <v>DE73</v>
      </c>
    </row>
    <row r="807" spans="1:2" ht="12.5" x14ac:dyDescent="0.25">
      <c r="A807" t="str">
        <f ca="1">IFERROR(__xludf.DUMMYFUNCTION("""COMPUTED_VALUE"""),"Kassel, Kreisfreie Stadt")</f>
        <v>Kassel, Kreisfreie Stadt</v>
      </c>
      <c r="B807" t="str">
        <f ca="1">IFERROR(__xludf.DUMMYFUNCTION("""COMPUTED_VALUE"""),"DE731")</f>
        <v>DE731</v>
      </c>
    </row>
    <row r="808" spans="1:2" ht="12.5" x14ac:dyDescent="0.25">
      <c r="A808" t="str">
        <f ca="1">IFERROR(__xludf.DUMMYFUNCTION("""COMPUTED_VALUE"""),"Kassel, Landkreis")</f>
        <v>Kassel, Landkreis</v>
      </c>
      <c r="B808" t="str">
        <f ca="1">IFERROR(__xludf.DUMMYFUNCTION("""COMPUTED_VALUE"""),"DE734")</f>
        <v>DE734</v>
      </c>
    </row>
    <row r="809" spans="1:2" ht="12.5" x14ac:dyDescent="0.25">
      <c r="A809" t="str">
        <f ca="1">IFERROR(__xludf.DUMMYFUNCTION("""COMPUTED_VALUE"""),"Kastoria")</f>
        <v>Kastoria</v>
      </c>
      <c r="B809" t="str">
        <f ca="1">IFERROR(__xludf.DUMMYFUNCTION("""COMPUTED_VALUE"""),"GR132")</f>
        <v>GR132</v>
      </c>
    </row>
    <row r="810" spans="1:2" ht="12.5" x14ac:dyDescent="0.25">
      <c r="A810" t="str">
        <f ca="1">IFERROR(__xludf.DUMMYFUNCTION("""COMPUTED_VALUE"""),"Katowicki")</f>
        <v>Katowicki</v>
      </c>
      <c r="B810" t="str">
        <f ca="1">IFERROR(__xludf.DUMMYFUNCTION("""COMPUTED_VALUE"""),"PL22A")</f>
        <v>PL22A</v>
      </c>
    </row>
    <row r="811" spans="1:2" ht="12.5" x14ac:dyDescent="0.25">
      <c r="A811" t="str">
        <f ca="1">IFERROR(__xludf.DUMMYFUNCTION("""COMPUTED_VALUE"""),"Kaufbeuren, Kreisfreie Stadt")</f>
        <v>Kaufbeuren, Kreisfreie Stadt</v>
      </c>
      <c r="B811" t="str">
        <f ca="1">IFERROR(__xludf.DUMMYFUNCTION("""COMPUTED_VALUE"""),"DE272")</f>
        <v>DE272</v>
      </c>
    </row>
    <row r="812" spans="1:2" ht="12.5" x14ac:dyDescent="0.25">
      <c r="A812" t="str">
        <f ca="1">IFERROR(__xludf.DUMMYFUNCTION("""COMPUTED_VALUE"""),"Kauno Apskritis")</f>
        <v>Kauno Apskritis</v>
      </c>
      <c r="B812" t="str">
        <f ca="1">IFERROR(__xludf.DUMMYFUNCTION("""COMPUTED_VALUE"""),"LT002")</f>
        <v>LT002</v>
      </c>
    </row>
    <row r="813" spans="1:2" ht="12.5" x14ac:dyDescent="0.25">
      <c r="A813" t="str">
        <f ca="1">IFERROR(__xludf.DUMMYFUNCTION("""COMPUTED_VALUE"""),"Kavala")</f>
        <v>Kavala</v>
      </c>
      <c r="B813" t="str">
        <f ca="1">IFERROR(__xludf.DUMMYFUNCTION("""COMPUTED_VALUE"""),"GR115")</f>
        <v>GR115</v>
      </c>
    </row>
    <row r="814" spans="1:2" ht="12.5" x14ac:dyDescent="0.25">
      <c r="A814" t="str">
        <f ca="1">IFERROR(__xludf.DUMMYFUNCTION("""COMPUTED_VALUE"""),"Kefallinia")</f>
        <v>Kefallinia</v>
      </c>
      <c r="B814" t="str">
        <f ca="1">IFERROR(__xludf.DUMMYFUNCTION("""COMPUTED_VALUE"""),"GR223")</f>
        <v>GR223</v>
      </c>
    </row>
    <row r="815" spans="1:2" ht="12.5" x14ac:dyDescent="0.25">
      <c r="A815" t="str">
        <f ca="1">IFERROR(__xludf.DUMMYFUNCTION("""COMPUTED_VALUE"""),"Kelheim")</f>
        <v>Kelheim</v>
      </c>
      <c r="B815" t="str">
        <f ca="1">IFERROR(__xludf.DUMMYFUNCTION("""COMPUTED_VALUE"""),"DE226")</f>
        <v>DE226</v>
      </c>
    </row>
    <row r="816" spans="1:2" ht="12.5" x14ac:dyDescent="0.25">
      <c r="A816" t="str">
        <f ca="1">IFERROR(__xludf.DUMMYFUNCTION("""COMPUTED_VALUE"""),"Kempten (Allgäu), Kreisfreie Stadt")</f>
        <v>Kempten (Allgäu), Kreisfreie Stadt</v>
      </c>
      <c r="B816" t="str">
        <f ca="1">IFERROR(__xludf.DUMMYFUNCTION("""COMPUTED_VALUE"""),"DE273")</f>
        <v>DE273</v>
      </c>
    </row>
    <row r="817" spans="1:2" ht="12.5" x14ac:dyDescent="0.25">
      <c r="A817" t="str">
        <f ca="1">IFERROR(__xludf.DUMMYFUNCTION("""COMPUTED_VALUE"""),"Kent")</f>
        <v>Kent</v>
      </c>
      <c r="B817" t="str">
        <f ca="1">IFERROR(__xludf.DUMMYFUNCTION("""COMPUTED_VALUE"""),"UKJ4")</f>
        <v>UKJ4</v>
      </c>
    </row>
    <row r="818" spans="1:2" ht="12.5" x14ac:dyDescent="0.25">
      <c r="A818" t="str">
        <f ca="1">IFERROR(__xludf.DUMMYFUNCTION("""COMPUTED_VALUE"""),"Kent Cc")</f>
        <v>Kent Cc</v>
      </c>
      <c r="B818" t="str">
        <f ca="1">IFERROR(__xludf.DUMMYFUNCTION("""COMPUTED_VALUE"""),"UKJ42")</f>
        <v>UKJ42</v>
      </c>
    </row>
    <row r="819" spans="1:2" ht="12.5" x14ac:dyDescent="0.25">
      <c r="A819" t="str">
        <f ca="1">IFERROR(__xludf.DUMMYFUNCTION("""COMPUTED_VALUE"""),"Kentriki Ellada")</f>
        <v>Kentriki Ellada</v>
      </c>
      <c r="B819" t="str">
        <f ca="1">IFERROR(__xludf.DUMMYFUNCTION("""COMPUTED_VALUE"""),"GR2")</f>
        <v>GR2</v>
      </c>
    </row>
    <row r="820" spans="1:2" ht="12.5" x14ac:dyDescent="0.25">
      <c r="A820" t="str">
        <f ca="1">IFERROR(__xludf.DUMMYFUNCTION("""COMPUTED_VALUE"""),"Kentriki Makedonia")</f>
        <v>Kentriki Makedonia</v>
      </c>
      <c r="B820" t="str">
        <f ca="1">IFERROR(__xludf.DUMMYFUNCTION("""COMPUTED_VALUE"""),"GR12")</f>
        <v>GR12</v>
      </c>
    </row>
    <row r="821" spans="1:2" ht="12.5" x14ac:dyDescent="0.25">
      <c r="A821" t="str">
        <f ca="1">IFERROR(__xludf.DUMMYFUNCTION("""COMPUTED_VALUE"""),"Kerkyra")</f>
        <v>Kerkyra</v>
      </c>
      <c r="B821" t="str">
        <f ca="1">IFERROR(__xludf.DUMMYFUNCTION("""COMPUTED_VALUE"""),"GR222")</f>
        <v>GR222</v>
      </c>
    </row>
    <row r="822" spans="1:2" ht="12.5" x14ac:dyDescent="0.25">
      <c r="A822" t="str">
        <f ca="1">IFERROR(__xludf.DUMMYFUNCTION("""COMPUTED_VALUE"""),"Kesk-Eesti")</f>
        <v>Kesk-Eesti</v>
      </c>
      <c r="B822" t="str">
        <f ca="1">IFERROR(__xludf.DUMMYFUNCTION("""COMPUTED_VALUE"""),"EE006")</f>
        <v>EE006</v>
      </c>
    </row>
    <row r="823" spans="1:2" ht="12.5" x14ac:dyDescent="0.25">
      <c r="A823" t="str">
        <f ca="1">IFERROR(__xludf.DUMMYFUNCTION("""COMPUTED_VALUE"""),"Keski-Pohjanmaa")</f>
        <v>Keski-Pohjanmaa</v>
      </c>
      <c r="B823" t="str">
        <f ca="1">IFERROR(__xludf.DUMMYFUNCTION("""COMPUTED_VALUE"""),"FI1A1")</f>
        <v>FI1A1</v>
      </c>
    </row>
    <row r="824" spans="1:2" ht="12.5" x14ac:dyDescent="0.25">
      <c r="A824" t="str">
        <f ca="1">IFERROR(__xludf.DUMMYFUNCTION("""COMPUTED_VALUE"""),"Keski-Suomi")</f>
        <v>Keski-Suomi</v>
      </c>
      <c r="B824" t="str">
        <f ca="1">IFERROR(__xludf.DUMMYFUNCTION("""COMPUTED_VALUE"""),"FI193")</f>
        <v>FI193</v>
      </c>
    </row>
    <row r="825" spans="1:2" ht="12.5" x14ac:dyDescent="0.25">
      <c r="A825" t="str">
        <f ca="1">IFERROR(__xludf.DUMMYFUNCTION("""COMPUTED_VALUE"""),"Kiel, Kreisfreie Stadt")</f>
        <v>Kiel, Kreisfreie Stadt</v>
      </c>
      <c r="B825" t="str">
        <f ca="1">IFERROR(__xludf.DUMMYFUNCTION("""COMPUTED_VALUE"""),"DEF02")</f>
        <v>DEF02</v>
      </c>
    </row>
    <row r="826" spans="1:2" ht="12.5" x14ac:dyDescent="0.25">
      <c r="A826" t="str">
        <f ca="1">IFERROR(__xludf.DUMMYFUNCTION("""COMPUTED_VALUE"""),"Kielecki")</f>
        <v>Kielecki</v>
      </c>
      <c r="B826" t="str">
        <f ca="1">IFERROR(__xludf.DUMMYFUNCTION("""COMPUTED_VALUE"""),"PL331")</f>
        <v>PL331</v>
      </c>
    </row>
    <row r="827" spans="1:2" ht="12.5" x14ac:dyDescent="0.25">
      <c r="A827" t="str">
        <f ca="1">IFERROR(__xludf.DUMMYFUNCTION("""COMPUTED_VALUE"""),"Kilkis")</f>
        <v>Kilkis</v>
      </c>
      <c r="B827" t="str">
        <f ca="1">IFERROR(__xludf.DUMMYFUNCTION("""COMPUTED_VALUE"""),"GR123")</f>
        <v>GR123</v>
      </c>
    </row>
    <row r="828" spans="1:2" ht="12.5" x14ac:dyDescent="0.25">
      <c r="A828" t="str">
        <f ca="1">IFERROR(__xludf.DUMMYFUNCTION("""COMPUTED_VALUE"""),"Kingston Upon Hull, City Of")</f>
        <v>Kingston Upon Hull, City Of</v>
      </c>
      <c r="B828" t="str">
        <f ca="1">IFERROR(__xludf.DUMMYFUNCTION("""COMPUTED_VALUE"""),"UKE11")</f>
        <v>UKE11</v>
      </c>
    </row>
    <row r="829" spans="1:2" ht="12.5" x14ac:dyDescent="0.25">
      <c r="A829" t="str">
        <f ca="1">IFERROR(__xludf.DUMMYFUNCTION("""COMPUTED_VALUE"""),"Kirde-Eesti")</f>
        <v>Kirde-Eesti</v>
      </c>
      <c r="B829" t="str">
        <f ca="1">IFERROR(__xludf.DUMMYFUNCTION("""COMPUTED_VALUE"""),"EE007")</f>
        <v>EE007</v>
      </c>
    </row>
    <row r="830" spans="1:2" ht="12.5" x14ac:dyDescent="0.25">
      <c r="A830" t="str">
        <f ca="1">IFERROR(__xludf.DUMMYFUNCTION("""COMPUTED_VALUE"""),"Kitzingen")</f>
        <v>Kitzingen</v>
      </c>
      <c r="B830" t="str">
        <f ca="1">IFERROR(__xludf.DUMMYFUNCTION("""COMPUTED_VALUE"""),"DE268")</f>
        <v>DE268</v>
      </c>
    </row>
    <row r="831" spans="1:2" ht="12.5" x14ac:dyDescent="0.25">
      <c r="A831" t="str">
        <f ca="1">IFERROR(__xludf.DUMMYFUNCTION("""COMPUTED_VALUE"""),"Klagenfurt-Villach")</f>
        <v>Klagenfurt-Villach</v>
      </c>
      <c r="B831" t="str">
        <f ca="1">IFERROR(__xludf.DUMMYFUNCTION("""COMPUTED_VALUE"""),"AT211")</f>
        <v>AT211</v>
      </c>
    </row>
    <row r="832" spans="1:2" ht="12.5" x14ac:dyDescent="0.25">
      <c r="A832" t="str">
        <f ca="1">IFERROR(__xludf.DUMMYFUNCTION("""COMPUTED_VALUE"""),"Klaipedos Apskritis")</f>
        <v>Klaipedos Apskritis</v>
      </c>
      <c r="B832" t="str">
        <f ca="1">IFERROR(__xludf.DUMMYFUNCTION("""COMPUTED_VALUE"""),"LT003")</f>
        <v>LT003</v>
      </c>
    </row>
    <row r="833" spans="1:2" ht="12.5" x14ac:dyDescent="0.25">
      <c r="A833" t="str">
        <f ca="1">IFERROR(__xludf.DUMMYFUNCTION("""COMPUTED_VALUE"""),"Kleve")</f>
        <v>Kleve</v>
      </c>
      <c r="B833" t="str">
        <f ca="1">IFERROR(__xludf.DUMMYFUNCTION("""COMPUTED_VALUE"""),"DEA1B")</f>
        <v>DEA1B</v>
      </c>
    </row>
    <row r="834" spans="1:2" ht="12.5" x14ac:dyDescent="0.25">
      <c r="A834" t="str">
        <f ca="1">IFERROR(__xludf.DUMMYFUNCTION("""COMPUTED_VALUE"""),"Københavns Omegn")</f>
        <v>Københavns Omegn</v>
      </c>
      <c r="B834" t="str">
        <f ca="1">IFERROR(__xludf.DUMMYFUNCTION("""COMPUTED_VALUE"""),"DK012")</f>
        <v>DK012</v>
      </c>
    </row>
    <row r="835" spans="1:2" ht="12.5" x14ac:dyDescent="0.25">
      <c r="A835" t="str">
        <f ca="1">IFERROR(__xludf.DUMMYFUNCTION("""COMPUTED_VALUE"""),"Koblenz")</f>
        <v>Koblenz</v>
      </c>
      <c r="B835" t="str">
        <f ca="1">IFERROR(__xludf.DUMMYFUNCTION("""COMPUTED_VALUE"""),"DEB1")</f>
        <v>DEB1</v>
      </c>
    </row>
    <row r="836" spans="1:2" ht="12.5" x14ac:dyDescent="0.25">
      <c r="A836" t="str">
        <f ca="1">IFERROR(__xludf.DUMMYFUNCTION("""COMPUTED_VALUE"""),"Koblenz, Kreisfreie Stadt")</f>
        <v>Koblenz, Kreisfreie Stadt</v>
      </c>
      <c r="B836" t="str">
        <f ca="1">IFERROR(__xludf.DUMMYFUNCTION("""COMPUTED_VALUE"""),"DEB11")</f>
        <v>DEB11</v>
      </c>
    </row>
    <row r="837" spans="1:2" ht="12.5" x14ac:dyDescent="0.25">
      <c r="A837" t="str">
        <f ca="1">IFERROR(__xludf.DUMMYFUNCTION("""COMPUTED_VALUE"""),"Köln")</f>
        <v>Köln</v>
      </c>
      <c r="B837" t="str">
        <f ca="1">IFERROR(__xludf.DUMMYFUNCTION("""COMPUTED_VALUE"""),"DEA2")</f>
        <v>DEA2</v>
      </c>
    </row>
    <row r="838" spans="1:2" ht="12.5" x14ac:dyDescent="0.25">
      <c r="A838" t="str">
        <f ca="1">IFERROR(__xludf.DUMMYFUNCTION("""COMPUTED_VALUE"""),"Köln, Kreisfreie Stadt")</f>
        <v>Köln, Kreisfreie Stadt</v>
      </c>
      <c r="B838" t="str">
        <f ca="1">IFERROR(__xludf.DUMMYFUNCTION("""COMPUTED_VALUE"""),"DEA23")</f>
        <v>DEA23</v>
      </c>
    </row>
    <row r="839" spans="1:2" ht="12.5" x14ac:dyDescent="0.25">
      <c r="A839" t="str">
        <f ca="1">IFERROR(__xludf.DUMMYFUNCTION("""COMPUTED_VALUE"""),"Komarom-Esztergom")</f>
        <v>Komarom-Esztergom</v>
      </c>
      <c r="B839" t="str">
        <f ca="1">IFERROR(__xludf.DUMMYFUNCTION("""COMPUTED_VALUE"""),"HU212")</f>
        <v>HU212</v>
      </c>
    </row>
    <row r="840" spans="1:2" ht="12.5" x14ac:dyDescent="0.25">
      <c r="A840" t="str">
        <f ca="1">IFERROR(__xludf.DUMMYFUNCTION("""COMPUTED_VALUE"""),"Koninski")</f>
        <v>Koninski</v>
      </c>
      <c r="B840" t="str">
        <f ca="1">IFERROR(__xludf.DUMMYFUNCTION("""COMPUTED_VALUE"""),"PL414")</f>
        <v>PL414</v>
      </c>
    </row>
    <row r="841" spans="1:2" ht="12.5" x14ac:dyDescent="0.25">
      <c r="A841" t="str">
        <f ca="1">IFERROR(__xludf.DUMMYFUNCTION("""COMPUTED_VALUE"""),"Konstanz")</f>
        <v>Konstanz</v>
      </c>
      <c r="B841" t="str">
        <f ca="1">IFERROR(__xludf.DUMMYFUNCTION("""COMPUTED_VALUE"""),"DE138")</f>
        <v>DE138</v>
      </c>
    </row>
    <row r="842" spans="1:2" ht="12.5" x14ac:dyDescent="0.25">
      <c r="A842" t="str">
        <f ca="1">IFERROR(__xludf.DUMMYFUNCTION("""COMPUTED_VALUE"""),"Kop Van Noord-Holland")</f>
        <v>Kop Van Noord-Holland</v>
      </c>
      <c r="B842" t="str">
        <f ca="1">IFERROR(__xludf.DUMMYFUNCTION("""COMPUTED_VALUE"""),"NL321")</f>
        <v>NL321</v>
      </c>
    </row>
    <row r="843" spans="1:2" ht="12.5" x14ac:dyDescent="0.25">
      <c r="A843" t="str">
        <f ca="1">IFERROR(__xludf.DUMMYFUNCTION("""COMPUTED_VALUE"""),"Korinthia")</f>
        <v>Korinthia</v>
      </c>
      <c r="B843" t="str">
        <f ca="1">IFERROR(__xludf.DUMMYFUNCTION("""COMPUTED_VALUE"""),"GR253")</f>
        <v>GR253</v>
      </c>
    </row>
    <row r="844" spans="1:2" ht="12.5" x14ac:dyDescent="0.25">
      <c r="A844" t="str">
        <f ca="1">IFERROR(__xludf.DUMMYFUNCTION("""COMPUTED_VALUE"""),"Koroska")</f>
        <v>Koroska</v>
      </c>
      <c r="B844" t="str">
        <f ca="1">IFERROR(__xludf.DUMMYFUNCTION("""COMPUTED_VALUE"""),"SI013")</f>
        <v>SI013</v>
      </c>
    </row>
    <row r="845" spans="1:2" ht="12.5" x14ac:dyDescent="0.25">
      <c r="A845" t="str">
        <f ca="1">IFERROR(__xludf.DUMMYFUNCTION("""COMPUTED_VALUE"""),"Kosicky Kraj")</f>
        <v>Kosicky Kraj</v>
      </c>
      <c r="B845" t="str">
        <f ca="1">IFERROR(__xludf.DUMMYFUNCTION("""COMPUTED_VALUE"""),"SK042")</f>
        <v>SK042</v>
      </c>
    </row>
    <row r="846" spans="1:2" ht="12.5" x14ac:dyDescent="0.25">
      <c r="A846" t="str">
        <f ca="1">IFERROR(__xludf.DUMMYFUNCTION("""COMPUTED_VALUE"""),"Koszalinski")</f>
        <v>Koszalinski</v>
      </c>
      <c r="B846" t="str">
        <f ca="1">IFERROR(__xludf.DUMMYFUNCTION("""COMPUTED_VALUE"""),"PL422")</f>
        <v>PL422</v>
      </c>
    </row>
    <row r="847" spans="1:2" ht="12.5" x14ac:dyDescent="0.25">
      <c r="A847" t="str">
        <f ca="1">IFERROR(__xludf.DUMMYFUNCTION("""COMPUTED_VALUE"""),"Kozani")</f>
        <v>Kozani</v>
      </c>
      <c r="B847" t="str">
        <f ca="1">IFERROR(__xludf.DUMMYFUNCTION("""COMPUTED_VALUE"""),"GR133")</f>
        <v>GR133</v>
      </c>
    </row>
    <row r="848" spans="1:2" ht="12.5" x14ac:dyDescent="0.25">
      <c r="A848" t="str">
        <f ca="1">IFERROR(__xludf.DUMMYFUNCTION("""COMPUTED_VALUE"""),"Kozep-Dunantul")</f>
        <v>Kozep-Dunantul</v>
      </c>
      <c r="B848" t="str">
        <f ca="1">IFERROR(__xludf.DUMMYFUNCTION("""COMPUTED_VALUE"""),"HU21")</f>
        <v>HU21</v>
      </c>
    </row>
    <row r="849" spans="1:2" ht="12.5" x14ac:dyDescent="0.25">
      <c r="A849" t="str">
        <f ca="1">IFERROR(__xludf.DUMMYFUNCTION("""COMPUTED_VALUE"""),"Kozep-Magyarorszag")</f>
        <v>Kozep-Magyarorszag</v>
      </c>
      <c r="B849" t="str">
        <f ca="1">IFERROR(__xludf.DUMMYFUNCTION("""COMPUTED_VALUE"""),"HU1")</f>
        <v>HU1</v>
      </c>
    </row>
    <row r="850" spans="1:2" ht="12.5" x14ac:dyDescent="0.25">
      <c r="A850" t="str">
        <f ca="1">IFERROR(__xludf.DUMMYFUNCTION("""COMPUTED_VALUE"""),"Kozep-Magyarorszag (*)")</f>
        <v>Kozep-Magyarorszag (*)</v>
      </c>
      <c r="B850" t="str">
        <f ca="1">IFERROR(__xludf.DUMMYFUNCTION("""COMPUTED_VALUE"""),"HU10")</f>
        <v>HU10</v>
      </c>
    </row>
    <row r="851" spans="1:2" ht="12.5" x14ac:dyDescent="0.25">
      <c r="A851" t="str">
        <f ca="1">IFERROR(__xludf.DUMMYFUNCTION("""COMPUTED_VALUE"""),"Krakowski")</f>
        <v>Krakowski</v>
      </c>
      <c r="B851" t="str">
        <f ca="1">IFERROR(__xludf.DUMMYFUNCTION("""COMPUTED_VALUE"""),"PL214")</f>
        <v>PL214</v>
      </c>
    </row>
    <row r="852" spans="1:2" ht="12.5" x14ac:dyDescent="0.25">
      <c r="A852" t="str">
        <f ca="1">IFERROR(__xludf.DUMMYFUNCTION("""COMPUTED_VALUE"""),"Kralovehradecky Kraj")</f>
        <v>Kralovehradecky Kraj</v>
      </c>
      <c r="B852" t="str">
        <f ca="1">IFERROR(__xludf.DUMMYFUNCTION("""COMPUTED_VALUE"""),"CZ052")</f>
        <v>CZ052</v>
      </c>
    </row>
    <row r="853" spans="1:2" ht="12.5" x14ac:dyDescent="0.25">
      <c r="A853" t="str">
        <f ca="1">IFERROR(__xludf.DUMMYFUNCTION("""COMPUTED_VALUE"""),"Krefeld, Kreisfreie Stadt")</f>
        <v>Krefeld, Kreisfreie Stadt</v>
      </c>
      <c r="B853" t="str">
        <f ca="1">IFERROR(__xludf.DUMMYFUNCTION("""COMPUTED_VALUE"""),"DEA14")</f>
        <v>DEA14</v>
      </c>
    </row>
    <row r="854" spans="1:2" ht="12.5" x14ac:dyDescent="0.25">
      <c r="A854" t="str">
        <f ca="1">IFERROR(__xludf.DUMMYFUNCTION("""COMPUTED_VALUE"""),"Kriti")</f>
        <v>Kriti</v>
      </c>
      <c r="B854" t="str">
        <f ca="1">IFERROR(__xludf.DUMMYFUNCTION("""COMPUTED_VALUE"""),"GR43")</f>
        <v>GR43</v>
      </c>
    </row>
    <row r="855" spans="1:2" ht="12.5" x14ac:dyDescent="0.25">
      <c r="A855" t="str">
        <f ca="1">IFERROR(__xludf.DUMMYFUNCTION("""COMPUTED_VALUE"""),"Kronach")</f>
        <v>Kronach</v>
      </c>
      <c r="B855" t="str">
        <f ca="1">IFERROR(__xludf.DUMMYFUNCTION("""COMPUTED_VALUE"""),"DE24A")</f>
        <v>DE24A</v>
      </c>
    </row>
    <row r="856" spans="1:2" ht="12.5" x14ac:dyDescent="0.25">
      <c r="A856" t="str">
        <f ca="1">IFERROR(__xludf.DUMMYFUNCTION("""COMPUTED_VALUE"""),"Kronobergs Län")</f>
        <v>Kronobergs Län</v>
      </c>
      <c r="B856" t="str">
        <f ca="1">IFERROR(__xludf.DUMMYFUNCTION("""COMPUTED_VALUE"""),"SE212")</f>
        <v>SE212</v>
      </c>
    </row>
    <row r="857" spans="1:2" ht="12.5" x14ac:dyDescent="0.25">
      <c r="A857" t="str">
        <f ca="1">IFERROR(__xludf.DUMMYFUNCTION("""COMPUTED_VALUE"""),"Krosnienski")</f>
        <v>Krosnienski</v>
      </c>
      <c r="B857" t="str">
        <f ca="1">IFERROR(__xludf.DUMMYFUNCTION("""COMPUTED_VALUE"""),"PL323")</f>
        <v>PL323</v>
      </c>
    </row>
    <row r="858" spans="1:2" ht="12.5" x14ac:dyDescent="0.25">
      <c r="A858" t="str">
        <f ca="1">IFERROR(__xludf.DUMMYFUNCTION("""COMPUTED_VALUE"""),"Kujawsko-Pomorskie")</f>
        <v>Kujawsko-Pomorskie</v>
      </c>
      <c r="B858" t="str">
        <f ca="1">IFERROR(__xludf.DUMMYFUNCTION("""COMPUTED_VALUE"""),"PL61")</f>
        <v>PL61</v>
      </c>
    </row>
    <row r="859" spans="1:2" ht="12.5" x14ac:dyDescent="0.25">
      <c r="A859" t="str">
        <f ca="1">IFERROR(__xludf.DUMMYFUNCTION("""COMPUTED_VALUE"""),"Kulmbach")</f>
        <v>Kulmbach</v>
      </c>
      <c r="B859" t="str">
        <f ca="1">IFERROR(__xludf.DUMMYFUNCTION("""COMPUTED_VALUE"""),"DE24B")</f>
        <v>DE24B</v>
      </c>
    </row>
    <row r="860" spans="1:2" ht="12.5" x14ac:dyDescent="0.25">
      <c r="A860" t="str">
        <f ca="1">IFERROR(__xludf.DUMMYFUNCTION("""COMPUTED_VALUE"""),"Kurzeme")</f>
        <v>Kurzeme</v>
      </c>
      <c r="B860" t="str">
        <f ca="1">IFERROR(__xludf.DUMMYFUNCTION("""COMPUTED_VALUE"""),"LV003")</f>
        <v>LV003</v>
      </c>
    </row>
    <row r="861" spans="1:2" ht="12.5" x14ac:dyDescent="0.25">
      <c r="A861" t="str">
        <f ca="1">IFERROR(__xludf.DUMMYFUNCTION("""COMPUTED_VALUE"""),"Kusel")</f>
        <v>Kusel</v>
      </c>
      <c r="B861" t="str">
        <f ca="1">IFERROR(__xludf.DUMMYFUNCTION("""COMPUTED_VALUE"""),"DEB3G")</f>
        <v>DEB3G</v>
      </c>
    </row>
    <row r="862" spans="1:2" ht="12.5" x14ac:dyDescent="0.25">
      <c r="A862" t="str">
        <f ca="1">IFERROR(__xludf.DUMMYFUNCTION("""COMPUTED_VALUE"""),"Kyffhäuserkreis")</f>
        <v>Kyffhäuserkreis</v>
      </c>
      <c r="B862" t="str">
        <f ca="1">IFERROR(__xludf.DUMMYFUNCTION("""COMPUTED_VALUE"""),"DEG0A")</f>
        <v>DEG0A</v>
      </c>
    </row>
    <row r="863" spans="1:2" ht="12.5" x14ac:dyDescent="0.25">
      <c r="A863" t="str">
        <f ca="1">IFERROR(__xludf.DUMMYFUNCTION("""COMPUTED_VALUE"""),"Kyklades")</f>
        <v>Kyklades</v>
      </c>
      <c r="B863" t="str">
        <f ca="1">IFERROR(__xludf.DUMMYFUNCTION("""COMPUTED_VALUE"""),"GR422")</f>
        <v>GR422</v>
      </c>
    </row>
    <row r="864" spans="1:2" ht="12.5" x14ac:dyDescent="0.25">
      <c r="A864" t="str">
        <f ca="1">IFERROR(__xludf.DUMMYFUNCTION("""COMPUTED_VALUE"""),"Kymenlaakso")</f>
        <v>Kymenlaakso</v>
      </c>
      <c r="B864" t="str">
        <f ca="1">IFERROR(__xludf.DUMMYFUNCTION("""COMPUTED_VALUE"""),"FI186")</f>
        <v>FI186</v>
      </c>
    </row>
    <row r="865" spans="1:2" ht="12.5" x14ac:dyDescent="0.25">
      <c r="A865" t="str">
        <f ca="1">IFERROR(__xludf.DUMMYFUNCTION("""COMPUTED_VALUE"""),"Kypros / Kibris")</f>
        <v>Kypros / Kibris</v>
      </c>
      <c r="B865" t="str">
        <f ca="1">IFERROR(__xludf.DUMMYFUNCTION("""COMPUTED_VALUE"""),"CY")</f>
        <v>CY</v>
      </c>
    </row>
    <row r="866" spans="1:2" ht="12.5" x14ac:dyDescent="0.25">
      <c r="A866" t="str">
        <f ca="1">IFERROR(__xludf.DUMMYFUNCTION("""COMPUTED_VALUE"""),"Kypros / Kibris (*)")</f>
        <v>Kypros / Kibris (*)</v>
      </c>
      <c r="B866" t="str">
        <f ca="1">IFERROR(__xludf.DUMMYFUNCTION("""COMPUTED_VALUE"""),"CY0")</f>
        <v>CY0</v>
      </c>
    </row>
    <row r="867" spans="1:2" ht="12.5" x14ac:dyDescent="0.25">
      <c r="A867" t="str">
        <f ca="1">IFERROR(__xludf.DUMMYFUNCTION("""COMPUTED_VALUE"""),"Kypros / Kibris (**)")</f>
        <v>Kypros / Kibris (**)</v>
      </c>
      <c r="B867" t="str">
        <f ca="1">IFERROR(__xludf.DUMMYFUNCTION("""COMPUTED_VALUE"""),"CY00")</f>
        <v>CY00</v>
      </c>
    </row>
    <row r="868" spans="1:2" ht="12.5" x14ac:dyDescent="0.25">
      <c r="A868" t="str">
        <f ca="1">IFERROR(__xludf.DUMMYFUNCTION("""COMPUTED_VALUE"""),"Kypros / Kibris (***)")</f>
        <v>Kypros / Kibris (***)</v>
      </c>
      <c r="B868" t="str">
        <f ca="1">IFERROR(__xludf.DUMMYFUNCTION("""COMPUTED_VALUE"""),"CY000")</f>
        <v>CY000</v>
      </c>
    </row>
    <row r="869" spans="1:2" ht="12.5" x14ac:dyDescent="0.25">
      <c r="A869" t="str">
        <f ca="1">IFERROR(__xludf.DUMMYFUNCTION("""COMPUTED_VALUE"""),"Kyustendil")</f>
        <v>Kyustendil</v>
      </c>
      <c r="B869" t="str">
        <f ca="1">IFERROR(__xludf.DUMMYFUNCTION("""COMPUTED_VALUE"""),"BG415")</f>
        <v>BG415</v>
      </c>
    </row>
    <row r="870" spans="1:2" ht="12.5" x14ac:dyDescent="0.25">
      <c r="A870" t="str">
        <f ca="1">IFERROR(__xludf.DUMMYFUNCTION("""COMPUTED_VALUE"""),"L'Aquila")</f>
        <v>L'Aquila</v>
      </c>
      <c r="B870" t="str">
        <f ca="1">IFERROR(__xludf.DUMMYFUNCTION("""COMPUTED_VALUE"""),"ITF11")</f>
        <v>ITF11</v>
      </c>
    </row>
    <row r="871" spans="1:2" ht="12.5" x14ac:dyDescent="0.25">
      <c r="A871" t="str">
        <f ca="1">IFERROR(__xludf.DUMMYFUNCTION("""COMPUTED_VALUE"""),"La Gomera")</f>
        <v>La Gomera</v>
      </c>
      <c r="B871" t="str">
        <f ca="1">IFERROR(__xludf.DUMMYFUNCTION("""COMPUTED_VALUE"""),"ES706")</f>
        <v>ES706</v>
      </c>
    </row>
    <row r="872" spans="1:2" ht="12.5" x14ac:dyDescent="0.25">
      <c r="A872" t="str">
        <f ca="1">IFERROR(__xludf.DUMMYFUNCTION("""COMPUTED_VALUE"""),"La Palma")</f>
        <v>La Palma</v>
      </c>
      <c r="B872" t="str">
        <f ca="1">IFERROR(__xludf.DUMMYFUNCTION("""COMPUTED_VALUE"""),"ES707")</f>
        <v>ES707</v>
      </c>
    </row>
    <row r="873" spans="1:2" ht="12.5" x14ac:dyDescent="0.25">
      <c r="A873" t="str">
        <f ca="1">IFERROR(__xludf.DUMMYFUNCTION("""COMPUTED_VALUE"""),"La Rioja")</f>
        <v>La Rioja</v>
      </c>
      <c r="B873" t="str">
        <f ca="1">IFERROR(__xludf.DUMMYFUNCTION("""COMPUTED_VALUE"""),"ES23")</f>
        <v>ES23</v>
      </c>
    </row>
    <row r="874" spans="1:2" ht="12.5" x14ac:dyDescent="0.25">
      <c r="A874" t="str">
        <f ca="1">IFERROR(__xludf.DUMMYFUNCTION("""COMPUTED_VALUE"""),"La Rioja (*)")</f>
        <v>La Rioja (*)</v>
      </c>
      <c r="B874" t="str">
        <f ca="1">IFERROR(__xludf.DUMMYFUNCTION("""COMPUTED_VALUE"""),"ES230")</f>
        <v>ES230</v>
      </c>
    </row>
    <row r="875" spans="1:2" ht="12.5" x14ac:dyDescent="0.25">
      <c r="A875" t="str">
        <f ca="1">IFERROR(__xludf.DUMMYFUNCTION("""COMPUTED_VALUE"""),"La Spezia")</f>
        <v>La Spezia</v>
      </c>
      <c r="B875" t="str">
        <f ca="1">IFERROR(__xludf.DUMMYFUNCTION("""COMPUTED_VALUE"""),"ITC34")</f>
        <v>ITC34</v>
      </c>
    </row>
    <row r="876" spans="1:2" ht="12.5" x14ac:dyDescent="0.25">
      <c r="A876" t="str">
        <f ca="1">IFERROR(__xludf.DUMMYFUNCTION("""COMPUTED_VALUE"""),"Lääne-Eesti")</f>
        <v>Lääne-Eesti</v>
      </c>
      <c r="B876" t="str">
        <f ca="1">IFERROR(__xludf.DUMMYFUNCTION("""COMPUTED_VALUE"""),"EE004")</f>
        <v>EE004</v>
      </c>
    </row>
    <row r="877" spans="1:2" ht="12.5" x14ac:dyDescent="0.25">
      <c r="A877" t="str">
        <f ca="1">IFERROR(__xludf.DUMMYFUNCTION("""COMPUTED_VALUE"""),"Lahn-Dill-Kreis")</f>
        <v>Lahn-Dill-Kreis</v>
      </c>
      <c r="B877" t="str">
        <f ca="1">IFERROR(__xludf.DUMMYFUNCTION("""COMPUTED_VALUE"""),"DE722")</f>
        <v>DE722</v>
      </c>
    </row>
    <row r="878" spans="1:2" ht="12.5" x14ac:dyDescent="0.25">
      <c r="A878" t="str">
        <f ca="1">IFERROR(__xludf.DUMMYFUNCTION("""COMPUTED_VALUE"""),"Lakonia")</f>
        <v>Lakonia</v>
      </c>
      <c r="B878" t="str">
        <f ca="1">IFERROR(__xludf.DUMMYFUNCTION("""COMPUTED_VALUE"""),"GR254")</f>
        <v>GR254</v>
      </c>
    </row>
    <row r="879" spans="1:2" ht="12.5" x14ac:dyDescent="0.25">
      <c r="A879" t="str">
        <f ca="1">IFERROR(__xludf.DUMMYFUNCTION("""COMPUTED_VALUE"""),"Lancashire")</f>
        <v>Lancashire</v>
      </c>
      <c r="B879" t="str">
        <f ca="1">IFERROR(__xludf.DUMMYFUNCTION("""COMPUTED_VALUE"""),"UKD4")</f>
        <v>UKD4</v>
      </c>
    </row>
    <row r="880" spans="1:2" ht="12.5" x14ac:dyDescent="0.25">
      <c r="A880" t="str">
        <f ca="1">IFERROR(__xludf.DUMMYFUNCTION("""COMPUTED_VALUE"""),"Lancashire Cc")</f>
        <v>Lancashire Cc</v>
      </c>
      <c r="B880" t="str">
        <f ca="1">IFERROR(__xludf.DUMMYFUNCTION("""COMPUTED_VALUE"""),"UKD43")</f>
        <v>UKD43</v>
      </c>
    </row>
    <row r="881" spans="1:2" ht="12.5" x14ac:dyDescent="0.25">
      <c r="A881" t="str">
        <f ca="1">IFERROR(__xludf.DUMMYFUNCTION("""COMPUTED_VALUE"""),"Landau In Der Pfalz, Kreisfreie Stadt")</f>
        <v>Landau In Der Pfalz, Kreisfreie Stadt</v>
      </c>
      <c r="B881" t="str">
        <f ca="1">IFERROR(__xludf.DUMMYFUNCTION("""COMPUTED_VALUE"""),"DEB33")</f>
        <v>DEB33</v>
      </c>
    </row>
    <row r="882" spans="1:2" ht="12.5" x14ac:dyDescent="0.25">
      <c r="A882" t="str">
        <f ca="1">IFERROR(__xludf.DUMMYFUNCTION("""COMPUTED_VALUE"""),"Landes")</f>
        <v>Landes</v>
      </c>
      <c r="B882" t="str">
        <f ca="1">IFERROR(__xludf.DUMMYFUNCTION("""COMPUTED_VALUE"""),"FR613")</f>
        <v>FR613</v>
      </c>
    </row>
    <row r="883" spans="1:2" ht="12.5" x14ac:dyDescent="0.25">
      <c r="A883" t="str">
        <f ca="1">IFERROR(__xludf.DUMMYFUNCTION("""COMPUTED_VALUE"""),"Landsberg A. Lech")</f>
        <v>Landsberg A. Lech</v>
      </c>
      <c r="B883" t="str">
        <f ca="1">IFERROR(__xludf.DUMMYFUNCTION("""COMPUTED_VALUE"""),"DE21E")</f>
        <v>DE21E</v>
      </c>
    </row>
    <row r="884" spans="1:2" ht="12.5" x14ac:dyDescent="0.25">
      <c r="A884" t="str">
        <f ca="1">IFERROR(__xludf.DUMMYFUNCTION("""COMPUTED_VALUE"""),"Landsbyggð")</f>
        <v>Landsbyggð</v>
      </c>
      <c r="B884" t="str">
        <f ca="1">IFERROR(__xludf.DUMMYFUNCTION("""COMPUTED_VALUE"""),"IS002")</f>
        <v>IS002</v>
      </c>
    </row>
    <row r="885" spans="1:2" ht="12.5" x14ac:dyDescent="0.25">
      <c r="A885" t="str">
        <f ca="1">IFERROR(__xludf.DUMMYFUNCTION("""COMPUTED_VALUE"""),"Landshut, Kreisfreie Stadt")</f>
        <v>Landshut, Kreisfreie Stadt</v>
      </c>
      <c r="B885" t="str">
        <f ca="1">IFERROR(__xludf.DUMMYFUNCTION("""COMPUTED_VALUE"""),"DE221")</f>
        <v>DE221</v>
      </c>
    </row>
    <row r="886" spans="1:2" ht="12.5" x14ac:dyDescent="0.25">
      <c r="A886" t="str">
        <f ca="1">IFERROR(__xludf.DUMMYFUNCTION("""COMPUTED_VALUE"""),"Landshut, Landkreis")</f>
        <v>Landshut, Landkreis</v>
      </c>
      <c r="B886" t="str">
        <f ca="1">IFERROR(__xludf.DUMMYFUNCTION("""COMPUTED_VALUE"""),"DE227")</f>
        <v>DE227</v>
      </c>
    </row>
    <row r="887" spans="1:2" ht="12.5" x14ac:dyDescent="0.25">
      <c r="A887" t="str">
        <f ca="1">IFERROR(__xludf.DUMMYFUNCTION("""COMPUTED_VALUE"""),"Languedoc-Roussillon")</f>
        <v>Languedoc-Roussillon</v>
      </c>
      <c r="B887" t="str">
        <f ca="1">IFERROR(__xludf.DUMMYFUNCTION("""COMPUTED_VALUE"""),"FR81")</f>
        <v>FR81</v>
      </c>
    </row>
    <row r="888" spans="1:2" ht="12.5" x14ac:dyDescent="0.25">
      <c r="A888" t="str">
        <f ca="1">IFERROR(__xludf.DUMMYFUNCTION("""COMPUTED_VALUE"""),"Länsi-Suomi")</f>
        <v>Länsi-Suomi</v>
      </c>
      <c r="B888" t="str">
        <f ca="1">IFERROR(__xludf.DUMMYFUNCTION("""COMPUTED_VALUE"""),"FI19")</f>
        <v>FI19</v>
      </c>
    </row>
    <row r="889" spans="1:2" ht="12.5" x14ac:dyDescent="0.25">
      <c r="A889" t="str">
        <f ca="1">IFERROR(__xludf.DUMMYFUNCTION("""COMPUTED_VALUE"""),"Lanzarote")</f>
        <v>Lanzarote</v>
      </c>
      <c r="B889" t="str">
        <f ca="1">IFERROR(__xludf.DUMMYFUNCTION("""COMPUTED_VALUE"""),"ES708")</f>
        <v>ES708</v>
      </c>
    </row>
    <row r="890" spans="1:2" ht="12.5" x14ac:dyDescent="0.25">
      <c r="A890" t="str">
        <f ca="1">IFERROR(__xludf.DUMMYFUNCTION("""COMPUTED_VALUE"""),"Lappi")</f>
        <v>Lappi</v>
      </c>
      <c r="B890" t="str">
        <f ca="1">IFERROR(__xludf.DUMMYFUNCTION("""COMPUTED_VALUE"""),"FI1A3")</f>
        <v>FI1A3</v>
      </c>
    </row>
    <row r="891" spans="1:2" ht="12.5" x14ac:dyDescent="0.25">
      <c r="A891" t="str">
        <f ca="1">IFERROR(__xludf.DUMMYFUNCTION("""COMPUTED_VALUE"""),"Larisa")</f>
        <v>Larisa</v>
      </c>
      <c r="B891" t="str">
        <f ca="1">IFERROR(__xludf.DUMMYFUNCTION("""COMPUTED_VALUE"""),"GR142")</f>
        <v>GR142</v>
      </c>
    </row>
    <row r="892" spans="1:2" ht="12.5" x14ac:dyDescent="0.25">
      <c r="A892" t="str">
        <f ca="1">IFERROR(__xludf.DUMMYFUNCTION("""COMPUTED_VALUE"""),"Lasithi")</f>
        <v>Lasithi</v>
      </c>
      <c r="B892" t="str">
        <f ca="1">IFERROR(__xludf.DUMMYFUNCTION("""COMPUTED_VALUE"""),"GR432")</f>
        <v>GR432</v>
      </c>
    </row>
    <row r="893" spans="1:2" ht="12.5" x14ac:dyDescent="0.25">
      <c r="A893" t="str">
        <f ca="1">IFERROR(__xludf.DUMMYFUNCTION("""COMPUTED_VALUE"""),"Latgale")</f>
        <v>Latgale</v>
      </c>
      <c r="B893" t="str">
        <f ca="1">IFERROR(__xludf.DUMMYFUNCTION("""COMPUTED_VALUE"""),"LV005")</f>
        <v>LV005</v>
      </c>
    </row>
    <row r="894" spans="1:2" ht="12.5" x14ac:dyDescent="0.25">
      <c r="A894" t="str">
        <f ca="1">IFERROR(__xludf.DUMMYFUNCTION("""COMPUTED_VALUE"""),"Latina")</f>
        <v>Latina</v>
      </c>
      <c r="B894" t="str">
        <f ca="1">IFERROR(__xludf.DUMMYFUNCTION("""COMPUTED_VALUE"""),"ITE44")</f>
        <v>ITE44</v>
      </c>
    </row>
    <row r="895" spans="1:2" ht="12.5" x14ac:dyDescent="0.25">
      <c r="A895" t="str">
        <f ca="1">IFERROR(__xludf.DUMMYFUNCTION("""COMPUTED_VALUE"""),"Latvija")</f>
        <v>Latvija</v>
      </c>
      <c r="B895" t="str">
        <f ca="1">IFERROR(__xludf.DUMMYFUNCTION("""COMPUTED_VALUE"""),"LV")</f>
        <v>LV</v>
      </c>
    </row>
    <row r="896" spans="1:2" ht="12.5" x14ac:dyDescent="0.25">
      <c r="A896" t="str">
        <f ca="1">IFERROR(__xludf.DUMMYFUNCTION("""COMPUTED_VALUE"""),"Latvija (*)")</f>
        <v>Latvija (*)</v>
      </c>
      <c r="B896" t="str">
        <f ca="1">IFERROR(__xludf.DUMMYFUNCTION("""COMPUTED_VALUE"""),"LV0")</f>
        <v>LV0</v>
      </c>
    </row>
    <row r="897" spans="1:2" ht="12.5" x14ac:dyDescent="0.25">
      <c r="A897" t="str">
        <f ca="1">IFERROR(__xludf.DUMMYFUNCTION("""COMPUTED_VALUE"""),"Latvija (**)")</f>
        <v>Latvija (**)</v>
      </c>
      <c r="B897" t="str">
        <f ca="1">IFERROR(__xludf.DUMMYFUNCTION("""COMPUTED_VALUE"""),"LV00")</f>
        <v>LV00</v>
      </c>
    </row>
    <row r="898" spans="1:2" ht="12.5" x14ac:dyDescent="0.25">
      <c r="A898" t="str">
        <f ca="1">IFERROR(__xludf.DUMMYFUNCTION("""COMPUTED_VALUE"""),"Lazio")</f>
        <v>Lazio</v>
      </c>
      <c r="B898" t="str">
        <f ca="1">IFERROR(__xludf.DUMMYFUNCTION("""COMPUTED_VALUE"""),"ITE4")</f>
        <v>ITE4</v>
      </c>
    </row>
    <row r="899" spans="1:2" ht="12.5" x14ac:dyDescent="0.25">
      <c r="A899" t="str">
        <f ca="1">IFERROR(__xludf.DUMMYFUNCTION("""COMPUTED_VALUE"""),"Lecce")</f>
        <v>Lecce</v>
      </c>
      <c r="B899" t="str">
        <f ca="1">IFERROR(__xludf.DUMMYFUNCTION("""COMPUTED_VALUE"""),"ITF45")</f>
        <v>ITF45</v>
      </c>
    </row>
    <row r="900" spans="1:2" ht="12.5" x14ac:dyDescent="0.25">
      <c r="A900" t="str">
        <f ca="1">IFERROR(__xludf.DUMMYFUNCTION("""COMPUTED_VALUE"""),"Lecco")</f>
        <v>Lecco</v>
      </c>
      <c r="B900" t="str">
        <f ca="1">IFERROR(__xludf.DUMMYFUNCTION("""COMPUTED_VALUE"""),"ITC43")</f>
        <v>ITC43</v>
      </c>
    </row>
    <row r="901" spans="1:2" ht="12.5" x14ac:dyDescent="0.25">
      <c r="A901" t="str">
        <f ca="1">IFERROR(__xludf.DUMMYFUNCTION("""COMPUTED_VALUE"""),"Leeds")</f>
        <v>Leeds</v>
      </c>
      <c r="B901" t="str">
        <f ca="1">IFERROR(__xludf.DUMMYFUNCTION("""COMPUTED_VALUE"""),"UKE42")</f>
        <v>UKE42</v>
      </c>
    </row>
    <row r="902" spans="1:2" ht="12.5" x14ac:dyDescent="0.25">
      <c r="A902" t="str">
        <f ca="1">IFERROR(__xludf.DUMMYFUNCTION("""COMPUTED_VALUE"""),"Leer")</f>
        <v>Leer</v>
      </c>
      <c r="B902" t="str">
        <f ca="1">IFERROR(__xludf.DUMMYFUNCTION("""COMPUTED_VALUE"""),"DE94C")</f>
        <v>DE94C</v>
      </c>
    </row>
    <row r="903" spans="1:2" ht="12.5" x14ac:dyDescent="0.25">
      <c r="A903" t="str">
        <f ca="1">IFERROR(__xludf.DUMMYFUNCTION("""COMPUTED_VALUE"""),"Lefkada")</f>
        <v>Lefkada</v>
      </c>
      <c r="B903" t="str">
        <f ca="1">IFERROR(__xludf.DUMMYFUNCTION("""COMPUTED_VALUE"""),"GR224")</f>
        <v>GR224</v>
      </c>
    </row>
    <row r="904" spans="1:2" ht="12.5" x14ac:dyDescent="0.25">
      <c r="A904" t="str">
        <f ca="1">IFERROR(__xludf.DUMMYFUNCTION("""COMPUTED_VALUE"""),"Legnicko-Glogowski")</f>
        <v>Legnicko-Glogowski</v>
      </c>
      <c r="B904" t="str">
        <f ca="1">IFERROR(__xludf.DUMMYFUNCTION("""COMPUTED_VALUE"""),"PL516")</f>
        <v>PL516</v>
      </c>
    </row>
    <row r="905" spans="1:2" ht="12.5" x14ac:dyDescent="0.25">
      <c r="A905" t="str">
        <f ca="1">IFERROR(__xludf.DUMMYFUNCTION("""COMPUTED_VALUE"""),"Leicester")</f>
        <v>Leicester</v>
      </c>
      <c r="B905" t="str">
        <f ca="1">IFERROR(__xludf.DUMMYFUNCTION("""COMPUTED_VALUE"""),"UKF21")</f>
        <v>UKF21</v>
      </c>
    </row>
    <row r="906" spans="1:2" ht="12.5" x14ac:dyDescent="0.25">
      <c r="A906" t="str">
        <f ca="1">IFERROR(__xludf.DUMMYFUNCTION("""COMPUTED_VALUE"""),"Leicestershire Cc And Rutland")</f>
        <v>Leicestershire Cc And Rutland</v>
      </c>
      <c r="B906" t="str">
        <f ca="1">IFERROR(__xludf.DUMMYFUNCTION("""COMPUTED_VALUE"""),"UKF22")</f>
        <v>UKF22</v>
      </c>
    </row>
    <row r="907" spans="1:2" ht="12.5" x14ac:dyDescent="0.25">
      <c r="A907" t="str">
        <f ca="1">IFERROR(__xludf.DUMMYFUNCTION("""COMPUTED_VALUE"""),"Leicestershire, Rutland And Northamptonshire")</f>
        <v>Leicestershire, Rutland And Northamptonshire</v>
      </c>
      <c r="B907" t="str">
        <f ca="1">IFERROR(__xludf.DUMMYFUNCTION("""COMPUTED_VALUE"""),"UKF2")</f>
        <v>UKF2</v>
      </c>
    </row>
    <row r="908" spans="1:2" ht="12.5" x14ac:dyDescent="0.25">
      <c r="A908" t="str">
        <f ca="1">IFERROR(__xludf.DUMMYFUNCTION("""COMPUTED_VALUE"""),"Leipzig")</f>
        <v>Leipzig</v>
      </c>
      <c r="B908" t="str">
        <f ca="1">IFERROR(__xludf.DUMMYFUNCTION("""COMPUTED_VALUE"""),"DED3")</f>
        <v>DED3</v>
      </c>
    </row>
    <row r="909" spans="1:2" ht="12.5" x14ac:dyDescent="0.25">
      <c r="A909" t="str">
        <f ca="1">IFERROR(__xludf.DUMMYFUNCTION("""COMPUTED_VALUE"""),"Leipzig, Kreisfreie Stadt")</f>
        <v>Leipzig, Kreisfreie Stadt</v>
      </c>
      <c r="B909" t="str">
        <f ca="1">IFERROR(__xludf.DUMMYFUNCTION("""COMPUTED_VALUE"""),"DED31")</f>
        <v>DED31</v>
      </c>
    </row>
    <row r="910" spans="1:2" ht="12.5" x14ac:dyDescent="0.25">
      <c r="A910" t="str">
        <f ca="1">IFERROR(__xludf.DUMMYFUNCTION("""COMPUTED_VALUE"""),"Leipziger Land")</f>
        <v>Leipziger Land</v>
      </c>
      <c r="B910" t="str">
        <f ca="1">IFERROR(__xludf.DUMMYFUNCTION("""COMPUTED_VALUE"""),"DED34")</f>
        <v>DED34</v>
      </c>
    </row>
    <row r="911" spans="1:2" ht="12.5" x14ac:dyDescent="0.25">
      <c r="A911" t="str">
        <f ca="1">IFERROR(__xludf.DUMMYFUNCTION("""COMPUTED_VALUE"""),"León")</f>
        <v>León</v>
      </c>
      <c r="B911" t="str">
        <f ca="1">IFERROR(__xludf.DUMMYFUNCTION("""COMPUTED_VALUE"""),"ES413")</f>
        <v>ES413</v>
      </c>
    </row>
    <row r="912" spans="1:2" ht="12.5" x14ac:dyDescent="0.25">
      <c r="A912" t="str">
        <f ca="1">IFERROR(__xludf.DUMMYFUNCTION("""COMPUTED_VALUE"""),"Lesvos")</f>
        <v>Lesvos</v>
      </c>
      <c r="B912" t="str">
        <f ca="1">IFERROR(__xludf.DUMMYFUNCTION("""COMPUTED_VALUE"""),"GR411")</f>
        <v>GR411</v>
      </c>
    </row>
    <row r="913" spans="1:2" ht="12.5" x14ac:dyDescent="0.25">
      <c r="A913" t="str">
        <f ca="1">IFERROR(__xludf.DUMMYFUNCTION("""COMPUTED_VALUE"""),"Leszczynski")</f>
        <v>Leszczynski</v>
      </c>
      <c r="B913" t="str">
        <f ca="1">IFERROR(__xludf.DUMMYFUNCTION("""COMPUTED_VALUE"""),"PL417")</f>
        <v>PL417</v>
      </c>
    </row>
    <row r="914" spans="1:2" ht="12.5" x14ac:dyDescent="0.25">
      <c r="A914" t="str">
        <f ca="1">IFERROR(__xludf.DUMMYFUNCTION("""COMPUTED_VALUE"""),"Leverkusen, Kreisfreie Stadt")</f>
        <v>Leverkusen, Kreisfreie Stadt</v>
      </c>
      <c r="B914" t="str">
        <f ca="1">IFERROR(__xludf.DUMMYFUNCTION("""COMPUTED_VALUE"""),"DEA24")</f>
        <v>DEA24</v>
      </c>
    </row>
    <row r="915" spans="1:2" ht="12.5" x14ac:dyDescent="0.25">
      <c r="A915" t="str">
        <f ca="1">IFERROR(__xludf.DUMMYFUNCTION("""COMPUTED_VALUE"""),"Lezíria Do Tejo")</f>
        <v>Lezíria Do Tejo</v>
      </c>
      <c r="B915" t="str">
        <f ca="1">IFERROR(__xludf.DUMMYFUNCTION("""COMPUTED_VALUE"""),"PT185")</f>
        <v>PT185</v>
      </c>
    </row>
    <row r="916" spans="1:2" ht="12.5" x14ac:dyDescent="0.25">
      <c r="A916" t="str">
        <f ca="1">IFERROR(__xludf.DUMMYFUNCTION("""COMPUTED_VALUE"""),"Liberecky Kraj")</f>
        <v>Liberecky Kraj</v>
      </c>
      <c r="B916" t="str">
        <f ca="1">IFERROR(__xludf.DUMMYFUNCTION("""COMPUTED_VALUE"""),"CZ051")</f>
        <v>CZ051</v>
      </c>
    </row>
    <row r="917" spans="1:2" ht="12.5" x14ac:dyDescent="0.25">
      <c r="A917" t="str">
        <f ca="1">IFERROR(__xludf.DUMMYFUNCTION("""COMPUTED_VALUE"""),"Lichtenfels")</f>
        <v>Lichtenfels</v>
      </c>
      <c r="B917" t="str">
        <f ca="1">IFERROR(__xludf.DUMMYFUNCTION("""COMPUTED_VALUE"""),"DE24C")</f>
        <v>DE24C</v>
      </c>
    </row>
    <row r="918" spans="1:2" ht="12.5" x14ac:dyDescent="0.25">
      <c r="A918" t="str">
        <f ca="1">IFERROR(__xludf.DUMMYFUNCTION("""COMPUTED_VALUE"""),"Liechtenstein")</f>
        <v>Liechtenstein</v>
      </c>
      <c r="B918" t="str">
        <f ca="1">IFERROR(__xludf.DUMMYFUNCTION("""COMPUTED_VALUE"""),"LI")</f>
        <v>LI</v>
      </c>
    </row>
    <row r="919" spans="1:2" ht="12.5" x14ac:dyDescent="0.25">
      <c r="A919" t="str">
        <f ca="1">IFERROR(__xludf.DUMMYFUNCTION("""COMPUTED_VALUE"""),"Liechtenstein (*)")</f>
        <v>Liechtenstein (*)</v>
      </c>
      <c r="B919" t="str">
        <f ca="1">IFERROR(__xludf.DUMMYFUNCTION("""COMPUTED_VALUE"""),"LI0")</f>
        <v>LI0</v>
      </c>
    </row>
    <row r="920" spans="1:2" ht="12.5" x14ac:dyDescent="0.25">
      <c r="A920" t="str">
        <f ca="1">IFERROR(__xludf.DUMMYFUNCTION("""COMPUTED_VALUE"""),"Liechtenstein (**)")</f>
        <v>Liechtenstein (**)</v>
      </c>
      <c r="B920" t="str">
        <f ca="1">IFERROR(__xludf.DUMMYFUNCTION("""COMPUTED_VALUE"""),"LI00")</f>
        <v>LI00</v>
      </c>
    </row>
    <row r="921" spans="1:2" ht="12.5" x14ac:dyDescent="0.25">
      <c r="A921" t="str">
        <f ca="1">IFERROR(__xludf.DUMMYFUNCTION("""COMPUTED_VALUE"""),"Liechtenstein (***)")</f>
        <v>Liechtenstein (***)</v>
      </c>
      <c r="B921" t="str">
        <f ca="1">IFERROR(__xludf.DUMMYFUNCTION("""COMPUTED_VALUE"""),"LI000")</f>
        <v>LI000</v>
      </c>
    </row>
    <row r="922" spans="1:2" ht="12.5" x14ac:dyDescent="0.25">
      <c r="A922" t="str">
        <f ca="1">IFERROR(__xludf.DUMMYFUNCTION("""COMPUTED_VALUE"""),"Lietuva")</f>
        <v>Lietuva</v>
      </c>
      <c r="B922" t="str">
        <f ca="1">IFERROR(__xludf.DUMMYFUNCTION("""COMPUTED_VALUE"""),"LT")</f>
        <v>LT</v>
      </c>
    </row>
    <row r="923" spans="1:2" ht="12.5" x14ac:dyDescent="0.25">
      <c r="A923" t="str">
        <f ca="1">IFERROR(__xludf.DUMMYFUNCTION("""COMPUTED_VALUE"""),"Lietuva (*)")</f>
        <v>Lietuva (*)</v>
      </c>
      <c r="B923" t="str">
        <f ca="1">IFERROR(__xludf.DUMMYFUNCTION("""COMPUTED_VALUE"""),"LT0")</f>
        <v>LT0</v>
      </c>
    </row>
    <row r="924" spans="1:2" ht="12.5" x14ac:dyDescent="0.25">
      <c r="A924" t="str">
        <f ca="1">IFERROR(__xludf.DUMMYFUNCTION("""COMPUTED_VALUE"""),"Lietuva (**)")</f>
        <v>Lietuva (**)</v>
      </c>
      <c r="B924" t="str">
        <f ca="1">IFERROR(__xludf.DUMMYFUNCTION("""COMPUTED_VALUE"""),"LT00")</f>
        <v>LT00</v>
      </c>
    </row>
    <row r="925" spans="1:2" ht="12.5" x14ac:dyDescent="0.25">
      <c r="A925" t="str">
        <f ca="1">IFERROR(__xludf.DUMMYFUNCTION("""COMPUTED_VALUE"""),"Liezen")</f>
        <v>Liezen</v>
      </c>
      <c r="B925" t="str">
        <f ca="1">IFERROR(__xludf.DUMMYFUNCTION("""COMPUTED_VALUE"""),"AT222")</f>
        <v>AT222</v>
      </c>
    </row>
    <row r="926" spans="1:2" ht="12.5" x14ac:dyDescent="0.25">
      <c r="A926" t="str">
        <f ca="1">IFERROR(__xludf.DUMMYFUNCTION("""COMPUTED_VALUE"""),"Liguria")</f>
        <v>Liguria</v>
      </c>
      <c r="B926" t="str">
        <f ca="1">IFERROR(__xludf.DUMMYFUNCTION("""COMPUTED_VALUE"""),"ITC3")</f>
        <v>ITC3</v>
      </c>
    </row>
    <row r="927" spans="1:2" ht="12.5" x14ac:dyDescent="0.25">
      <c r="A927" t="str">
        <f ca="1">IFERROR(__xludf.DUMMYFUNCTION("""COMPUTED_VALUE"""),"Limburg (Nl)")</f>
        <v>Limburg (Nl)</v>
      </c>
      <c r="B927" t="str">
        <f ca="1">IFERROR(__xludf.DUMMYFUNCTION("""COMPUTED_VALUE"""),"NL42")</f>
        <v>NL42</v>
      </c>
    </row>
    <row r="928" spans="1:2" ht="12.5" x14ac:dyDescent="0.25">
      <c r="A928" t="str">
        <f ca="1">IFERROR(__xludf.DUMMYFUNCTION("""COMPUTED_VALUE"""),"Limburg-Weilburg")</f>
        <v>Limburg-Weilburg</v>
      </c>
      <c r="B928" t="str">
        <f ca="1">IFERROR(__xludf.DUMMYFUNCTION("""COMPUTED_VALUE"""),"DE723")</f>
        <v>DE723</v>
      </c>
    </row>
    <row r="929" spans="1:2" ht="12.5" x14ac:dyDescent="0.25">
      <c r="A929" t="str">
        <f ca="1">IFERROR(__xludf.DUMMYFUNCTION("""COMPUTED_VALUE"""),"Limousin")</f>
        <v>Limousin</v>
      </c>
      <c r="B929" t="str">
        <f ca="1">IFERROR(__xludf.DUMMYFUNCTION("""COMPUTED_VALUE"""),"FR63")</f>
        <v>FR63</v>
      </c>
    </row>
    <row r="930" spans="1:2" ht="12.5" x14ac:dyDescent="0.25">
      <c r="A930" t="str">
        <f ca="1">IFERROR(__xludf.DUMMYFUNCTION("""COMPUTED_VALUE"""),"Lincolnshire")</f>
        <v>Lincolnshire</v>
      </c>
      <c r="B930" t="str">
        <f ca="1">IFERROR(__xludf.DUMMYFUNCTION("""COMPUTED_VALUE"""),"UKF3")</f>
        <v>UKF3</v>
      </c>
    </row>
    <row r="931" spans="1:2" ht="12.5" x14ac:dyDescent="0.25">
      <c r="A931" t="str">
        <f ca="1">IFERROR(__xludf.DUMMYFUNCTION("""COMPUTED_VALUE"""),"Lincolnshire (*)")</f>
        <v>Lincolnshire (*)</v>
      </c>
      <c r="B931" t="str">
        <f ca="1">IFERROR(__xludf.DUMMYFUNCTION("""COMPUTED_VALUE"""),"UKF30")</f>
        <v>UKF30</v>
      </c>
    </row>
    <row r="932" spans="1:2" ht="12.5" x14ac:dyDescent="0.25">
      <c r="A932" t="str">
        <f ca="1">IFERROR(__xludf.DUMMYFUNCTION("""COMPUTED_VALUE"""),"Lindau (Bodensee)")</f>
        <v>Lindau (Bodensee)</v>
      </c>
      <c r="B932" t="str">
        <f ca="1">IFERROR(__xludf.DUMMYFUNCTION("""COMPUTED_VALUE"""),"DE27A")</f>
        <v>DE27A</v>
      </c>
    </row>
    <row r="933" spans="1:2" ht="12.5" x14ac:dyDescent="0.25">
      <c r="A933" t="str">
        <f ca="1">IFERROR(__xludf.DUMMYFUNCTION("""COMPUTED_VALUE"""),"Linz-Wels")</f>
        <v>Linz-Wels</v>
      </c>
      <c r="B933" t="str">
        <f ca="1">IFERROR(__xludf.DUMMYFUNCTION("""COMPUTED_VALUE"""),"AT312")</f>
        <v>AT312</v>
      </c>
    </row>
    <row r="934" spans="1:2" ht="12.5" x14ac:dyDescent="0.25">
      <c r="A934" t="str">
        <f ca="1">IFERROR(__xludf.DUMMYFUNCTION("""COMPUTED_VALUE"""),"Lippe")</f>
        <v>Lippe</v>
      </c>
      <c r="B934" t="str">
        <f ca="1">IFERROR(__xludf.DUMMYFUNCTION("""COMPUTED_VALUE"""),"DEA45")</f>
        <v>DEA45</v>
      </c>
    </row>
    <row r="935" spans="1:2" ht="12.5" x14ac:dyDescent="0.25">
      <c r="A935" t="str">
        <f ca="1">IFERROR(__xludf.DUMMYFUNCTION("""COMPUTED_VALUE"""),"Lisboa")</f>
        <v>Lisboa</v>
      </c>
      <c r="B935" t="str">
        <f ca="1">IFERROR(__xludf.DUMMYFUNCTION("""COMPUTED_VALUE"""),"PT17")</f>
        <v>PT17</v>
      </c>
    </row>
    <row r="936" spans="1:2" ht="12.5" x14ac:dyDescent="0.25">
      <c r="A936" t="str">
        <f ca="1">IFERROR(__xludf.DUMMYFUNCTION("""COMPUTED_VALUE"""),"Liverpool")</f>
        <v>Liverpool</v>
      </c>
      <c r="B936" t="str">
        <f ca="1">IFERROR(__xludf.DUMMYFUNCTION("""COMPUTED_VALUE"""),"UKD52")</f>
        <v>UKD52</v>
      </c>
    </row>
    <row r="937" spans="1:2" ht="12.5" x14ac:dyDescent="0.25">
      <c r="A937" t="str">
        <f ca="1">IFERROR(__xludf.DUMMYFUNCTION("""COMPUTED_VALUE"""),"Livorno")</f>
        <v>Livorno</v>
      </c>
      <c r="B937" t="str">
        <f ca="1">IFERROR(__xludf.DUMMYFUNCTION("""COMPUTED_VALUE"""),"ITE16")</f>
        <v>ITE16</v>
      </c>
    </row>
    <row r="938" spans="1:2" ht="12.5" x14ac:dyDescent="0.25">
      <c r="A938" t="str">
        <f ca="1">IFERROR(__xludf.DUMMYFUNCTION("""COMPUTED_VALUE"""),"Lleida")</f>
        <v>Lleida</v>
      </c>
      <c r="B938" t="str">
        <f ca="1">IFERROR(__xludf.DUMMYFUNCTION("""COMPUTED_VALUE"""),"ES513")</f>
        <v>ES513</v>
      </c>
    </row>
    <row r="939" spans="1:2" ht="12.5" x14ac:dyDescent="0.25">
      <c r="A939" t="str">
        <f ca="1">IFERROR(__xludf.DUMMYFUNCTION("""COMPUTED_VALUE"""),"Löbau-Zittau")</f>
        <v>Löbau-Zittau</v>
      </c>
      <c r="B939" t="str">
        <f ca="1">IFERROR(__xludf.DUMMYFUNCTION("""COMPUTED_VALUE"""),"DED28")</f>
        <v>DED28</v>
      </c>
    </row>
    <row r="940" spans="1:2" ht="12.5" x14ac:dyDescent="0.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x14ac:dyDescent="0.25">
      <c r="A941" t="str">
        <f ca="1">IFERROR(__xludf.DUMMYFUNCTION("""COMPUTED_VALUE"""),"Lodi")</f>
        <v>Lodi</v>
      </c>
      <c r="B941" t="str">
        <f ca="1">IFERROR(__xludf.DUMMYFUNCTION("""COMPUTED_VALUE"""),"ITC49")</f>
        <v>ITC49</v>
      </c>
    </row>
    <row r="942" spans="1:2" ht="12.5" x14ac:dyDescent="0.25">
      <c r="A942" t="str">
        <f ca="1">IFERROR(__xludf.DUMMYFUNCTION("""COMPUTED_VALUE"""),"Lodzki")</f>
        <v>Lodzki</v>
      </c>
      <c r="B942" t="str">
        <f ca="1">IFERROR(__xludf.DUMMYFUNCTION("""COMPUTED_VALUE"""),"PL114")</f>
        <v>PL114</v>
      </c>
    </row>
    <row r="943" spans="1:2" ht="12.5" x14ac:dyDescent="0.25">
      <c r="A943" t="str">
        <f ca="1">IFERROR(__xludf.DUMMYFUNCTION("""COMPUTED_VALUE"""),"Lodzkie")</f>
        <v>Lodzkie</v>
      </c>
      <c r="B943" t="str">
        <f ca="1">IFERROR(__xludf.DUMMYFUNCTION("""COMPUTED_VALUE"""),"PL11")</f>
        <v>PL11</v>
      </c>
    </row>
    <row r="944" spans="1:2" ht="12.5" x14ac:dyDescent="0.25">
      <c r="A944" t="str">
        <f ca="1">IFERROR(__xludf.DUMMYFUNCTION("""COMPUTED_VALUE"""),"Loir-Et-Cher")</f>
        <v>Loir-Et-Cher</v>
      </c>
      <c r="B944" t="str">
        <f ca="1">IFERROR(__xludf.DUMMYFUNCTION("""COMPUTED_VALUE"""),"FR245")</f>
        <v>FR245</v>
      </c>
    </row>
    <row r="945" spans="1:2" ht="12.5" x14ac:dyDescent="0.25">
      <c r="A945" t="str">
        <f ca="1">IFERROR(__xludf.DUMMYFUNCTION("""COMPUTED_VALUE"""),"Loire")</f>
        <v>Loire</v>
      </c>
      <c r="B945" t="str">
        <f ca="1">IFERROR(__xludf.DUMMYFUNCTION("""COMPUTED_VALUE"""),"FR715")</f>
        <v>FR715</v>
      </c>
    </row>
    <row r="946" spans="1:2" ht="12.5" x14ac:dyDescent="0.25">
      <c r="A946" t="str">
        <f ca="1">IFERROR(__xludf.DUMMYFUNCTION("""COMPUTED_VALUE"""),"Loire-Atlantique")</f>
        <v>Loire-Atlantique</v>
      </c>
      <c r="B946" t="str">
        <f ca="1">IFERROR(__xludf.DUMMYFUNCTION("""COMPUTED_VALUE"""),"FR511")</f>
        <v>FR511</v>
      </c>
    </row>
    <row r="947" spans="1:2" ht="12.5" x14ac:dyDescent="0.25">
      <c r="A947" t="str">
        <f ca="1">IFERROR(__xludf.DUMMYFUNCTION("""COMPUTED_VALUE"""),"Loiret")</f>
        <v>Loiret</v>
      </c>
      <c r="B947" t="str">
        <f ca="1">IFERROR(__xludf.DUMMYFUNCTION("""COMPUTED_VALUE"""),"FR246")</f>
        <v>FR246</v>
      </c>
    </row>
    <row r="948" spans="1:2" ht="12.5" x14ac:dyDescent="0.25">
      <c r="A948" t="str">
        <f ca="1">IFERROR(__xludf.DUMMYFUNCTION("""COMPUTED_VALUE"""),"Lombardia")</f>
        <v>Lombardia</v>
      </c>
      <c r="B948" t="str">
        <f ca="1">IFERROR(__xludf.DUMMYFUNCTION("""COMPUTED_VALUE"""),"ITC4")</f>
        <v>ITC4</v>
      </c>
    </row>
    <row r="949" spans="1:2" ht="12.5" x14ac:dyDescent="0.25">
      <c r="A949" t="str">
        <f ca="1">IFERROR(__xludf.DUMMYFUNCTION("""COMPUTED_VALUE"""),"Lomzynski")</f>
        <v>Lomzynski</v>
      </c>
      <c r="B949" t="str">
        <f ca="1">IFERROR(__xludf.DUMMYFUNCTION("""COMPUTED_VALUE"""),"PL344")</f>
        <v>PL344</v>
      </c>
    </row>
    <row r="950" spans="1:2" ht="12.5" x14ac:dyDescent="0.25">
      <c r="A950" t="str">
        <f ca="1">IFERROR(__xludf.DUMMYFUNCTION("""COMPUTED_VALUE"""),"London")</f>
        <v>London</v>
      </c>
      <c r="B950" t="str">
        <f ca="1">IFERROR(__xludf.DUMMYFUNCTION("""COMPUTED_VALUE"""),"UKI")</f>
        <v>UKI</v>
      </c>
    </row>
    <row r="951" spans="1:2" ht="12.5" x14ac:dyDescent="0.25">
      <c r="A951" t="str">
        <f ca="1">IFERROR(__xludf.DUMMYFUNCTION("""COMPUTED_VALUE"""),"Lörrach")</f>
        <v>Lörrach</v>
      </c>
      <c r="B951" t="str">
        <f ca="1">IFERROR(__xludf.DUMMYFUNCTION("""COMPUTED_VALUE"""),"DE139")</f>
        <v>DE139</v>
      </c>
    </row>
    <row r="952" spans="1:2" ht="12.5" x14ac:dyDescent="0.25">
      <c r="A952" t="str">
        <f ca="1">IFERROR(__xludf.DUMMYFUNCTION("""COMPUTED_VALUE"""),"Lorraine")</f>
        <v>Lorraine</v>
      </c>
      <c r="B952" t="str">
        <f ca="1">IFERROR(__xludf.DUMMYFUNCTION("""COMPUTED_VALUE"""),"FR41")</f>
        <v>FR41</v>
      </c>
    </row>
    <row r="953" spans="1:2" ht="12.5" x14ac:dyDescent="0.25">
      <c r="A953" t="str">
        <f ca="1">IFERROR(__xludf.DUMMYFUNCTION("""COMPUTED_VALUE"""),"Lot")</f>
        <v>Lot</v>
      </c>
      <c r="B953" t="str">
        <f ca="1">IFERROR(__xludf.DUMMYFUNCTION("""COMPUTED_VALUE"""),"FR625")</f>
        <v>FR625</v>
      </c>
    </row>
    <row r="954" spans="1:2" ht="12.5" x14ac:dyDescent="0.25">
      <c r="A954" t="str">
        <f ca="1">IFERROR(__xludf.DUMMYFUNCTION("""COMPUTED_VALUE"""),"Lot-Et-Garonne")</f>
        <v>Lot-Et-Garonne</v>
      </c>
      <c r="B954" t="str">
        <f ca="1">IFERROR(__xludf.DUMMYFUNCTION("""COMPUTED_VALUE"""),"FR614")</f>
        <v>FR614</v>
      </c>
    </row>
    <row r="955" spans="1:2" ht="12.5" x14ac:dyDescent="0.25">
      <c r="A955" t="str">
        <f ca="1">IFERROR(__xludf.DUMMYFUNCTION("""COMPUTED_VALUE"""),"Lõuna-Eesti")</f>
        <v>Lõuna-Eesti</v>
      </c>
      <c r="B955" t="str">
        <f ca="1">IFERROR(__xludf.DUMMYFUNCTION("""COMPUTED_VALUE"""),"EE008")</f>
        <v>EE008</v>
      </c>
    </row>
    <row r="956" spans="1:2" ht="12.5" x14ac:dyDescent="0.25">
      <c r="A956" t="str">
        <f ca="1">IFERROR(__xludf.DUMMYFUNCTION("""COMPUTED_VALUE"""),"Lovech")</f>
        <v>Lovech</v>
      </c>
      <c r="B956" t="str">
        <f ca="1">IFERROR(__xludf.DUMMYFUNCTION("""COMPUTED_VALUE"""),"BG315")</f>
        <v>BG315</v>
      </c>
    </row>
    <row r="957" spans="1:2" ht="12.5" x14ac:dyDescent="0.25">
      <c r="A957" t="str">
        <f ca="1">IFERROR(__xludf.DUMMYFUNCTION("""COMPUTED_VALUE"""),"Lozère")</f>
        <v>Lozère</v>
      </c>
      <c r="B957" t="str">
        <f ca="1">IFERROR(__xludf.DUMMYFUNCTION("""COMPUTED_VALUE"""),"FR814")</f>
        <v>FR814</v>
      </c>
    </row>
    <row r="958" spans="1:2" ht="12.5" x14ac:dyDescent="0.25">
      <c r="A958" t="str">
        <f ca="1">IFERROR(__xludf.DUMMYFUNCTION("""COMPUTED_VALUE"""),"Lübeck, Kreisfreie Stadt")</f>
        <v>Lübeck, Kreisfreie Stadt</v>
      </c>
      <c r="B958" t="str">
        <f ca="1">IFERROR(__xludf.DUMMYFUNCTION("""COMPUTED_VALUE"""),"DEF03")</f>
        <v>DEF03</v>
      </c>
    </row>
    <row r="959" spans="1:2" ht="12.5" x14ac:dyDescent="0.25">
      <c r="A959" t="str">
        <f ca="1">IFERROR(__xludf.DUMMYFUNCTION("""COMPUTED_VALUE"""),"Lubelski")</f>
        <v>Lubelski</v>
      </c>
      <c r="B959" t="str">
        <f ca="1">IFERROR(__xludf.DUMMYFUNCTION("""COMPUTED_VALUE"""),"PL314")</f>
        <v>PL314</v>
      </c>
    </row>
    <row r="960" spans="1:2" ht="12.5" x14ac:dyDescent="0.25">
      <c r="A960" t="str">
        <f ca="1">IFERROR(__xludf.DUMMYFUNCTION("""COMPUTED_VALUE"""),"Lubelskie")</f>
        <v>Lubelskie</v>
      </c>
      <c r="B960" t="str">
        <f ca="1">IFERROR(__xludf.DUMMYFUNCTION("""COMPUTED_VALUE"""),"PL31")</f>
        <v>PL31</v>
      </c>
    </row>
    <row r="961" spans="1:2" ht="12.5" x14ac:dyDescent="0.25">
      <c r="A961" t="str">
        <f ca="1">IFERROR(__xludf.DUMMYFUNCTION("""COMPUTED_VALUE"""),"Lubuskie")</f>
        <v>Lubuskie</v>
      </c>
      <c r="B961" t="str">
        <f ca="1">IFERROR(__xludf.DUMMYFUNCTION("""COMPUTED_VALUE"""),"PL43")</f>
        <v>PL43</v>
      </c>
    </row>
    <row r="962" spans="1:2" ht="12.5" x14ac:dyDescent="0.25">
      <c r="A962" t="str">
        <f ca="1">IFERROR(__xludf.DUMMYFUNCTION("""COMPUTED_VALUE"""),"Lucca")</f>
        <v>Lucca</v>
      </c>
      <c r="B962" t="str">
        <f ca="1">IFERROR(__xludf.DUMMYFUNCTION("""COMPUTED_VALUE"""),"ITE12")</f>
        <v>ITE12</v>
      </c>
    </row>
    <row r="963" spans="1:2" ht="12.5" x14ac:dyDescent="0.25">
      <c r="A963" t="str">
        <f ca="1">IFERROR(__xludf.DUMMYFUNCTION("""COMPUTED_VALUE"""),"Lüchow-Dannenberg")</f>
        <v>Lüchow-Dannenberg</v>
      </c>
      <c r="B963" t="str">
        <f ca="1">IFERROR(__xludf.DUMMYFUNCTION("""COMPUTED_VALUE"""),"DE934")</f>
        <v>DE934</v>
      </c>
    </row>
    <row r="964" spans="1:2" ht="12.5" x14ac:dyDescent="0.25">
      <c r="A964" t="str">
        <f ca="1">IFERROR(__xludf.DUMMYFUNCTION("""COMPUTED_VALUE"""),"Ludwigsburg")</f>
        <v>Ludwigsburg</v>
      </c>
      <c r="B964" t="str">
        <f ca="1">IFERROR(__xludf.DUMMYFUNCTION("""COMPUTED_VALUE"""),"DE115")</f>
        <v>DE115</v>
      </c>
    </row>
    <row r="965" spans="1:2" ht="12.5" x14ac:dyDescent="0.25">
      <c r="A965" t="str">
        <f ca="1">IFERROR(__xludf.DUMMYFUNCTION("""COMPUTED_VALUE"""),"Ludwigshafen Am Rhein, Kreisfreie Stadt")</f>
        <v>Ludwigshafen Am Rhein, Kreisfreie Stadt</v>
      </c>
      <c r="B965" t="str">
        <f ca="1">IFERROR(__xludf.DUMMYFUNCTION("""COMPUTED_VALUE"""),"DEB34")</f>
        <v>DEB34</v>
      </c>
    </row>
    <row r="966" spans="1:2" ht="12.5" x14ac:dyDescent="0.25">
      <c r="A966" t="str">
        <f ca="1">IFERROR(__xludf.DUMMYFUNCTION("""COMPUTED_VALUE"""),"Ludwigslust")</f>
        <v>Ludwigslust</v>
      </c>
      <c r="B966" t="str">
        <f ca="1">IFERROR(__xludf.DUMMYFUNCTION("""COMPUTED_VALUE"""),"DE80A")</f>
        <v>DE80A</v>
      </c>
    </row>
    <row r="967" spans="1:2" ht="12.5" x14ac:dyDescent="0.25">
      <c r="A967" t="str">
        <f ca="1">IFERROR(__xludf.DUMMYFUNCTION("""COMPUTED_VALUE"""),"Lugo")</f>
        <v>Lugo</v>
      </c>
      <c r="B967" t="str">
        <f ca="1">IFERROR(__xludf.DUMMYFUNCTION("""COMPUTED_VALUE"""),"ES112")</f>
        <v>ES112</v>
      </c>
    </row>
    <row r="968" spans="1:2" ht="12.5" x14ac:dyDescent="0.25">
      <c r="A968" t="str">
        <f ca="1">IFERROR(__xludf.DUMMYFUNCTION("""COMPUTED_VALUE"""),"Lüneburg")</f>
        <v>Lüneburg</v>
      </c>
      <c r="B968" t="str">
        <f ca="1">IFERROR(__xludf.DUMMYFUNCTION("""COMPUTED_VALUE"""),"DE93")</f>
        <v>DE93</v>
      </c>
    </row>
    <row r="969" spans="1:2" ht="12.5" x14ac:dyDescent="0.25">
      <c r="A969" t="str">
        <f ca="1">IFERROR(__xludf.DUMMYFUNCTION("""COMPUTED_VALUE"""),"Lüneburg, Landkreis")</f>
        <v>Lüneburg, Landkreis</v>
      </c>
      <c r="B969" t="str">
        <f ca="1">IFERROR(__xludf.DUMMYFUNCTION("""COMPUTED_VALUE"""),"DE935")</f>
        <v>DE935</v>
      </c>
    </row>
    <row r="970" spans="1:2" ht="12.5" x14ac:dyDescent="0.25">
      <c r="A970" t="str">
        <f ca="1">IFERROR(__xludf.DUMMYFUNCTION("""COMPUTED_VALUE"""),"Lungau")</f>
        <v>Lungau</v>
      </c>
      <c r="B970" t="str">
        <f ca="1">IFERROR(__xludf.DUMMYFUNCTION("""COMPUTED_VALUE"""),"AT321")</f>
        <v>AT321</v>
      </c>
    </row>
    <row r="971" spans="1:2" ht="12.5" x14ac:dyDescent="0.25">
      <c r="A971" t="str">
        <f ca="1">IFERROR(__xludf.DUMMYFUNCTION("""COMPUTED_VALUE"""),"Luton")</f>
        <v>Luton</v>
      </c>
      <c r="B971" t="str">
        <f ca="1">IFERROR(__xludf.DUMMYFUNCTION("""COMPUTED_VALUE"""),"UKH21")</f>
        <v>UKH21</v>
      </c>
    </row>
    <row r="972" spans="1:2" ht="12.5" x14ac:dyDescent="0.25">
      <c r="A972" t="str">
        <f ca="1">IFERROR(__xludf.DUMMYFUNCTION("""COMPUTED_VALUE"""),"Luxembourg (Grand-Duché)")</f>
        <v>Luxembourg (Grand-Duché)</v>
      </c>
      <c r="B972" t="str">
        <f ca="1">IFERROR(__xludf.DUMMYFUNCTION("""COMPUTED_VALUE"""),"LU")</f>
        <v>LU</v>
      </c>
    </row>
    <row r="973" spans="1:2" ht="12.5" x14ac:dyDescent="0.25">
      <c r="A973" t="str">
        <f ca="1">IFERROR(__xludf.DUMMYFUNCTION("""COMPUTED_VALUE"""),"Luxembourg (Grand-Duché) (*)")</f>
        <v>Luxembourg (Grand-Duché) (*)</v>
      </c>
      <c r="B973" t="str">
        <f ca="1">IFERROR(__xludf.DUMMYFUNCTION("""COMPUTED_VALUE"""),"LU0")</f>
        <v>LU0</v>
      </c>
    </row>
    <row r="974" spans="1:2" ht="12.5" x14ac:dyDescent="0.25">
      <c r="A974" t="str">
        <f ca="1">IFERROR(__xludf.DUMMYFUNCTION("""COMPUTED_VALUE"""),"Luxembourg (Grand-Duché) (**)")</f>
        <v>Luxembourg (Grand-Duché) (**)</v>
      </c>
      <c r="B974" t="str">
        <f ca="1">IFERROR(__xludf.DUMMYFUNCTION("""COMPUTED_VALUE"""),"LU00")</f>
        <v>LU00</v>
      </c>
    </row>
    <row r="975" spans="1:2" ht="12.5" x14ac:dyDescent="0.25">
      <c r="A975" t="str">
        <f ca="1">IFERROR(__xludf.DUMMYFUNCTION("""COMPUTED_VALUE"""),"Luxembourg (Grand-Duché) (***)")</f>
        <v>Luxembourg (Grand-Duché) (***)</v>
      </c>
      <c r="B975" t="str">
        <f ca="1">IFERROR(__xludf.DUMMYFUNCTION("""COMPUTED_VALUE"""),"LU000")</f>
        <v>LU000</v>
      </c>
    </row>
    <row r="976" spans="1:2" ht="12.5" x14ac:dyDescent="0.25">
      <c r="A976" t="str">
        <f ca="1">IFERROR(__xludf.DUMMYFUNCTION("""COMPUTED_VALUE"""),"Luzern")</f>
        <v>Luzern</v>
      </c>
      <c r="B976" t="str">
        <f ca="1">IFERROR(__xludf.DUMMYFUNCTION("""COMPUTED_VALUE"""),"CH061")</f>
        <v>CH061</v>
      </c>
    </row>
    <row r="977" spans="1:2" ht="12.5" x14ac:dyDescent="0.25">
      <c r="A977" t="str">
        <f ca="1">IFERROR(__xludf.DUMMYFUNCTION("""COMPUTED_VALUE"""),"Macerata")</f>
        <v>Macerata</v>
      </c>
      <c r="B977" t="str">
        <f ca="1">IFERROR(__xludf.DUMMYFUNCTION("""COMPUTED_VALUE"""),"ITE33")</f>
        <v>ITE33</v>
      </c>
    </row>
    <row r="978" spans="1:2" ht="12.5" x14ac:dyDescent="0.25">
      <c r="A978" t="str">
        <f ca="1">IFERROR(__xludf.DUMMYFUNCTION("""COMPUTED_VALUE"""),"Macroregiunea Doi")</f>
        <v>Macroregiunea Doi</v>
      </c>
      <c r="B978" t="str">
        <f ca="1">IFERROR(__xludf.DUMMYFUNCTION("""COMPUTED_VALUE"""),"RO2")</f>
        <v>RO2</v>
      </c>
    </row>
    <row r="979" spans="1:2" ht="12.5" x14ac:dyDescent="0.25">
      <c r="A979" t="str">
        <f ca="1">IFERROR(__xludf.DUMMYFUNCTION("""COMPUTED_VALUE"""),"Macroregiunea Patru")</f>
        <v>Macroregiunea Patru</v>
      </c>
      <c r="B979" t="str">
        <f ca="1">IFERROR(__xludf.DUMMYFUNCTION("""COMPUTED_VALUE"""),"RO4")</f>
        <v>RO4</v>
      </c>
    </row>
    <row r="980" spans="1:2" ht="12.5" x14ac:dyDescent="0.25">
      <c r="A980" t="str">
        <f ca="1">IFERROR(__xludf.DUMMYFUNCTION("""COMPUTED_VALUE"""),"Macroregiunea Trei")</f>
        <v>Macroregiunea Trei</v>
      </c>
      <c r="B980" t="str">
        <f ca="1">IFERROR(__xludf.DUMMYFUNCTION("""COMPUTED_VALUE"""),"RO3")</f>
        <v>RO3</v>
      </c>
    </row>
    <row r="981" spans="1:2" ht="12.5" x14ac:dyDescent="0.25">
      <c r="A981" t="str">
        <f ca="1">IFERROR(__xludf.DUMMYFUNCTION("""COMPUTED_VALUE"""),"Macroregiunea Unu")</f>
        <v>Macroregiunea Unu</v>
      </c>
      <c r="B981" t="str">
        <f ca="1">IFERROR(__xludf.DUMMYFUNCTION("""COMPUTED_VALUE"""),"RO1")</f>
        <v>RO1</v>
      </c>
    </row>
    <row r="982" spans="1:2" ht="12.5" x14ac:dyDescent="0.25">
      <c r="A982" t="str">
        <f ca="1">IFERROR(__xludf.DUMMYFUNCTION("""COMPUTED_VALUE"""),"Madrid")</f>
        <v>Madrid</v>
      </c>
      <c r="B982" t="str">
        <f ca="1">IFERROR(__xludf.DUMMYFUNCTION("""COMPUTED_VALUE"""),"ES300")</f>
        <v>ES300</v>
      </c>
    </row>
    <row r="983" spans="1:2" ht="12.5" x14ac:dyDescent="0.25">
      <c r="A983" t="str">
        <f ca="1">IFERROR(__xludf.DUMMYFUNCTION("""COMPUTED_VALUE"""),"Magdeburg, Kreisfreie Stadt")</f>
        <v>Magdeburg, Kreisfreie Stadt</v>
      </c>
      <c r="B983" t="str">
        <f ca="1">IFERROR(__xludf.DUMMYFUNCTION("""COMPUTED_VALUE"""),"DEE03")</f>
        <v>DEE03</v>
      </c>
    </row>
    <row r="984" spans="1:2" ht="12.5" x14ac:dyDescent="0.25">
      <c r="A984" t="str">
        <f ca="1">IFERROR(__xludf.DUMMYFUNCTION("""COMPUTED_VALUE"""),"Magnisia")</f>
        <v>Magnisia</v>
      </c>
      <c r="B984" t="str">
        <f ca="1">IFERROR(__xludf.DUMMYFUNCTION("""COMPUTED_VALUE"""),"GR143")</f>
        <v>GR143</v>
      </c>
    </row>
    <row r="985" spans="1:2" ht="12.5" x14ac:dyDescent="0.25">
      <c r="A985" t="str">
        <f ca="1">IFERROR(__xludf.DUMMYFUNCTION("""COMPUTED_VALUE"""),"Magyarorszag")</f>
        <v>Magyarorszag</v>
      </c>
      <c r="B985" t="str">
        <f ca="1">IFERROR(__xludf.DUMMYFUNCTION("""COMPUTED_VALUE"""),"HU")</f>
        <v>HU</v>
      </c>
    </row>
    <row r="986" spans="1:2" ht="12.5" x14ac:dyDescent="0.25">
      <c r="A986" t="str">
        <f ca="1">IFERROR(__xludf.DUMMYFUNCTION("""COMPUTED_VALUE"""),"Main-Kinzig-Kreis")</f>
        <v>Main-Kinzig-Kreis</v>
      </c>
      <c r="B986" t="str">
        <f ca="1">IFERROR(__xludf.DUMMYFUNCTION("""COMPUTED_VALUE"""),"DE719")</f>
        <v>DE719</v>
      </c>
    </row>
    <row r="987" spans="1:2" ht="12.5" x14ac:dyDescent="0.25">
      <c r="A987" t="str">
        <f ca="1">IFERROR(__xludf.DUMMYFUNCTION("""COMPUTED_VALUE"""),"Main-Spessart")</f>
        <v>Main-Spessart</v>
      </c>
      <c r="B987" t="str">
        <f ca="1">IFERROR(__xludf.DUMMYFUNCTION("""COMPUTED_VALUE"""),"DE26A")</f>
        <v>DE26A</v>
      </c>
    </row>
    <row r="988" spans="1:2" ht="12.5" x14ac:dyDescent="0.25">
      <c r="A988" t="str">
        <f ca="1">IFERROR(__xludf.DUMMYFUNCTION("""COMPUTED_VALUE"""),"Main-Tauber-Kreis")</f>
        <v>Main-Tauber-Kreis</v>
      </c>
      <c r="B988" t="str">
        <f ca="1">IFERROR(__xludf.DUMMYFUNCTION("""COMPUTED_VALUE"""),"DE11B")</f>
        <v>DE11B</v>
      </c>
    </row>
    <row r="989" spans="1:2" ht="12.5" x14ac:dyDescent="0.25">
      <c r="A989" t="str">
        <f ca="1">IFERROR(__xludf.DUMMYFUNCTION("""COMPUTED_VALUE"""),"Main-Taunus-Kreis")</f>
        <v>Main-Taunus-Kreis</v>
      </c>
      <c r="B989" t="str">
        <f ca="1">IFERROR(__xludf.DUMMYFUNCTION("""COMPUTED_VALUE"""),"DE71A")</f>
        <v>DE71A</v>
      </c>
    </row>
    <row r="990" spans="1:2" ht="12.5" x14ac:dyDescent="0.25">
      <c r="A990" t="str">
        <f ca="1">IFERROR(__xludf.DUMMYFUNCTION("""COMPUTED_VALUE"""),"Maine-Et-Loire")</f>
        <v>Maine-Et-Loire</v>
      </c>
      <c r="B990" t="str">
        <f ca="1">IFERROR(__xludf.DUMMYFUNCTION("""COMPUTED_VALUE"""),"FR512")</f>
        <v>FR512</v>
      </c>
    </row>
    <row r="991" spans="1:2" ht="12.5" x14ac:dyDescent="0.25">
      <c r="A991" t="str">
        <f ca="1">IFERROR(__xludf.DUMMYFUNCTION("""COMPUTED_VALUE"""),"Mainz-Bingen")</f>
        <v>Mainz-Bingen</v>
      </c>
      <c r="B991" t="str">
        <f ca="1">IFERROR(__xludf.DUMMYFUNCTION("""COMPUTED_VALUE"""),"DEB3J")</f>
        <v>DEB3J</v>
      </c>
    </row>
    <row r="992" spans="1:2" ht="12.5" x14ac:dyDescent="0.25">
      <c r="A992" t="str">
        <f ca="1">IFERROR(__xludf.DUMMYFUNCTION("""COMPUTED_VALUE"""),"Mainz, Kreisfreie Stadt")</f>
        <v>Mainz, Kreisfreie Stadt</v>
      </c>
      <c r="B992" t="str">
        <f ca="1">IFERROR(__xludf.DUMMYFUNCTION("""COMPUTED_VALUE"""),"DEB35")</f>
        <v>DEB35</v>
      </c>
    </row>
    <row r="993" spans="1:2" ht="12.5" x14ac:dyDescent="0.25">
      <c r="A993" t="str">
        <f ca="1">IFERROR(__xludf.DUMMYFUNCTION("""COMPUTED_VALUE"""),"Málaga")</f>
        <v>Málaga</v>
      </c>
      <c r="B993" t="str">
        <f ca="1">IFERROR(__xludf.DUMMYFUNCTION("""COMPUTED_VALUE"""),"ES617")</f>
        <v>ES617</v>
      </c>
    </row>
    <row r="994" spans="1:2" ht="12.5" x14ac:dyDescent="0.25">
      <c r="A994" t="str">
        <f ca="1">IFERROR(__xludf.DUMMYFUNCTION("""COMPUTED_VALUE"""),"Mallorca")</f>
        <v>Mallorca</v>
      </c>
      <c r="B994" t="str">
        <f ca="1">IFERROR(__xludf.DUMMYFUNCTION("""COMPUTED_VALUE"""),"ES532")</f>
        <v>ES532</v>
      </c>
    </row>
    <row r="995" spans="1:2" ht="12.5" x14ac:dyDescent="0.25">
      <c r="A995" t="str">
        <f ca="1">IFERROR(__xludf.DUMMYFUNCTION("""COMPUTED_VALUE"""),"Malopolskie")</f>
        <v>Malopolskie</v>
      </c>
      <c r="B995" t="str">
        <f ca="1">IFERROR(__xludf.DUMMYFUNCTION("""COMPUTED_VALUE"""),"PL21")</f>
        <v>PL21</v>
      </c>
    </row>
    <row r="996" spans="1:2" ht="12.5" x14ac:dyDescent="0.25">
      <c r="A996" t="str">
        <f ca="1">IFERROR(__xludf.DUMMYFUNCTION("""COMPUTED_VALUE"""),"Malta")</f>
        <v>Malta</v>
      </c>
      <c r="B996" t="str">
        <f ca="1">IFERROR(__xludf.DUMMYFUNCTION("""COMPUTED_VALUE"""),"MT")</f>
        <v>MT</v>
      </c>
    </row>
    <row r="997" spans="1:2" ht="12.5" x14ac:dyDescent="0.25">
      <c r="A997" t="str">
        <f ca="1">IFERROR(__xludf.DUMMYFUNCTION("""COMPUTED_VALUE"""),"Malta (*)")</f>
        <v>Malta (*)</v>
      </c>
      <c r="B997" t="str">
        <f ca="1">IFERROR(__xludf.DUMMYFUNCTION("""COMPUTED_VALUE"""),"MT0")</f>
        <v>MT0</v>
      </c>
    </row>
    <row r="998" spans="1:2" ht="12.5" x14ac:dyDescent="0.25">
      <c r="A998" t="str">
        <f ca="1">IFERROR(__xludf.DUMMYFUNCTION("""COMPUTED_VALUE"""),"Malta (**)")</f>
        <v>Malta (**)</v>
      </c>
      <c r="B998" t="str">
        <f ca="1">IFERROR(__xludf.DUMMYFUNCTION("""COMPUTED_VALUE"""),"MT00")</f>
        <v>MT00</v>
      </c>
    </row>
    <row r="999" spans="1:2" ht="12.5" x14ac:dyDescent="0.25">
      <c r="A999" t="str">
        <f ca="1">IFERROR(__xludf.DUMMYFUNCTION("""COMPUTED_VALUE"""),"Malta (***)")</f>
        <v>Malta (***)</v>
      </c>
      <c r="B999" t="str">
        <f ca="1">IFERROR(__xludf.DUMMYFUNCTION("""COMPUTED_VALUE"""),"MT001")</f>
        <v>MT001</v>
      </c>
    </row>
    <row r="1000" spans="1:2" ht="12.5" x14ac:dyDescent="0.25">
      <c r="A1000" t="str">
        <f ca="1">IFERROR(__xludf.DUMMYFUNCTION("""COMPUTED_VALUE"""),"Manche")</f>
        <v>Manche</v>
      </c>
      <c r="B1000" t="str">
        <f ca="1">IFERROR(__xludf.DUMMYFUNCTION("""COMPUTED_VALUE"""),"FR252")</f>
        <v>FR252</v>
      </c>
    </row>
    <row r="1001" spans="1:2" ht="12.5" x14ac:dyDescent="0.25">
      <c r="A1001" t="str">
        <f ca="1">IFERROR(__xludf.DUMMYFUNCTION("""COMPUTED_VALUE"""),"Manner-Suomi")</f>
        <v>Manner-Suomi</v>
      </c>
      <c r="B1001" t="str">
        <f ca="1">IFERROR(__xludf.DUMMYFUNCTION("""COMPUTED_VALUE"""),"FI1")</f>
        <v>FI1</v>
      </c>
    </row>
    <row r="1002" spans="1:2" ht="12.5" x14ac:dyDescent="0.25">
      <c r="A1002" t="str">
        <f ca="1">IFERROR(__xludf.DUMMYFUNCTION("""COMPUTED_VALUE"""),"Mannheim, Stadtkreis")</f>
        <v>Mannheim, Stadtkreis</v>
      </c>
      <c r="B1002" t="str">
        <f ca="1">IFERROR(__xludf.DUMMYFUNCTION("""COMPUTED_VALUE"""),"DE126")</f>
        <v>DE126</v>
      </c>
    </row>
    <row r="1003" spans="1:2" ht="12.5" x14ac:dyDescent="0.25">
      <c r="A1003" t="str">
        <f ca="1">IFERROR(__xludf.DUMMYFUNCTION("""COMPUTED_VALUE"""),"Mansfeld-Südharz")</f>
        <v>Mansfeld-Südharz</v>
      </c>
      <c r="B1003" t="str">
        <f ca="1">IFERROR(__xludf.DUMMYFUNCTION("""COMPUTED_VALUE"""),"DEE0A")</f>
        <v>DEE0A</v>
      </c>
    </row>
    <row r="1004" spans="1:2" ht="12.5" x14ac:dyDescent="0.25">
      <c r="A1004" t="str">
        <f ca="1">IFERROR(__xludf.DUMMYFUNCTION("""COMPUTED_VALUE"""),"Mantova")</f>
        <v>Mantova</v>
      </c>
      <c r="B1004" t="str">
        <f ca="1">IFERROR(__xludf.DUMMYFUNCTION("""COMPUTED_VALUE"""),"ITC4B")</f>
        <v>ITC4B</v>
      </c>
    </row>
    <row r="1005" spans="1:2" ht="12.5" x14ac:dyDescent="0.25">
      <c r="A1005" t="str">
        <f ca="1">IFERROR(__xludf.DUMMYFUNCTION("""COMPUTED_VALUE"""),"Maramures")</f>
        <v>Maramures</v>
      </c>
      <c r="B1005" t="str">
        <f ca="1">IFERROR(__xludf.DUMMYFUNCTION("""COMPUTED_VALUE"""),"RO114")</f>
        <v>RO114</v>
      </c>
    </row>
    <row r="1006" spans="1:2" ht="12.5" x14ac:dyDescent="0.25">
      <c r="A1006" t="str">
        <f ca="1">IFERROR(__xludf.DUMMYFUNCTION("""COMPUTED_VALUE"""),"Marburg-Biedenkopf")</f>
        <v>Marburg-Biedenkopf</v>
      </c>
      <c r="B1006" t="str">
        <f ca="1">IFERROR(__xludf.DUMMYFUNCTION("""COMPUTED_VALUE"""),"DE724")</f>
        <v>DE724</v>
      </c>
    </row>
    <row r="1007" spans="1:2" ht="12.5" x14ac:dyDescent="0.25">
      <c r="A1007" t="str">
        <f ca="1">IFERROR(__xludf.DUMMYFUNCTION("""COMPUTED_VALUE"""),"Marche")</f>
        <v>Marche</v>
      </c>
      <c r="B1007" t="str">
        <f ca="1">IFERROR(__xludf.DUMMYFUNCTION("""COMPUTED_VALUE"""),"ITE3")</f>
        <v>ITE3</v>
      </c>
    </row>
    <row r="1008" spans="1:2" ht="12.5" x14ac:dyDescent="0.25">
      <c r="A1008" t="str">
        <f ca="1">IFERROR(__xludf.DUMMYFUNCTION("""COMPUTED_VALUE"""),"Marijampoles Apskritis")</f>
        <v>Marijampoles Apskritis</v>
      </c>
      <c r="B1008" t="str">
        <f ca="1">IFERROR(__xludf.DUMMYFUNCTION("""COMPUTED_VALUE"""),"LT004")</f>
        <v>LT004</v>
      </c>
    </row>
    <row r="1009" spans="1:2" ht="12.5" x14ac:dyDescent="0.25">
      <c r="A1009" t="str">
        <f ca="1">IFERROR(__xludf.DUMMYFUNCTION("""COMPUTED_VALUE"""),"Märkisch-Oderland")</f>
        <v>Märkisch-Oderland</v>
      </c>
      <c r="B1009" t="str">
        <f ca="1">IFERROR(__xludf.DUMMYFUNCTION("""COMPUTED_VALUE"""),"DE413")</f>
        <v>DE413</v>
      </c>
    </row>
    <row r="1010" spans="1:2" ht="12.5" x14ac:dyDescent="0.25">
      <c r="A1010" t="str">
        <f ca="1">IFERROR(__xludf.DUMMYFUNCTION("""COMPUTED_VALUE"""),"Märkischer Kreis")</f>
        <v>Märkischer Kreis</v>
      </c>
      <c r="B1010" t="str">
        <f ca="1">IFERROR(__xludf.DUMMYFUNCTION("""COMPUTED_VALUE"""),"DEA58")</f>
        <v>DEA58</v>
      </c>
    </row>
    <row r="1011" spans="1:2" ht="12.5" x14ac:dyDescent="0.25">
      <c r="A1011" t="str">
        <f ca="1">IFERROR(__xludf.DUMMYFUNCTION("""COMPUTED_VALUE"""),"Marne")</f>
        <v>Marne</v>
      </c>
      <c r="B1011" t="str">
        <f ca="1">IFERROR(__xludf.DUMMYFUNCTION("""COMPUTED_VALUE"""),"FR213")</f>
        <v>FR213</v>
      </c>
    </row>
    <row r="1012" spans="1:2" ht="12.5" x14ac:dyDescent="0.25">
      <c r="A1012" t="str">
        <f ca="1">IFERROR(__xludf.DUMMYFUNCTION("""COMPUTED_VALUE"""),"Martinique")</f>
        <v>Martinique</v>
      </c>
      <c r="B1012" t="str">
        <f ca="1">IFERROR(__xludf.DUMMYFUNCTION("""COMPUTED_VALUE"""),"FR92")</f>
        <v>FR92</v>
      </c>
    </row>
    <row r="1013" spans="1:2" ht="12.5" x14ac:dyDescent="0.25">
      <c r="A1013" t="str">
        <f ca="1">IFERROR(__xludf.DUMMYFUNCTION("""COMPUTED_VALUE"""),"Martinique (*)")</f>
        <v>Martinique (*)</v>
      </c>
      <c r="B1013" t="str">
        <f ca="1">IFERROR(__xludf.DUMMYFUNCTION("""COMPUTED_VALUE"""),"FR920")</f>
        <v>FR920</v>
      </c>
    </row>
    <row r="1014" spans="1:2" ht="12.5" x14ac:dyDescent="0.25">
      <c r="A1014" t="str">
        <f ca="1">IFERROR(__xludf.DUMMYFUNCTION("""COMPUTED_VALUE"""),"Massa-Carrara")</f>
        <v>Massa-Carrara</v>
      </c>
      <c r="B1014" t="str">
        <f ca="1">IFERROR(__xludf.DUMMYFUNCTION("""COMPUTED_VALUE"""),"ITE11")</f>
        <v>ITE11</v>
      </c>
    </row>
    <row r="1015" spans="1:2" ht="12.5" x14ac:dyDescent="0.25">
      <c r="A1015" t="str">
        <f ca="1">IFERROR(__xludf.DUMMYFUNCTION("""COMPUTED_VALUE"""),"Matera")</f>
        <v>Matera</v>
      </c>
      <c r="B1015" t="str">
        <f ca="1">IFERROR(__xludf.DUMMYFUNCTION("""COMPUTED_VALUE"""),"ITF52")</f>
        <v>ITF52</v>
      </c>
    </row>
    <row r="1016" spans="1:2" ht="12.5" x14ac:dyDescent="0.25">
      <c r="A1016" t="str">
        <f ca="1">IFERROR(__xludf.DUMMYFUNCTION("""COMPUTED_VALUE"""),"Mayen-Koblenz")</f>
        <v>Mayen-Koblenz</v>
      </c>
      <c r="B1016" t="str">
        <f ca="1">IFERROR(__xludf.DUMMYFUNCTION("""COMPUTED_VALUE"""),"DEB17")</f>
        <v>DEB17</v>
      </c>
    </row>
    <row r="1017" spans="1:2" ht="12.5" x14ac:dyDescent="0.25">
      <c r="A1017" t="str">
        <f ca="1">IFERROR(__xludf.DUMMYFUNCTION("""COMPUTED_VALUE"""),"Mayenne")</f>
        <v>Mayenne</v>
      </c>
      <c r="B1017" t="str">
        <f ca="1">IFERROR(__xludf.DUMMYFUNCTION("""COMPUTED_VALUE"""),"FR513")</f>
        <v>FR513</v>
      </c>
    </row>
    <row r="1018" spans="1:2" ht="12.5" x14ac:dyDescent="0.25">
      <c r="A1018" t="str">
        <f ca="1">IFERROR(__xludf.DUMMYFUNCTION("""COMPUTED_VALUE"""),"Mazowieckie")</f>
        <v>Mazowieckie</v>
      </c>
      <c r="B1018" t="str">
        <f ca="1">IFERROR(__xludf.DUMMYFUNCTION("""COMPUTED_VALUE"""),"PL12")</f>
        <v>PL12</v>
      </c>
    </row>
    <row r="1019" spans="1:2" ht="12.5" x14ac:dyDescent="0.25">
      <c r="A1019" t="str">
        <f ca="1">IFERROR(__xludf.DUMMYFUNCTION("""COMPUTED_VALUE"""),"Mecklenburg-Strelitz")</f>
        <v>Mecklenburg-Strelitz</v>
      </c>
      <c r="B1019" t="str">
        <f ca="1">IFERROR(__xludf.DUMMYFUNCTION("""COMPUTED_VALUE"""),"DE80B")</f>
        <v>DE80B</v>
      </c>
    </row>
    <row r="1020" spans="1:2" ht="12.5" x14ac:dyDescent="0.25">
      <c r="A1020" t="str">
        <f ca="1">IFERROR(__xludf.DUMMYFUNCTION("""COMPUTED_VALUE"""),"Mecklenburg-Vorpommern")</f>
        <v>Mecklenburg-Vorpommern</v>
      </c>
      <c r="B1020" t="str">
        <f ca="1">IFERROR(__xludf.DUMMYFUNCTION("""COMPUTED_VALUE"""),"DE8")</f>
        <v>DE8</v>
      </c>
    </row>
    <row r="1021" spans="1:2" ht="12.5" x14ac:dyDescent="0.25">
      <c r="A1021" t="str">
        <f ca="1">IFERROR(__xludf.DUMMYFUNCTION("""COMPUTED_VALUE"""),"Mecklenburg-Vorpommern (*)")</f>
        <v>Mecklenburg-Vorpommern (*)</v>
      </c>
      <c r="B1021" t="str">
        <f ca="1">IFERROR(__xludf.DUMMYFUNCTION("""COMPUTED_VALUE"""),"DE80")</f>
        <v>DE80</v>
      </c>
    </row>
    <row r="1022" spans="1:2" ht="12.5" x14ac:dyDescent="0.25">
      <c r="A1022" t="str">
        <f ca="1">IFERROR(__xludf.DUMMYFUNCTION("""COMPUTED_VALUE"""),"Medio Campidano")</f>
        <v>Medio Campidano</v>
      </c>
      <c r="B1022" t="str">
        <f ca="1">IFERROR(__xludf.DUMMYFUNCTION("""COMPUTED_VALUE"""),"ITG2B")</f>
        <v>ITG2B</v>
      </c>
    </row>
    <row r="1023" spans="1:2" ht="12.5" x14ac:dyDescent="0.25">
      <c r="A1023" t="str">
        <f ca="1">IFERROR(__xludf.DUMMYFUNCTION("""COMPUTED_VALUE"""),"Médio Tejo")</f>
        <v>Médio Tejo</v>
      </c>
      <c r="B1023" t="str">
        <f ca="1">IFERROR(__xludf.DUMMYFUNCTION("""COMPUTED_VALUE"""),"PT16C")</f>
        <v>PT16C</v>
      </c>
    </row>
    <row r="1024" spans="1:2" ht="12.5" x14ac:dyDescent="0.25">
      <c r="A1024" t="str">
        <f ca="1">IFERROR(__xludf.DUMMYFUNCTION("""COMPUTED_VALUE"""),"Méditerranée")</f>
        <v>Méditerranée</v>
      </c>
      <c r="B1024" t="str">
        <f ca="1">IFERROR(__xludf.DUMMYFUNCTION("""COMPUTED_VALUE"""),"FR8")</f>
        <v>FR8</v>
      </c>
    </row>
    <row r="1025" spans="1:2" ht="12.5" x14ac:dyDescent="0.25">
      <c r="A1025" t="str">
        <f ca="1">IFERROR(__xludf.DUMMYFUNCTION("""COMPUTED_VALUE"""),"Medway")</f>
        <v>Medway</v>
      </c>
      <c r="B1025" t="str">
        <f ca="1">IFERROR(__xludf.DUMMYFUNCTION("""COMPUTED_VALUE"""),"UKJ41")</f>
        <v>UKJ41</v>
      </c>
    </row>
    <row r="1026" spans="1:2" ht="12.5" x14ac:dyDescent="0.25">
      <c r="A1026" t="str">
        <f ca="1">IFERROR(__xludf.DUMMYFUNCTION("""COMPUTED_VALUE"""),"Mehedinti")</f>
        <v>Mehedinti</v>
      </c>
      <c r="B1026" t="str">
        <f ca="1">IFERROR(__xludf.DUMMYFUNCTION("""COMPUTED_VALUE"""),"RO413")</f>
        <v>RO413</v>
      </c>
    </row>
    <row r="1027" spans="1:2" ht="12.5" x14ac:dyDescent="0.25">
      <c r="A1027" t="str">
        <f ca="1">IFERROR(__xludf.DUMMYFUNCTION("""COMPUTED_VALUE"""),"Meißen")</f>
        <v>Meißen</v>
      </c>
      <c r="B1027" t="str">
        <f ca="1">IFERROR(__xludf.DUMMYFUNCTION("""COMPUTED_VALUE"""),"DED25")</f>
        <v>DED25</v>
      </c>
    </row>
    <row r="1028" spans="1:2" ht="12.5" x14ac:dyDescent="0.25">
      <c r="A1028" t="str">
        <f ca="1">IFERROR(__xludf.DUMMYFUNCTION("""COMPUTED_VALUE"""),"Melilla")</f>
        <v>Melilla</v>
      </c>
      <c r="B1028" t="str">
        <f ca="1">IFERROR(__xludf.DUMMYFUNCTION("""COMPUTED_VALUE"""),"ES640")</f>
        <v>ES640</v>
      </c>
    </row>
    <row r="1029" spans="1:2" ht="12.5" x14ac:dyDescent="0.25">
      <c r="A1029" t="str">
        <f ca="1">IFERROR(__xludf.DUMMYFUNCTION("""COMPUTED_VALUE"""),"Mellersta Norrland")</f>
        <v>Mellersta Norrland</v>
      </c>
      <c r="B1029" t="str">
        <f ca="1">IFERROR(__xludf.DUMMYFUNCTION("""COMPUTED_VALUE"""),"SE32")</f>
        <v>SE32</v>
      </c>
    </row>
    <row r="1030" spans="1:2" ht="12.5" x14ac:dyDescent="0.25">
      <c r="A1030" t="str">
        <f ca="1">IFERROR(__xludf.DUMMYFUNCTION("""COMPUTED_VALUE"""),"Memmingen, Kreisfreie Stadt")</f>
        <v>Memmingen, Kreisfreie Stadt</v>
      </c>
      <c r="B1030" t="str">
        <f ca="1">IFERROR(__xludf.DUMMYFUNCTION("""COMPUTED_VALUE"""),"DE274")</f>
        <v>DE274</v>
      </c>
    </row>
    <row r="1031" spans="1:2" ht="12.5" x14ac:dyDescent="0.25">
      <c r="A1031" t="str">
        <f ca="1">IFERROR(__xludf.DUMMYFUNCTION("""COMPUTED_VALUE"""),"Menorca")</f>
        <v>Menorca</v>
      </c>
      <c r="B1031" t="str">
        <f ca="1">IFERROR(__xludf.DUMMYFUNCTION("""COMPUTED_VALUE"""),"ES533")</f>
        <v>ES533</v>
      </c>
    </row>
    <row r="1032" spans="1:2" ht="12.5" x14ac:dyDescent="0.25">
      <c r="A1032" t="str">
        <f ca="1">IFERROR(__xludf.DUMMYFUNCTION("""COMPUTED_VALUE"""),"Merseyside")</f>
        <v>Merseyside</v>
      </c>
      <c r="B1032" t="str">
        <f ca="1">IFERROR(__xludf.DUMMYFUNCTION("""COMPUTED_VALUE"""),"UKD5")</f>
        <v>UKD5</v>
      </c>
    </row>
    <row r="1033" spans="1:2" ht="12.5" x14ac:dyDescent="0.25">
      <c r="A1033" t="str">
        <f ca="1">IFERROR(__xludf.DUMMYFUNCTION("""COMPUTED_VALUE"""),"Merzig-Wadern")</f>
        <v>Merzig-Wadern</v>
      </c>
      <c r="B1033" t="str">
        <f ca="1">IFERROR(__xludf.DUMMYFUNCTION("""COMPUTED_VALUE"""),"DEC02")</f>
        <v>DEC02</v>
      </c>
    </row>
    <row r="1034" spans="1:2" ht="12.5" x14ac:dyDescent="0.25">
      <c r="A1034" t="str">
        <f ca="1">IFERROR(__xludf.DUMMYFUNCTION("""COMPUTED_VALUE"""),"Messina")</f>
        <v>Messina</v>
      </c>
      <c r="B1034" t="str">
        <f ca="1">IFERROR(__xludf.DUMMYFUNCTION("""COMPUTED_VALUE"""),"ITG13")</f>
        <v>ITG13</v>
      </c>
    </row>
    <row r="1035" spans="1:2" ht="12.5" x14ac:dyDescent="0.25">
      <c r="A1035" t="str">
        <f ca="1">IFERROR(__xludf.DUMMYFUNCTION("""COMPUTED_VALUE"""),"Messinia")</f>
        <v>Messinia</v>
      </c>
      <c r="B1035" t="str">
        <f ca="1">IFERROR(__xludf.DUMMYFUNCTION("""COMPUTED_VALUE"""),"GR255")</f>
        <v>GR255</v>
      </c>
    </row>
    <row r="1036" spans="1:2" ht="12.5" x14ac:dyDescent="0.25">
      <c r="A1036" t="str">
        <f ca="1">IFERROR(__xludf.DUMMYFUNCTION("""COMPUTED_VALUE"""),"Mettmann")</f>
        <v>Mettmann</v>
      </c>
      <c r="B1036" t="str">
        <f ca="1">IFERROR(__xludf.DUMMYFUNCTION("""COMPUTED_VALUE"""),"DEA1C")</f>
        <v>DEA1C</v>
      </c>
    </row>
    <row r="1037" spans="1:2" ht="12.5" x14ac:dyDescent="0.25">
      <c r="A1037" t="str">
        <f ca="1">IFERROR(__xludf.DUMMYFUNCTION("""COMPUTED_VALUE"""),"Meurthe-Et-Moselle")</f>
        <v>Meurthe-Et-Moselle</v>
      </c>
      <c r="B1037" t="str">
        <f ca="1">IFERROR(__xludf.DUMMYFUNCTION("""COMPUTED_VALUE"""),"FR411")</f>
        <v>FR411</v>
      </c>
    </row>
    <row r="1038" spans="1:2" ht="12.5" x14ac:dyDescent="0.25">
      <c r="A1038" t="str">
        <f ca="1">IFERROR(__xludf.DUMMYFUNCTION("""COMPUTED_VALUE"""),"Meuse")</f>
        <v>Meuse</v>
      </c>
      <c r="B1038" t="str">
        <f ca="1">IFERROR(__xludf.DUMMYFUNCTION("""COMPUTED_VALUE"""),"FR412")</f>
        <v>FR412</v>
      </c>
    </row>
    <row r="1039" spans="1:2" ht="12.5" x14ac:dyDescent="0.25">
      <c r="A1039" t="str">
        <f ca="1">IFERROR(__xludf.DUMMYFUNCTION("""COMPUTED_VALUE"""),"Miasto Krakow")</f>
        <v>Miasto Krakow</v>
      </c>
      <c r="B1039" t="str">
        <f ca="1">IFERROR(__xludf.DUMMYFUNCTION("""COMPUTED_VALUE"""),"PL213")</f>
        <v>PL213</v>
      </c>
    </row>
    <row r="1040" spans="1:2" ht="12.5" x14ac:dyDescent="0.25">
      <c r="A1040" t="str">
        <f ca="1">IFERROR(__xludf.DUMMYFUNCTION("""COMPUTED_VALUE"""),"Miasto Lodz")</f>
        <v>Miasto Lodz</v>
      </c>
      <c r="B1040" t="str">
        <f ca="1">IFERROR(__xludf.DUMMYFUNCTION("""COMPUTED_VALUE"""),"PL113")</f>
        <v>PL113</v>
      </c>
    </row>
    <row r="1041" spans="1:2" ht="12.5" x14ac:dyDescent="0.25">
      <c r="A1041" t="str">
        <f ca="1">IFERROR(__xludf.DUMMYFUNCTION("""COMPUTED_VALUE"""),"Miasto Poznan")</f>
        <v>Miasto Poznan</v>
      </c>
      <c r="B1041" t="str">
        <f ca="1">IFERROR(__xludf.DUMMYFUNCTION("""COMPUTED_VALUE"""),"PL415")</f>
        <v>PL415</v>
      </c>
    </row>
    <row r="1042" spans="1:2" ht="12.5" x14ac:dyDescent="0.25">
      <c r="A1042" t="str">
        <f ca="1">IFERROR(__xludf.DUMMYFUNCTION("""COMPUTED_VALUE"""),"Miasto Szczecin")</f>
        <v>Miasto Szczecin</v>
      </c>
      <c r="B1042" t="str">
        <f ca="1">IFERROR(__xludf.DUMMYFUNCTION("""COMPUTED_VALUE"""),"PL424")</f>
        <v>PL424</v>
      </c>
    </row>
    <row r="1043" spans="1:2" ht="12.5" x14ac:dyDescent="0.25">
      <c r="A1043" t="str">
        <f ca="1">IFERROR(__xludf.DUMMYFUNCTION("""COMPUTED_VALUE"""),"Miasto Warszawa")</f>
        <v>Miasto Warszawa</v>
      </c>
      <c r="B1043" t="str">
        <f ca="1">IFERROR(__xludf.DUMMYFUNCTION("""COMPUTED_VALUE"""),"PL127")</f>
        <v>PL127</v>
      </c>
    </row>
    <row r="1044" spans="1:2" ht="12.5" x14ac:dyDescent="0.25">
      <c r="A1044" t="str">
        <f ca="1">IFERROR(__xludf.DUMMYFUNCTION("""COMPUTED_VALUE"""),"Miasto Wroclaw")</f>
        <v>Miasto Wroclaw</v>
      </c>
      <c r="B1044" t="str">
        <f ca="1">IFERROR(__xludf.DUMMYFUNCTION("""COMPUTED_VALUE"""),"PL514")</f>
        <v>PL514</v>
      </c>
    </row>
    <row r="1045" spans="1:2" ht="12.5" x14ac:dyDescent="0.25">
      <c r="A1045" t="str">
        <f ca="1">IFERROR(__xludf.DUMMYFUNCTION("""COMPUTED_VALUE"""),"Mid-East")</f>
        <v>Mid-East</v>
      </c>
      <c r="B1045" t="str">
        <f ca="1">IFERROR(__xludf.DUMMYFUNCTION("""COMPUTED_VALUE"""),"IE022")</f>
        <v>IE022</v>
      </c>
    </row>
    <row r="1046" spans="1:2" ht="12.5" x14ac:dyDescent="0.25">
      <c r="A1046" t="str">
        <f ca="1">IFERROR(__xludf.DUMMYFUNCTION("""COMPUTED_VALUE"""),"Mid-West")</f>
        <v>Mid-West</v>
      </c>
      <c r="B1046" t="str">
        <f ca="1">IFERROR(__xludf.DUMMYFUNCTION("""COMPUTED_VALUE"""),"IE023")</f>
        <v>IE023</v>
      </c>
    </row>
    <row r="1047" spans="1:2" ht="12.5" x14ac:dyDescent="0.25">
      <c r="A1047" t="str">
        <f ca="1">IFERROR(__xludf.DUMMYFUNCTION("""COMPUTED_VALUE"""),"Midden-Limburg")</f>
        <v>Midden-Limburg</v>
      </c>
      <c r="B1047" t="str">
        <f ca="1">IFERROR(__xludf.DUMMYFUNCTION("""COMPUTED_VALUE"""),"NL422")</f>
        <v>NL422</v>
      </c>
    </row>
    <row r="1048" spans="1:2" ht="12.5" x14ac:dyDescent="0.25">
      <c r="A1048" t="str">
        <f ca="1">IFERROR(__xludf.DUMMYFUNCTION("""COMPUTED_VALUE"""),"Midden-Noord-Brabant")</f>
        <v>Midden-Noord-Brabant</v>
      </c>
      <c r="B1048" t="str">
        <f ca="1">IFERROR(__xludf.DUMMYFUNCTION("""COMPUTED_VALUE"""),"NL412")</f>
        <v>NL412</v>
      </c>
    </row>
    <row r="1049" spans="1:2" ht="12.5" x14ac:dyDescent="0.25">
      <c r="A1049" t="str">
        <f ca="1">IFERROR(__xludf.DUMMYFUNCTION("""COMPUTED_VALUE"""),"Midi-Pyrénées")</f>
        <v>Midi-Pyrénées</v>
      </c>
      <c r="B1049" t="str">
        <f ca="1">IFERROR(__xludf.DUMMYFUNCTION("""COMPUTED_VALUE"""),"FR62")</f>
        <v>FR62</v>
      </c>
    </row>
    <row r="1050" spans="1:2" ht="12.5" x14ac:dyDescent="0.25">
      <c r="A1050" t="str">
        <f ca="1">IFERROR(__xludf.DUMMYFUNCTION("""COMPUTED_VALUE"""),"Midland")</f>
        <v>Midland</v>
      </c>
      <c r="B1050" t="str">
        <f ca="1">IFERROR(__xludf.DUMMYFUNCTION("""COMPUTED_VALUE"""),"IE012")</f>
        <v>IE012</v>
      </c>
    </row>
    <row r="1051" spans="1:2" ht="12.5" x14ac:dyDescent="0.25">
      <c r="A1051" t="str">
        <f ca="1">IFERROR(__xludf.DUMMYFUNCTION("""COMPUTED_VALUE"""),"Midtjylland")</f>
        <v>Midtjylland</v>
      </c>
      <c r="B1051" t="str">
        <f ca="1">IFERROR(__xludf.DUMMYFUNCTION("""COMPUTED_VALUE"""),"DK04")</f>
        <v>DK04</v>
      </c>
    </row>
    <row r="1052" spans="1:2" ht="12.5" x14ac:dyDescent="0.25">
      <c r="A1052" t="str">
        <f ca="1">IFERROR(__xludf.DUMMYFUNCTION("""COMPUTED_VALUE"""),"Miesbach")</f>
        <v>Miesbach</v>
      </c>
      <c r="B1052" t="str">
        <f ca="1">IFERROR(__xludf.DUMMYFUNCTION("""COMPUTED_VALUE"""),"DE21F")</f>
        <v>DE21F</v>
      </c>
    </row>
    <row r="1053" spans="1:2" ht="12.5" x14ac:dyDescent="0.25">
      <c r="A1053" t="str">
        <f ca="1">IFERROR(__xludf.DUMMYFUNCTION("""COMPUTED_VALUE"""),"Milano")</f>
        <v>Milano</v>
      </c>
      <c r="B1053" t="str">
        <f ca="1">IFERROR(__xludf.DUMMYFUNCTION("""COMPUTED_VALUE"""),"ITC45")</f>
        <v>ITC45</v>
      </c>
    </row>
    <row r="1054" spans="1:2" ht="12.5" x14ac:dyDescent="0.25">
      <c r="A1054" t="str">
        <f ca="1">IFERROR(__xludf.DUMMYFUNCTION("""COMPUTED_VALUE"""),"Miltenberg")</f>
        <v>Miltenberg</v>
      </c>
      <c r="B1054" t="str">
        <f ca="1">IFERROR(__xludf.DUMMYFUNCTION("""COMPUTED_VALUE"""),"DE269")</f>
        <v>DE269</v>
      </c>
    </row>
    <row r="1055" spans="1:2" ht="12.5" x14ac:dyDescent="0.25">
      <c r="A1055" t="str">
        <f ca="1">IFERROR(__xludf.DUMMYFUNCTION("""COMPUTED_VALUE"""),"Milton Keynes")</f>
        <v>Milton Keynes</v>
      </c>
      <c r="B1055" t="str">
        <f ca="1">IFERROR(__xludf.DUMMYFUNCTION("""COMPUTED_VALUE"""),"UKJ12")</f>
        <v>UKJ12</v>
      </c>
    </row>
    <row r="1056" spans="1:2" ht="12.5" x14ac:dyDescent="0.25">
      <c r="A1056" t="str">
        <f ca="1">IFERROR(__xludf.DUMMYFUNCTION("""COMPUTED_VALUE"""),"Minden-Lübbecke")</f>
        <v>Minden-Lübbecke</v>
      </c>
      <c r="B1056" t="str">
        <f ca="1">IFERROR(__xludf.DUMMYFUNCTION("""COMPUTED_VALUE"""),"DEA46")</f>
        <v>DEA46</v>
      </c>
    </row>
    <row r="1057" spans="1:2" ht="12.5" x14ac:dyDescent="0.25">
      <c r="A1057" t="str">
        <f ca="1">IFERROR(__xludf.DUMMYFUNCTION("""COMPUTED_VALUE"""),"Minho-Lima")</f>
        <v>Minho-Lima</v>
      </c>
      <c r="B1057" t="str">
        <f ca="1">IFERROR(__xludf.DUMMYFUNCTION("""COMPUTED_VALUE"""),"PT111")</f>
        <v>PT111</v>
      </c>
    </row>
    <row r="1058" spans="1:2" ht="12.5" x14ac:dyDescent="0.25">
      <c r="A1058" t="str">
        <f ca="1">IFERROR(__xludf.DUMMYFUNCTION("""COMPUTED_VALUE"""),"Mittelburgenland")</f>
        <v>Mittelburgenland</v>
      </c>
      <c r="B1058" t="str">
        <f ca="1">IFERROR(__xludf.DUMMYFUNCTION("""COMPUTED_VALUE"""),"AT111")</f>
        <v>AT111</v>
      </c>
    </row>
    <row r="1059" spans="1:2" ht="12.5" x14ac:dyDescent="0.25">
      <c r="A1059" t="str">
        <f ca="1">IFERROR(__xludf.DUMMYFUNCTION("""COMPUTED_VALUE"""),"Mittelfranken")</f>
        <v>Mittelfranken</v>
      </c>
      <c r="B1059" t="str">
        <f ca="1">IFERROR(__xludf.DUMMYFUNCTION("""COMPUTED_VALUE"""),"DE25")</f>
        <v>DE25</v>
      </c>
    </row>
    <row r="1060" spans="1:2" ht="12.5" x14ac:dyDescent="0.25">
      <c r="A1060" t="str">
        <f ca="1">IFERROR(__xludf.DUMMYFUNCTION("""COMPUTED_VALUE"""),"Mittlerer Erzgebirgskreis")</f>
        <v>Mittlerer Erzgebirgskreis</v>
      </c>
      <c r="B1060" t="str">
        <f ca="1">IFERROR(__xludf.DUMMYFUNCTION("""COMPUTED_VALUE"""),"DED18")</f>
        <v>DED18</v>
      </c>
    </row>
    <row r="1061" spans="1:2" ht="12.5" x14ac:dyDescent="0.25">
      <c r="A1061" t="str">
        <f ca="1">IFERROR(__xludf.DUMMYFUNCTION("""COMPUTED_VALUE"""),"Mittweida")</f>
        <v>Mittweida</v>
      </c>
      <c r="B1061" t="str">
        <f ca="1">IFERROR(__xludf.DUMMYFUNCTION("""COMPUTED_VALUE"""),"DED19")</f>
        <v>DED19</v>
      </c>
    </row>
    <row r="1062" spans="1:2" ht="12.5" x14ac:dyDescent="0.25">
      <c r="A1062" t="str">
        <f ca="1">IFERROR(__xludf.DUMMYFUNCTION("""COMPUTED_VALUE"""),"Modena")</f>
        <v>Modena</v>
      </c>
      <c r="B1062" t="str">
        <f ca="1">IFERROR(__xludf.DUMMYFUNCTION("""COMPUTED_VALUE"""),"ITD54")</f>
        <v>ITD54</v>
      </c>
    </row>
    <row r="1063" spans="1:2" ht="12.5" x14ac:dyDescent="0.25">
      <c r="A1063" t="str">
        <f ca="1">IFERROR(__xludf.DUMMYFUNCTION("""COMPUTED_VALUE"""),"Molise")</f>
        <v>Molise</v>
      </c>
      <c r="B1063" t="str">
        <f ca="1">IFERROR(__xludf.DUMMYFUNCTION("""COMPUTED_VALUE"""),"ITF2")</f>
        <v>ITF2</v>
      </c>
    </row>
    <row r="1064" spans="1:2" ht="12.5" x14ac:dyDescent="0.25">
      <c r="A1064" t="str">
        <f ca="1">IFERROR(__xludf.DUMMYFUNCTION("""COMPUTED_VALUE"""),"Mönchengladbach, Kreisfreie Stadt")</f>
        <v>Mönchengladbach, Kreisfreie Stadt</v>
      </c>
      <c r="B1064" t="str">
        <f ca="1">IFERROR(__xludf.DUMMYFUNCTION("""COMPUTED_VALUE"""),"DEA15")</f>
        <v>DEA15</v>
      </c>
    </row>
    <row r="1065" spans="1:2" ht="12.5" x14ac:dyDescent="0.25">
      <c r="A1065" t="str">
        <f ca="1">IFERROR(__xludf.DUMMYFUNCTION("""COMPUTED_VALUE"""),"Monmouthshire And Newport")</f>
        <v>Monmouthshire And Newport</v>
      </c>
      <c r="B1065" t="str">
        <f ca="1">IFERROR(__xludf.DUMMYFUNCTION("""COMPUTED_VALUE"""),"UKL21")</f>
        <v>UKL21</v>
      </c>
    </row>
    <row r="1066" spans="1:2" ht="12.5" x14ac:dyDescent="0.25">
      <c r="A1066" t="str">
        <f ca="1">IFERROR(__xludf.DUMMYFUNCTION("""COMPUTED_VALUE"""),"Montana")</f>
        <v>Montana</v>
      </c>
      <c r="B1066" t="str">
        <f ca="1">IFERROR(__xludf.DUMMYFUNCTION("""COMPUTED_VALUE"""),"BG312")</f>
        <v>BG312</v>
      </c>
    </row>
    <row r="1067" spans="1:2" ht="12.5" x14ac:dyDescent="0.25">
      <c r="A1067" t="str">
        <f ca="1">IFERROR(__xludf.DUMMYFUNCTION("""COMPUTED_VALUE"""),"Moravskoslezsko")</f>
        <v>Moravskoslezsko</v>
      </c>
      <c r="B1067" t="str">
        <f ca="1">IFERROR(__xludf.DUMMYFUNCTION("""COMPUTED_VALUE"""),"CZ08")</f>
        <v>CZ08</v>
      </c>
    </row>
    <row r="1068" spans="1:2" ht="12.5" x14ac:dyDescent="0.25">
      <c r="A1068" t="str">
        <f ca="1">IFERROR(__xludf.DUMMYFUNCTION("""COMPUTED_VALUE"""),"Moravskoslezsky Kraj")</f>
        <v>Moravskoslezsky Kraj</v>
      </c>
      <c r="B1068" t="str">
        <f ca="1">IFERROR(__xludf.DUMMYFUNCTION("""COMPUTED_VALUE"""),"CZ080")</f>
        <v>CZ080</v>
      </c>
    </row>
    <row r="1069" spans="1:2" ht="12.5" x14ac:dyDescent="0.25">
      <c r="A1069" t="str">
        <f ca="1">IFERROR(__xludf.DUMMYFUNCTION("""COMPUTED_VALUE"""),"Morbihan")</f>
        <v>Morbihan</v>
      </c>
      <c r="B1069" t="str">
        <f ca="1">IFERROR(__xludf.DUMMYFUNCTION("""COMPUTED_VALUE"""),"FR524")</f>
        <v>FR524</v>
      </c>
    </row>
    <row r="1070" spans="1:2" ht="12.5" x14ac:dyDescent="0.25">
      <c r="A1070" t="str">
        <f ca="1">IFERROR(__xludf.DUMMYFUNCTION("""COMPUTED_VALUE"""),"Møre Og Romsdal")</f>
        <v>Møre Og Romsdal</v>
      </c>
      <c r="B1070" t="str">
        <f ca="1">IFERROR(__xludf.DUMMYFUNCTION("""COMPUTED_VALUE"""),"NO053")</f>
        <v>NO053</v>
      </c>
    </row>
    <row r="1071" spans="1:2" ht="12.5" x14ac:dyDescent="0.25">
      <c r="A1071" t="str">
        <f ca="1">IFERROR(__xludf.DUMMYFUNCTION("""COMPUTED_VALUE"""),"Moselle")</f>
        <v>Moselle</v>
      </c>
      <c r="B1071" t="str">
        <f ca="1">IFERROR(__xludf.DUMMYFUNCTION("""COMPUTED_VALUE"""),"FR413")</f>
        <v>FR413</v>
      </c>
    </row>
    <row r="1072" spans="1:2" ht="12.5" x14ac:dyDescent="0.25">
      <c r="A1072" t="str">
        <f ca="1">IFERROR(__xludf.DUMMYFUNCTION("""COMPUTED_VALUE"""),"Mostviertel-Eisenwurzen")</f>
        <v>Mostviertel-Eisenwurzen</v>
      </c>
      <c r="B1072" t="str">
        <f ca="1">IFERROR(__xludf.DUMMYFUNCTION("""COMPUTED_VALUE"""),"AT121")</f>
        <v>AT121</v>
      </c>
    </row>
    <row r="1073" spans="1:2" ht="12.5" x14ac:dyDescent="0.25">
      <c r="A1073" t="str">
        <f ca="1">IFERROR(__xludf.DUMMYFUNCTION("""COMPUTED_VALUE"""),"Mühldorf A. Inn")</f>
        <v>Mühldorf A. Inn</v>
      </c>
      <c r="B1073" t="str">
        <f ca="1">IFERROR(__xludf.DUMMYFUNCTION("""COMPUTED_VALUE"""),"DE21G")</f>
        <v>DE21G</v>
      </c>
    </row>
    <row r="1074" spans="1:2" ht="12.5" x14ac:dyDescent="0.25">
      <c r="A1074" t="str">
        <f ca="1">IFERROR(__xludf.DUMMYFUNCTION("""COMPUTED_VALUE"""),"Mühlviertel")</f>
        <v>Mühlviertel</v>
      </c>
      <c r="B1074" t="str">
        <f ca="1">IFERROR(__xludf.DUMMYFUNCTION("""COMPUTED_VALUE"""),"AT313")</f>
        <v>AT313</v>
      </c>
    </row>
    <row r="1075" spans="1:2" ht="12.5" x14ac:dyDescent="0.25">
      <c r="A1075" t="str">
        <f ca="1">IFERROR(__xludf.DUMMYFUNCTION("""COMPUTED_VALUE"""),"Muldentalkreis")</f>
        <v>Muldentalkreis</v>
      </c>
      <c r="B1075" t="str">
        <f ca="1">IFERROR(__xludf.DUMMYFUNCTION("""COMPUTED_VALUE"""),"DED35")</f>
        <v>DED35</v>
      </c>
    </row>
    <row r="1076" spans="1:2" ht="12.5" x14ac:dyDescent="0.25">
      <c r="A1076" t="str">
        <f ca="1">IFERROR(__xludf.DUMMYFUNCTION("""COMPUTED_VALUE"""),"Mülheim An Der Ruhr,Kreisfreie Stadt")</f>
        <v>Mülheim An Der Ruhr,Kreisfreie Stadt</v>
      </c>
      <c r="B1076" t="str">
        <f ca="1">IFERROR(__xludf.DUMMYFUNCTION("""COMPUTED_VALUE"""),"DEA16")</f>
        <v>DEA16</v>
      </c>
    </row>
    <row r="1077" spans="1:2" ht="12.5" x14ac:dyDescent="0.25">
      <c r="A1077" t="str">
        <f ca="1">IFERROR(__xludf.DUMMYFUNCTION("""COMPUTED_VALUE"""),"München, Kreisfreie Stadt")</f>
        <v>München, Kreisfreie Stadt</v>
      </c>
      <c r="B1077" t="str">
        <f ca="1">IFERROR(__xludf.DUMMYFUNCTION("""COMPUTED_VALUE"""),"DE212")</f>
        <v>DE212</v>
      </c>
    </row>
    <row r="1078" spans="1:2" ht="12.5" x14ac:dyDescent="0.25">
      <c r="A1078" t="str">
        <f ca="1">IFERROR(__xludf.DUMMYFUNCTION("""COMPUTED_VALUE"""),"München, Landkreis")</f>
        <v>München, Landkreis</v>
      </c>
      <c r="B1078" t="str">
        <f ca="1">IFERROR(__xludf.DUMMYFUNCTION("""COMPUTED_VALUE"""),"DE21H")</f>
        <v>DE21H</v>
      </c>
    </row>
    <row r="1079" spans="1:2" ht="12.5" x14ac:dyDescent="0.25">
      <c r="A1079" t="str">
        <f ca="1">IFERROR(__xludf.DUMMYFUNCTION("""COMPUTED_VALUE"""),"Münster")</f>
        <v>Münster</v>
      </c>
      <c r="B1079" t="str">
        <f ca="1">IFERROR(__xludf.DUMMYFUNCTION("""COMPUTED_VALUE"""),"DEA3")</f>
        <v>DEA3</v>
      </c>
    </row>
    <row r="1080" spans="1:2" ht="12.5" x14ac:dyDescent="0.25">
      <c r="A1080" t="str">
        <f ca="1">IFERROR(__xludf.DUMMYFUNCTION("""COMPUTED_VALUE"""),"Münster, Kreisfreie Stadt")</f>
        <v>Münster, Kreisfreie Stadt</v>
      </c>
      <c r="B1080" t="str">
        <f ca="1">IFERROR(__xludf.DUMMYFUNCTION("""COMPUTED_VALUE"""),"DEA33")</f>
        <v>DEA33</v>
      </c>
    </row>
    <row r="1081" spans="1:2" ht="12.5" x14ac:dyDescent="0.25">
      <c r="A1081" t="str">
        <f ca="1">IFERROR(__xludf.DUMMYFUNCTION("""COMPUTED_VALUE"""),"Murcia")</f>
        <v>Murcia</v>
      </c>
      <c r="B1081" t="str">
        <f ca="1">IFERROR(__xludf.DUMMYFUNCTION("""COMPUTED_VALUE"""),"ES620")</f>
        <v>ES620</v>
      </c>
    </row>
    <row r="1082" spans="1:2" ht="12.5" x14ac:dyDescent="0.25">
      <c r="A1082" t="str">
        <f ca="1">IFERROR(__xludf.DUMMYFUNCTION("""COMPUTED_VALUE"""),"Mures")</f>
        <v>Mures</v>
      </c>
      <c r="B1082" t="str">
        <f ca="1">IFERROR(__xludf.DUMMYFUNCTION("""COMPUTED_VALUE"""),"RO125")</f>
        <v>RO125</v>
      </c>
    </row>
    <row r="1083" spans="1:2" ht="12.5" x14ac:dyDescent="0.25">
      <c r="A1083" t="str">
        <f ca="1">IFERROR(__xludf.DUMMYFUNCTION("""COMPUTED_VALUE"""),"Müritz")</f>
        <v>Müritz</v>
      </c>
      <c r="B1083" t="str">
        <f ca="1">IFERROR(__xludf.DUMMYFUNCTION("""COMPUTED_VALUE"""),"DE80C")</f>
        <v>DE80C</v>
      </c>
    </row>
    <row r="1084" spans="1:2" ht="12.5" x14ac:dyDescent="0.25">
      <c r="A1084" t="str">
        <f ca="1">IFERROR(__xludf.DUMMYFUNCTION("""COMPUTED_VALUE"""),"Napoli")</f>
        <v>Napoli</v>
      </c>
      <c r="B1084" t="str">
        <f ca="1">IFERROR(__xludf.DUMMYFUNCTION("""COMPUTED_VALUE"""),"ITF33")</f>
        <v>ITF33</v>
      </c>
    </row>
    <row r="1085" spans="1:2" ht="12.5" x14ac:dyDescent="0.25">
      <c r="A1085" t="str">
        <f ca="1">IFERROR(__xludf.DUMMYFUNCTION("""COMPUTED_VALUE"""),"Navarra")</f>
        <v>Navarra</v>
      </c>
      <c r="B1085" t="str">
        <f ca="1">IFERROR(__xludf.DUMMYFUNCTION("""COMPUTED_VALUE"""),"ES220")</f>
        <v>ES220</v>
      </c>
    </row>
    <row r="1086" spans="1:2" ht="12.5" x14ac:dyDescent="0.25">
      <c r="A1086" t="str">
        <f ca="1">IFERROR(__xludf.DUMMYFUNCTION("""COMPUTED_VALUE"""),"Neamt")</f>
        <v>Neamt</v>
      </c>
      <c r="B1086" t="str">
        <f ca="1">IFERROR(__xludf.DUMMYFUNCTION("""COMPUTED_VALUE"""),"RO214")</f>
        <v>RO214</v>
      </c>
    </row>
    <row r="1087" spans="1:2" ht="12.5" x14ac:dyDescent="0.25">
      <c r="A1087" t="str">
        <f ca="1">IFERROR(__xludf.DUMMYFUNCTION("""COMPUTED_VALUE"""),"Neckar-Odenwald-Kreis")</f>
        <v>Neckar-Odenwald-Kreis</v>
      </c>
      <c r="B1087" t="str">
        <f ca="1">IFERROR(__xludf.DUMMYFUNCTION("""COMPUTED_VALUE"""),"DE127")</f>
        <v>DE127</v>
      </c>
    </row>
    <row r="1088" spans="1:2" ht="12.5" x14ac:dyDescent="0.25">
      <c r="A1088" t="str">
        <f ca="1">IFERROR(__xludf.DUMMYFUNCTION("""COMPUTED_VALUE"""),"Nederland")</f>
        <v>Nederland</v>
      </c>
      <c r="B1088" t="str">
        <f ca="1">IFERROR(__xludf.DUMMYFUNCTION("""COMPUTED_VALUE"""),"NL")</f>
        <v>NL</v>
      </c>
    </row>
    <row r="1089" spans="1:2" ht="12.5" x14ac:dyDescent="0.25">
      <c r="A1089" t="str">
        <f ca="1">IFERROR(__xludf.DUMMYFUNCTION("""COMPUTED_VALUE"""),"Neu-Ulm")</f>
        <v>Neu-Ulm</v>
      </c>
      <c r="B1089" t="str">
        <f ca="1">IFERROR(__xludf.DUMMYFUNCTION("""COMPUTED_VALUE"""),"DE279")</f>
        <v>DE279</v>
      </c>
    </row>
    <row r="1090" spans="1:2" ht="12.5" x14ac:dyDescent="0.25">
      <c r="A1090" t="str">
        <f ca="1">IFERROR(__xludf.DUMMYFUNCTION("""COMPUTED_VALUE"""),"Neubrandenburg, Kreisfreie Stadt")</f>
        <v>Neubrandenburg, Kreisfreie Stadt</v>
      </c>
      <c r="B1090" t="str">
        <f ca="1">IFERROR(__xludf.DUMMYFUNCTION("""COMPUTED_VALUE"""),"DE802")</f>
        <v>DE802</v>
      </c>
    </row>
    <row r="1091" spans="1:2" ht="12.5" x14ac:dyDescent="0.25">
      <c r="A1091" t="str">
        <f ca="1">IFERROR(__xludf.DUMMYFUNCTION("""COMPUTED_VALUE"""),"Neuburg-Schrobenhausen")</f>
        <v>Neuburg-Schrobenhausen</v>
      </c>
      <c r="B1091" t="str">
        <f ca="1">IFERROR(__xludf.DUMMYFUNCTION("""COMPUTED_VALUE"""),"DE21I")</f>
        <v>DE21I</v>
      </c>
    </row>
    <row r="1092" spans="1:2" ht="12.5" x14ac:dyDescent="0.25">
      <c r="A1092" t="str">
        <f ca="1">IFERROR(__xludf.DUMMYFUNCTION("""COMPUTED_VALUE"""),"Neuchâtel")</f>
        <v>Neuchâtel</v>
      </c>
      <c r="B1092" t="str">
        <f ca="1">IFERROR(__xludf.DUMMYFUNCTION("""COMPUTED_VALUE"""),"CH024")</f>
        <v>CH024</v>
      </c>
    </row>
    <row r="1093" spans="1:2" ht="12.5" x14ac:dyDescent="0.25">
      <c r="A1093" t="str">
        <f ca="1">IFERROR(__xludf.DUMMYFUNCTION("""COMPUTED_VALUE"""),"Neumarkt I. D. Opf.")</f>
        <v>Neumarkt I. D. Opf.</v>
      </c>
      <c r="B1093" t="str">
        <f ca="1">IFERROR(__xludf.DUMMYFUNCTION("""COMPUTED_VALUE"""),"DE236")</f>
        <v>DE236</v>
      </c>
    </row>
    <row r="1094" spans="1:2" ht="12.5" x14ac:dyDescent="0.25">
      <c r="A1094" t="str">
        <f ca="1">IFERROR(__xludf.DUMMYFUNCTION("""COMPUTED_VALUE"""),"Neumünster, Kreisfreie Stadt")</f>
        <v>Neumünster, Kreisfreie Stadt</v>
      </c>
      <c r="B1094" t="str">
        <f ca="1">IFERROR(__xludf.DUMMYFUNCTION("""COMPUTED_VALUE"""),"DEF04")</f>
        <v>DEF04</v>
      </c>
    </row>
    <row r="1095" spans="1:2" ht="12.5" x14ac:dyDescent="0.25">
      <c r="A1095" t="str">
        <f ca="1">IFERROR(__xludf.DUMMYFUNCTION("""COMPUTED_VALUE"""),"Neunkirchen")</f>
        <v>Neunkirchen</v>
      </c>
      <c r="B1095" t="str">
        <f ca="1">IFERROR(__xludf.DUMMYFUNCTION("""COMPUTED_VALUE"""),"DEC03")</f>
        <v>DEC03</v>
      </c>
    </row>
    <row r="1096" spans="1:2" ht="12.5" x14ac:dyDescent="0.25">
      <c r="A1096" t="str">
        <f ca="1">IFERROR(__xludf.DUMMYFUNCTION("""COMPUTED_VALUE"""),"Neustadt A. D. Aisch-Bad Windsheim")</f>
        <v>Neustadt A. D. Aisch-Bad Windsheim</v>
      </c>
      <c r="B1096" t="str">
        <f ca="1">IFERROR(__xludf.DUMMYFUNCTION("""COMPUTED_VALUE"""),"DE25A")</f>
        <v>DE25A</v>
      </c>
    </row>
    <row r="1097" spans="1:2" ht="12.5" x14ac:dyDescent="0.25">
      <c r="A1097" t="str">
        <f ca="1">IFERROR(__xludf.DUMMYFUNCTION("""COMPUTED_VALUE"""),"Neustadt A. D. Waldnaab")</f>
        <v>Neustadt A. D. Waldnaab</v>
      </c>
      <c r="B1097" t="str">
        <f ca="1">IFERROR(__xludf.DUMMYFUNCTION("""COMPUTED_VALUE"""),"DE237")</f>
        <v>DE237</v>
      </c>
    </row>
    <row r="1098" spans="1:2" ht="12.5" x14ac:dyDescent="0.25">
      <c r="A1098" t="str">
        <f ca="1">IFERROR(__xludf.DUMMYFUNCTION("""COMPUTED_VALUE"""),"Neustadt An Der Weinstraße, Kreisfreie Stadt")</f>
        <v>Neustadt An Der Weinstraße, Kreisfreie Stadt</v>
      </c>
      <c r="B1098" t="str">
        <f ca="1">IFERROR(__xludf.DUMMYFUNCTION("""COMPUTED_VALUE"""),"DEB36")</f>
        <v>DEB36</v>
      </c>
    </row>
    <row r="1099" spans="1:2" ht="12.5" x14ac:dyDescent="0.25">
      <c r="A1099" t="str">
        <f ca="1">IFERROR(__xludf.DUMMYFUNCTION("""COMPUTED_VALUE"""),"Neuwied")</f>
        <v>Neuwied</v>
      </c>
      <c r="B1099" t="str">
        <f ca="1">IFERROR(__xludf.DUMMYFUNCTION("""COMPUTED_VALUE"""),"DEB18")</f>
        <v>DEB18</v>
      </c>
    </row>
    <row r="1100" spans="1:2" ht="12.5" x14ac:dyDescent="0.25">
      <c r="A1100" t="str">
        <f ca="1">IFERROR(__xludf.DUMMYFUNCTION("""COMPUTED_VALUE"""),"Nidwalden")</f>
        <v>Nidwalden</v>
      </c>
      <c r="B1100" t="str">
        <f ca="1">IFERROR(__xludf.DUMMYFUNCTION("""COMPUTED_VALUE"""),"CH065")</f>
        <v>CH065</v>
      </c>
    </row>
    <row r="1101" spans="1:2" ht="12.5" x14ac:dyDescent="0.25">
      <c r="A1101" t="str">
        <f ca="1">IFERROR(__xludf.DUMMYFUNCTION("""COMPUTED_VALUE"""),"Niederbayern")</f>
        <v>Niederbayern</v>
      </c>
      <c r="B1101" t="str">
        <f ca="1">IFERROR(__xludf.DUMMYFUNCTION("""COMPUTED_VALUE"""),"DE22")</f>
        <v>DE22</v>
      </c>
    </row>
    <row r="1102" spans="1:2" ht="12.5" x14ac:dyDescent="0.25">
      <c r="A1102" t="str">
        <f ca="1">IFERROR(__xludf.DUMMYFUNCTION("""COMPUTED_VALUE"""),"Niederösterreich")</f>
        <v>Niederösterreich</v>
      </c>
      <c r="B1102" t="str">
        <f ca="1">IFERROR(__xludf.DUMMYFUNCTION("""COMPUTED_VALUE"""),"AT12")</f>
        <v>AT12</v>
      </c>
    </row>
    <row r="1103" spans="1:2" ht="12.5" x14ac:dyDescent="0.25">
      <c r="A1103" t="str">
        <f ca="1">IFERROR(__xludf.DUMMYFUNCTION("""COMPUTED_VALUE"""),"Niederösterreich-Süd")</f>
        <v>Niederösterreich-Süd</v>
      </c>
      <c r="B1103" t="str">
        <f ca="1">IFERROR(__xludf.DUMMYFUNCTION("""COMPUTED_VALUE"""),"AT122")</f>
        <v>AT122</v>
      </c>
    </row>
    <row r="1104" spans="1:2" ht="12.5" x14ac:dyDescent="0.25">
      <c r="A1104" t="str">
        <f ca="1">IFERROR(__xludf.DUMMYFUNCTION("""COMPUTED_VALUE"""),"Niedersachsen")</f>
        <v>Niedersachsen</v>
      </c>
      <c r="B1104" t="str">
        <f ca="1">IFERROR(__xludf.DUMMYFUNCTION("""COMPUTED_VALUE"""),"DE9")</f>
        <v>DE9</v>
      </c>
    </row>
    <row r="1105" spans="1:2" ht="12.5" x14ac:dyDescent="0.25">
      <c r="A1105" t="str">
        <f ca="1">IFERROR(__xludf.DUMMYFUNCTION("""COMPUTED_VALUE"""),"Niederschlesischer Oberlausitzkreis")</f>
        <v>Niederschlesischer Oberlausitzkreis</v>
      </c>
      <c r="B1105" t="str">
        <f ca="1">IFERROR(__xludf.DUMMYFUNCTION("""COMPUTED_VALUE"""),"DED26")</f>
        <v>DED26</v>
      </c>
    </row>
    <row r="1106" spans="1:2" ht="12.5" x14ac:dyDescent="0.25">
      <c r="A1106" t="str">
        <f ca="1">IFERROR(__xludf.DUMMYFUNCTION("""COMPUTED_VALUE"""),"Nienburg (Weser)")</f>
        <v>Nienburg (Weser)</v>
      </c>
      <c r="B1106" t="str">
        <f ca="1">IFERROR(__xludf.DUMMYFUNCTION("""COMPUTED_VALUE"""),"DE927")</f>
        <v>DE927</v>
      </c>
    </row>
    <row r="1107" spans="1:2" ht="12.5" x14ac:dyDescent="0.25">
      <c r="A1107" t="str">
        <f ca="1">IFERROR(__xludf.DUMMYFUNCTION("""COMPUTED_VALUE"""),"Nièvre")</f>
        <v>Nièvre</v>
      </c>
      <c r="B1107" t="str">
        <f ca="1">IFERROR(__xludf.DUMMYFUNCTION("""COMPUTED_VALUE"""),"FR262")</f>
        <v>FR262</v>
      </c>
    </row>
    <row r="1108" spans="1:2" ht="12.5" x14ac:dyDescent="0.25">
      <c r="A1108" t="str">
        <f ca="1">IFERROR(__xludf.DUMMYFUNCTION("""COMPUTED_VALUE"""),"Nisia Aigaiou, Kriti")</f>
        <v>Nisia Aigaiou, Kriti</v>
      </c>
      <c r="B1108" t="str">
        <f ca="1">IFERROR(__xludf.DUMMYFUNCTION("""COMPUTED_VALUE"""),"GR4")</f>
        <v>GR4</v>
      </c>
    </row>
    <row r="1109" spans="1:2" ht="12.5" x14ac:dyDescent="0.25">
      <c r="A1109" t="str">
        <f ca="1">IFERROR(__xludf.DUMMYFUNCTION("""COMPUTED_VALUE"""),"Nitriansky Kraj")</f>
        <v>Nitriansky Kraj</v>
      </c>
      <c r="B1109" t="str">
        <f ca="1">IFERROR(__xludf.DUMMYFUNCTION("""COMPUTED_VALUE"""),"SK023")</f>
        <v>SK023</v>
      </c>
    </row>
    <row r="1110" spans="1:2" ht="12.5" x14ac:dyDescent="0.25">
      <c r="A1110" t="str">
        <f ca="1">IFERROR(__xludf.DUMMYFUNCTION("""COMPUTED_VALUE"""),"Nograd")</f>
        <v>Nograd</v>
      </c>
      <c r="B1110" t="str">
        <f ca="1">IFERROR(__xludf.DUMMYFUNCTION("""COMPUTED_VALUE"""),"HU313")</f>
        <v>HU313</v>
      </c>
    </row>
    <row r="1111" spans="1:2" ht="12.5" x14ac:dyDescent="0.25">
      <c r="A1111" t="str">
        <f ca="1">IFERROR(__xludf.DUMMYFUNCTION("""COMPUTED_VALUE"""),"Noord-Brabant")</f>
        <v>Noord-Brabant</v>
      </c>
      <c r="B1111" t="str">
        <f ca="1">IFERROR(__xludf.DUMMYFUNCTION("""COMPUTED_VALUE"""),"NL41")</f>
        <v>NL41</v>
      </c>
    </row>
    <row r="1112" spans="1:2" ht="12.5" x14ac:dyDescent="0.25">
      <c r="A1112" t="str">
        <f ca="1">IFERROR(__xludf.DUMMYFUNCTION("""COMPUTED_VALUE"""),"Noord-Drenthe")</f>
        <v>Noord-Drenthe</v>
      </c>
      <c r="B1112" t="str">
        <f ca="1">IFERROR(__xludf.DUMMYFUNCTION("""COMPUTED_VALUE"""),"NL131")</f>
        <v>NL131</v>
      </c>
    </row>
    <row r="1113" spans="1:2" ht="12.5" x14ac:dyDescent="0.25">
      <c r="A1113" t="str">
        <f ca="1">IFERROR(__xludf.DUMMYFUNCTION("""COMPUTED_VALUE"""),"Noord-Friesland")</f>
        <v>Noord-Friesland</v>
      </c>
      <c r="B1113" t="str">
        <f ca="1">IFERROR(__xludf.DUMMYFUNCTION("""COMPUTED_VALUE"""),"NL121")</f>
        <v>NL121</v>
      </c>
    </row>
    <row r="1114" spans="1:2" ht="12.5" x14ac:dyDescent="0.25">
      <c r="A1114" t="str">
        <f ca="1">IFERROR(__xludf.DUMMYFUNCTION("""COMPUTED_VALUE"""),"Noord-Holland")</f>
        <v>Noord-Holland</v>
      </c>
      <c r="B1114" t="str">
        <f ca="1">IFERROR(__xludf.DUMMYFUNCTION("""COMPUTED_VALUE"""),"NL32")</f>
        <v>NL32</v>
      </c>
    </row>
    <row r="1115" spans="1:2" ht="12.5" x14ac:dyDescent="0.25">
      <c r="A1115" t="str">
        <f ca="1">IFERROR(__xludf.DUMMYFUNCTION("""COMPUTED_VALUE"""),"Noord-Limburg")</f>
        <v>Noord-Limburg</v>
      </c>
      <c r="B1115" t="str">
        <f ca="1">IFERROR(__xludf.DUMMYFUNCTION("""COMPUTED_VALUE"""),"NL421")</f>
        <v>NL421</v>
      </c>
    </row>
    <row r="1116" spans="1:2" ht="12.5" x14ac:dyDescent="0.25">
      <c r="A1116" t="str">
        <f ca="1">IFERROR(__xludf.DUMMYFUNCTION("""COMPUTED_VALUE"""),"Noord-Nederland")</f>
        <v>Noord-Nederland</v>
      </c>
      <c r="B1116" t="str">
        <f ca="1">IFERROR(__xludf.DUMMYFUNCTION("""COMPUTED_VALUE"""),"NL1")</f>
        <v>NL1</v>
      </c>
    </row>
    <row r="1117" spans="1:2" ht="12.5" x14ac:dyDescent="0.25">
      <c r="A1117" t="str">
        <f ca="1">IFERROR(__xludf.DUMMYFUNCTION("""COMPUTED_VALUE"""),"Noord-Overijssel")</f>
        <v>Noord-Overijssel</v>
      </c>
      <c r="B1117" t="str">
        <f ca="1">IFERROR(__xludf.DUMMYFUNCTION("""COMPUTED_VALUE"""),"NL211")</f>
        <v>NL211</v>
      </c>
    </row>
    <row r="1118" spans="1:2" ht="12.5" x14ac:dyDescent="0.25">
      <c r="A1118" t="str">
        <f ca="1">IFERROR(__xludf.DUMMYFUNCTION("""COMPUTED_VALUE"""),"Noordoost-Noord-Brabant")</f>
        <v>Noordoost-Noord-Brabant</v>
      </c>
      <c r="B1118" t="str">
        <f ca="1">IFERROR(__xludf.DUMMYFUNCTION("""COMPUTED_VALUE"""),"NL413")</f>
        <v>NL413</v>
      </c>
    </row>
    <row r="1119" spans="1:2" ht="12.5" x14ac:dyDescent="0.25">
      <c r="A1119" t="str">
        <f ca="1">IFERROR(__xludf.DUMMYFUNCTION("""COMPUTED_VALUE"""),"Nord")</f>
        <v>Nord</v>
      </c>
      <c r="B1119" t="str">
        <f ca="1">IFERROR(__xludf.DUMMYFUNCTION("""COMPUTED_VALUE"""),"FR301")</f>
        <v>FR301</v>
      </c>
    </row>
    <row r="1120" spans="1:2" ht="12.5" x14ac:dyDescent="0.25">
      <c r="A1120" t="str">
        <f ca="1">IFERROR(__xludf.DUMMYFUNCTION("""COMPUTED_VALUE"""),"Nord - Pas-De-Calais")</f>
        <v>Nord - Pas-De-Calais</v>
      </c>
      <c r="B1120" t="str">
        <f ca="1">IFERROR(__xludf.DUMMYFUNCTION("""COMPUTED_VALUE"""),"FR3")</f>
        <v>FR3</v>
      </c>
    </row>
    <row r="1121" spans="1:2" ht="12.5" x14ac:dyDescent="0.25">
      <c r="A1121" t="str">
        <f ca="1">IFERROR(__xludf.DUMMYFUNCTION("""COMPUTED_VALUE"""),"Nord - Pas-De-Calais (*)")</f>
        <v>Nord - Pas-De-Calais (*)</v>
      </c>
      <c r="B1121" t="str">
        <f ca="1">IFERROR(__xludf.DUMMYFUNCTION("""COMPUTED_VALUE"""),"FR30")</f>
        <v>FR30</v>
      </c>
    </row>
    <row r="1122" spans="1:2" ht="12.5" x14ac:dyDescent="0.25">
      <c r="A1122" t="str">
        <f ca="1">IFERROR(__xludf.DUMMYFUNCTION("""COMPUTED_VALUE"""),"Nord-Est")</f>
        <v>Nord-Est</v>
      </c>
      <c r="B1122" t="str">
        <f ca="1">IFERROR(__xludf.DUMMYFUNCTION("""COMPUTED_VALUE"""),"ITD")</f>
        <v>ITD</v>
      </c>
    </row>
    <row r="1123" spans="1:2" ht="12.5" x14ac:dyDescent="0.25">
      <c r="A1123" t="str">
        <f ca="1">IFERROR(__xludf.DUMMYFUNCTION("""COMPUTED_VALUE"""),"Nord-Est (*)")</f>
        <v>Nord-Est (*)</v>
      </c>
      <c r="B1123" t="str">
        <f ca="1">IFERROR(__xludf.DUMMYFUNCTION("""COMPUTED_VALUE"""),"RO21")</f>
        <v>RO21</v>
      </c>
    </row>
    <row r="1124" spans="1:2" ht="12.5" x14ac:dyDescent="0.25">
      <c r="A1124" t="str">
        <f ca="1">IFERROR(__xludf.DUMMYFUNCTION("""COMPUTED_VALUE"""),"Nord-Norge")</f>
        <v>Nord-Norge</v>
      </c>
      <c r="B1124" t="str">
        <f ca="1">IFERROR(__xludf.DUMMYFUNCTION("""COMPUTED_VALUE"""),"NO07")</f>
        <v>NO07</v>
      </c>
    </row>
    <row r="1125" spans="1:2" ht="12.5" x14ac:dyDescent="0.25">
      <c r="A1125" t="str">
        <f ca="1">IFERROR(__xludf.DUMMYFUNCTION("""COMPUTED_VALUE"""),"Nord-Ovest")</f>
        <v>Nord-Ovest</v>
      </c>
      <c r="B1125" t="str">
        <f ca="1">IFERROR(__xludf.DUMMYFUNCTION("""COMPUTED_VALUE"""),"ITC")</f>
        <v>ITC</v>
      </c>
    </row>
    <row r="1126" spans="1:2" ht="12.5" x14ac:dyDescent="0.25">
      <c r="A1126" t="str">
        <f ca="1">IFERROR(__xludf.DUMMYFUNCTION("""COMPUTED_VALUE"""),"Nord-Trøndelag")</f>
        <v>Nord-Trøndelag</v>
      </c>
      <c r="B1126" t="str">
        <f ca="1">IFERROR(__xludf.DUMMYFUNCTION("""COMPUTED_VALUE"""),"NO062")</f>
        <v>NO062</v>
      </c>
    </row>
    <row r="1127" spans="1:2" ht="12.5" x14ac:dyDescent="0.25">
      <c r="A1127" t="str">
        <f ca="1">IFERROR(__xludf.DUMMYFUNCTION("""COMPUTED_VALUE"""),"Nord-Vest")</f>
        <v>Nord-Vest</v>
      </c>
      <c r="B1127" t="str">
        <f ca="1">IFERROR(__xludf.DUMMYFUNCTION("""COMPUTED_VALUE"""),"RO11")</f>
        <v>RO11</v>
      </c>
    </row>
    <row r="1128" spans="1:2" ht="12.5" x14ac:dyDescent="0.25">
      <c r="A1128" t="str">
        <f ca="1">IFERROR(__xludf.DUMMYFUNCTION("""COMPUTED_VALUE"""),"Nordburgenland")</f>
        <v>Nordburgenland</v>
      </c>
      <c r="B1128" t="str">
        <f ca="1">IFERROR(__xludf.DUMMYFUNCTION("""COMPUTED_VALUE"""),"AT112")</f>
        <v>AT112</v>
      </c>
    </row>
    <row r="1129" spans="1:2" ht="12.5" x14ac:dyDescent="0.25">
      <c r="A1129" t="str">
        <f ca="1">IFERROR(__xludf.DUMMYFUNCTION("""COMPUTED_VALUE"""),"Nordfriesland")</f>
        <v>Nordfriesland</v>
      </c>
      <c r="B1129" t="str">
        <f ca="1">IFERROR(__xludf.DUMMYFUNCTION("""COMPUTED_VALUE"""),"DEF07")</f>
        <v>DEF07</v>
      </c>
    </row>
    <row r="1130" spans="1:2" ht="12.5" x14ac:dyDescent="0.25">
      <c r="A1130" t="str">
        <f ca="1">IFERROR(__xludf.DUMMYFUNCTION("""COMPUTED_VALUE"""),"Nordhausen")</f>
        <v>Nordhausen</v>
      </c>
      <c r="B1130" t="str">
        <f ca="1">IFERROR(__xludf.DUMMYFUNCTION("""COMPUTED_VALUE"""),"DEG07")</f>
        <v>DEG07</v>
      </c>
    </row>
    <row r="1131" spans="1:2" ht="12.5" x14ac:dyDescent="0.25">
      <c r="A1131" t="str">
        <f ca="1">IFERROR(__xludf.DUMMYFUNCTION("""COMPUTED_VALUE"""),"Nordjylland")</f>
        <v>Nordjylland</v>
      </c>
      <c r="B1131" t="str">
        <f ca="1">IFERROR(__xludf.DUMMYFUNCTION("""COMPUTED_VALUE"""),"DK05")</f>
        <v>DK05</v>
      </c>
    </row>
    <row r="1132" spans="1:2" ht="12.5" x14ac:dyDescent="0.25">
      <c r="A1132" t="str">
        <f ca="1">IFERROR(__xludf.DUMMYFUNCTION("""COMPUTED_VALUE"""),"Nordjylland (*)")</f>
        <v>Nordjylland (*)</v>
      </c>
      <c r="B1132" t="str">
        <f ca="1">IFERROR(__xludf.DUMMYFUNCTION("""COMPUTED_VALUE"""),"DK050")</f>
        <v>DK050</v>
      </c>
    </row>
    <row r="1133" spans="1:2" ht="12.5" x14ac:dyDescent="0.25">
      <c r="A1133" t="str">
        <f ca="1">IFERROR(__xludf.DUMMYFUNCTION("""COMPUTED_VALUE"""),"Nordland")</f>
        <v>Nordland</v>
      </c>
      <c r="B1133" t="str">
        <f ca="1">IFERROR(__xludf.DUMMYFUNCTION("""COMPUTED_VALUE"""),"NO071")</f>
        <v>NO071</v>
      </c>
    </row>
    <row r="1134" spans="1:2" ht="12.5" x14ac:dyDescent="0.25">
      <c r="A1134" t="str">
        <f ca="1">IFERROR(__xludf.DUMMYFUNCTION("""COMPUTED_VALUE"""),"Nordrhein-Westfalen")</f>
        <v>Nordrhein-Westfalen</v>
      </c>
      <c r="B1134" t="str">
        <f ca="1">IFERROR(__xludf.DUMMYFUNCTION("""COMPUTED_VALUE"""),"DEA")</f>
        <v>DEA</v>
      </c>
    </row>
    <row r="1135" spans="1:2" ht="12.5" x14ac:dyDescent="0.25">
      <c r="A1135" t="str">
        <f ca="1">IFERROR(__xludf.DUMMYFUNCTION("""COMPUTED_VALUE"""),"Nordsjælland")</f>
        <v>Nordsjælland</v>
      </c>
      <c r="B1135" t="str">
        <f ca="1">IFERROR(__xludf.DUMMYFUNCTION("""COMPUTED_VALUE"""),"DK013")</f>
        <v>DK013</v>
      </c>
    </row>
    <row r="1136" spans="1:2" ht="12.5" x14ac:dyDescent="0.25">
      <c r="A1136" t="str">
        <f ca="1">IFERROR(__xludf.DUMMYFUNCTION("""COMPUTED_VALUE"""),"Nordvorpommern")</f>
        <v>Nordvorpommern</v>
      </c>
      <c r="B1136" t="str">
        <f ca="1">IFERROR(__xludf.DUMMYFUNCTION("""COMPUTED_VALUE"""),"DE80D")</f>
        <v>DE80D</v>
      </c>
    </row>
    <row r="1137" spans="1:2" ht="12.5" x14ac:dyDescent="0.25">
      <c r="A1137" t="str">
        <f ca="1">IFERROR(__xludf.DUMMYFUNCTION("""COMPUTED_VALUE"""),"Nordwestmecklenburg")</f>
        <v>Nordwestmecklenburg</v>
      </c>
      <c r="B1137" t="str">
        <f ca="1">IFERROR(__xludf.DUMMYFUNCTION("""COMPUTED_VALUE"""),"DE80E")</f>
        <v>DE80E</v>
      </c>
    </row>
    <row r="1138" spans="1:2" ht="12.5" x14ac:dyDescent="0.25">
      <c r="A1138" t="str">
        <f ca="1">IFERROR(__xludf.DUMMYFUNCTION("""COMPUTED_VALUE"""),"Nordwestschweiz")</f>
        <v>Nordwestschweiz</v>
      </c>
      <c r="B1138" t="str">
        <f ca="1">IFERROR(__xludf.DUMMYFUNCTION("""COMPUTED_VALUE"""),"CH03")</f>
        <v>CH03</v>
      </c>
    </row>
    <row r="1139" spans="1:2" ht="12.5" x14ac:dyDescent="0.25">
      <c r="A1139" t="str">
        <f ca="1">IFERROR(__xludf.DUMMYFUNCTION("""COMPUTED_VALUE"""),"Noreste")</f>
        <v>Noreste</v>
      </c>
      <c r="B1139" t="str">
        <f ca="1">IFERROR(__xludf.DUMMYFUNCTION("""COMPUTED_VALUE"""),"ES2")</f>
        <v>ES2</v>
      </c>
    </row>
    <row r="1140" spans="1:2" ht="12.5" x14ac:dyDescent="0.25">
      <c r="A1140" t="str">
        <f ca="1">IFERROR(__xludf.DUMMYFUNCTION("""COMPUTED_VALUE"""),"Norfolk")</f>
        <v>Norfolk</v>
      </c>
      <c r="B1140" t="str">
        <f ca="1">IFERROR(__xludf.DUMMYFUNCTION("""COMPUTED_VALUE"""),"UKH13")</f>
        <v>UKH13</v>
      </c>
    </row>
    <row r="1141" spans="1:2" ht="12.5" x14ac:dyDescent="0.25">
      <c r="A1141" t="str">
        <f ca="1">IFERROR(__xludf.DUMMYFUNCTION("""COMPUTED_VALUE"""),"Norge")</f>
        <v>Norge</v>
      </c>
      <c r="B1141" t="str">
        <f ca="1">IFERROR(__xludf.DUMMYFUNCTION("""COMPUTED_VALUE"""),"NO")</f>
        <v>NO</v>
      </c>
    </row>
    <row r="1142" spans="1:2" ht="12.5" x14ac:dyDescent="0.25">
      <c r="A1142" t="str">
        <f ca="1">IFERROR(__xludf.DUMMYFUNCTION("""COMPUTED_VALUE"""),"Norge (*)")</f>
        <v>Norge (*)</v>
      </c>
      <c r="B1142" t="str">
        <f ca="1">IFERROR(__xludf.DUMMYFUNCTION("""COMPUTED_VALUE"""),"NO0")</f>
        <v>NO0</v>
      </c>
    </row>
    <row r="1143" spans="1:2" ht="12.5" x14ac:dyDescent="0.25">
      <c r="A1143" t="str">
        <f ca="1">IFERROR(__xludf.DUMMYFUNCTION("""COMPUTED_VALUE"""),"Noroeste")</f>
        <v>Noroeste</v>
      </c>
      <c r="B1143" t="str">
        <f ca="1">IFERROR(__xludf.DUMMYFUNCTION("""COMPUTED_VALUE"""),"ES1")</f>
        <v>ES1</v>
      </c>
    </row>
    <row r="1144" spans="1:2" ht="12.5" x14ac:dyDescent="0.25">
      <c r="A1144" t="str">
        <f ca="1">IFERROR(__xludf.DUMMYFUNCTION("""COMPUTED_VALUE"""),"Norra Mellansverige")</f>
        <v>Norra Mellansverige</v>
      </c>
      <c r="B1144" t="str">
        <f ca="1">IFERROR(__xludf.DUMMYFUNCTION("""COMPUTED_VALUE"""),"SE31")</f>
        <v>SE31</v>
      </c>
    </row>
    <row r="1145" spans="1:2" ht="12.5" x14ac:dyDescent="0.25">
      <c r="A1145" t="str">
        <f ca="1">IFERROR(__xludf.DUMMYFUNCTION("""COMPUTED_VALUE"""),"Norra Sverige")</f>
        <v>Norra Sverige</v>
      </c>
      <c r="B1145" t="str">
        <f ca="1">IFERROR(__xludf.DUMMYFUNCTION("""COMPUTED_VALUE"""),"SE3")</f>
        <v>SE3</v>
      </c>
    </row>
    <row r="1146" spans="1:2" ht="12.5" x14ac:dyDescent="0.25">
      <c r="A1146" t="str">
        <f ca="1">IFERROR(__xludf.DUMMYFUNCTION("""COMPUTED_VALUE"""),"Norrbottens Län")</f>
        <v>Norrbottens Län</v>
      </c>
      <c r="B1146" t="str">
        <f ca="1">IFERROR(__xludf.DUMMYFUNCTION("""COMPUTED_VALUE"""),"SE332")</f>
        <v>SE332</v>
      </c>
    </row>
    <row r="1147" spans="1:2" ht="12.5" x14ac:dyDescent="0.25">
      <c r="A1147" t="str">
        <f ca="1">IFERROR(__xludf.DUMMYFUNCTION("""COMPUTED_VALUE"""),"Norte")</f>
        <v>Norte</v>
      </c>
      <c r="B1147" t="str">
        <f ca="1">IFERROR(__xludf.DUMMYFUNCTION("""COMPUTED_VALUE"""),"PT11")</f>
        <v>PT11</v>
      </c>
    </row>
    <row r="1148" spans="1:2" ht="12.5" x14ac:dyDescent="0.25">
      <c r="A1148" t="str">
        <f ca="1">IFERROR(__xludf.DUMMYFUNCTION("""COMPUTED_VALUE"""),"North And North East Lincolnshire")</f>
        <v>North And North East Lincolnshire</v>
      </c>
      <c r="B1148" t="str">
        <f ca="1">IFERROR(__xludf.DUMMYFUNCTION("""COMPUTED_VALUE"""),"UKE13")</f>
        <v>UKE13</v>
      </c>
    </row>
    <row r="1149" spans="1:2" ht="12.5" x14ac:dyDescent="0.25">
      <c r="A1149" t="str">
        <f ca="1">IFERROR(__xludf.DUMMYFUNCTION("""COMPUTED_VALUE"""),"North East (England)")</f>
        <v>North East (England)</v>
      </c>
      <c r="B1149" t="str">
        <f ca="1">IFERROR(__xludf.DUMMYFUNCTION("""COMPUTED_VALUE"""),"UKC")</f>
        <v>UKC</v>
      </c>
    </row>
    <row r="1150" spans="1:2" ht="12.5" x14ac:dyDescent="0.25">
      <c r="A1150" t="str">
        <f ca="1">IFERROR(__xludf.DUMMYFUNCTION("""COMPUTED_VALUE"""),"North Eastern Scotland")</f>
        <v>North Eastern Scotland</v>
      </c>
      <c r="B1150" t="str">
        <f ca="1">IFERROR(__xludf.DUMMYFUNCTION("""COMPUTED_VALUE"""),"UKM5")</f>
        <v>UKM5</v>
      </c>
    </row>
    <row r="1151" spans="1:2" ht="12.5" x14ac:dyDescent="0.25">
      <c r="A1151" t="str">
        <f ca="1">IFERROR(__xludf.DUMMYFUNCTION("""COMPUTED_VALUE"""),"North Lanarkshire")</f>
        <v>North Lanarkshire</v>
      </c>
      <c r="B1151" t="str">
        <f ca="1">IFERROR(__xludf.DUMMYFUNCTION("""COMPUTED_VALUE"""),"UKM36")</f>
        <v>UKM36</v>
      </c>
    </row>
    <row r="1152" spans="1:2" ht="12.5" x14ac:dyDescent="0.25">
      <c r="A1152" t="str">
        <f ca="1">IFERROR(__xludf.DUMMYFUNCTION("""COMPUTED_VALUE"""),"North Nottinghamshire")</f>
        <v>North Nottinghamshire</v>
      </c>
      <c r="B1152" t="str">
        <f ca="1">IFERROR(__xludf.DUMMYFUNCTION("""COMPUTED_VALUE"""),"UKF15")</f>
        <v>UKF15</v>
      </c>
    </row>
    <row r="1153" spans="1:2" ht="12.5" x14ac:dyDescent="0.25">
      <c r="A1153" t="str">
        <f ca="1">IFERROR(__xludf.DUMMYFUNCTION("""COMPUTED_VALUE"""),"North Of Northern Ireland")</f>
        <v>North Of Northern Ireland</v>
      </c>
      <c r="B1153" t="str">
        <f ca="1">IFERROR(__xludf.DUMMYFUNCTION("""COMPUTED_VALUE"""),"UKN04")</f>
        <v>UKN04</v>
      </c>
    </row>
    <row r="1154" spans="1:2" ht="12.5" x14ac:dyDescent="0.25">
      <c r="A1154" t="str">
        <f ca="1">IFERROR(__xludf.DUMMYFUNCTION("""COMPUTED_VALUE"""),"North West (England)")</f>
        <v>North West (England)</v>
      </c>
      <c r="B1154" t="str">
        <f ca="1">IFERROR(__xludf.DUMMYFUNCTION("""COMPUTED_VALUE"""),"UKD")</f>
        <v>UKD</v>
      </c>
    </row>
    <row r="1155" spans="1:2" ht="12.5" x14ac:dyDescent="0.25">
      <c r="A1155" t="str">
        <f ca="1">IFERROR(__xludf.DUMMYFUNCTION("""COMPUTED_VALUE"""),"North Yorkshire")</f>
        <v>North Yorkshire</v>
      </c>
      <c r="B1155" t="str">
        <f ca="1">IFERROR(__xludf.DUMMYFUNCTION("""COMPUTED_VALUE"""),"UKE2")</f>
        <v>UKE2</v>
      </c>
    </row>
    <row r="1156" spans="1:2" ht="12.5" x14ac:dyDescent="0.25">
      <c r="A1156" t="str">
        <f ca="1">IFERROR(__xludf.DUMMYFUNCTION("""COMPUTED_VALUE"""),"North Yorkshire Cc")</f>
        <v>North Yorkshire Cc</v>
      </c>
      <c r="B1156" t="str">
        <f ca="1">IFERROR(__xludf.DUMMYFUNCTION("""COMPUTED_VALUE"""),"UKE22")</f>
        <v>UKE22</v>
      </c>
    </row>
    <row r="1157" spans="1:2" ht="12.5" x14ac:dyDescent="0.25">
      <c r="A1157" t="str">
        <f ca="1">IFERROR(__xludf.DUMMYFUNCTION("""COMPUTED_VALUE"""),"Northamptonshire")</f>
        <v>Northamptonshire</v>
      </c>
      <c r="B1157" t="str">
        <f ca="1">IFERROR(__xludf.DUMMYFUNCTION("""COMPUTED_VALUE"""),"UKF23")</f>
        <v>UKF23</v>
      </c>
    </row>
    <row r="1158" spans="1:2" ht="12.5" x14ac:dyDescent="0.25">
      <c r="A1158" t="str">
        <f ca="1">IFERROR(__xludf.DUMMYFUNCTION("""COMPUTED_VALUE"""),"Northeim")</f>
        <v>Northeim</v>
      </c>
      <c r="B1158" t="str">
        <f ca="1">IFERROR(__xludf.DUMMYFUNCTION("""COMPUTED_VALUE"""),"DE918")</f>
        <v>DE918</v>
      </c>
    </row>
    <row r="1159" spans="1:2" ht="12.5" x14ac:dyDescent="0.25">
      <c r="A1159" t="str">
        <f ca="1">IFERROR(__xludf.DUMMYFUNCTION("""COMPUTED_VALUE"""),"Northern Ireland")</f>
        <v>Northern Ireland</v>
      </c>
      <c r="B1159" t="str">
        <f ca="1">IFERROR(__xludf.DUMMYFUNCTION("""COMPUTED_VALUE"""),"UKN")</f>
        <v>UKN</v>
      </c>
    </row>
    <row r="1160" spans="1:2" ht="12.5" x14ac:dyDescent="0.25">
      <c r="A1160" t="str">
        <f ca="1">IFERROR(__xludf.DUMMYFUNCTION("""COMPUTED_VALUE"""),"Northern Ireland (*)")</f>
        <v>Northern Ireland (*)</v>
      </c>
      <c r="B1160" t="str">
        <f ca="1">IFERROR(__xludf.DUMMYFUNCTION("""COMPUTED_VALUE"""),"UKN0")</f>
        <v>UKN0</v>
      </c>
    </row>
    <row r="1161" spans="1:2" ht="12.5" x14ac:dyDescent="0.25">
      <c r="A1161" t="str">
        <f ca="1">IFERROR(__xludf.DUMMYFUNCTION("""COMPUTED_VALUE"""),"Northumberland")</f>
        <v>Northumberland</v>
      </c>
      <c r="B1161" t="str">
        <f ca="1">IFERROR(__xludf.DUMMYFUNCTION("""COMPUTED_VALUE"""),"UKC21")</f>
        <v>UKC21</v>
      </c>
    </row>
    <row r="1162" spans="1:2" ht="12.5" x14ac:dyDescent="0.25">
      <c r="A1162" t="str">
        <f ca="1">IFERROR(__xludf.DUMMYFUNCTION("""COMPUTED_VALUE"""),"Northumberland And Tyne And Wear")</f>
        <v>Northumberland And Tyne And Wear</v>
      </c>
      <c r="B1162" t="str">
        <f ca="1">IFERROR(__xludf.DUMMYFUNCTION("""COMPUTED_VALUE"""),"UKC2")</f>
        <v>UKC2</v>
      </c>
    </row>
    <row r="1163" spans="1:2" ht="12.5" x14ac:dyDescent="0.25">
      <c r="A1163" t="str">
        <f ca="1">IFERROR(__xludf.DUMMYFUNCTION("""COMPUTED_VALUE"""),"Notio Aigaio")</f>
        <v>Notio Aigaio</v>
      </c>
      <c r="B1163" t="str">
        <f ca="1">IFERROR(__xludf.DUMMYFUNCTION("""COMPUTED_VALUE"""),"GR42")</f>
        <v>GR42</v>
      </c>
    </row>
    <row r="1164" spans="1:2" ht="12.5" x14ac:dyDescent="0.25">
      <c r="A1164" t="str">
        <f ca="1">IFERROR(__xludf.DUMMYFUNCTION("""COMPUTED_VALUE"""),"Notranjsko-Kraska")</f>
        <v>Notranjsko-Kraska</v>
      </c>
      <c r="B1164" t="str">
        <f ca="1">IFERROR(__xludf.DUMMYFUNCTION("""COMPUTED_VALUE"""),"SI018")</f>
        <v>SI018</v>
      </c>
    </row>
    <row r="1165" spans="1:2" ht="12.5" x14ac:dyDescent="0.25">
      <c r="A1165" t="str">
        <f ca="1">IFERROR(__xludf.DUMMYFUNCTION("""COMPUTED_VALUE"""),"Nottingham")</f>
        <v>Nottingham</v>
      </c>
      <c r="B1165" t="str">
        <f ca="1">IFERROR(__xludf.DUMMYFUNCTION("""COMPUTED_VALUE"""),"UKF14")</f>
        <v>UKF14</v>
      </c>
    </row>
    <row r="1166" spans="1:2" ht="12.5" x14ac:dyDescent="0.25">
      <c r="A1166" t="str">
        <f ca="1">IFERROR(__xludf.DUMMYFUNCTION("""COMPUTED_VALUE"""),"Novara")</f>
        <v>Novara</v>
      </c>
      <c r="B1166" t="str">
        <f ca="1">IFERROR(__xludf.DUMMYFUNCTION("""COMPUTED_VALUE"""),"ITC15")</f>
        <v>ITC15</v>
      </c>
    </row>
    <row r="1167" spans="1:2" ht="12.5" x14ac:dyDescent="0.25">
      <c r="A1167" t="str">
        <f ca="1">IFERROR(__xludf.DUMMYFUNCTION("""COMPUTED_VALUE"""),"Nowosadecki")</f>
        <v>Nowosadecki</v>
      </c>
      <c r="B1167" t="str">
        <f ca="1">IFERROR(__xludf.DUMMYFUNCTION("""COMPUTED_VALUE"""),"PL215")</f>
        <v>PL215</v>
      </c>
    </row>
    <row r="1168" spans="1:2" ht="12.5" x14ac:dyDescent="0.25">
      <c r="A1168" t="str">
        <f ca="1">IFERROR(__xludf.DUMMYFUNCTION("""COMPUTED_VALUE"""),"Nuoro")</f>
        <v>Nuoro</v>
      </c>
      <c r="B1168" t="str">
        <f ca="1">IFERROR(__xludf.DUMMYFUNCTION("""COMPUTED_VALUE"""),"ITG26")</f>
        <v>ITG26</v>
      </c>
    </row>
    <row r="1169" spans="1:2" ht="12.5" x14ac:dyDescent="0.25">
      <c r="A1169" t="str">
        <f ca="1">IFERROR(__xludf.DUMMYFUNCTION("""COMPUTED_VALUE"""),"Nürnberg, Kreisfreie Stadt")</f>
        <v>Nürnberg, Kreisfreie Stadt</v>
      </c>
      <c r="B1169" t="str">
        <f ca="1">IFERROR(__xludf.DUMMYFUNCTION("""COMPUTED_VALUE"""),"DE254")</f>
        <v>DE254</v>
      </c>
    </row>
    <row r="1170" spans="1:2" ht="12.5" x14ac:dyDescent="0.25">
      <c r="A1170" t="str">
        <f ca="1">IFERROR(__xludf.DUMMYFUNCTION("""COMPUTED_VALUE"""),"Nürnberger Land")</f>
        <v>Nürnberger Land</v>
      </c>
      <c r="B1170" t="str">
        <f ca="1">IFERROR(__xludf.DUMMYFUNCTION("""COMPUTED_VALUE"""),"DE259")</f>
        <v>DE259</v>
      </c>
    </row>
    <row r="1171" spans="1:2" ht="12.5" x14ac:dyDescent="0.25">
      <c r="A1171" t="str">
        <f ca="1">IFERROR(__xludf.DUMMYFUNCTION("""COMPUTED_VALUE"""),"Nyski")</f>
        <v>Nyski</v>
      </c>
      <c r="B1171" t="str">
        <f ca="1">IFERROR(__xludf.DUMMYFUNCTION("""COMPUTED_VALUE"""),"PL521")</f>
        <v>PL521</v>
      </c>
    </row>
    <row r="1172" spans="1:2" ht="12.5" x14ac:dyDescent="0.25">
      <c r="A1172" t="str">
        <f ca="1">IFERROR(__xludf.DUMMYFUNCTION("""COMPUTED_VALUE"""),"Nyugat-Dunantul")</f>
        <v>Nyugat-Dunantul</v>
      </c>
      <c r="B1172" t="str">
        <f ca="1">IFERROR(__xludf.DUMMYFUNCTION("""COMPUTED_VALUE"""),"HU22")</f>
        <v>HU22</v>
      </c>
    </row>
    <row r="1173" spans="1:2" ht="12.5" x14ac:dyDescent="0.25">
      <c r="A1173" t="str">
        <f ca="1">IFERROR(__xludf.DUMMYFUNCTION("""COMPUTED_VALUE"""),"Obalno-Kraska")</f>
        <v>Obalno-Kraska</v>
      </c>
      <c r="B1173" t="str">
        <f ca="1">IFERROR(__xludf.DUMMYFUNCTION("""COMPUTED_VALUE"""),"SI024")</f>
        <v>SI024</v>
      </c>
    </row>
    <row r="1174" spans="1:2" ht="12.5" x14ac:dyDescent="0.25">
      <c r="A1174" t="str">
        <f ca="1">IFERROR(__xludf.DUMMYFUNCTION("""COMPUTED_VALUE"""),"Oberallgäu")</f>
        <v>Oberallgäu</v>
      </c>
      <c r="B1174" t="str">
        <f ca="1">IFERROR(__xludf.DUMMYFUNCTION("""COMPUTED_VALUE"""),"DE27E")</f>
        <v>DE27E</v>
      </c>
    </row>
    <row r="1175" spans="1:2" ht="12.5" x14ac:dyDescent="0.25">
      <c r="A1175" t="str">
        <f ca="1">IFERROR(__xludf.DUMMYFUNCTION("""COMPUTED_VALUE"""),"Oberbayern")</f>
        <v>Oberbayern</v>
      </c>
      <c r="B1175" t="str">
        <f ca="1">IFERROR(__xludf.DUMMYFUNCTION("""COMPUTED_VALUE"""),"DE21")</f>
        <v>DE21</v>
      </c>
    </row>
    <row r="1176" spans="1:2" ht="12.5" x14ac:dyDescent="0.25">
      <c r="A1176" t="str">
        <f ca="1">IFERROR(__xludf.DUMMYFUNCTION("""COMPUTED_VALUE"""),"Oberbergischer Kreis")</f>
        <v>Oberbergischer Kreis</v>
      </c>
      <c r="B1176" t="str">
        <f ca="1">IFERROR(__xludf.DUMMYFUNCTION("""COMPUTED_VALUE"""),"DEA2A")</f>
        <v>DEA2A</v>
      </c>
    </row>
    <row r="1177" spans="1:2" ht="12.5" x14ac:dyDescent="0.25">
      <c r="A1177" t="str">
        <f ca="1">IFERROR(__xludf.DUMMYFUNCTION("""COMPUTED_VALUE"""),"Oberfranken")</f>
        <v>Oberfranken</v>
      </c>
      <c r="B1177" t="str">
        <f ca="1">IFERROR(__xludf.DUMMYFUNCTION("""COMPUTED_VALUE"""),"DE24")</f>
        <v>DE24</v>
      </c>
    </row>
    <row r="1178" spans="1:2" ht="12.5" x14ac:dyDescent="0.25">
      <c r="A1178" t="str">
        <f ca="1">IFERROR(__xludf.DUMMYFUNCTION("""COMPUTED_VALUE"""),"Oberhausen, Kreisfreie Stadt")</f>
        <v>Oberhausen, Kreisfreie Stadt</v>
      </c>
      <c r="B1178" t="str">
        <f ca="1">IFERROR(__xludf.DUMMYFUNCTION("""COMPUTED_VALUE"""),"DEA17")</f>
        <v>DEA17</v>
      </c>
    </row>
    <row r="1179" spans="1:2" ht="12.5" x14ac:dyDescent="0.25">
      <c r="A1179" t="str">
        <f ca="1">IFERROR(__xludf.DUMMYFUNCTION("""COMPUTED_VALUE"""),"Oberhavel")</f>
        <v>Oberhavel</v>
      </c>
      <c r="B1179" t="str">
        <f ca="1">IFERROR(__xludf.DUMMYFUNCTION("""COMPUTED_VALUE"""),"DE414")</f>
        <v>DE414</v>
      </c>
    </row>
    <row r="1180" spans="1:2" ht="12.5" x14ac:dyDescent="0.25">
      <c r="A1180" t="str">
        <f ca="1">IFERROR(__xludf.DUMMYFUNCTION("""COMPUTED_VALUE"""),"Oberkärnten")</f>
        <v>Oberkärnten</v>
      </c>
      <c r="B1180" t="str">
        <f ca="1">IFERROR(__xludf.DUMMYFUNCTION("""COMPUTED_VALUE"""),"AT212")</f>
        <v>AT212</v>
      </c>
    </row>
    <row r="1181" spans="1:2" ht="12.5" x14ac:dyDescent="0.25">
      <c r="A1181" t="str">
        <f ca="1">IFERROR(__xludf.DUMMYFUNCTION("""COMPUTED_VALUE"""),"Oberösterreich")</f>
        <v>Oberösterreich</v>
      </c>
      <c r="B1181" t="str">
        <f ca="1">IFERROR(__xludf.DUMMYFUNCTION("""COMPUTED_VALUE"""),"AT31")</f>
        <v>AT31</v>
      </c>
    </row>
    <row r="1182" spans="1:2" ht="12.5" x14ac:dyDescent="0.25">
      <c r="A1182" t="str">
        <f ca="1">IFERROR(__xludf.DUMMYFUNCTION("""COMPUTED_VALUE"""),"Oberpfalz")</f>
        <v>Oberpfalz</v>
      </c>
      <c r="B1182" t="str">
        <f ca="1">IFERROR(__xludf.DUMMYFUNCTION("""COMPUTED_VALUE"""),"DE23")</f>
        <v>DE23</v>
      </c>
    </row>
    <row r="1183" spans="1:2" ht="12.5" x14ac:dyDescent="0.25">
      <c r="A1183" t="str">
        <f ca="1">IFERROR(__xludf.DUMMYFUNCTION("""COMPUTED_VALUE"""),"Oberspreewald-Lausitz")</f>
        <v>Oberspreewald-Lausitz</v>
      </c>
      <c r="B1183" t="str">
        <f ca="1">IFERROR(__xludf.DUMMYFUNCTION("""COMPUTED_VALUE"""),"DE427")</f>
        <v>DE427</v>
      </c>
    </row>
    <row r="1184" spans="1:2" ht="12.5" x14ac:dyDescent="0.25">
      <c r="A1184" t="str">
        <f ca="1">IFERROR(__xludf.DUMMYFUNCTION("""COMPUTED_VALUE"""),"Obwalden")</f>
        <v>Obwalden</v>
      </c>
      <c r="B1184" t="str">
        <f ca="1">IFERROR(__xludf.DUMMYFUNCTION("""COMPUTED_VALUE"""),"CH064")</f>
        <v>CH064</v>
      </c>
    </row>
    <row r="1185" spans="1:2" ht="12.5" x14ac:dyDescent="0.25">
      <c r="A1185" t="str">
        <f ca="1">IFERROR(__xludf.DUMMYFUNCTION("""COMPUTED_VALUE"""),"Odenwaldkreis")</f>
        <v>Odenwaldkreis</v>
      </c>
      <c r="B1185" t="str">
        <f ca="1">IFERROR(__xludf.DUMMYFUNCTION("""COMPUTED_VALUE"""),"DE71B")</f>
        <v>DE71B</v>
      </c>
    </row>
    <row r="1186" spans="1:2" ht="12.5" x14ac:dyDescent="0.25">
      <c r="A1186" t="str">
        <f ca="1">IFERROR(__xludf.DUMMYFUNCTION("""COMPUTED_VALUE"""),"Oder-Spree")</f>
        <v>Oder-Spree</v>
      </c>
      <c r="B1186" t="str">
        <f ca="1">IFERROR(__xludf.DUMMYFUNCTION("""COMPUTED_VALUE"""),"DE415")</f>
        <v>DE415</v>
      </c>
    </row>
    <row r="1187" spans="1:2" ht="12.5" x14ac:dyDescent="0.25">
      <c r="A1187" t="str">
        <f ca="1">IFERROR(__xludf.DUMMYFUNCTION("""COMPUTED_VALUE"""),"Oeste")</f>
        <v>Oeste</v>
      </c>
      <c r="B1187" t="str">
        <f ca="1">IFERROR(__xludf.DUMMYFUNCTION("""COMPUTED_VALUE"""),"PT16B")</f>
        <v>PT16B</v>
      </c>
    </row>
    <row r="1188" spans="1:2" ht="12.5" x14ac:dyDescent="0.25">
      <c r="A1188" t="str">
        <f ca="1">IFERROR(__xludf.DUMMYFUNCTION("""COMPUTED_VALUE"""),"Offenbach Am Main, Kreisfreie Stadt")</f>
        <v>Offenbach Am Main, Kreisfreie Stadt</v>
      </c>
      <c r="B1188" t="str">
        <f ca="1">IFERROR(__xludf.DUMMYFUNCTION("""COMPUTED_VALUE"""),"DE713")</f>
        <v>DE713</v>
      </c>
    </row>
    <row r="1189" spans="1:2" ht="12.5" x14ac:dyDescent="0.25">
      <c r="A1189" t="str">
        <f ca="1">IFERROR(__xludf.DUMMYFUNCTION("""COMPUTED_VALUE"""),"Offenbach, Landkreis")</f>
        <v>Offenbach, Landkreis</v>
      </c>
      <c r="B1189" t="str">
        <f ca="1">IFERROR(__xludf.DUMMYFUNCTION("""COMPUTED_VALUE"""),"DE71C")</f>
        <v>DE71C</v>
      </c>
    </row>
    <row r="1190" spans="1:2" ht="12.5" x14ac:dyDescent="0.25">
      <c r="A1190" t="str">
        <f ca="1">IFERROR(__xludf.DUMMYFUNCTION("""COMPUTED_VALUE"""),"Ogliastra")</f>
        <v>Ogliastra</v>
      </c>
      <c r="B1190" t="str">
        <f ca="1">IFERROR(__xludf.DUMMYFUNCTION("""COMPUTED_VALUE"""),"ITG2A")</f>
        <v>ITG2A</v>
      </c>
    </row>
    <row r="1191" spans="1:2" ht="12.5" x14ac:dyDescent="0.25">
      <c r="A1191" t="str">
        <f ca="1">IFERROR(__xludf.DUMMYFUNCTION("""COMPUTED_VALUE"""),"Oise")</f>
        <v>Oise</v>
      </c>
      <c r="B1191" t="str">
        <f ca="1">IFERROR(__xludf.DUMMYFUNCTION("""COMPUTED_VALUE"""),"FR222")</f>
        <v>FR222</v>
      </c>
    </row>
    <row r="1192" spans="1:2" ht="12.5" x14ac:dyDescent="0.25">
      <c r="A1192" t="str">
        <f ca="1">IFERROR(__xludf.DUMMYFUNCTION("""COMPUTED_VALUE"""),"Olbia-Tempio")</f>
        <v>Olbia-Tempio</v>
      </c>
      <c r="B1192" t="str">
        <f ca="1">IFERROR(__xludf.DUMMYFUNCTION("""COMPUTED_VALUE"""),"ITG29")</f>
        <v>ITG29</v>
      </c>
    </row>
    <row r="1193" spans="1:2" ht="12.5" x14ac:dyDescent="0.25">
      <c r="A1193" t="str">
        <f ca="1">IFERROR(__xludf.DUMMYFUNCTION("""COMPUTED_VALUE"""),"Oldenburg (Oldenburg), Kreisfreie Stadt")</f>
        <v>Oldenburg (Oldenburg), Kreisfreie Stadt</v>
      </c>
      <c r="B1193" t="str">
        <f ca="1">IFERROR(__xludf.DUMMYFUNCTION("""COMPUTED_VALUE"""),"DE943")</f>
        <v>DE943</v>
      </c>
    </row>
    <row r="1194" spans="1:2" ht="12.5" x14ac:dyDescent="0.25">
      <c r="A1194" t="str">
        <f ca="1">IFERROR(__xludf.DUMMYFUNCTION("""COMPUTED_VALUE"""),"Oldenburg, Landkreis")</f>
        <v>Oldenburg, Landkreis</v>
      </c>
      <c r="B1194" t="str">
        <f ca="1">IFERROR(__xludf.DUMMYFUNCTION("""COMPUTED_VALUE"""),"DE94D")</f>
        <v>DE94D</v>
      </c>
    </row>
    <row r="1195" spans="1:2" ht="12.5" x14ac:dyDescent="0.25">
      <c r="A1195" t="str">
        <f ca="1">IFERROR(__xludf.DUMMYFUNCTION("""COMPUTED_VALUE"""),"Olomoucky Kraj")</f>
        <v>Olomoucky Kraj</v>
      </c>
      <c r="B1195" t="str">
        <f ca="1">IFERROR(__xludf.DUMMYFUNCTION("""COMPUTED_VALUE"""),"CZ071")</f>
        <v>CZ071</v>
      </c>
    </row>
    <row r="1196" spans="1:2" ht="12.5" x14ac:dyDescent="0.25">
      <c r="A1196" t="str">
        <f ca="1">IFERROR(__xludf.DUMMYFUNCTION("""COMPUTED_VALUE"""),"Olpe")</f>
        <v>Olpe</v>
      </c>
      <c r="B1196" t="str">
        <f ca="1">IFERROR(__xludf.DUMMYFUNCTION("""COMPUTED_VALUE"""),"DEA59")</f>
        <v>DEA59</v>
      </c>
    </row>
    <row r="1197" spans="1:2" ht="12.5" x14ac:dyDescent="0.25">
      <c r="A1197" t="str">
        <f ca="1">IFERROR(__xludf.DUMMYFUNCTION("""COMPUTED_VALUE"""),"Olsztynski")</f>
        <v>Olsztynski</v>
      </c>
      <c r="B1197" t="str">
        <f ca="1">IFERROR(__xludf.DUMMYFUNCTION("""COMPUTED_VALUE"""),"PL622")</f>
        <v>PL622</v>
      </c>
    </row>
    <row r="1198" spans="1:2" ht="12.5" x14ac:dyDescent="0.25">
      <c r="A1198" t="str">
        <f ca="1">IFERROR(__xludf.DUMMYFUNCTION("""COMPUTED_VALUE"""),"Olt")</f>
        <v>Olt</v>
      </c>
      <c r="B1198" t="str">
        <f ca="1">IFERROR(__xludf.DUMMYFUNCTION("""COMPUTED_VALUE"""),"RO414")</f>
        <v>RO414</v>
      </c>
    </row>
    <row r="1199" spans="1:2" ht="12.5" x14ac:dyDescent="0.25">
      <c r="A1199" t="str">
        <f ca="1">IFERROR(__xludf.DUMMYFUNCTION("""COMPUTED_VALUE"""),"Oost-Groningen")</f>
        <v>Oost-Groningen</v>
      </c>
      <c r="B1199" t="str">
        <f ca="1">IFERROR(__xludf.DUMMYFUNCTION("""COMPUTED_VALUE"""),"NL111")</f>
        <v>NL111</v>
      </c>
    </row>
    <row r="1200" spans="1:2" ht="12.5" x14ac:dyDescent="0.25">
      <c r="A1200" t="str">
        <f ca="1">IFERROR(__xludf.DUMMYFUNCTION("""COMPUTED_VALUE"""),"Oost-Nederland")</f>
        <v>Oost-Nederland</v>
      </c>
      <c r="B1200" t="str">
        <f ca="1">IFERROR(__xludf.DUMMYFUNCTION("""COMPUTED_VALUE"""),"NL2")</f>
        <v>NL2</v>
      </c>
    </row>
    <row r="1201" spans="1:2" ht="12.5" x14ac:dyDescent="0.25">
      <c r="A1201" t="str">
        <f ca="1">IFERROR(__xludf.DUMMYFUNCTION("""COMPUTED_VALUE"""),"Oost-Zuid-Holland")</f>
        <v>Oost-Zuid-Holland</v>
      </c>
      <c r="B1201" t="str">
        <f ca="1">IFERROR(__xludf.DUMMYFUNCTION("""COMPUTED_VALUE"""),"NL334")</f>
        <v>NL334</v>
      </c>
    </row>
    <row r="1202" spans="1:2" ht="12.5" x14ac:dyDescent="0.25">
      <c r="A1202" t="str">
        <f ca="1">IFERROR(__xludf.DUMMYFUNCTION("""COMPUTED_VALUE"""),"Opolski")</f>
        <v>Opolski</v>
      </c>
      <c r="B1202" t="str">
        <f ca="1">IFERROR(__xludf.DUMMYFUNCTION("""COMPUTED_VALUE"""),"PL522")</f>
        <v>PL522</v>
      </c>
    </row>
    <row r="1203" spans="1:2" ht="12.5" x14ac:dyDescent="0.25">
      <c r="A1203" t="str">
        <f ca="1">IFERROR(__xludf.DUMMYFUNCTION("""COMPUTED_VALUE"""),"Opolskie")</f>
        <v>Opolskie</v>
      </c>
      <c r="B1203" t="str">
        <f ca="1">IFERROR(__xludf.DUMMYFUNCTION("""COMPUTED_VALUE"""),"PL52")</f>
        <v>PL52</v>
      </c>
    </row>
    <row r="1204" spans="1:2" ht="12.5" x14ac:dyDescent="0.25">
      <c r="A1204" t="str">
        <f ca="1">IFERROR(__xludf.DUMMYFUNCTION("""COMPUTED_VALUE"""),"Oppland")</f>
        <v>Oppland</v>
      </c>
      <c r="B1204" t="str">
        <f ca="1">IFERROR(__xludf.DUMMYFUNCTION("""COMPUTED_VALUE"""),"NO022")</f>
        <v>NO022</v>
      </c>
    </row>
    <row r="1205" spans="1:2" ht="12.5" x14ac:dyDescent="0.25">
      <c r="A1205" t="str">
        <f ca="1">IFERROR(__xludf.DUMMYFUNCTION("""COMPUTED_VALUE"""),"Örebro Län")</f>
        <v>Örebro Län</v>
      </c>
      <c r="B1205" t="str">
        <f ca="1">IFERROR(__xludf.DUMMYFUNCTION("""COMPUTED_VALUE"""),"SE124")</f>
        <v>SE124</v>
      </c>
    </row>
    <row r="1206" spans="1:2" ht="12.5" x14ac:dyDescent="0.25">
      <c r="A1206" t="str">
        <f ca="1">IFERROR(__xludf.DUMMYFUNCTION("""COMPUTED_VALUE"""),"Oristano")</f>
        <v>Oristano</v>
      </c>
      <c r="B1206" t="str">
        <f ca="1">IFERROR(__xludf.DUMMYFUNCTION("""COMPUTED_VALUE"""),"ITG28")</f>
        <v>ITG28</v>
      </c>
    </row>
    <row r="1207" spans="1:2" ht="12.5" x14ac:dyDescent="0.25">
      <c r="A1207" t="str">
        <f ca="1">IFERROR(__xludf.DUMMYFUNCTION("""COMPUTED_VALUE"""),"Orkney Islands")</f>
        <v>Orkney Islands</v>
      </c>
      <c r="B1207" t="str">
        <f ca="1">IFERROR(__xludf.DUMMYFUNCTION("""COMPUTED_VALUE"""),"UKM65")</f>
        <v>UKM65</v>
      </c>
    </row>
    <row r="1208" spans="1:2" ht="12.5" x14ac:dyDescent="0.25">
      <c r="A1208" t="str">
        <f ca="1">IFERROR(__xludf.DUMMYFUNCTION("""COMPUTED_VALUE"""),"Orne")</f>
        <v>Orne</v>
      </c>
      <c r="B1208" t="str">
        <f ca="1">IFERROR(__xludf.DUMMYFUNCTION("""COMPUTED_VALUE"""),"FR253")</f>
        <v>FR253</v>
      </c>
    </row>
    <row r="1209" spans="1:2" ht="12.5" x14ac:dyDescent="0.25">
      <c r="A1209" t="str">
        <f ca="1">IFERROR(__xludf.DUMMYFUNCTION("""COMPUTED_VALUE"""),"Ortenaukreis")</f>
        <v>Ortenaukreis</v>
      </c>
      <c r="B1209" t="str">
        <f ca="1">IFERROR(__xludf.DUMMYFUNCTION("""COMPUTED_VALUE"""),"DE134")</f>
        <v>DE134</v>
      </c>
    </row>
    <row r="1210" spans="1:2" ht="12.5" x14ac:dyDescent="0.25">
      <c r="A1210" t="str">
        <f ca="1">IFERROR(__xludf.DUMMYFUNCTION("""COMPUTED_VALUE"""),"Oslo")</f>
        <v>Oslo</v>
      </c>
      <c r="B1210" t="str">
        <f ca="1">IFERROR(__xludf.DUMMYFUNCTION("""COMPUTED_VALUE"""),"NO011")</f>
        <v>NO011</v>
      </c>
    </row>
    <row r="1211" spans="1:2" ht="12.5" x14ac:dyDescent="0.25">
      <c r="A1211" t="str">
        <f ca="1">IFERROR(__xludf.DUMMYFUNCTION("""COMPUTED_VALUE"""),"Oslo Og Akershus")</f>
        <v>Oslo Og Akershus</v>
      </c>
      <c r="B1211" t="str">
        <f ca="1">IFERROR(__xludf.DUMMYFUNCTION("""COMPUTED_VALUE"""),"NO01")</f>
        <v>NO01</v>
      </c>
    </row>
    <row r="1212" spans="1:2" ht="12.5" x14ac:dyDescent="0.25">
      <c r="A1212" t="str">
        <f ca="1">IFERROR(__xludf.DUMMYFUNCTION("""COMPUTED_VALUE"""),"Osnabrück, Kreisfreie Stadt")</f>
        <v>Osnabrück, Kreisfreie Stadt</v>
      </c>
      <c r="B1212" t="str">
        <f ca="1">IFERROR(__xludf.DUMMYFUNCTION("""COMPUTED_VALUE"""),"DE944")</f>
        <v>DE944</v>
      </c>
    </row>
    <row r="1213" spans="1:2" ht="12.5" x14ac:dyDescent="0.25">
      <c r="A1213" t="str">
        <f ca="1">IFERROR(__xludf.DUMMYFUNCTION("""COMPUTED_VALUE"""),"Osnabrück, Landkreis")</f>
        <v>Osnabrück, Landkreis</v>
      </c>
      <c r="B1213" t="str">
        <f ca="1">IFERROR(__xludf.DUMMYFUNCTION("""COMPUTED_VALUE"""),"DE94E")</f>
        <v>DE94E</v>
      </c>
    </row>
    <row r="1214" spans="1:2" ht="12.5" x14ac:dyDescent="0.25">
      <c r="A1214" t="str">
        <f ca="1">IFERROR(__xludf.DUMMYFUNCTION("""COMPUTED_VALUE"""),"Osrednjeslovenska")</f>
        <v>Osrednjeslovenska</v>
      </c>
      <c r="B1214" t="str">
        <f ca="1">IFERROR(__xludf.DUMMYFUNCTION("""COMPUTED_VALUE"""),"SI021")</f>
        <v>SI021</v>
      </c>
    </row>
    <row r="1215" spans="1:2" ht="12.5" x14ac:dyDescent="0.25">
      <c r="A1215" t="str">
        <f ca="1">IFERROR(__xludf.DUMMYFUNCTION("""COMPUTED_VALUE"""),"Ostalbkreis")</f>
        <v>Ostalbkreis</v>
      </c>
      <c r="B1215" t="str">
        <f ca="1">IFERROR(__xludf.DUMMYFUNCTION("""COMPUTED_VALUE"""),"DE11D")</f>
        <v>DE11D</v>
      </c>
    </row>
    <row r="1216" spans="1:2" ht="12.5" x14ac:dyDescent="0.25">
      <c r="A1216" t="str">
        <f ca="1">IFERROR(__xludf.DUMMYFUNCTION("""COMPUTED_VALUE"""),"Ostallgäu")</f>
        <v>Ostallgäu</v>
      </c>
      <c r="B1216" t="str">
        <f ca="1">IFERROR(__xludf.DUMMYFUNCTION("""COMPUTED_VALUE"""),"DE27B")</f>
        <v>DE27B</v>
      </c>
    </row>
    <row r="1217" spans="1:2" ht="12.5" x14ac:dyDescent="0.25">
      <c r="A1217" t="str">
        <f ca="1">IFERROR(__xludf.DUMMYFUNCTION("""COMPUTED_VALUE"""),"Östergötlands Län")</f>
        <v>Östergötlands Län</v>
      </c>
      <c r="B1217" t="str">
        <f ca="1">IFERROR(__xludf.DUMMYFUNCTION("""COMPUTED_VALUE"""),"SE123")</f>
        <v>SE123</v>
      </c>
    </row>
    <row r="1218" spans="1:2" ht="12.5" x14ac:dyDescent="0.25">
      <c r="A1218" t="str">
        <f ca="1">IFERROR(__xludf.DUMMYFUNCTION("""COMPUTED_VALUE"""),"Osterholz")</f>
        <v>Osterholz</v>
      </c>
      <c r="B1218" t="str">
        <f ca="1">IFERROR(__xludf.DUMMYFUNCTION("""COMPUTED_VALUE"""),"DE936")</f>
        <v>DE936</v>
      </c>
    </row>
    <row r="1219" spans="1:2" ht="12.5" x14ac:dyDescent="0.25">
      <c r="A1219" t="str">
        <f ca="1">IFERROR(__xludf.DUMMYFUNCTION("""COMPUTED_VALUE"""),"Osterode Am Harz")</f>
        <v>Osterode Am Harz</v>
      </c>
      <c r="B1219" t="str">
        <f ca="1">IFERROR(__xludf.DUMMYFUNCTION("""COMPUTED_VALUE"""),"DE919")</f>
        <v>DE919</v>
      </c>
    </row>
    <row r="1220" spans="1:2" ht="12.5" x14ac:dyDescent="0.25">
      <c r="A1220" t="str">
        <f ca="1">IFERROR(__xludf.DUMMYFUNCTION("""COMPUTED_VALUE"""),"Österreich")</f>
        <v>Österreich</v>
      </c>
      <c r="B1220" t="str">
        <f ca="1">IFERROR(__xludf.DUMMYFUNCTION("""COMPUTED_VALUE"""),"AT")</f>
        <v>AT</v>
      </c>
    </row>
    <row r="1221" spans="1:2" ht="12.5" x14ac:dyDescent="0.25">
      <c r="A1221" t="str">
        <f ca="1">IFERROR(__xludf.DUMMYFUNCTION("""COMPUTED_VALUE"""),"Østfold")</f>
        <v>Østfold</v>
      </c>
      <c r="B1221" t="str">
        <f ca="1">IFERROR(__xludf.DUMMYFUNCTION("""COMPUTED_VALUE"""),"NO031")</f>
        <v>NO031</v>
      </c>
    </row>
    <row r="1222" spans="1:2" ht="12.5" x14ac:dyDescent="0.25">
      <c r="A1222" t="str">
        <f ca="1">IFERROR(__xludf.DUMMYFUNCTION("""COMPUTED_VALUE"""),"Ostholstein")</f>
        <v>Ostholstein</v>
      </c>
      <c r="B1222" t="str">
        <f ca="1">IFERROR(__xludf.DUMMYFUNCTION("""COMPUTED_VALUE"""),"DEF08")</f>
        <v>DEF08</v>
      </c>
    </row>
    <row r="1223" spans="1:2" ht="12.5" x14ac:dyDescent="0.25">
      <c r="A1223" t="str">
        <f ca="1">IFERROR(__xludf.DUMMYFUNCTION("""COMPUTED_VALUE"""),"Østjylland")</f>
        <v>Østjylland</v>
      </c>
      <c r="B1223" t="str">
        <f ca="1">IFERROR(__xludf.DUMMYFUNCTION("""COMPUTED_VALUE"""),"DK042")</f>
        <v>DK042</v>
      </c>
    </row>
    <row r="1224" spans="1:2" ht="12.5" x14ac:dyDescent="0.25">
      <c r="A1224" t="str">
        <f ca="1">IFERROR(__xludf.DUMMYFUNCTION("""COMPUTED_VALUE"""),"Östliche Obersteiermark")</f>
        <v>Östliche Obersteiermark</v>
      </c>
      <c r="B1224" t="str">
        <f ca="1">IFERROR(__xludf.DUMMYFUNCTION("""COMPUTED_VALUE"""),"AT223")</f>
        <v>AT223</v>
      </c>
    </row>
    <row r="1225" spans="1:2" ht="12.5" x14ac:dyDescent="0.25">
      <c r="A1225" t="str">
        <f ca="1">IFERROR(__xludf.DUMMYFUNCTION("""COMPUTED_VALUE"""),"Ostösterreich")</f>
        <v>Ostösterreich</v>
      </c>
      <c r="B1225" t="str">
        <f ca="1">IFERROR(__xludf.DUMMYFUNCTION("""COMPUTED_VALUE"""),"AT1")</f>
        <v>AT1</v>
      </c>
    </row>
    <row r="1226" spans="1:2" ht="12.5" x14ac:dyDescent="0.25">
      <c r="A1226" t="str">
        <f ca="1">IFERROR(__xludf.DUMMYFUNCTION("""COMPUTED_VALUE"""),"Ostprignitz-Ruppin")</f>
        <v>Ostprignitz-Ruppin</v>
      </c>
      <c r="B1226" t="str">
        <f ca="1">IFERROR(__xludf.DUMMYFUNCTION("""COMPUTED_VALUE"""),"DE416")</f>
        <v>DE416</v>
      </c>
    </row>
    <row r="1227" spans="1:2" ht="12.5" x14ac:dyDescent="0.25">
      <c r="A1227" t="str">
        <f ca="1">IFERROR(__xludf.DUMMYFUNCTION("""COMPUTED_VALUE"""),"Östra Mellansverige")</f>
        <v>Östra Mellansverige</v>
      </c>
      <c r="B1227" t="str">
        <f ca="1">IFERROR(__xludf.DUMMYFUNCTION("""COMPUTED_VALUE"""),"SE12")</f>
        <v>SE12</v>
      </c>
    </row>
    <row r="1228" spans="1:2" ht="12.5" x14ac:dyDescent="0.25">
      <c r="A1228" t="str">
        <f ca="1">IFERROR(__xludf.DUMMYFUNCTION("""COMPUTED_VALUE"""),"Östra Sverige")</f>
        <v>Östra Sverige</v>
      </c>
      <c r="B1228" t="str">
        <f ca="1">IFERROR(__xludf.DUMMYFUNCTION("""COMPUTED_VALUE"""),"SE1")</f>
        <v>SE1</v>
      </c>
    </row>
    <row r="1229" spans="1:2" ht="12.5" x14ac:dyDescent="0.25">
      <c r="A1229" t="str">
        <f ca="1">IFERROR(__xludf.DUMMYFUNCTION("""COMPUTED_VALUE"""),"Ostrolecko-Siedlecki")</f>
        <v>Ostrolecko-Siedlecki</v>
      </c>
      <c r="B1229" t="str">
        <f ca="1">IFERROR(__xludf.DUMMYFUNCTION("""COMPUTED_VALUE"""),"PL122")</f>
        <v>PL122</v>
      </c>
    </row>
    <row r="1230" spans="1:2" ht="12.5" x14ac:dyDescent="0.25">
      <c r="A1230" t="str">
        <f ca="1">IFERROR(__xludf.DUMMYFUNCTION("""COMPUTED_VALUE"""),"Ostschweiz")</f>
        <v>Ostschweiz</v>
      </c>
      <c r="B1230" t="str">
        <f ca="1">IFERROR(__xludf.DUMMYFUNCTION("""COMPUTED_VALUE"""),"CH05")</f>
        <v>CH05</v>
      </c>
    </row>
    <row r="1231" spans="1:2" ht="12.5" x14ac:dyDescent="0.25">
      <c r="A1231" t="str">
        <f ca="1">IFERROR(__xludf.DUMMYFUNCTION("""COMPUTED_VALUE"""),"Østsjælland")</f>
        <v>Østsjælland</v>
      </c>
      <c r="B1231" t="str">
        <f ca="1">IFERROR(__xludf.DUMMYFUNCTION("""COMPUTED_VALUE"""),"DK021")</f>
        <v>DK021</v>
      </c>
    </row>
    <row r="1232" spans="1:2" ht="12.5" x14ac:dyDescent="0.25">
      <c r="A1232" t="str">
        <f ca="1">IFERROR(__xludf.DUMMYFUNCTION("""COMPUTED_VALUE"""),"Oststeiermark")</f>
        <v>Oststeiermark</v>
      </c>
      <c r="B1232" t="str">
        <f ca="1">IFERROR(__xludf.DUMMYFUNCTION("""COMPUTED_VALUE"""),"AT224")</f>
        <v>AT224</v>
      </c>
    </row>
    <row r="1233" spans="1:2" ht="12.5" x14ac:dyDescent="0.25">
      <c r="A1233" t="str">
        <f ca="1">IFERROR(__xludf.DUMMYFUNCTION("""COMPUTED_VALUE"""),"Osttirol")</f>
        <v>Osttirol</v>
      </c>
      <c r="B1233" t="str">
        <f ca="1">IFERROR(__xludf.DUMMYFUNCTION("""COMPUTED_VALUE"""),"AT333")</f>
        <v>AT333</v>
      </c>
    </row>
    <row r="1234" spans="1:2" ht="12.5" x14ac:dyDescent="0.25">
      <c r="A1234" t="str">
        <f ca="1">IFERROR(__xludf.DUMMYFUNCTION("""COMPUTED_VALUE"""),"Ostvorpommern")</f>
        <v>Ostvorpommern</v>
      </c>
      <c r="B1234" t="str">
        <f ca="1">IFERROR(__xludf.DUMMYFUNCTION("""COMPUTED_VALUE"""),"DE80F")</f>
        <v>DE80F</v>
      </c>
    </row>
    <row r="1235" spans="1:2" ht="12.5" x14ac:dyDescent="0.25">
      <c r="A1235" t="str">
        <f ca="1">IFERROR(__xludf.DUMMYFUNCTION("""COMPUTED_VALUE"""),"Oswiecimski")</f>
        <v>Oswiecimski</v>
      </c>
      <c r="B1235" t="str">
        <f ca="1">IFERROR(__xludf.DUMMYFUNCTION("""COMPUTED_VALUE"""),"PL216")</f>
        <v>PL216</v>
      </c>
    </row>
    <row r="1236" spans="1:2" ht="12.5" x14ac:dyDescent="0.25">
      <c r="A1236" t="str">
        <f ca="1">IFERROR(__xludf.DUMMYFUNCTION("""COMPUTED_VALUE"""),"Ouest")</f>
        <v>Ouest</v>
      </c>
      <c r="B1236" t="str">
        <f ca="1">IFERROR(__xludf.DUMMYFUNCTION("""COMPUTED_VALUE"""),"FR5")</f>
        <v>FR5</v>
      </c>
    </row>
    <row r="1237" spans="1:2" ht="12.5" x14ac:dyDescent="0.25">
      <c r="A1237" t="str">
        <f ca="1">IFERROR(__xludf.DUMMYFUNCTION("""COMPUTED_VALUE"""),"Ourense")</f>
        <v>Ourense</v>
      </c>
      <c r="B1237" t="str">
        <f ca="1">IFERROR(__xludf.DUMMYFUNCTION("""COMPUTED_VALUE"""),"ES113")</f>
        <v>ES113</v>
      </c>
    </row>
    <row r="1238" spans="1:2" ht="12.5" x14ac:dyDescent="0.25">
      <c r="A1238" t="str">
        <f ca="1">IFERROR(__xludf.DUMMYFUNCTION("""COMPUTED_VALUE"""),"Outer Belfast")</f>
        <v>Outer Belfast</v>
      </c>
      <c r="B1238" t="str">
        <f ca="1">IFERROR(__xludf.DUMMYFUNCTION("""COMPUTED_VALUE"""),"UKN02")</f>
        <v>UKN02</v>
      </c>
    </row>
    <row r="1239" spans="1:2" ht="12.5" x14ac:dyDescent="0.25">
      <c r="A1239" t="str">
        <f ca="1">IFERROR(__xludf.DUMMYFUNCTION("""COMPUTED_VALUE"""),"Outer London")</f>
        <v>Outer London</v>
      </c>
      <c r="B1239" t="str">
        <f ca="1">IFERROR(__xludf.DUMMYFUNCTION("""COMPUTED_VALUE"""),"UKI2")</f>
        <v>UKI2</v>
      </c>
    </row>
    <row r="1240" spans="1:2" ht="12.5" x14ac:dyDescent="0.25">
      <c r="A1240" t="str">
        <f ca="1">IFERROR(__xludf.DUMMYFUNCTION("""COMPUTED_VALUE"""),"Outer London - East And North East")</f>
        <v>Outer London - East And North East</v>
      </c>
      <c r="B1240" t="str">
        <f ca="1">IFERROR(__xludf.DUMMYFUNCTION("""COMPUTED_VALUE"""),"UKI21")</f>
        <v>UKI21</v>
      </c>
    </row>
    <row r="1241" spans="1:2" ht="12.5" x14ac:dyDescent="0.25">
      <c r="A1241" t="str">
        <f ca="1">IFERROR(__xludf.DUMMYFUNCTION("""COMPUTED_VALUE"""),"Outer London - South")</f>
        <v>Outer London - South</v>
      </c>
      <c r="B1241" t="str">
        <f ca="1">IFERROR(__xludf.DUMMYFUNCTION("""COMPUTED_VALUE"""),"UKI22")</f>
        <v>UKI22</v>
      </c>
    </row>
    <row r="1242" spans="1:2" ht="12.5" x14ac:dyDescent="0.25">
      <c r="A1242" t="str">
        <f ca="1">IFERROR(__xludf.DUMMYFUNCTION("""COMPUTED_VALUE"""),"Outer London - West And North West")</f>
        <v>Outer London - West And North West</v>
      </c>
      <c r="B1242" t="str">
        <f ca="1">IFERROR(__xludf.DUMMYFUNCTION("""COMPUTED_VALUE"""),"UKI23")</f>
        <v>UKI23</v>
      </c>
    </row>
    <row r="1243" spans="1:2" ht="12.5" x14ac:dyDescent="0.25">
      <c r="A1243" t="str">
        <f ca="1">IFERROR(__xludf.DUMMYFUNCTION("""COMPUTED_VALUE"""),"Overig Groningen")</f>
        <v>Overig Groningen</v>
      </c>
      <c r="B1243" t="str">
        <f ca="1">IFERROR(__xludf.DUMMYFUNCTION("""COMPUTED_VALUE"""),"NL113")</f>
        <v>NL113</v>
      </c>
    </row>
    <row r="1244" spans="1:2" ht="12.5" x14ac:dyDescent="0.25">
      <c r="A1244" t="str">
        <f ca="1">IFERROR(__xludf.DUMMYFUNCTION("""COMPUTED_VALUE"""),"Overig Zeeland")</f>
        <v>Overig Zeeland</v>
      </c>
      <c r="B1244" t="str">
        <f ca="1">IFERROR(__xludf.DUMMYFUNCTION("""COMPUTED_VALUE"""),"NL342")</f>
        <v>NL342</v>
      </c>
    </row>
    <row r="1245" spans="1:2" ht="12.5" x14ac:dyDescent="0.25">
      <c r="A1245" t="str">
        <f ca="1">IFERROR(__xludf.DUMMYFUNCTION("""COMPUTED_VALUE"""),"Overijssel")</f>
        <v>Overijssel</v>
      </c>
      <c r="B1245" t="str">
        <f ca="1">IFERROR(__xludf.DUMMYFUNCTION("""COMPUTED_VALUE"""),"NL21")</f>
        <v>NL21</v>
      </c>
    </row>
    <row r="1246" spans="1:2" ht="12.5" x14ac:dyDescent="0.25">
      <c r="A1246" t="str">
        <f ca="1">IFERROR(__xludf.DUMMYFUNCTION("""COMPUTED_VALUE"""),"Övre Norrland")</f>
        <v>Övre Norrland</v>
      </c>
      <c r="B1246" t="str">
        <f ca="1">IFERROR(__xludf.DUMMYFUNCTION("""COMPUTED_VALUE"""),"SE33")</f>
        <v>SE33</v>
      </c>
    </row>
    <row r="1247" spans="1:2" ht="12.5" x14ac:dyDescent="0.25">
      <c r="A1247" t="str">
        <f ca="1">IFERROR(__xludf.DUMMYFUNCTION("""COMPUTED_VALUE"""),"Oxfordshire")</f>
        <v>Oxfordshire</v>
      </c>
      <c r="B1247" t="str">
        <f ca="1">IFERROR(__xludf.DUMMYFUNCTION("""COMPUTED_VALUE"""),"UKJ14")</f>
        <v>UKJ14</v>
      </c>
    </row>
    <row r="1248" spans="1:2" ht="12.5" x14ac:dyDescent="0.25">
      <c r="A1248" t="str">
        <f ca="1">IFERROR(__xludf.DUMMYFUNCTION("""COMPUTED_VALUE"""),"Paderborn")</f>
        <v>Paderborn</v>
      </c>
      <c r="B1248" t="str">
        <f ca="1">IFERROR(__xludf.DUMMYFUNCTION("""COMPUTED_VALUE"""),"DEA47")</f>
        <v>DEA47</v>
      </c>
    </row>
    <row r="1249" spans="1:2" ht="12.5" x14ac:dyDescent="0.25">
      <c r="A1249" t="str">
        <f ca="1">IFERROR(__xludf.DUMMYFUNCTION("""COMPUTED_VALUE"""),"Padova")</f>
        <v>Padova</v>
      </c>
      <c r="B1249" t="str">
        <f ca="1">IFERROR(__xludf.DUMMYFUNCTION("""COMPUTED_VALUE"""),"ITD36")</f>
        <v>ITD36</v>
      </c>
    </row>
    <row r="1250" spans="1:2" ht="12.5" x14ac:dyDescent="0.25">
      <c r="A1250" t="str">
        <f ca="1">IFERROR(__xludf.DUMMYFUNCTION("""COMPUTED_VALUE"""),"Päijät-Häme")</f>
        <v>Päijät-Häme</v>
      </c>
      <c r="B1250" t="str">
        <f ca="1">IFERROR(__xludf.DUMMYFUNCTION("""COMPUTED_VALUE"""),"FI185")</f>
        <v>FI185</v>
      </c>
    </row>
    <row r="1251" spans="1:2" ht="12.5" x14ac:dyDescent="0.25">
      <c r="A1251" t="str">
        <f ca="1">IFERROR(__xludf.DUMMYFUNCTION("""COMPUTED_VALUE"""),"País Vasco")</f>
        <v>País Vasco</v>
      </c>
      <c r="B1251" t="str">
        <f ca="1">IFERROR(__xludf.DUMMYFUNCTION("""COMPUTED_VALUE"""),"ES21")</f>
        <v>ES21</v>
      </c>
    </row>
    <row r="1252" spans="1:2" ht="12.5" x14ac:dyDescent="0.25">
      <c r="A1252" t="str">
        <f ca="1">IFERROR(__xludf.DUMMYFUNCTION("""COMPUTED_VALUE"""),"Palencia")</f>
        <v>Palencia</v>
      </c>
      <c r="B1252" t="str">
        <f ca="1">IFERROR(__xludf.DUMMYFUNCTION("""COMPUTED_VALUE"""),"ES414")</f>
        <v>ES414</v>
      </c>
    </row>
    <row r="1253" spans="1:2" ht="12.5" x14ac:dyDescent="0.25">
      <c r="A1253" t="str">
        <f ca="1">IFERROR(__xludf.DUMMYFUNCTION("""COMPUTED_VALUE"""),"Palermo")</f>
        <v>Palermo</v>
      </c>
      <c r="B1253" t="str">
        <f ca="1">IFERROR(__xludf.DUMMYFUNCTION("""COMPUTED_VALUE"""),"ITG12")</f>
        <v>ITG12</v>
      </c>
    </row>
    <row r="1254" spans="1:2" ht="12.5" x14ac:dyDescent="0.25">
      <c r="A1254" t="str">
        <f ca="1">IFERROR(__xludf.DUMMYFUNCTION("""COMPUTED_VALUE"""),"Panevezio Apskritis")</f>
        <v>Panevezio Apskritis</v>
      </c>
      <c r="B1254" t="str">
        <f ca="1">IFERROR(__xludf.DUMMYFUNCTION("""COMPUTED_VALUE"""),"LT005")</f>
        <v>LT005</v>
      </c>
    </row>
    <row r="1255" spans="1:2" ht="12.5" x14ac:dyDescent="0.25">
      <c r="A1255" t="str">
        <f ca="1">IFERROR(__xludf.DUMMYFUNCTION("""COMPUTED_VALUE"""),"Parchim")</f>
        <v>Parchim</v>
      </c>
      <c r="B1255" t="str">
        <f ca="1">IFERROR(__xludf.DUMMYFUNCTION("""COMPUTED_VALUE"""),"DE80G")</f>
        <v>DE80G</v>
      </c>
    </row>
    <row r="1256" spans="1:2" ht="12.5" x14ac:dyDescent="0.25">
      <c r="A1256" t="str">
        <f ca="1">IFERROR(__xludf.DUMMYFUNCTION("""COMPUTED_VALUE"""),"Pardubicky Kraj")</f>
        <v>Pardubicky Kraj</v>
      </c>
      <c r="B1256" t="str">
        <f ca="1">IFERROR(__xludf.DUMMYFUNCTION("""COMPUTED_VALUE"""),"CZ053")</f>
        <v>CZ053</v>
      </c>
    </row>
    <row r="1257" spans="1:2" ht="12.5" x14ac:dyDescent="0.25">
      <c r="A1257" t="str">
        <f ca="1">IFERROR(__xludf.DUMMYFUNCTION("""COMPUTED_VALUE"""),"Paris")</f>
        <v>Paris</v>
      </c>
      <c r="B1257" t="str">
        <f ca="1">IFERROR(__xludf.DUMMYFUNCTION("""COMPUTED_VALUE"""),"FR101")</f>
        <v>FR101</v>
      </c>
    </row>
    <row r="1258" spans="1:2" ht="12.5" x14ac:dyDescent="0.25">
      <c r="A1258" t="str">
        <f ca="1">IFERROR(__xludf.DUMMYFUNCTION("""COMPUTED_VALUE"""),"Parma")</f>
        <v>Parma</v>
      </c>
      <c r="B1258" t="str">
        <f ca="1">IFERROR(__xludf.DUMMYFUNCTION("""COMPUTED_VALUE"""),"ITD52")</f>
        <v>ITD52</v>
      </c>
    </row>
    <row r="1259" spans="1:2" ht="12.5" x14ac:dyDescent="0.25">
      <c r="A1259" t="str">
        <f ca="1">IFERROR(__xludf.DUMMYFUNCTION("""COMPUTED_VALUE"""),"Pas-De-Calais")</f>
        <v>Pas-De-Calais</v>
      </c>
      <c r="B1259" t="str">
        <f ca="1">IFERROR(__xludf.DUMMYFUNCTION("""COMPUTED_VALUE"""),"FR302")</f>
        <v>FR302</v>
      </c>
    </row>
    <row r="1260" spans="1:2" ht="12.5" x14ac:dyDescent="0.25">
      <c r="A1260" t="str">
        <f ca="1">IFERROR(__xludf.DUMMYFUNCTION("""COMPUTED_VALUE"""),"Passau, Kreisfreie Stadt")</f>
        <v>Passau, Kreisfreie Stadt</v>
      </c>
      <c r="B1260" t="str">
        <f ca="1">IFERROR(__xludf.DUMMYFUNCTION("""COMPUTED_VALUE"""),"DE222")</f>
        <v>DE222</v>
      </c>
    </row>
    <row r="1261" spans="1:2" ht="12.5" x14ac:dyDescent="0.25">
      <c r="A1261" t="str">
        <f ca="1">IFERROR(__xludf.DUMMYFUNCTION("""COMPUTED_VALUE"""),"Passau, Landkreis")</f>
        <v>Passau, Landkreis</v>
      </c>
      <c r="B1261" t="str">
        <f ca="1">IFERROR(__xludf.DUMMYFUNCTION("""COMPUTED_VALUE"""),"DE228")</f>
        <v>DE228</v>
      </c>
    </row>
    <row r="1262" spans="1:2" ht="12.5" x14ac:dyDescent="0.25">
      <c r="A1262" t="str">
        <f ca="1">IFERROR(__xludf.DUMMYFUNCTION("""COMPUTED_VALUE"""),"Pavia")</f>
        <v>Pavia</v>
      </c>
      <c r="B1262" t="str">
        <f ca="1">IFERROR(__xludf.DUMMYFUNCTION("""COMPUTED_VALUE"""),"ITC48")</f>
        <v>ITC48</v>
      </c>
    </row>
    <row r="1263" spans="1:2" ht="12.5" x14ac:dyDescent="0.25">
      <c r="A1263" t="str">
        <f ca="1">IFERROR(__xludf.DUMMYFUNCTION("""COMPUTED_VALUE"""),"Pays De La Loire")</f>
        <v>Pays De La Loire</v>
      </c>
      <c r="B1263" t="str">
        <f ca="1">IFERROR(__xludf.DUMMYFUNCTION("""COMPUTED_VALUE"""),"FR51")</f>
        <v>FR51</v>
      </c>
    </row>
    <row r="1264" spans="1:2" ht="12.5" x14ac:dyDescent="0.25">
      <c r="A1264" t="str">
        <f ca="1">IFERROR(__xludf.DUMMYFUNCTION("""COMPUTED_VALUE"""),"Pazardzhik")</f>
        <v>Pazardzhik</v>
      </c>
      <c r="B1264" t="str">
        <f ca="1">IFERROR(__xludf.DUMMYFUNCTION("""COMPUTED_VALUE"""),"BG423")</f>
        <v>BG423</v>
      </c>
    </row>
    <row r="1265" spans="1:2" ht="12.5" x14ac:dyDescent="0.25">
      <c r="A1265" t="str">
        <f ca="1">IFERROR(__xludf.DUMMYFUNCTION("""COMPUTED_VALUE"""),"Peine")</f>
        <v>Peine</v>
      </c>
      <c r="B1265" t="str">
        <f ca="1">IFERROR(__xludf.DUMMYFUNCTION("""COMPUTED_VALUE"""),"DE91A")</f>
        <v>DE91A</v>
      </c>
    </row>
    <row r="1266" spans="1:2" ht="12.5" x14ac:dyDescent="0.25">
      <c r="A1266" t="str">
        <f ca="1">IFERROR(__xludf.DUMMYFUNCTION("""COMPUTED_VALUE"""),"Pella")</f>
        <v>Pella</v>
      </c>
      <c r="B1266" t="str">
        <f ca="1">IFERROR(__xludf.DUMMYFUNCTION("""COMPUTED_VALUE"""),"GR124")</f>
        <v>GR124</v>
      </c>
    </row>
    <row r="1267" spans="1:2" ht="12.5" x14ac:dyDescent="0.25">
      <c r="A1267" t="str">
        <f ca="1">IFERROR(__xludf.DUMMYFUNCTION("""COMPUTED_VALUE"""),"Peloponnisos")</f>
        <v>Peloponnisos</v>
      </c>
      <c r="B1267" t="str">
        <f ca="1">IFERROR(__xludf.DUMMYFUNCTION("""COMPUTED_VALUE"""),"GR25")</f>
        <v>GR25</v>
      </c>
    </row>
    <row r="1268" spans="1:2" ht="12.5" x14ac:dyDescent="0.25">
      <c r="A1268" t="str">
        <f ca="1">IFERROR(__xludf.DUMMYFUNCTION("""COMPUTED_VALUE"""),"Península De Setúbal")</f>
        <v>Península De Setúbal</v>
      </c>
      <c r="B1268" t="str">
        <f ca="1">IFERROR(__xludf.DUMMYFUNCTION("""COMPUTED_VALUE"""),"PT172")</f>
        <v>PT172</v>
      </c>
    </row>
    <row r="1269" spans="1:2" ht="12.5" x14ac:dyDescent="0.25">
      <c r="A1269" t="str">
        <f ca="1">IFERROR(__xludf.DUMMYFUNCTION("""COMPUTED_VALUE"""),"Pernik")</f>
        <v>Pernik</v>
      </c>
      <c r="B1269" t="str">
        <f ca="1">IFERROR(__xludf.DUMMYFUNCTION("""COMPUTED_VALUE"""),"BG414")</f>
        <v>BG414</v>
      </c>
    </row>
    <row r="1270" spans="1:2" ht="12.5" x14ac:dyDescent="0.25">
      <c r="A1270" t="str">
        <f ca="1">IFERROR(__xludf.DUMMYFUNCTION("""COMPUTED_VALUE"""),"Perth &amp; Kinross And Stirling")</f>
        <v>Perth &amp; Kinross And Stirling</v>
      </c>
      <c r="B1270" t="str">
        <f ca="1">IFERROR(__xludf.DUMMYFUNCTION("""COMPUTED_VALUE"""),"UKM27")</f>
        <v>UKM27</v>
      </c>
    </row>
    <row r="1271" spans="1:2" ht="12.5" x14ac:dyDescent="0.25">
      <c r="A1271" t="str">
        <f ca="1">IFERROR(__xludf.DUMMYFUNCTION("""COMPUTED_VALUE"""),"Perugia")</f>
        <v>Perugia</v>
      </c>
      <c r="B1271" t="str">
        <f ca="1">IFERROR(__xludf.DUMMYFUNCTION("""COMPUTED_VALUE"""),"ITE21")</f>
        <v>ITE21</v>
      </c>
    </row>
    <row r="1272" spans="1:2" ht="12.5" x14ac:dyDescent="0.25">
      <c r="A1272" t="str">
        <f ca="1">IFERROR(__xludf.DUMMYFUNCTION("""COMPUTED_VALUE"""),"Pesaro E Urbino")</f>
        <v>Pesaro E Urbino</v>
      </c>
      <c r="B1272" t="str">
        <f ca="1">IFERROR(__xludf.DUMMYFUNCTION("""COMPUTED_VALUE"""),"ITE31")</f>
        <v>ITE31</v>
      </c>
    </row>
    <row r="1273" spans="1:2" ht="12.5" x14ac:dyDescent="0.25">
      <c r="A1273" t="str">
        <f ca="1">IFERROR(__xludf.DUMMYFUNCTION("""COMPUTED_VALUE"""),"Pescara")</f>
        <v>Pescara</v>
      </c>
      <c r="B1273" t="str">
        <f ca="1">IFERROR(__xludf.DUMMYFUNCTION("""COMPUTED_VALUE"""),"ITF13")</f>
        <v>ITF13</v>
      </c>
    </row>
    <row r="1274" spans="1:2" ht="12.5" x14ac:dyDescent="0.25">
      <c r="A1274" t="str">
        <f ca="1">IFERROR(__xludf.DUMMYFUNCTION("""COMPUTED_VALUE"""),"Pest")</f>
        <v>Pest</v>
      </c>
      <c r="B1274" t="str">
        <f ca="1">IFERROR(__xludf.DUMMYFUNCTION("""COMPUTED_VALUE"""),"HU102")</f>
        <v>HU102</v>
      </c>
    </row>
    <row r="1275" spans="1:2" ht="12.5" x14ac:dyDescent="0.25">
      <c r="A1275" t="str">
        <f ca="1">IFERROR(__xludf.DUMMYFUNCTION("""COMPUTED_VALUE"""),"Peterborough")</f>
        <v>Peterborough</v>
      </c>
      <c r="B1275" t="str">
        <f ca="1">IFERROR(__xludf.DUMMYFUNCTION("""COMPUTED_VALUE"""),"UKH11")</f>
        <v>UKH11</v>
      </c>
    </row>
    <row r="1276" spans="1:2" ht="12.5" x14ac:dyDescent="0.25">
      <c r="A1276" t="str">
        <f ca="1">IFERROR(__xludf.DUMMYFUNCTION("""COMPUTED_VALUE"""),"Pfaffenhofen A. D. Ilm")</f>
        <v>Pfaffenhofen A. D. Ilm</v>
      </c>
      <c r="B1276" t="str">
        <f ca="1">IFERROR(__xludf.DUMMYFUNCTION("""COMPUTED_VALUE"""),"DE21J")</f>
        <v>DE21J</v>
      </c>
    </row>
    <row r="1277" spans="1:2" ht="12.5" x14ac:dyDescent="0.25">
      <c r="A1277" t="str">
        <f ca="1">IFERROR(__xludf.DUMMYFUNCTION("""COMPUTED_VALUE"""),"Pforzheim, Stadtkreis")</f>
        <v>Pforzheim, Stadtkreis</v>
      </c>
      <c r="B1277" t="str">
        <f ca="1">IFERROR(__xludf.DUMMYFUNCTION("""COMPUTED_VALUE"""),"DE129")</f>
        <v>DE129</v>
      </c>
    </row>
    <row r="1278" spans="1:2" ht="12.5" x14ac:dyDescent="0.25">
      <c r="A1278" t="str">
        <f ca="1">IFERROR(__xludf.DUMMYFUNCTION("""COMPUTED_VALUE"""),"Piacenza")</f>
        <v>Piacenza</v>
      </c>
      <c r="B1278" t="str">
        <f ca="1">IFERROR(__xludf.DUMMYFUNCTION("""COMPUTED_VALUE"""),"ITD51")</f>
        <v>ITD51</v>
      </c>
    </row>
    <row r="1279" spans="1:2" ht="12.5" x14ac:dyDescent="0.25">
      <c r="A1279" t="str">
        <f ca="1">IFERROR(__xludf.DUMMYFUNCTION("""COMPUTED_VALUE"""),"Picardie")</f>
        <v>Picardie</v>
      </c>
      <c r="B1279" t="str">
        <f ca="1">IFERROR(__xludf.DUMMYFUNCTION("""COMPUTED_VALUE"""),"FR22")</f>
        <v>FR22</v>
      </c>
    </row>
    <row r="1280" spans="1:2" ht="12.5" x14ac:dyDescent="0.25">
      <c r="A1280" t="str">
        <f ca="1">IFERROR(__xludf.DUMMYFUNCTION("""COMPUTED_VALUE"""),"Piemonte")</f>
        <v>Piemonte</v>
      </c>
      <c r="B1280" t="str">
        <f ca="1">IFERROR(__xludf.DUMMYFUNCTION("""COMPUTED_VALUE"""),"ITC1")</f>
        <v>ITC1</v>
      </c>
    </row>
    <row r="1281" spans="1:2" ht="12.5" x14ac:dyDescent="0.25">
      <c r="A1281" t="str">
        <f ca="1">IFERROR(__xludf.DUMMYFUNCTION("""COMPUTED_VALUE"""),"Pieria")</f>
        <v>Pieria</v>
      </c>
      <c r="B1281" t="str">
        <f ca="1">IFERROR(__xludf.DUMMYFUNCTION("""COMPUTED_VALUE"""),"GR125")</f>
        <v>GR125</v>
      </c>
    </row>
    <row r="1282" spans="1:2" ht="12.5" x14ac:dyDescent="0.25">
      <c r="A1282" t="str">
        <f ca="1">IFERROR(__xludf.DUMMYFUNCTION("""COMPUTED_VALUE"""),"Pieriga")</f>
        <v>Pieriga</v>
      </c>
      <c r="B1282" t="str">
        <f ca="1">IFERROR(__xludf.DUMMYFUNCTION("""COMPUTED_VALUE"""),"LV007")</f>
        <v>LV007</v>
      </c>
    </row>
    <row r="1283" spans="1:2" ht="12.5" x14ac:dyDescent="0.25">
      <c r="A1283" t="str">
        <f ca="1">IFERROR(__xludf.DUMMYFUNCTION("""COMPUTED_VALUE"""),"Pilski")</f>
        <v>Pilski</v>
      </c>
      <c r="B1283" t="str">
        <f ca="1">IFERROR(__xludf.DUMMYFUNCTION("""COMPUTED_VALUE"""),"PL411")</f>
        <v>PL411</v>
      </c>
    </row>
    <row r="1284" spans="1:2" ht="12.5" x14ac:dyDescent="0.25">
      <c r="A1284" t="str">
        <f ca="1">IFERROR(__xludf.DUMMYFUNCTION("""COMPUTED_VALUE"""),"Pinhal Interior Norte")</f>
        <v>Pinhal Interior Norte</v>
      </c>
      <c r="B1284" t="str">
        <f ca="1">IFERROR(__xludf.DUMMYFUNCTION("""COMPUTED_VALUE"""),"PT164")</f>
        <v>PT164</v>
      </c>
    </row>
    <row r="1285" spans="1:2" ht="12.5" x14ac:dyDescent="0.25">
      <c r="A1285" t="str">
        <f ca="1">IFERROR(__xludf.DUMMYFUNCTION("""COMPUTED_VALUE"""),"Pinhal Interior Sul")</f>
        <v>Pinhal Interior Sul</v>
      </c>
      <c r="B1285" t="str">
        <f ca="1">IFERROR(__xludf.DUMMYFUNCTION("""COMPUTED_VALUE"""),"PT166")</f>
        <v>PT166</v>
      </c>
    </row>
    <row r="1286" spans="1:2" ht="12.5" x14ac:dyDescent="0.25">
      <c r="A1286" t="str">
        <f ca="1">IFERROR(__xludf.DUMMYFUNCTION("""COMPUTED_VALUE"""),"Pinhal Litoral")</f>
        <v>Pinhal Litoral</v>
      </c>
      <c r="B1286" t="str">
        <f ca="1">IFERROR(__xludf.DUMMYFUNCTION("""COMPUTED_VALUE"""),"PT163")</f>
        <v>PT163</v>
      </c>
    </row>
    <row r="1287" spans="1:2" ht="12.5" x14ac:dyDescent="0.25">
      <c r="A1287" t="str">
        <f ca="1">IFERROR(__xludf.DUMMYFUNCTION("""COMPUTED_VALUE"""),"Pinneberg")</f>
        <v>Pinneberg</v>
      </c>
      <c r="B1287" t="str">
        <f ca="1">IFERROR(__xludf.DUMMYFUNCTION("""COMPUTED_VALUE"""),"DEF09")</f>
        <v>DEF09</v>
      </c>
    </row>
    <row r="1288" spans="1:2" ht="12.5" x14ac:dyDescent="0.25">
      <c r="A1288" t="str">
        <f ca="1">IFERROR(__xludf.DUMMYFUNCTION("""COMPUTED_VALUE"""),"Pinzgau-Pongau")</f>
        <v>Pinzgau-Pongau</v>
      </c>
      <c r="B1288" t="str">
        <f ca="1">IFERROR(__xludf.DUMMYFUNCTION("""COMPUTED_VALUE"""),"AT322")</f>
        <v>AT322</v>
      </c>
    </row>
    <row r="1289" spans="1:2" ht="12.5" x14ac:dyDescent="0.25">
      <c r="A1289" t="str">
        <f ca="1">IFERROR(__xludf.DUMMYFUNCTION("""COMPUTED_VALUE"""),"Piotrkowski")</f>
        <v>Piotrkowski</v>
      </c>
      <c r="B1289" t="str">
        <f ca="1">IFERROR(__xludf.DUMMYFUNCTION("""COMPUTED_VALUE"""),"PL115")</f>
        <v>PL115</v>
      </c>
    </row>
    <row r="1290" spans="1:2" ht="12.5" x14ac:dyDescent="0.25">
      <c r="A1290" t="str">
        <f ca="1">IFERROR(__xludf.DUMMYFUNCTION("""COMPUTED_VALUE"""),"Pirkanmaa")</f>
        <v>Pirkanmaa</v>
      </c>
      <c r="B1290" t="str">
        <f ca="1">IFERROR(__xludf.DUMMYFUNCTION("""COMPUTED_VALUE"""),"FI197")</f>
        <v>FI197</v>
      </c>
    </row>
    <row r="1291" spans="1:2" ht="12.5" x14ac:dyDescent="0.25">
      <c r="A1291" t="str">
        <f ca="1">IFERROR(__xludf.DUMMYFUNCTION("""COMPUTED_VALUE"""),"Pirmasens, Kreisfreie Stadt")</f>
        <v>Pirmasens, Kreisfreie Stadt</v>
      </c>
      <c r="B1291" t="str">
        <f ca="1">IFERROR(__xludf.DUMMYFUNCTION("""COMPUTED_VALUE"""),"DEB37")</f>
        <v>DEB37</v>
      </c>
    </row>
    <row r="1292" spans="1:2" ht="12.5" x14ac:dyDescent="0.25">
      <c r="A1292" t="str">
        <f ca="1">IFERROR(__xludf.DUMMYFUNCTION("""COMPUTED_VALUE"""),"Pisa")</f>
        <v>Pisa</v>
      </c>
      <c r="B1292" t="str">
        <f ca="1">IFERROR(__xludf.DUMMYFUNCTION("""COMPUTED_VALUE"""),"ITE17")</f>
        <v>ITE17</v>
      </c>
    </row>
    <row r="1293" spans="1:2" ht="12.5" x14ac:dyDescent="0.25">
      <c r="A1293" t="str">
        <f ca="1">IFERROR(__xludf.DUMMYFUNCTION("""COMPUTED_VALUE"""),"Pistoia")</f>
        <v>Pistoia</v>
      </c>
      <c r="B1293" t="str">
        <f ca="1">IFERROR(__xludf.DUMMYFUNCTION("""COMPUTED_VALUE"""),"ITE13")</f>
        <v>ITE13</v>
      </c>
    </row>
    <row r="1294" spans="1:2" ht="12.5" x14ac:dyDescent="0.25">
      <c r="A1294" t="str">
        <f ca="1">IFERROR(__xludf.DUMMYFUNCTION("""COMPUTED_VALUE"""),"Plauen, Kreisfreie Stadt")</f>
        <v>Plauen, Kreisfreie Stadt</v>
      </c>
      <c r="B1294" t="str">
        <f ca="1">IFERROR(__xludf.DUMMYFUNCTION("""COMPUTED_VALUE"""),"DED12")</f>
        <v>DED12</v>
      </c>
    </row>
    <row r="1295" spans="1:2" ht="12.5" x14ac:dyDescent="0.25">
      <c r="A1295" t="str">
        <f ca="1">IFERROR(__xludf.DUMMYFUNCTION("""COMPUTED_VALUE"""),"Pleven")</f>
        <v>Pleven</v>
      </c>
      <c r="B1295" t="str">
        <f ca="1">IFERROR(__xludf.DUMMYFUNCTION("""COMPUTED_VALUE"""),"BG314")</f>
        <v>BG314</v>
      </c>
    </row>
    <row r="1296" spans="1:2" ht="12.5" x14ac:dyDescent="0.25">
      <c r="A1296" t="str">
        <f ca="1">IFERROR(__xludf.DUMMYFUNCTION("""COMPUTED_VALUE"""),"Plön")</f>
        <v>Plön</v>
      </c>
      <c r="B1296" t="str">
        <f ca="1">IFERROR(__xludf.DUMMYFUNCTION("""COMPUTED_VALUE"""),"DEF0A")</f>
        <v>DEF0A</v>
      </c>
    </row>
    <row r="1297" spans="1:2" ht="12.5" x14ac:dyDescent="0.25">
      <c r="A1297" t="str">
        <f ca="1">IFERROR(__xludf.DUMMYFUNCTION("""COMPUTED_VALUE"""),"Plovdiv")</f>
        <v>Plovdiv</v>
      </c>
      <c r="B1297" t="str">
        <f ca="1">IFERROR(__xludf.DUMMYFUNCTION("""COMPUTED_VALUE"""),"BG421")</f>
        <v>BG421</v>
      </c>
    </row>
    <row r="1298" spans="1:2" ht="12.5" x14ac:dyDescent="0.25">
      <c r="A1298" t="str">
        <f ca="1">IFERROR(__xludf.DUMMYFUNCTION("""COMPUTED_VALUE"""),"Plymouth")</f>
        <v>Plymouth</v>
      </c>
      <c r="B1298" t="str">
        <f ca="1">IFERROR(__xludf.DUMMYFUNCTION("""COMPUTED_VALUE"""),"UKK41")</f>
        <v>UKK41</v>
      </c>
    </row>
    <row r="1299" spans="1:2" ht="12.5" x14ac:dyDescent="0.25">
      <c r="A1299" t="str">
        <f ca="1">IFERROR(__xludf.DUMMYFUNCTION("""COMPUTED_VALUE"""),"Plzensky Kraj")</f>
        <v>Plzensky Kraj</v>
      </c>
      <c r="B1299" t="str">
        <f ca="1">IFERROR(__xludf.DUMMYFUNCTION("""COMPUTED_VALUE"""),"CZ032")</f>
        <v>CZ032</v>
      </c>
    </row>
    <row r="1300" spans="1:2" ht="12.5" x14ac:dyDescent="0.25">
      <c r="A1300" t="str">
        <f ca="1">IFERROR(__xludf.DUMMYFUNCTION("""COMPUTED_VALUE"""),"Podkarpackie")</f>
        <v>Podkarpackie</v>
      </c>
      <c r="B1300" t="str">
        <f ca="1">IFERROR(__xludf.DUMMYFUNCTION("""COMPUTED_VALUE"""),"PL32")</f>
        <v>PL32</v>
      </c>
    </row>
    <row r="1301" spans="1:2" ht="12.5" x14ac:dyDescent="0.25">
      <c r="A1301" t="str">
        <f ca="1">IFERROR(__xludf.DUMMYFUNCTION("""COMPUTED_VALUE"""),"Podlaskie")</f>
        <v>Podlaskie</v>
      </c>
      <c r="B1301" t="str">
        <f ca="1">IFERROR(__xludf.DUMMYFUNCTION("""COMPUTED_VALUE"""),"PL34")</f>
        <v>PL34</v>
      </c>
    </row>
    <row r="1302" spans="1:2" ht="12.5" x14ac:dyDescent="0.25">
      <c r="A1302" t="str">
        <f ca="1">IFERROR(__xludf.DUMMYFUNCTION("""COMPUTED_VALUE"""),"Podravska")</f>
        <v>Podravska</v>
      </c>
      <c r="B1302" t="str">
        <f ca="1">IFERROR(__xludf.DUMMYFUNCTION("""COMPUTED_VALUE"""),"SI012")</f>
        <v>SI012</v>
      </c>
    </row>
    <row r="1303" spans="1:2" ht="12.5" x14ac:dyDescent="0.25">
      <c r="A1303" t="str">
        <f ca="1">IFERROR(__xludf.DUMMYFUNCTION("""COMPUTED_VALUE"""),"Põhja-Eesti")</f>
        <v>Põhja-Eesti</v>
      </c>
      <c r="B1303" t="str">
        <f ca="1">IFERROR(__xludf.DUMMYFUNCTION("""COMPUTED_VALUE"""),"EE001")</f>
        <v>EE001</v>
      </c>
    </row>
    <row r="1304" spans="1:2" ht="12.5" x14ac:dyDescent="0.25">
      <c r="A1304" t="str">
        <f ca="1">IFERROR(__xludf.DUMMYFUNCTION("""COMPUTED_VALUE"""),"Pohjanmaa")</f>
        <v>Pohjanmaa</v>
      </c>
      <c r="B1304" t="str">
        <f ca="1">IFERROR(__xludf.DUMMYFUNCTION("""COMPUTED_VALUE"""),"FI195")</f>
        <v>FI195</v>
      </c>
    </row>
    <row r="1305" spans="1:2" ht="12.5" x14ac:dyDescent="0.25">
      <c r="A1305" t="str">
        <f ca="1">IFERROR(__xludf.DUMMYFUNCTION("""COMPUTED_VALUE"""),"Pohjois-Karjala")</f>
        <v>Pohjois-Karjala</v>
      </c>
      <c r="B1305" t="str">
        <f ca="1">IFERROR(__xludf.DUMMYFUNCTION("""COMPUTED_VALUE"""),"FI133")</f>
        <v>FI133</v>
      </c>
    </row>
    <row r="1306" spans="1:2" ht="12.5" x14ac:dyDescent="0.25">
      <c r="A1306" t="str">
        <f ca="1">IFERROR(__xludf.DUMMYFUNCTION("""COMPUTED_VALUE"""),"Pohjois-Pohjanmaa")</f>
        <v>Pohjois-Pohjanmaa</v>
      </c>
      <c r="B1306" t="str">
        <f ca="1">IFERROR(__xludf.DUMMYFUNCTION("""COMPUTED_VALUE"""),"FI1A2")</f>
        <v>FI1A2</v>
      </c>
    </row>
    <row r="1307" spans="1:2" ht="12.5" x14ac:dyDescent="0.25">
      <c r="A1307" t="str">
        <f ca="1">IFERROR(__xludf.DUMMYFUNCTION("""COMPUTED_VALUE"""),"Pohjois-Savo")</f>
        <v>Pohjois-Savo</v>
      </c>
      <c r="B1307" t="str">
        <f ca="1">IFERROR(__xludf.DUMMYFUNCTION("""COMPUTED_VALUE"""),"FI132")</f>
        <v>FI132</v>
      </c>
    </row>
    <row r="1308" spans="1:2" ht="12.5" x14ac:dyDescent="0.25">
      <c r="A1308" t="str">
        <f ca="1">IFERROR(__xludf.DUMMYFUNCTION("""COMPUTED_VALUE"""),"Pohjois-Suomi")</f>
        <v>Pohjois-Suomi</v>
      </c>
      <c r="B1308" t="str">
        <f ca="1">IFERROR(__xludf.DUMMYFUNCTION("""COMPUTED_VALUE"""),"FI1A")</f>
        <v>FI1A</v>
      </c>
    </row>
    <row r="1309" spans="1:2" ht="12.5" x14ac:dyDescent="0.25">
      <c r="A1309" t="str">
        <f ca="1">IFERROR(__xludf.DUMMYFUNCTION("""COMPUTED_VALUE"""),"Poitou-Charentes")</f>
        <v>Poitou-Charentes</v>
      </c>
      <c r="B1309" t="str">
        <f ca="1">IFERROR(__xludf.DUMMYFUNCTION("""COMPUTED_VALUE"""),"FR53")</f>
        <v>FR53</v>
      </c>
    </row>
    <row r="1310" spans="1:2" ht="12.5" x14ac:dyDescent="0.25">
      <c r="A1310" t="str">
        <f ca="1">IFERROR(__xludf.DUMMYFUNCTION("""COMPUTED_VALUE"""),"Polska")</f>
        <v>Polska</v>
      </c>
      <c r="B1310" t="str">
        <f ca="1">IFERROR(__xludf.DUMMYFUNCTION("""COMPUTED_VALUE"""),"PL")</f>
        <v>PL</v>
      </c>
    </row>
    <row r="1311" spans="1:2" ht="12.5" x14ac:dyDescent="0.25">
      <c r="A1311" t="str">
        <f ca="1">IFERROR(__xludf.DUMMYFUNCTION("""COMPUTED_VALUE"""),"Pomorskie")</f>
        <v>Pomorskie</v>
      </c>
      <c r="B1311" t="str">
        <f ca="1">IFERROR(__xludf.DUMMYFUNCTION("""COMPUTED_VALUE"""),"PL63")</f>
        <v>PL63</v>
      </c>
    </row>
    <row r="1312" spans="1:2" ht="12.5" x14ac:dyDescent="0.25">
      <c r="A1312" t="str">
        <f ca="1">IFERROR(__xludf.DUMMYFUNCTION("""COMPUTED_VALUE"""),"Pomurska")</f>
        <v>Pomurska</v>
      </c>
      <c r="B1312" t="str">
        <f ca="1">IFERROR(__xludf.DUMMYFUNCTION("""COMPUTED_VALUE"""),"SI011")</f>
        <v>SI011</v>
      </c>
    </row>
    <row r="1313" spans="1:2" ht="12.5" x14ac:dyDescent="0.25">
      <c r="A1313" t="str">
        <f ca="1">IFERROR(__xludf.DUMMYFUNCTION("""COMPUTED_VALUE"""),"Pontevedra")</f>
        <v>Pontevedra</v>
      </c>
      <c r="B1313" t="str">
        <f ca="1">IFERROR(__xludf.DUMMYFUNCTION("""COMPUTED_VALUE"""),"ES114")</f>
        <v>ES114</v>
      </c>
    </row>
    <row r="1314" spans="1:2" ht="12.5" x14ac:dyDescent="0.25">
      <c r="A1314" t="str">
        <f ca="1">IFERROR(__xludf.DUMMYFUNCTION("""COMPUTED_VALUE"""),"Pordenone")</f>
        <v>Pordenone</v>
      </c>
      <c r="B1314" t="str">
        <f ca="1">IFERROR(__xludf.DUMMYFUNCTION("""COMPUTED_VALUE"""),"ITD41")</f>
        <v>ITD41</v>
      </c>
    </row>
    <row r="1315" spans="1:2" ht="12.5" x14ac:dyDescent="0.25">
      <c r="A1315" t="str">
        <f ca="1">IFERROR(__xludf.DUMMYFUNCTION("""COMPUTED_VALUE"""),"Portsmouth")</f>
        <v>Portsmouth</v>
      </c>
      <c r="B1315" t="str">
        <f ca="1">IFERROR(__xludf.DUMMYFUNCTION("""COMPUTED_VALUE"""),"UKJ31")</f>
        <v>UKJ31</v>
      </c>
    </row>
    <row r="1316" spans="1:2" ht="12.5" x14ac:dyDescent="0.25">
      <c r="A1316" t="str">
        <f ca="1">IFERROR(__xludf.DUMMYFUNCTION("""COMPUTED_VALUE"""),"Portugal")</f>
        <v>Portugal</v>
      </c>
      <c r="B1316" t="str">
        <f ca="1">IFERROR(__xludf.DUMMYFUNCTION("""COMPUTED_VALUE"""),"PT")</f>
        <v>PT</v>
      </c>
    </row>
    <row r="1317" spans="1:2" ht="12.5" x14ac:dyDescent="0.25">
      <c r="A1317" t="str">
        <f ca="1">IFERROR(__xludf.DUMMYFUNCTION("""COMPUTED_VALUE"""),"Potenza")</f>
        <v>Potenza</v>
      </c>
      <c r="B1317" t="str">
        <f ca="1">IFERROR(__xludf.DUMMYFUNCTION("""COMPUTED_VALUE"""),"ITF51")</f>
        <v>ITF51</v>
      </c>
    </row>
    <row r="1318" spans="1:2" ht="12.5" x14ac:dyDescent="0.25">
      <c r="A1318" t="str">
        <f ca="1">IFERROR(__xludf.DUMMYFUNCTION("""COMPUTED_VALUE"""),"Potsdam-Mittelmark")</f>
        <v>Potsdam-Mittelmark</v>
      </c>
      <c r="B1318" t="str">
        <f ca="1">IFERROR(__xludf.DUMMYFUNCTION("""COMPUTED_VALUE"""),"DE428")</f>
        <v>DE428</v>
      </c>
    </row>
    <row r="1319" spans="1:2" ht="12.5" x14ac:dyDescent="0.25">
      <c r="A1319" t="str">
        <f ca="1">IFERROR(__xludf.DUMMYFUNCTION("""COMPUTED_VALUE"""),"Potsdam, Kreisfreie Stadt")</f>
        <v>Potsdam, Kreisfreie Stadt</v>
      </c>
      <c r="B1319" t="str">
        <f ca="1">IFERROR(__xludf.DUMMYFUNCTION("""COMPUTED_VALUE"""),"DE423")</f>
        <v>DE423</v>
      </c>
    </row>
    <row r="1320" spans="1:2" ht="12.5" x14ac:dyDescent="0.25">
      <c r="A1320" t="str">
        <f ca="1">IFERROR(__xludf.DUMMYFUNCTION("""COMPUTED_VALUE"""),"Powys")</f>
        <v>Powys</v>
      </c>
      <c r="B1320" t="str">
        <f ca="1">IFERROR(__xludf.DUMMYFUNCTION("""COMPUTED_VALUE"""),"UKL24")</f>
        <v>UKL24</v>
      </c>
    </row>
    <row r="1321" spans="1:2" ht="12.5" x14ac:dyDescent="0.25">
      <c r="A1321" t="str">
        <f ca="1">IFERROR(__xludf.DUMMYFUNCTION("""COMPUTED_VALUE"""),"Poznanski")</f>
        <v>Poznanski</v>
      </c>
      <c r="B1321" t="str">
        <f ca="1">IFERROR(__xludf.DUMMYFUNCTION("""COMPUTED_VALUE"""),"PL418")</f>
        <v>PL418</v>
      </c>
    </row>
    <row r="1322" spans="1:2" ht="12.5" x14ac:dyDescent="0.25">
      <c r="A1322" t="str">
        <f ca="1">IFERROR(__xludf.DUMMYFUNCTION("""COMPUTED_VALUE"""),"Praha")</f>
        <v>Praha</v>
      </c>
      <c r="B1322" t="str">
        <f ca="1">IFERROR(__xludf.DUMMYFUNCTION("""COMPUTED_VALUE"""),"CZ01")</f>
        <v>CZ01</v>
      </c>
    </row>
    <row r="1323" spans="1:2" ht="12.5" x14ac:dyDescent="0.25">
      <c r="A1323" t="str">
        <f ca="1">IFERROR(__xludf.DUMMYFUNCTION("""COMPUTED_VALUE"""),"Prahova")</f>
        <v>Prahova</v>
      </c>
      <c r="B1323" t="str">
        <f ca="1">IFERROR(__xludf.DUMMYFUNCTION("""COMPUTED_VALUE"""),"RO316")</f>
        <v>RO316</v>
      </c>
    </row>
    <row r="1324" spans="1:2" ht="12.5" x14ac:dyDescent="0.25">
      <c r="A1324" t="str">
        <f ca="1">IFERROR(__xludf.DUMMYFUNCTION("""COMPUTED_VALUE"""),"Prato")</f>
        <v>Prato</v>
      </c>
      <c r="B1324" t="str">
        <f ca="1">IFERROR(__xludf.DUMMYFUNCTION("""COMPUTED_VALUE"""),"ITE15")</f>
        <v>ITE15</v>
      </c>
    </row>
    <row r="1325" spans="1:2" ht="12.5" x14ac:dyDescent="0.25">
      <c r="A1325" t="str">
        <f ca="1">IFERROR(__xludf.DUMMYFUNCTION("""COMPUTED_VALUE"""),"Presovsky Kraj")</f>
        <v>Presovsky Kraj</v>
      </c>
      <c r="B1325" t="str">
        <f ca="1">IFERROR(__xludf.DUMMYFUNCTION("""COMPUTED_VALUE"""),"SK041")</f>
        <v>SK041</v>
      </c>
    </row>
    <row r="1326" spans="1:2" ht="12.5" x14ac:dyDescent="0.25">
      <c r="A1326" t="str">
        <f ca="1">IFERROR(__xludf.DUMMYFUNCTION("""COMPUTED_VALUE"""),"Preveza")</f>
        <v>Preveza</v>
      </c>
      <c r="B1326" t="str">
        <f ca="1">IFERROR(__xludf.DUMMYFUNCTION("""COMPUTED_VALUE"""),"GR214")</f>
        <v>GR214</v>
      </c>
    </row>
    <row r="1327" spans="1:2" ht="12.5" x14ac:dyDescent="0.25">
      <c r="A1327" t="str">
        <f ca="1">IFERROR(__xludf.DUMMYFUNCTION("""COMPUTED_VALUE"""),"Prignitz")</f>
        <v>Prignitz</v>
      </c>
      <c r="B1327" t="str">
        <f ca="1">IFERROR(__xludf.DUMMYFUNCTION("""COMPUTED_VALUE"""),"DE417")</f>
        <v>DE417</v>
      </c>
    </row>
    <row r="1328" spans="1:2" ht="12.5" x14ac:dyDescent="0.25">
      <c r="A1328" t="str">
        <f ca="1">IFERROR(__xludf.DUMMYFUNCTION("""COMPUTED_VALUE"""),"Principado De Asturias")</f>
        <v>Principado De Asturias</v>
      </c>
      <c r="B1328" t="str">
        <f ca="1">IFERROR(__xludf.DUMMYFUNCTION("""COMPUTED_VALUE"""),"ES12")</f>
        <v>ES12</v>
      </c>
    </row>
    <row r="1329" spans="1:2" ht="12.5" x14ac:dyDescent="0.25">
      <c r="A1329" t="str">
        <f ca="1">IFERROR(__xludf.DUMMYFUNCTION("""COMPUTED_VALUE"""),"Prov. Antwerpen")</f>
        <v>Prov. Antwerpen</v>
      </c>
      <c r="B1329" t="str">
        <f ca="1">IFERROR(__xludf.DUMMYFUNCTION("""COMPUTED_VALUE"""),"BE21")</f>
        <v>BE21</v>
      </c>
    </row>
    <row r="1330" spans="1:2" ht="12.5" x14ac:dyDescent="0.25">
      <c r="A1330" t="str">
        <f ca="1">IFERROR(__xludf.DUMMYFUNCTION("""COMPUTED_VALUE"""),"Prov. Brabant Wallon")</f>
        <v>Prov. Brabant Wallon</v>
      </c>
      <c r="B1330" t="str">
        <f ca="1">IFERROR(__xludf.DUMMYFUNCTION("""COMPUTED_VALUE"""),"BE31")</f>
        <v>BE31</v>
      </c>
    </row>
    <row r="1331" spans="1:2" ht="12.5" x14ac:dyDescent="0.25">
      <c r="A1331" t="str">
        <f ca="1">IFERROR(__xludf.DUMMYFUNCTION("""COMPUTED_VALUE"""),"Prov. Hainaut")</f>
        <v>Prov. Hainaut</v>
      </c>
      <c r="B1331" t="str">
        <f ca="1">IFERROR(__xludf.DUMMYFUNCTION("""COMPUTED_VALUE"""),"BE32")</f>
        <v>BE32</v>
      </c>
    </row>
    <row r="1332" spans="1:2" ht="12.5" x14ac:dyDescent="0.25">
      <c r="A1332" t="str">
        <f ca="1">IFERROR(__xludf.DUMMYFUNCTION("""COMPUTED_VALUE"""),"Prov. Liège")</f>
        <v>Prov. Liège</v>
      </c>
      <c r="B1332" t="str">
        <f ca="1">IFERROR(__xludf.DUMMYFUNCTION("""COMPUTED_VALUE"""),"BE33")</f>
        <v>BE33</v>
      </c>
    </row>
    <row r="1333" spans="1:2" ht="12.5" x14ac:dyDescent="0.25">
      <c r="A1333" t="str">
        <f ca="1">IFERROR(__xludf.DUMMYFUNCTION("""COMPUTED_VALUE"""),"Prov. Limburg (B)")</f>
        <v>Prov. Limburg (B)</v>
      </c>
      <c r="B1333" t="str">
        <f ca="1">IFERROR(__xludf.DUMMYFUNCTION("""COMPUTED_VALUE"""),"BE22")</f>
        <v>BE22</v>
      </c>
    </row>
    <row r="1334" spans="1:2" ht="12.5" x14ac:dyDescent="0.25">
      <c r="A1334" t="str">
        <f ca="1">IFERROR(__xludf.DUMMYFUNCTION("""COMPUTED_VALUE"""),"Prov. Luxembourg (B)")</f>
        <v>Prov. Luxembourg (B)</v>
      </c>
      <c r="B1334" t="str">
        <f ca="1">IFERROR(__xludf.DUMMYFUNCTION("""COMPUTED_VALUE"""),"BE34")</f>
        <v>BE34</v>
      </c>
    </row>
    <row r="1335" spans="1:2" ht="12.5" x14ac:dyDescent="0.25">
      <c r="A1335" t="str">
        <f ca="1">IFERROR(__xludf.DUMMYFUNCTION("""COMPUTED_VALUE"""),"Prov. Namur")</f>
        <v>Prov. Namur</v>
      </c>
      <c r="B1335" t="str">
        <f ca="1">IFERROR(__xludf.DUMMYFUNCTION("""COMPUTED_VALUE"""),"BE35")</f>
        <v>BE35</v>
      </c>
    </row>
    <row r="1336" spans="1:2" ht="12.5" x14ac:dyDescent="0.25">
      <c r="A1336" t="str">
        <f ca="1">IFERROR(__xludf.DUMMYFUNCTION("""COMPUTED_VALUE"""),"Prov. Oost-Vlaanderen")</f>
        <v>Prov. Oost-Vlaanderen</v>
      </c>
      <c r="B1336" t="str">
        <f ca="1">IFERROR(__xludf.DUMMYFUNCTION("""COMPUTED_VALUE"""),"BE23")</f>
        <v>BE23</v>
      </c>
    </row>
    <row r="1337" spans="1:2" ht="12.5" x14ac:dyDescent="0.25">
      <c r="A1337" t="str">
        <f ca="1">IFERROR(__xludf.DUMMYFUNCTION("""COMPUTED_VALUE"""),"Prov. Vlaams-Brabant")</f>
        <v>Prov. Vlaams-Brabant</v>
      </c>
      <c r="B1337" t="str">
        <f ca="1">IFERROR(__xludf.DUMMYFUNCTION("""COMPUTED_VALUE"""),"BE24")</f>
        <v>BE24</v>
      </c>
    </row>
    <row r="1338" spans="1:2" ht="12.5" x14ac:dyDescent="0.25">
      <c r="A1338" t="str">
        <f ca="1">IFERROR(__xludf.DUMMYFUNCTION("""COMPUTED_VALUE"""),"Prov. West-Vlaanderen")</f>
        <v>Prov. West-Vlaanderen</v>
      </c>
      <c r="B1338" t="str">
        <f ca="1">IFERROR(__xludf.DUMMYFUNCTION("""COMPUTED_VALUE"""),"BE25")</f>
        <v>BE25</v>
      </c>
    </row>
    <row r="1339" spans="1:2" ht="12.5" x14ac:dyDescent="0.25">
      <c r="A1339" t="str">
        <f ca="1">IFERROR(__xludf.DUMMYFUNCTION("""COMPUTED_VALUE"""),"Provence-Alpes-Côte D'Azur")</f>
        <v>Provence-Alpes-Côte D'Azur</v>
      </c>
      <c r="B1339" t="str">
        <f ca="1">IFERROR(__xludf.DUMMYFUNCTION("""COMPUTED_VALUE"""),"FR82")</f>
        <v>FR82</v>
      </c>
    </row>
    <row r="1340" spans="1:2" ht="12.5" x14ac:dyDescent="0.25">
      <c r="A1340" t="str">
        <f ca="1">IFERROR(__xludf.DUMMYFUNCTION("""COMPUTED_VALUE"""),"Provincia Autonoma Bolzano/Bozen")</f>
        <v>Provincia Autonoma Bolzano/Bozen</v>
      </c>
      <c r="B1340" t="str">
        <f ca="1">IFERROR(__xludf.DUMMYFUNCTION("""COMPUTED_VALUE"""),"ITD1")</f>
        <v>ITD1</v>
      </c>
    </row>
    <row r="1341" spans="1:2" ht="12.5" x14ac:dyDescent="0.25">
      <c r="A1341" t="str">
        <f ca="1">IFERROR(__xludf.DUMMYFUNCTION("""COMPUTED_VALUE"""),"Provincia Autonoma Trento")</f>
        <v>Provincia Autonoma Trento</v>
      </c>
      <c r="B1341" t="str">
        <f ca="1">IFERROR(__xludf.DUMMYFUNCTION("""COMPUTED_VALUE"""),"ITD2")</f>
        <v>ITD2</v>
      </c>
    </row>
    <row r="1342" spans="1:2" ht="12.5" x14ac:dyDescent="0.25">
      <c r="A1342" t="str">
        <f ca="1">IFERROR(__xludf.DUMMYFUNCTION("""COMPUTED_VALUE"""),"Przemyski")</f>
        <v>Przemyski</v>
      </c>
      <c r="B1342" t="str">
        <f ca="1">IFERROR(__xludf.DUMMYFUNCTION("""COMPUTED_VALUE"""),"PL324")</f>
        <v>PL324</v>
      </c>
    </row>
    <row r="1343" spans="1:2" ht="12.5" x14ac:dyDescent="0.25">
      <c r="A1343" t="str">
        <f ca="1">IFERROR(__xludf.DUMMYFUNCTION("""COMPUTED_VALUE"""),"Puglia")</f>
        <v>Puglia</v>
      </c>
      <c r="B1343" t="str">
        <f ca="1">IFERROR(__xludf.DUMMYFUNCTION("""COMPUTED_VALUE"""),"ITF4")</f>
        <v>ITF4</v>
      </c>
    </row>
    <row r="1344" spans="1:2" ht="12.5" x14ac:dyDescent="0.25">
      <c r="A1344" t="str">
        <f ca="1">IFERROR(__xludf.DUMMYFUNCTION("""COMPUTED_VALUE"""),"Pulawski")</f>
        <v>Pulawski</v>
      </c>
      <c r="B1344" t="str">
        <f ca="1">IFERROR(__xludf.DUMMYFUNCTION("""COMPUTED_VALUE"""),"PL315")</f>
        <v>PL315</v>
      </c>
    </row>
    <row r="1345" spans="1:2" ht="12.5" x14ac:dyDescent="0.25">
      <c r="A1345" t="str">
        <f ca="1">IFERROR(__xludf.DUMMYFUNCTION("""COMPUTED_VALUE"""),"Puy-De-Dôme")</f>
        <v>Puy-De-Dôme</v>
      </c>
      <c r="B1345" t="str">
        <f ca="1">IFERROR(__xludf.DUMMYFUNCTION("""COMPUTED_VALUE"""),"FR724")</f>
        <v>FR724</v>
      </c>
    </row>
    <row r="1346" spans="1:2" ht="12.5" x14ac:dyDescent="0.25">
      <c r="A1346" t="str">
        <f ca="1">IFERROR(__xludf.DUMMYFUNCTION("""COMPUTED_VALUE"""),"Pyrénées-Atlantiques")</f>
        <v>Pyrénées-Atlantiques</v>
      </c>
      <c r="B1346" t="str">
        <f ca="1">IFERROR(__xludf.DUMMYFUNCTION("""COMPUTED_VALUE"""),"FR615")</f>
        <v>FR615</v>
      </c>
    </row>
    <row r="1347" spans="1:2" ht="12.5" x14ac:dyDescent="0.25">
      <c r="A1347" t="str">
        <f ca="1">IFERROR(__xludf.DUMMYFUNCTION("""COMPUTED_VALUE"""),"Pyrénées-Orientales")</f>
        <v>Pyrénées-Orientales</v>
      </c>
      <c r="B1347" t="str">
        <f ca="1">IFERROR(__xludf.DUMMYFUNCTION("""COMPUTED_VALUE"""),"FR815")</f>
        <v>FR815</v>
      </c>
    </row>
    <row r="1348" spans="1:2" ht="12.5" x14ac:dyDescent="0.25">
      <c r="A1348" t="str">
        <f ca="1">IFERROR(__xludf.DUMMYFUNCTION("""COMPUTED_VALUE"""),"Radomski")</f>
        <v>Radomski</v>
      </c>
      <c r="B1348" t="str">
        <f ca="1">IFERROR(__xludf.DUMMYFUNCTION("""COMPUTED_VALUE"""),"PL128")</f>
        <v>PL128</v>
      </c>
    </row>
    <row r="1349" spans="1:2" ht="12.5" x14ac:dyDescent="0.25">
      <c r="A1349" t="str">
        <f ca="1">IFERROR(__xludf.DUMMYFUNCTION("""COMPUTED_VALUE"""),"Ragusa")</f>
        <v>Ragusa</v>
      </c>
      <c r="B1349" t="str">
        <f ca="1">IFERROR(__xludf.DUMMYFUNCTION("""COMPUTED_VALUE"""),"ITG18")</f>
        <v>ITG18</v>
      </c>
    </row>
    <row r="1350" spans="1:2" ht="12.5" x14ac:dyDescent="0.25">
      <c r="A1350" t="str">
        <f ca="1">IFERROR(__xludf.DUMMYFUNCTION("""COMPUTED_VALUE"""),"Rastatt")</f>
        <v>Rastatt</v>
      </c>
      <c r="B1350" t="str">
        <f ca="1">IFERROR(__xludf.DUMMYFUNCTION("""COMPUTED_VALUE"""),"DE124")</f>
        <v>DE124</v>
      </c>
    </row>
    <row r="1351" spans="1:2" ht="12.5" x14ac:dyDescent="0.25">
      <c r="A1351" t="str">
        <f ca="1">IFERROR(__xludf.DUMMYFUNCTION("""COMPUTED_VALUE"""),"Ravenna")</f>
        <v>Ravenna</v>
      </c>
      <c r="B1351" t="str">
        <f ca="1">IFERROR(__xludf.DUMMYFUNCTION("""COMPUTED_VALUE"""),"ITD57")</f>
        <v>ITD57</v>
      </c>
    </row>
    <row r="1352" spans="1:2" ht="12.5" x14ac:dyDescent="0.25">
      <c r="A1352" t="str">
        <f ca="1">IFERROR(__xludf.DUMMYFUNCTION("""COMPUTED_VALUE"""),"Ravensburg")</f>
        <v>Ravensburg</v>
      </c>
      <c r="B1352" t="str">
        <f ca="1">IFERROR(__xludf.DUMMYFUNCTION("""COMPUTED_VALUE"""),"DE148")</f>
        <v>DE148</v>
      </c>
    </row>
    <row r="1353" spans="1:2" ht="12.5" x14ac:dyDescent="0.25">
      <c r="A1353" t="str">
        <f ca="1">IFERROR(__xludf.DUMMYFUNCTION("""COMPUTED_VALUE"""),"Razgrad")</f>
        <v>Razgrad</v>
      </c>
      <c r="B1353" t="str">
        <f ca="1">IFERROR(__xludf.DUMMYFUNCTION("""COMPUTED_VALUE"""),"BG324")</f>
        <v>BG324</v>
      </c>
    </row>
    <row r="1354" spans="1:2" ht="12.5" x14ac:dyDescent="0.25">
      <c r="A1354" t="str">
        <f ca="1">IFERROR(__xludf.DUMMYFUNCTION("""COMPUTED_VALUE"""),"Recklinghausen")</f>
        <v>Recklinghausen</v>
      </c>
      <c r="B1354" t="str">
        <f ca="1">IFERROR(__xludf.DUMMYFUNCTION("""COMPUTED_VALUE"""),"DEA36")</f>
        <v>DEA36</v>
      </c>
    </row>
    <row r="1355" spans="1:2" ht="12.5" x14ac:dyDescent="0.25">
      <c r="A1355" t="str">
        <f ca="1">IFERROR(__xludf.DUMMYFUNCTION("""COMPUTED_VALUE"""),"Regen")</f>
        <v>Regen</v>
      </c>
      <c r="B1355" t="str">
        <f ca="1">IFERROR(__xludf.DUMMYFUNCTION("""COMPUTED_VALUE"""),"DE229")</f>
        <v>DE229</v>
      </c>
    </row>
    <row r="1356" spans="1:2" ht="12.5" x14ac:dyDescent="0.25">
      <c r="A1356" t="str">
        <f ca="1">IFERROR(__xludf.DUMMYFUNCTION("""COMPUTED_VALUE"""),"Regensburg, Kreisfreie Stadt")</f>
        <v>Regensburg, Kreisfreie Stadt</v>
      </c>
      <c r="B1356" t="str">
        <f ca="1">IFERROR(__xludf.DUMMYFUNCTION("""COMPUTED_VALUE"""),"DE232")</f>
        <v>DE232</v>
      </c>
    </row>
    <row r="1357" spans="1:2" ht="12.5" x14ac:dyDescent="0.25">
      <c r="A1357" t="str">
        <f ca="1">IFERROR(__xludf.DUMMYFUNCTION("""COMPUTED_VALUE"""),"Regensburg, Landkreis")</f>
        <v>Regensburg, Landkreis</v>
      </c>
      <c r="B1357" t="str">
        <f ca="1">IFERROR(__xludf.DUMMYFUNCTION("""COMPUTED_VALUE"""),"DE238")</f>
        <v>DE238</v>
      </c>
    </row>
    <row r="1358" spans="1:2" ht="12.5" x14ac:dyDescent="0.25">
      <c r="A1358" t="str">
        <f ca="1">IFERROR(__xludf.DUMMYFUNCTION("""COMPUTED_VALUE"""),"Reggio Di Calabria")</f>
        <v>Reggio Di Calabria</v>
      </c>
      <c r="B1358" t="str">
        <f ca="1">IFERROR(__xludf.DUMMYFUNCTION("""COMPUTED_VALUE"""),"ITF65")</f>
        <v>ITF65</v>
      </c>
    </row>
    <row r="1359" spans="1:2" ht="12.5" x14ac:dyDescent="0.25">
      <c r="A1359" t="str">
        <f ca="1">IFERROR(__xludf.DUMMYFUNCTION("""COMPUTED_VALUE"""),"Reggio Nell'Emilia")</f>
        <v>Reggio Nell'Emilia</v>
      </c>
      <c r="B1359" t="str">
        <f ca="1">IFERROR(__xludf.DUMMYFUNCTION("""COMPUTED_VALUE"""),"ITD53")</f>
        <v>ITD53</v>
      </c>
    </row>
    <row r="1360" spans="1:2" ht="12.5" x14ac:dyDescent="0.25">
      <c r="A1360" t="str">
        <f ca="1">IFERROR(__xludf.DUMMYFUNCTION("""COMPUTED_VALUE"""),"Região Autónoma Da Madeira")</f>
        <v>Região Autónoma Da Madeira</v>
      </c>
      <c r="B1360" t="str">
        <f ca="1">IFERROR(__xludf.DUMMYFUNCTION("""COMPUTED_VALUE"""),"PT3")</f>
        <v>PT3</v>
      </c>
    </row>
    <row r="1361" spans="1:2" ht="12.5" x14ac:dyDescent="0.25">
      <c r="A1361" t="str">
        <f ca="1">IFERROR(__xludf.DUMMYFUNCTION("""COMPUTED_VALUE"""),"Região Autónoma Da Madeira (*)")</f>
        <v>Região Autónoma Da Madeira (*)</v>
      </c>
      <c r="B1361" t="str">
        <f ca="1">IFERROR(__xludf.DUMMYFUNCTION("""COMPUTED_VALUE"""),"PT30")</f>
        <v>PT30</v>
      </c>
    </row>
    <row r="1362" spans="1:2" ht="12.5" x14ac:dyDescent="0.25">
      <c r="A1362" t="str">
        <f ca="1">IFERROR(__xludf.DUMMYFUNCTION("""COMPUTED_VALUE"""),"Região Autónoma Da Madeira (**)")</f>
        <v>Região Autónoma Da Madeira (**)</v>
      </c>
      <c r="B1362" t="str">
        <f ca="1">IFERROR(__xludf.DUMMYFUNCTION("""COMPUTED_VALUE"""),"PT300")</f>
        <v>PT300</v>
      </c>
    </row>
    <row r="1363" spans="1:2" ht="12.5" x14ac:dyDescent="0.25">
      <c r="A1363" t="str">
        <f ca="1">IFERROR(__xludf.DUMMYFUNCTION("""COMPUTED_VALUE"""),"Região Autónoma Dos Açores")</f>
        <v>Região Autónoma Dos Açores</v>
      </c>
      <c r="B1363" t="str">
        <f ca="1">IFERROR(__xludf.DUMMYFUNCTION("""COMPUTED_VALUE"""),"PT2")</f>
        <v>PT2</v>
      </c>
    </row>
    <row r="1364" spans="1:2" ht="12.5" x14ac:dyDescent="0.25">
      <c r="A1364" t="str">
        <f ca="1">IFERROR(__xludf.DUMMYFUNCTION("""COMPUTED_VALUE"""),"Região Autónoma Dos Açores (*)")</f>
        <v>Região Autónoma Dos Açores (*)</v>
      </c>
      <c r="B1364" t="str">
        <f ca="1">IFERROR(__xludf.DUMMYFUNCTION("""COMPUTED_VALUE"""),"PT20")</f>
        <v>PT20</v>
      </c>
    </row>
    <row r="1365" spans="1:2" ht="12.5" x14ac:dyDescent="0.25">
      <c r="A1365" t="str">
        <f ca="1">IFERROR(__xludf.DUMMYFUNCTION("""COMPUTED_VALUE"""),"Região Autónoma Dos Açores (**)")</f>
        <v>Região Autónoma Dos Açores (**)</v>
      </c>
      <c r="B1365" t="str">
        <f ca="1">IFERROR(__xludf.DUMMYFUNCTION("""COMPUTED_VALUE"""),"PT200")</f>
        <v>PT200</v>
      </c>
    </row>
    <row r="1366" spans="1:2" ht="12.5" x14ac:dyDescent="0.25">
      <c r="A1366" t="str">
        <f ca="1">IFERROR(__xludf.DUMMYFUNCTION("""COMPUTED_VALUE"""),"Region Centralny")</f>
        <v>Region Centralny</v>
      </c>
      <c r="B1366" t="str">
        <f ca="1">IFERROR(__xludf.DUMMYFUNCTION("""COMPUTED_VALUE"""),"PL1")</f>
        <v>PL1</v>
      </c>
    </row>
    <row r="1367" spans="1:2" ht="12.5" x14ac:dyDescent="0.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x14ac:dyDescent="0.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x14ac:dyDescent="0.25">
      <c r="A1369" t="str">
        <f ca="1">IFERROR(__xludf.DUMMYFUNCTION("""COMPUTED_VALUE"""),"Región De Murcia")</f>
        <v>Región De Murcia</v>
      </c>
      <c r="B1369" t="str">
        <f ca="1">IFERROR(__xludf.DUMMYFUNCTION("""COMPUTED_VALUE"""),"ES62")</f>
        <v>ES62</v>
      </c>
    </row>
    <row r="1370" spans="1:2" ht="12.5" x14ac:dyDescent="0.25">
      <c r="A1370" t="str">
        <f ca="1">IFERROR(__xludf.DUMMYFUNCTION("""COMPUTED_VALUE"""),"Region Hannover")</f>
        <v>Region Hannover</v>
      </c>
      <c r="B1370" t="str">
        <f ca="1">IFERROR(__xludf.DUMMYFUNCTION("""COMPUTED_VALUE"""),"DE929")</f>
        <v>DE929</v>
      </c>
    </row>
    <row r="1371" spans="1:2" ht="12.5" x14ac:dyDescent="0.25">
      <c r="A1371" t="str">
        <f ca="1">IFERROR(__xludf.DUMMYFUNCTION("""COMPUTED_VALUE"""),"Région Lémanique")</f>
        <v>Région Lémanique</v>
      </c>
      <c r="B1371" t="str">
        <f ca="1">IFERROR(__xludf.DUMMYFUNCTION("""COMPUTED_VALUE"""),"CH01")</f>
        <v>CH01</v>
      </c>
    </row>
    <row r="1372" spans="1:2" ht="12.5" x14ac:dyDescent="0.25">
      <c r="A1372" t="str">
        <f ca="1">IFERROR(__xludf.DUMMYFUNCTION("""COMPUTED_VALUE"""),"Region Polnocno-Zachodni")</f>
        <v>Region Polnocno-Zachodni</v>
      </c>
      <c r="B1372" t="str">
        <f ca="1">IFERROR(__xludf.DUMMYFUNCTION("""COMPUTED_VALUE"""),"PL4")</f>
        <v>PL4</v>
      </c>
    </row>
    <row r="1373" spans="1:2" ht="12.5" x14ac:dyDescent="0.25">
      <c r="A1373" t="str">
        <f ca="1">IFERROR(__xludf.DUMMYFUNCTION("""COMPUTED_VALUE"""),"Region Polnocny")</f>
        <v>Region Polnocny</v>
      </c>
      <c r="B1373" t="str">
        <f ca="1">IFERROR(__xludf.DUMMYFUNCTION("""COMPUTED_VALUE"""),"PL6")</f>
        <v>PL6</v>
      </c>
    </row>
    <row r="1374" spans="1:2" ht="12.5" x14ac:dyDescent="0.25">
      <c r="A1374" t="str">
        <f ca="1">IFERROR(__xludf.DUMMYFUNCTION("""COMPUTED_VALUE"""),"Region Poludniowo-Zachodni")</f>
        <v>Region Poludniowo-Zachodni</v>
      </c>
      <c r="B1374" t="str">
        <f ca="1">IFERROR(__xludf.DUMMYFUNCTION("""COMPUTED_VALUE"""),"PL5")</f>
        <v>PL5</v>
      </c>
    </row>
    <row r="1375" spans="1:2" ht="12.5" x14ac:dyDescent="0.25">
      <c r="A1375" t="str">
        <f ca="1">IFERROR(__xludf.DUMMYFUNCTION("""COMPUTED_VALUE"""),"Region Poludniowy")</f>
        <v>Region Poludniowy</v>
      </c>
      <c r="B1375" t="str">
        <f ca="1">IFERROR(__xludf.DUMMYFUNCTION("""COMPUTED_VALUE"""),"PL2")</f>
        <v>PL2</v>
      </c>
    </row>
    <row r="1376" spans="1:2" ht="12.5" x14ac:dyDescent="0.25">
      <c r="A1376" t="str">
        <f ca="1">IFERROR(__xludf.DUMMYFUNCTION("""COMPUTED_VALUE"""),"Région Wallonne")</f>
        <v>Région Wallonne</v>
      </c>
      <c r="B1376" t="str">
        <f ca="1">IFERROR(__xludf.DUMMYFUNCTION("""COMPUTED_VALUE"""),"BE3")</f>
        <v>BE3</v>
      </c>
    </row>
    <row r="1377" spans="1:2" ht="12.5" x14ac:dyDescent="0.25">
      <c r="A1377" t="str">
        <f ca="1">IFERROR(__xludf.DUMMYFUNCTION("""COMPUTED_VALUE"""),"Region Wschodni")</f>
        <v>Region Wschodni</v>
      </c>
      <c r="B1377" t="str">
        <f ca="1">IFERROR(__xludf.DUMMYFUNCTION("""COMPUTED_VALUE"""),"PL3")</f>
        <v>PL3</v>
      </c>
    </row>
    <row r="1378" spans="1:2" ht="12.5" x14ac:dyDescent="0.25">
      <c r="A1378" t="str">
        <f ca="1">IFERROR(__xludf.DUMMYFUNCTION("""COMPUTED_VALUE"""),"Rems-Murr-Kreis")</f>
        <v>Rems-Murr-Kreis</v>
      </c>
      <c r="B1378" t="str">
        <f ca="1">IFERROR(__xludf.DUMMYFUNCTION("""COMPUTED_VALUE"""),"DE116")</f>
        <v>DE116</v>
      </c>
    </row>
    <row r="1379" spans="1:2" ht="12.5" x14ac:dyDescent="0.25">
      <c r="A1379" t="str">
        <f ca="1">IFERROR(__xludf.DUMMYFUNCTION("""COMPUTED_VALUE"""),"Remscheid, Kreisfreie Stadt")</f>
        <v>Remscheid, Kreisfreie Stadt</v>
      </c>
      <c r="B1379" t="str">
        <f ca="1">IFERROR(__xludf.DUMMYFUNCTION("""COMPUTED_VALUE"""),"DEA18")</f>
        <v>DEA18</v>
      </c>
    </row>
    <row r="1380" spans="1:2" ht="12.5" x14ac:dyDescent="0.25">
      <c r="A1380" t="str">
        <f ca="1">IFERROR(__xludf.DUMMYFUNCTION("""COMPUTED_VALUE"""),"Rendsburg-Eckernförde")</f>
        <v>Rendsburg-Eckernförde</v>
      </c>
      <c r="B1380" t="str">
        <f ca="1">IFERROR(__xludf.DUMMYFUNCTION("""COMPUTED_VALUE"""),"DEF0B")</f>
        <v>DEF0B</v>
      </c>
    </row>
    <row r="1381" spans="1:2" ht="12.5" x14ac:dyDescent="0.25">
      <c r="A1381" t="str">
        <f ca="1">IFERROR(__xludf.DUMMYFUNCTION("""COMPUTED_VALUE"""),"Rethymni")</f>
        <v>Rethymni</v>
      </c>
      <c r="B1381" t="str">
        <f ca="1">IFERROR(__xludf.DUMMYFUNCTION("""COMPUTED_VALUE"""),"GR433")</f>
        <v>GR433</v>
      </c>
    </row>
    <row r="1382" spans="1:2" ht="12.5" x14ac:dyDescent="0.25">
      <c r="A1382" t="str">
        <f ca="1">IFERROR(__xludf.DUMMYFUNCTION("""COMPUTED_VALUE"""),"Réunion")</f>
        <v>Réunion</v>
      </c>
      <c r="B1382" t="str">
        <f ca="1">IFERROR(__xludf.DUMMYFUNCTION("""COMPUTED_VALUE"""),"FR94")</f>
        <v>FR94</v>
      </c>
    </row>
    <row r="1383" spans="1:2" ht="12.5" x14ac:dyDescent="0.25">
      <c r="A1383" t="str">
        <f ca="1">IFERROR(__xludf.DUMMYFUNCTION("""COMPUTED_VALUE"""),"Réunion (*)")</f>
        <v>Réunion (*)</v>
      </c>
      <c r="B1383" t="str">
        <f ca="1">IFERROR(__xludf.DUMMYFUNCTION("""COMPUTED_VALUE"""),"FR940")</f>
        <v>FR940</v>
      </c>
    </row>
    <row r="1384" spans="1:2" ht="12.5" x14ac:dyDescent="0.25">
      <c r="A1384" t="str">
        <f ca="1">IFERROR(__xludf.DUMMYFUNCTION("""COMPUTED_VALUE"""),"Reutlingen")</f>
        <v>Reutlingen</v>
      </c>
      <c r="B1384" t="str">
        <f ca="1">IFERROR(__xludf.DUMMYFUNCTION("""COMPUTED_VALUE"""),"DE141")</f>
        <v>DE141</v>
      </c>
    </row>
    <row r="1385" spans="1:2" ht="12.5" x14ac:dyDescent="0.25">
      <c r="A1385" t="str">
        <f ca="1">IFERROR(__xludf.DUMMYFUNCTION("""COMPUTED_VALUE"""),"Rhein-Erft-Kreis")</f>
        <v>Rhein-Erft-Kreis</v>
      </c>
      <c r="B1385" t="str">
        <f ca="1">IFERROR(__xludf.DUMMYFUNCTION("""COMPUTED_VALUE"""),"DEA27")</f>
        <v>DEA27</v>
      </c>
    </row>
    <row r="1386" spans="1:2" ht="12.5" x14ac:dyDescent="0.25">
      <c r="A1386" t="str">
        <f ca="1">IFERROR(__xludf.DUMMYFUNCTION("""COMPUTED_VALUE"""),"Rhein-Hunsrück-Kreis")</f>
        <v>Rhein-Hunsrück-Kreis</v>
      </c>
      <c r="B1386" t="str">
        <f ca="1">IFERROR(__xludf.DUMMYFUNCTION("""COMPUTED_VALUE"""),"DEB19")</f>
        <v>DEB19</v>
      </c>
    </row>
    <row r="1387" spans="1:2" ht="12.5" x14ac:dyDescent="0.25">
      <c r="A1387" t="str">
        <f ca="1">IFERROR(__xludf.DUMMYFUNCTION("""COMPUTED_VALUE"""),"Rhein-Kreis Neuss")</f>
        <v>Rhein-Kreis Neuss</v>
      </c>
      <c r="B1387" t="str">
        <f ca="1">IFERROR(__xludf.DUMMYFUNCTION("""COMPUTED_VALUE"""),"DEA1D")</f>
        <v>DEA1D</v>
      </c>
    </row>
    <row r="1388" spans="1:2" ht="12.5" x14ac:dyDescent="0.25">
      <c r="A1388" t="str">
        <f ca="1">IFERROR(__xludf.DUMMYFUNCTION("""COMPUTED_VALUE"""),"Rhein-Lahn-Kreis")</f>
        <v>Rhein-Lahn-Kreis</v>
      </c>
      <c r="B1388" t="str">
        <f ca="1">IFERROR(__xludf.DUMMYFUNCTION("""COMPUTED_VALUE"""),"DEB1A")</f>
        <v>DEB1A</v>
      </c>
    </row>
    <row r="1389" spans="1:2" ht="12.5" x14ac:dyDescent="0.25">
      <c r="A1389" t="str">
        <f ca="1">IFERROR(__xludf.DUMMYFUNCTION("""COMPUTED_VALUE"""),"Rhein-Neckar-Kreis")</f>
        <v>Rhein-Neckar-Kreis</v>
      </c>
      <c r="B1389" t="str">
        <f ca="1">IFERROR(__xludf.DUMMYFUNCTION("""COMPUTED_VALUE"""),"DE128")</f>
        <v>DE128</v>
      </c>
    </row>
    <row r="1390" spans="1:2" ht="12.5" x14ac:dyDescent="0.25">
      <c r="A1390" t="str">
        <f ca="1">IFERROR(__xludf.DUMMYFUNCTION("""COMPUTED_VALUE"""),"Rhein-Pfalz-Kreis")</f>
        <v>Rhein-Pfalz-Kreis</v>
      </c>
      <c r="B1390" t="str">
        <f ca="1">IFERROR(__xludf.DUMMYFUNCTION("""COMPUTED_VALUE"""),"DEB3I")</f>
        <v>DEB3I</v>
      </c>
    </row>
    <row r="1391" spans="1:2" ht="12.5" x14ac:dyDescent="0.25">
      <c r="A1391" t="str">
        <f ca="1">IFERROR(__xludf.DUMMYFUNCTION("""COMPUTED_VALUE"""),"Rhein-Sieg-Kreis")</f>
        <v>Rhein-Sieg-Kreis</v>
      </c>
      <c r="B1391" t="str">
        <f ca="1">IFERROR(__xludf.DUMMYFUNCTION("""COMPUTED_VALUE"""),"DEA2C")</f>
        <v>DEA2C</v>
      </c>
    </row>
    <row r="1392" spans="1:2" ht="12.5" x14ac:dyDescent="0.25">
      <c r="A1392" t="str">
        <f ca="1">IFERROR(__xludf.DUMMYFUNCTION("""COMPUTED_VALUE"""),"Rheingau-Taunus-Kreis")</f>
        <v>Rheingau-Taunus-Kreis</v>
      </c>
      <c r="B1392" t="str">
        <f ca="1">IFERROR(__xludf.DUMMYFUNCTION("""COMPUTED_VALUE"""),"DE71D")</f>
        <v>DE71D</v>
      </c>
    </row>
    <row r="1393" spans="1:2" ht="12.5" x14ac:dyDescent="0.25">
      <c r="A1393" t="str">
        <f ca="1">IFERROR(__xludf.DUMMYFUNCTION("""COMPUTED_VALUE"""),"Rheinhessen-Pfalz")</f>
        <v>Rheinhessen-Pfalz</v>
      </c>
      <c r="B1393" t="str">
        <f ca="1">IFERROR(__xludf.DUMMYFUNCTION("""COMPUTED_VALUE"""),"DEB3")</f>
        <v>DEB3</v>
      </c>
    </row>
    <row r="1394" spans="1:2" ht="12.5" x14ac:dyDescent="0.25">
      <c r="A1394" t="str">
        <f ca="1">IFERROR(__xludf.DUMMYFUNCTION("""COMPUTED_VALUE"""),"Rheinisch-Bergischer Kreis")</f>
        <v>Rheinisch-Bergischer Kreis</v>
      </c>
      <c r="B1394" t="str">
        <f ca="1">IFERROR(__xludf.DUMMYFUNCTION("""COMPUTED_VALUE"""),"DEA2B")</f>
        <v>DEA2B</v>
      </c>
    </row>
    <row r="1395" spans="1:2" ht="12.5" x14ac:dyDescent="0.25">
      <c r="A1395" t="str">
        <f ca="1">IFERROR(__xludf.DUMMYFUNCTION("""COMPUTED_VALUE"""),"Rheinland-Pfalz")</f>
        <v>Rheinland-Pfalz</v>
      </c>
      <c r="B1395" t="str">
        <f ca="1">IFERROR(__xludf.DUMMYFUNCTION("""COMPUTED_VALUE"""),"DEB")</f>
        <v>DEB</v>
      </c>
    </row>
    <row r="1396" spans="1:2" ht="12.5" x14ac:dyDescent="0.25">
      <c r="A1396" t="str">
        <f ca="1">IFERROR(__xludf.DUMMYFUNCTION("""COMPUTED_VALUE"""),"Rheintal-Bodenseegebiet")</f>
        <v>Rheintal-Bodenseegebiet</v>
      </c>
      <c r="B1396" t="str">
        <f ca="1">IFERROR(__xludf.DUMMYFUNCTION("""COMPUTED_VALUE"""),"AT342")</f>
        <v>AT342</v>
      </c>
    </row>
    <row r="1397" spans="1:2" ht="12.5" x14ac:dyDescent="0.25">
      <c r="A1397" t="str">
        <f ca="1">IFERROR(__xludf.DUMMYFUNCTION("""COMPUTED_VALUE"""),"Rhön-Grabfeld")</f>
        <v>Rhön-Grabfeld</v>
      </c>
      <c r="B1397" t="str">
        <f ca="1">IFERROR(__xludf.DUMMYFUNCTION("""COMPUTED_VALUE"""),"DE266")</f>
        <v>DE266</v>
      </c>
    </row>
    <row r="1398" spans="1:2" ht="12.5" x14ac:dyDescent="0.25">
      <c r="A1398" t="str">
        <f ca="1">IFERROR(__xludf.DUMMYFUNCTION("""COMPUTED_VALUE"""),"Rhône")</f>
        <v>Rhône</v>
      </c>
      <c r="B1398" t="str">
        <f ca="1">IFERROR(__xludf.DUMMYFUNCTION("""COMPUTED_VALUE"""),"FR716")</f>
        <v>FR716</v>
      </c>
    </row>
    <row r="1399" spans="1:2" ht="12.5" x14ac:dyDescent="0.25">
      <c r="A1399" t="str">
        <f ca="1">IFERROR(__xludf.DUMMYFUNCTION("""COMPUTED_VALUE"""),"Rhône-Alpes")</f>
        <v>Rhône-Alpes</v>
      </c>
      <c r="B1399" t="str">
        <f ca="1">IFERROR(__xludf.DUMMYFUNCTION("""COMPUTED_VALUE"""),"FR71")</f>
        <v>FR71</v>
      </c>
    </row>
    <row r="1400" spans="1:2" ht="12.5" x14ac:dyDescent="0.25">
      <c r="A1400" t="str">
        <f ca="1">IFERROR(__xludf.DUMMYFUNCTION("""COMPUTED_VALUE"""),"Riesa-Großenhain")</f>
        <v>Riesa-Großenhain</v>
      </c>
      <c r="B1400" t="str">
        <f ca="1">IFERROR(__xludf.DUMMYFUNCTION("""COMPUTED_VALUE"""),"DED27")</f>
        <v>DED27</v>
      </c>
    </row>
    <row r="1401" spans="1:2" ht="12.5" x14ac:dyDescent="0.25">
      <c r="A1401" t="str">
        <f ca="1">IFERROR(__xludf.DUMMYFUNCTION("""COMPUTED_VALUE"""),"Rieti")</f>
        <v>Rieti</v>
      </c>
      <c r="B1401" t="str">
        <f ca="1">IFERROR(__xludf.DUMMYFUNCTION("""COMPUTED_VALUE"""),"ITE42")</f>
        <v>ITE42</v>
      </c>
    </row>
    <row r="1402" spans="1:2" ht="12.5" x14ac:dyDescent="0.25">
      <c r="A1402" t="str">
        <f ca="1">IFERROR(__xludf.DUMMYFUNCTION("""COMPUTED_VALUE"""),"Riga")</f>
        <v>Riga</v>
      </c>
      <c r="B1402" t="str">
        <f ca="1">IFERROR(__xludf.DUMMYFUNCTION("""COMPUTED_VALUE"""),"LV006")</f>
        <v>LV006</v>
      </c>
    </row>
    <row r="1403" spans="1:2" ht="12.5" x14ac:dyDescent="0.25">
      <c r="A1403" t="str">
        <f ca="1">IFERROR(__xludf.DUMMYFUNCTION("""COMPUTED_VALUE"""),"Rimini")</f>
        <v>Rimini</v>
      </c>
      <c r="B1403" t="str">
        <f ca="1">IFERROR(__xludf.DUMMYFUNCTION("""COMPUTED_VALUE"""),"ITD59")</f>
        <v>ITD59</v>
      </c>
    </row>
    <row r="1404" spans="1:2" ht="12.5" x14ac:dyDescent="0.25">
      <c r="A1404" t="str">
        <f ca="1">IFERROR(__xludf.DUMMYFUNCTION("""COMPUTED_VALUE"""),"Rodopi")</f>
        <v>Rodopi</v>
      </c>
      <c r="B1404" t="str">
        <f ca="1">IFERROR(__xludf.DUMMYFUNCTION("""COMPUTED_VALUE"""),"GR113")</f>
        <v>GR113</v>
      </c>
    </row>
    <row r="1405" spans="1:2" ht="12.5" x14ac:dyDescent="0.25">
      <c r="A1405" t="str">
        <f ca="1">IFERROR(__xludf.DUMMYFUNCTION("""COMPUTED_VALUE"""),"Rogaland")</f>
        <v>Rogaland</v>
      </c>
      <c r="B1405" t="str">
        <f ca="1">IFERROR(__xludf.DUMMYFUNCTION("""COMPUTED_VALUE"""),"NO043")</f>
        <v>NO043</v>
      </c>
    </row>
    <row r="1406" spans="1:2" ht="12.5" x14ac:dyDescent="0.25">
      <c r="A1406" t="str">
        <f ca="1">IFERROR(__xludf.DUMMYFUNCTION("""COMPUTED_VALUE"""),"Roma")</f>
        <v>Roma</v>
      </c>
      <c r="B1406" t="str">
        <f ca="1">IFERROR(__xludf.DUMMYFUNCTION("""COMPUTED_VALUE"""),"ITE43")</f>
        <v>ITE43</v>
      </c>
    </row>
    <row r="1407" spans="1:2" ht="12.5" x14ac:dyDescent="0.25">
      <c r="A1407" t="str">
        <f ca="1">IFERROR(__xludf.DUMMYFUNCTION("""COMPUTED_VALUE"""),"Romania")</f>
        <v>Romania</v>
      </c>
      <c r="B1407" t="str">
        <f ca="1">IFERROR(__xludf.DUMMYFUNCTION("""COMPUTED_VALUE"""),"RO")</f>
        <v>RO</v>
      </c>
    </row>
    <row r="1408" spans="1:2" ht="12.5" x14ac:dyDescent="0.25">
      <c r="A1408" t="str">
        <f ca="1">IFERROR(__xludf.DUMMYFUNCTION("""COMPUTED_VALUE"""),"Rosenheim, Kreisfreie Stadt")</f>
        <v>Rosenheim, Kreisfreie Stadt</v>
      </c>
      <c r="B1408" t="str">
        <f ca="1">IFERROR(__xludf.DUMMYFUNCTION("""COMPUTED_VALUE"""),"DE213")</f>
        <v>DE213</v>
      </c>
    </row>
    <row r="1409" spans="1:2" ht="12.5" x14ac:dyDescent="0.25">
      <c r="A1409" t="str">
        <f ca="1">IFERROR(__xludf.DUMMYFUNCTION("""COMPUTED_VALUE"""),"Rosenheim, Landkreis")</f>
        <v>Rosenheim, Landkreis</v>
      </c>
      <c r="B1409" t="str">
        <f ca="1">IFERROR(__xludf.DUMMYFUNCTION("""COMPUTED_VALUE"""),"DE21K")</f>
        <v>DE21K</v>
      </c>
    </row>
    <row r="1410" spans="1:2" ht="12.5" x14ac:dyDescent="0.25">
      <c r="A1410" t="str">
        <f ca="1">IFERROR(__xludf.DUMMYFUNCTION("""COMPUTED_VALUE"""),"Rostock, Kreisfreie Stadt")</f>
        <v>Rostock, Kreisfreie Stadt</v>
      </c>
      <c r="B1410" t="str">
        <f ca="1">IFERROR(__xludf.DUMMYFUNCTION("""COMPUTED_VALUE"""),"DE803")</f>
        <v>DE803</v>
      </c>
    </row>
    <row r="1411" spans="1:2" ht="12.5" x14ac:dyDescent="0.25">
      <c r="A1411" t="str">
        <f ca="1">IFERROR(__xludf.DUMMYFUNCTION("""COMPUTED_VALUE"""),"Rotenburg (Wümme)")</f>
        <v>Rotenburg (Wümme)</v>
      </c>
      <c r="B1411" t="str">
        <f ca="1">IFERROR(__xludf.DUMMYFUNCTION("""COMPUTED_VALUE"""),"DE937")</f>
        <v>DE937</v>
      </c>
    </row>
    <row r="1412" spans="1:2" ht="12.5" x14ac:dyDescent="0.25">
      <c r="A1412" t="str">
        <f ca="1">IFERROR(__xludf.DUMMYFUNCTION("""COMPUTED_VALUE"""),"Roth")</f>
        <v>Roth</v>
      </c>
      <c r="B1412" t="str">
        <f ca="1">IFERROR(__xludf.DUMMYFUNCTION("""COMPUTED_VALUE"""),"DE25B")</f>
        <v>DE25B</v>
      </c>
    </row>
    <row r="1413" spans="1:2" ht="12.5" x14ac:dyDescent="0.25">
      <c r="A1413" t="str">
        <f ca="1">IFERROR(__xludf.DUMMYFUNCTION("""COMPUTED_VALUE"""),"Rottal-Inn")</f>
        <v>Rottal-Inn</v>
      </c>
      <c r="B1413" t="str">
        <f ca="1">IFERROR(__xludf.DUMMYFUNCTION("""COMPUTED_VALUE"""),"DE22A")</f>
        <v>DE22A</v>
      </c>
    </row>
    <row r="1414" spans="1:2" ht="12.5" x14ac:dyDescent="0.25">
      <c r="A1414" t="str">
        <f ca="1">IFERROR(__xludf.DUMMYFUNCTION("""COMPUTED_VALUE"""),"Rottweil")</f>
        <v>Rottweil</v>
      </c>
      <c r="B1414" t="str">
        <f ca="1">IFERROR(__xludf.DUMMYFUNCTION("""COMPUTED_VALUE"""),"DE135")</f>
        <v>DE135</v>
      </c>
    </row>
    <row r="1415" spans="1:2" ht="12.5" x14ac:dyDescent="0.25">
      <c r="A1415" t="str">
        <f ca="1">IFERROR(__xludf.DUMMYFUNCTION("""COMPUTED_VALUE"""),"Rovigo")</f>
        <v>Rovigo</v>
      </c>
      <c r="B1415" t="str">
        <f ca="1">IFERROR(__xludf.DUMMYFUNCTION("""COMPUTED_VALUE"""),"ITD37")</f>
        <v>ITD37</v>
      </c>
    </row>
    <row r="1416" spans="1:2" ht="12.5" x14ac:dyDescent="0.25">
      <c r="A1416" t="str">
        <f ca="1">IFERROR(__xludf.DUMMYFUNCTION("""COMPUTED_VALUE"""),"Rügen")</f>
        <v>Rügen</v>
      </c>
      <c r="B1416" t="str">
        <f ca="1">IFERROR(__xludf.DUMMYFUNCTION("""COMPUTED_VALUE"""),"DE80H")</f>
        <v>DE80H</v>
      </c>
    </row>
    <row r="1417" spans="1:2" ht="12.5" x14ac:dyDescent="0.25">
      <c r="A1417" t="str">
        <f ca="1">IFERROR(__xludf.DUMMYFUNCTION("""COMPUTED_VALUE"""),"Ruse")</f>
        <v>Ruse</v>
      </c>
      <c r="B1417" t="str">
        <f ca="1">IFERROR(__xludf.DUMMYFUNCTION("""COMPUTED_VALUE"""),"BG323")</f>
        <v>BG323</v>
      </c>
    </row>
    <row r="1418" spans="1:2" ht="12.5" x14ac:dyDescent="0.25">
      <c r="A1418" t="str">
        <f ca="1">IFERROR(__xludf.DUMMYFUNCTION("""COMPUTED_VALUE"""),"Rybnicki")</f>
        <v>Rybnicki</v>
      </c>
      <c r="B1418" t="str">
        <f ca="1">IFERROR(__xludf.DUMMYFUNCTION("""COMPUTED_VALUE"""),"PL227")</f>
        <v>PL227</v>
      </c>
    </row>
    <row r="1419" spans="1:2" ht="12.5" x14ac:dyDescent="0.25">
      <c r="A1419" t="str">
        <f ca="1">IFERROR(__xludf.DUMMYFUNCTION("""COMPUTED_VALUE"""),"Rzeszowski")</f>
        <v>Rzeszowski</v>
      </c>
      <c r="B1419" t="str">
        <f ca="1">IFERROR(__xludf.DUMMYFUNCTION("""COMPUTED_VALUE"""),"PL325")</f>
        <v>PL325</v>
      </c>
    </row>
    <row r="1420" spans="1:2" ht="12.5" x14ac:dyDescent="0.25">
      <c r="A1420" t="str">
        <f ca="1">IFERROR(__xludf.DUMMYFUNCTION("""COMPUTED_VALUE"""),"Saale-Holzland-Kreis")</f>
        <v>Saale-Holzland-Kreis</v>
      </c>
      <c r="B1420" t="str">
        <f ca="1">IFERROR(__xludf.DUMMYFUNCTION("""COMPUTED_VALUE"""),"DEG0J")</f>
        <v>DEG0J</v>
      </c>
    </row>
    <row r="1421" spans="1:2" ht="12.5" x14ac:dyDescent="0.25">
      <c r="A1421" t="str">
        <f ca="1">IFERROR(__xludf.DUMMYFUNCTION("""COMPUTED_VALUE"""),"Saale-Orla-Kreis")</f>
        <v>Saale-Orla-Kreis</v>
      </c>
      <c r="B1421" t="str">
        <f ca="1">IFERROR(__xludf.DUMMYFUNCTION("""COMPUTED_VALUE"""),"DEG0K")</f>
        <v>DEG0K</v>
      </c>
    </row>
    <row r="1422" spans="1:2" ht="12.5" x14ac:dyDescent="0.25">
      <c r="A1422" t="str">
        <f ca="1">IFERROR(__xludf.DUMMYFUNCTION("""COMPUTED_VALUE"""),"Saalekreis")</f>
        <v>Saalekreis</v>
      </c>
      <c r="B1422" t="str">
        <f ca="1">IFERROR(__xludf.DUMMYFUNCTION("""COMPUTED_VALUE"""),"DEE0B")</f>
        <v>DEE0B</v>
      </c>
    </row>
    <row r="1423" spans="1:2" ht="12.5" x14ac:dyDescent="0.25">
      <c r="A1423" t="str">
        <f ca="1">IFERROR(__xludf.DUMMYFUNCTION("""COMPUTED_VALUE"""),"Saalfeld-Rudolstadt")</f>
        <v>Saalfeld-Rudolstadt</v>
      </c>
      <c r="B1423" t="str">
        <f ca="1">IFERROR(__xludf.DUMMYFUNCTION("""COMPUTED_VALUE"""),"DEG0I")</f>
        <v>DEG0I</v>
      </c>
    </row>
    <row r="1424" spans="1:2" ht="12.5" x14ac:dyDescent="0.25">
      <c r="A1424" t="str">
        <f ca="1">IFERROR(__xludf.DUMMYFUNCTION("""COMPUTED_VALUE"""),"Saarland")</f>
        <v>Saarland</v>
      </c>
      <c r="B1424" t="str">
        <f ca="1">IFERROR(__xludf.DUMMYFUNCTION("""COMPUTED_VALUE"""),"DEC")</f>
        <v>DEC</v>
      </c>
    </row>
    <row r="1425" spans="1:2" ht="12.5" x14ac:dyDescent="0.25">
      <c r="A1425" t="str">
        <f ca="1">IFERROR(__xludf.DUMMYFUNCTION("""COMPUTED_VALUE"""),"Saarland (*)")</f>
        <v>Saarland (*)</v>
      </c>
      <c r="B1425" t="str">
        <f ca="1">IFERROR(__xludf.DUMMYFUNCTION("""COMPUTED_VALUE"""),"DEC0")</f>
        <v>DEC0</v>
      </c>
    </row>
    <row r="1426" spans="1:2" ht="12.5" x14ac:dyDescent="0.25">
      <c r="A1426" t="str">
        <f ca="1">IFERROR(__xludf.DUMMYFUNCTION("""COMPUTED_VALUE"""),"Saarlouis")</f>
        <v>Saarlouis</v>
      </c>
      <c r="B1426" t="str">
        <f ca="1">IFERROR(__xludf.DUMMYFUNCTION("""COMPUTED_VALUE"""),"DEC04")</f>
        <v>DEC04</v>
      </c>
    </row>
    <row r="1427" spans="1:2" ht="12.5" x14ac:dyDescent="0.25">
      <c r="A1427" t="str">
        <f ca="1">IFERROR(__xludf.DUMMYFUNCTION("""COMPUTED_VALUE"""),"Saarpfalz-Kreis")</f>
        <v>Saarpfalz-Kreis</v>
      </c>
      <c r="B1427" t="str">
        <f ca="1">IFERROR(__xludf.DUMMYFUNCTION("""COMPUTED_VALUE"""),"DEC05")</f>
        <v>DEC05</v>
      </c>
    </row>
    <row r="1428" spans="1:2" ht="12.5" x14ac:dyDescent="0.25">
      <c r="A1428" t="str">
        <f ca="1">IFERROR(__xludf.DUMMYFUNCTION("""COMPUTED_VALUE"""),"Sachsen")</f>
        <v>Sachsen</v>
      </c>
      <c r="B1428" t="str">
        <f ca="1">IFERROR(__xludf.DUMMYFUNCTION("""COMPUTED_VALUE"""),"DED")</f>
        <v>DED</v>
      </c>
    </row>
    <row r="1429" spans="1:2" ht="12.5" x14ac:dyDescent="0.25">
      <c r="A1429" t="str">
        <f ca="1">IFERROR(__xludf.DUMMYFUNCTION("""COMPUTED_VALUE"""),"Sachsen-Anhalt")</f>
        <v>Sachsen-Anhalt</v>
      </c>
      <c r="B1429" t="str">
        <f ca="1">IFERROR(__xludf.DUMMYFUNCTION("""COMPUTED_VALUE"""),"DEE")</f>
        <v>DEE</v>
      </c>
    </row>
    <row r="1430" spans="1:2" ht="12.5" x14ac:dyDescent="0.25">
      <c r="A1430" t="str">
        <f ca="1">IFERROR(__xludf.DUMMYFUNCTION("""COMPUTED_VALUE"""),"Sachsen-Anhalt (*)")</f>
        <v>Sachsen-Anhalt (*)</v>
      </c>
      <c r="B1430" t="str">
        <f ca="1">IFERROR(__xludf.DUMMYFUNCTION("""COMPUTED_VALUE"""),"DEE0")</f>
        <v>DEE0</v>
      </c>
    </row>
    <row r="1431" spans="1:2" ht="12.5" x14ac:dyDescent="0.25">
      <c r="A1431" t="str">
        <f ca="1">IFERROR(__xludf.DUMMYFUNCTION("""COMPUTED_VALUE"""),"Sächsische Schweiz")</f>
        <v>Sächsische Schweiz</v>
      </c>
      <c r="B1431" t="str">
        <f ca="1">IFERROR(__xludf.DUMMYFUNCTION("""COMPUTED_VALUE"""),"DED29")</f>
        <v>DED29</v>
      </c>
    </row>
    <row r="1432" spans="1:2" ht="12.5" x14ac:dyDescent="0.25">
      <c r="A1432" t="str">
        <f ca="1">IFERROR(__xludf.DUMMYFUNCTION("""COMPUTED_VALUE"""),"Salaj")</f>
        <v>Salaj</v>
      </c>
      <c r="B1432" t="str">
        <f ca="1">IFERROR(__xludf.DUMMYFUNCTION("""COMPUTED_VALUE"""),"RO116")</f>
        <v>RO116</v>
      </c>
    </row>
    <row r="1433" spans="1:2" ht="12.5" x14ac:dyDescent="0.25">
      <c r="A1433" t="str">
        <f ca="1">IFERROR(__xludf.DUMMYFUNCTION("""COMPUTED_VALUE"""),"Salamanca")</f>
        <v>Salamanca</v>
      </c>
      <c r="B1433" t="str">
        <f ca="1">IFERROR(__xludf.DUMMYFUNCTION("""COMPUTED_VALUE"""),"ES415")</f>
        <v>ES415</v>
      </c>
    </row>
    <row r="1434" spans="1:2" ht="12.5" x14ac:dyDescent="0.25">
      <c r="A1434" t="str">
        <f ca="1">IFERROR(__xludf.DUMMYFUNCTION("""COMPUTED_VALUE"""),"Salerno")</f>
        <v>Salerno</v>
      </c>
      <c r="B1434" t="str">
        <f ca="1">IFERROR(__xludf.DUMMYFUNCTION("""COMPUTED_VALUE"""),"ITF35")</f>
        <v>ITF35</v>
      </c>
    </row>
    <row r="1435" spans="1:2" ht="12.5" x14ac:dyDescent="0.25">
      <c r="A1435" t="str">
        <f ca="1">IFERROR(__xludf.DUMMYFUNCTION("""COMPUTED_VALUE"""),"Salzburg")</f>
        <v>Salzburg</v>
      </c>
      <c r="B1435" t="str">
        <f ca="1">IFERROR(__xludf.DUMMYFUNCTION("""COMPUTED_VALUE"""),"AT32")</f>
        <v>AT32</v>
      </c>
    </row>
    <row r="1436" spans="1:2" ht="12.5" x14ac:dyDescent="0.25">
      <c r="A1436" t="str">
        <f ca="1">IFERROR(__xludf.DUMMYFUNCTION("""COMPUTED_VALUE"""),"Salzburg Und Umgebung")</f>
        <v>Salzburg Und Umgebung</v>
      </c>
      <c r="B1436" t="str">
        <f ca="1">IFERROR(__xludf.DUMMYFUNCTION("""COMPUTED_VALUE"""),"AT323")</f>
        <v>AT323</v>
      </c>
    </row>
    <row r="1437" spans="1:2" ht="12.5" x14ac:dyDescent="0.25">
      <c r="A1437" t="str">
        <f ca="1">IFERROR(__xludf.DUMMYFUNCTION("""COMPUTED_VALUE"""),"Salzgitter, Kreisfreie Stadt")</f>
        <v>Salzgitter, Kreisfreie Stadt</v>
      </c>
      <c r="B1437" t="str">
        <f ca="1">IFERROR(__xludf.DUMMYFUNCTION("""COMPUTED_VALUE"""),"DE912")</f>
        <v>DE912</v>
      </c>
    </row>
    <row r="1438" spans="1:2" ht="12.5" x14ac:dyDescent="0.25">
      <c r="A1438" t="str">
        <f ca="1">IFERROR(__xludf.DUMMYFUNCTION("""COMPUTED_VALUE"""),"Salzland")</f>
        <v>Salzland</v>
      </c>
      <c r="B1438" t="str">
        <f ca="1">IFERROR(__xludf.DUMMYFUNCTION("""COMPUTED_VALUE"""),"DEE0C")</f>
        <v>DEE0C</v>
      </c>
    </row>
    <row r="1439" spans="1:2" ht="12.5" x14ac:dyDescent="0.25">
      <c r="A1439" t="str">
        <f ca="1">IFERROR(__xludf.DUMMYFUNCTION("""COMPUTED_VALUE"""),"Samos")</f>
        <v>Samos</v>
      </c>
      <c r="B1439" t="str">
        <f ca="1">IFERROR(__xludf.DUMMYFUNCTION("""COMPUTED_VALUE"""),"GR412")</f>
        <v>GR412</v>
      </c>
    </row>
    <row r="1440" spans="1:2" ht="12.5" x14ac:dyDescent="0.25">
      <c r="A1440" t="str">
        <f ca="1">IFERROR(__xludf.DUMMYFUNCTION("""COMPUTED_VALUE"""),"Sandomiersko-Jedrzejowski")</f>
        <v>Sandomiersko-Jedrzejowski</v>
      </c>
      <c r="B1440" t="str">
        <f ca="1">IFERROR(__xludf.DUMMYFUNCTION("""COMPUTED_VALUE"""),"PL332")</f>
        <v>PL332</v>
      </c>
    </row>
    <row r="1441" spans="1:2" ht="12.5" x14ac:dyDescent="0.25">
      <c r="A1441" t="str">
        <f ca="1">IFERROR(__xludf.DUMMYFUNCTION("""COMPUTED_VALUE"""),"Sankt Pölten")</f>
        <v>Sankt Pölten</v>
      </c>
      <c r="B1441" t="str">
        <f ca="1">IFERROR(__xludf.DUMMYFUNCTION("""COMPUTED_VALUE"""),"AT123")</f>
        <v>AT123</v>
      </c>
    </row>
    <row r="1442" spans="1:2" ht="12.5" x14ac:dyDescent="0.25">
      <c r="A1442" t="str">
        <f ca="1">IFERROR(__xludf.DUMMYFUNCTION("""COMPUTED_VALUE"""),"Saône-Et-Loire")</f>
        <v>Saône-Et-Loire</v>
      </c>
      <c r="B1442" t="str">
        <f ca="1">IFERROR(__xludf.DUMMYFUNCTION("""COMPUTED_VALUE"""),"FR263")</f>
        <v>FR263</v>
      </c>
    </row>
    <row r="1443" spans="1:2" ht="12.5" x14ac:dyDescent="0.25">
      <c r="A1443" t="str">
        <f ca="1">IFERROR(__xludf.DUMMYFUNCTION("""COMPUTED_VALUE"""),"Sardegna")</f>
        <v>Sardegna</v>
      </c>
      <c r="B1443" t="str">
        <f ca="1">IFERROR(__xludf.DUMMYFUNCTION("""COMPUTED_VALUE"""),"ITG2")</f>
        <v>ITG2</v>
      </c>
    </row>
    <row r="1444" spans="1:2" ht="12.5" x14ac:dyDescent="0.25">
      <c r="A1444" t="str">
        <f ca="1">IFERROR(__xludf.DUMMYFUNCTION("""COMPUTED_VALUE"""),"Sarthe")</f>
        <v>Sarthe</v>
      </c>
      <c r="B1444" t="str">
        <f ca="1">IFERROR(__xludf.DUMMYFUNCTION("""COMPUTED_VALUE"""),"FR514")</f>
        <v>FR514</v>
      </c>
    </row>
    <row r="1445" spans="1:2" ht="12.5" x14ac:dyDescent="0.25">
      <c r="A1445" t="str">
        <f ca="1">IFERROR(__xludf.DUMMYFUNCTION("""COMPUTED_VALUE"""),"Sassari")</f>
        <v>Sassari</v>
      </c>
      <c r="B1445" t="str">
        <f ca="1">IFERROR(__xludf.DUMMYFUNCTION("""COMPUTED_VALUE"""),"ITG25")</f>
        <v>ITG25</v>
      </c>
    </row>
    <row r="1446" spans="1:2" ht="12.5" x14ac:dyDescent="0.25">
      <c r="A1446" t="str">
        <f ca="1">IFERROR(__xludf.DUMMYFUNCTION("""COMPUTED_VALUE"""),"Satakunta")</f>
        <v>Satakunta</v>
      </c>
      <c r="B1446" t="str">
        <f ca="1">IFERROR(__xludf.DUMMYFUNCTION("""COMPUTED_VALUE"""),"FI196")</f>
        <v>FI196</v>
      </c>
    </row>
    <row r="1447" spans="1:2" ht="12.5" x14ac:dyDescent="0.25">
      <c r="A1447" t="str">
        <f ca="1">IFERROR(__xludf.DUMMYFUNCTION("""COMPUTED_VALUE"""),"Satu Mare")</f>
        <v>Satu Mare</v>
      </c>
      <c r="B1447" t="str">
        <f ca="1">IFERROR(__xludf.DUMMYFUNCTION("""COMPUTED_VALUE"""),"RO115")</f>
        <v>RO115</v>
      </c>
    </row>
    <row r="1448" spans="1:2" ht="12.5" x14ac:dyDescent="0.25">
      <c r="A1448" t="str">
        <f ca="1">IFERROR(__xludf.DUMMYFUNCTION("""COMPUTED_VALUE"""),"Savinjska")</f>
        <v>Savinjska</v>
      </c>
      <c r="B1448" t="str">
        <f ca="1">IFERROR(__xludf.DUMMYFUNCTION("""COMPUTED_VALUE"""),"SI014")</f>
        <v>SI014</v>
      </c>
    </row>
    <row r="1449" spans="1:2" ht="12.5" x14ac:dyDescent="0.25">
      <c r="A1449" t="str">
        <f ca="1">IFERROR(__xludf.DUMMYFUNCTION("""COMPUTED_VALUE"""),"Savoie")</f>
        <v>Savoie</v>
      </c>
      <c r="B1449" t="str">
        <f ca="1">IFERROR(__xludf.DUMMYFUNCTION("""COMPUTED_VALUE"""),"FR717")</f>
        <v>FR717</v>
      </c>
    </row>
    <row r="1450" spans="1:2" ht="12.5" x14ac:dyDescent="0.25">
      <c r="A1450" t="str">
        <f ca="1">IFERROR(__xludf.DUMMYFUNCTION("""COMPUTED_VALUE"""),"Savona")</f>
        <v>Savona</v>
      </c>
      <c r="B1450" t="str">
        <f ca="1">IFERROR(__xludf.DUMMYFUNCTION("""COMPUTED_VALUE"""),"ITC32")</f>
        <v>ITC32</v>
      </c>
    </row>
    <row r="1451" spans="1:2" ht="12.5" x14ac:dyDescent="0.25">
      <c r="A1451" t="str">
        <f ca="1">IFERROR(__xludf.DUMMYFUNCTION("""COMPUTED_VALUE"""),"Schaffhausen")</f>
        <v>Schaffhausen</v>
      </c>
      <c r="B1451" t="str">
        <f ca="1">IFERROR(__xludf.DUMMYFUNCTION("""COMPUTED_VALUE"""),"CH052")</f>
        <v>CH052</v>
      </c>
    </row>
    <row r="1452" spans="1:2" ht="12.5" x14ac:dyDescent="0.25">
      <c r="A1452" t="str">
        <f ca="1">IFERROR(__xludf.DUMMYFUNCTION("""COMPUTED_VALUE"""),"Schaumburg")</f>
        <v>Schaumburg</v>
      </c>
      <c r="B1452" t="str">
        <f ca="1">IFERROR(__xludf.DUMMYFUNCTION("""COMPUTED_VALUE"""),"DE928")</f>
        <v>DE928</v>
      </c>
    </row>
    <row r="1453" spans="1:2" ht="12.5" x14ac:dyDescent="0.25">
      <c r="A1453" t="str">
        <f ca="1">IFERROR(__xludf.DUMMYFUNCTION("""COMPUTED_VALUE"""),"Schleswig-Flensburg")</f>
        <v>Schleswig-Flensburg</v>
      </c>
      <c r="B1453" t="str">
        <f ca="1">IFERROR(__xludf.DUMMYFUNCTION("""COMPUTED_VALUE"""),"DEF0C")</f>
        <v>DEF0C</v>
      </c>
    </row>
    <row r="1454" spans="1:2" ht="12.5" x14ac:dyDescent="0.25">
      <c r="A1454" t="str">
        <f ca="1">IFERROR(__xludf.DUMMYFUNCTION("""COMPUTED_VALUE"""),"Schleswig-Holstein")</f>
        <v>Schleswig-Holstein</v>
      </c>
      <c r="B1454" t="str">
        <f ca="1">IFERROR(__xludf.DUMMYFUNCTION("""COMPUTED_VALUE"""),"DEF")</f>
        <v>DEF</v>
      </c>
    </row>
    <row r="1455" spans="1:2" ht="12.5" x14ac:dyDescent="0.25">
      <c r="A1455" t="str">
        <f ca="1">IFERROR(__xludf.DUMMYFUNCTION("""COMPUTED_VALUE"""),"Schleswig-Holstein (*)")</f>
        <v>Schleswig-Holstein (*)</v>
      </c>
      <c r="B1455" t="str">
        <f ca="1">IFERROR(__xludf.DUMMYFUNCTION("""COMPUTED_VALUE"""),"DEF0")</f>
        <v>DEF0</v>
      </c>
    </row>
    <row r="1456" spans="1:2" ht="12.5" x14ac:dyDescent="0.25">
      <c r="A1456" t="str">
        <f ca="1">IFERROR(__xludf.DUMMYFUNCTION("""COMPUTED_VALUE"""),"Schmalkalden-Meiningen")</f>
        <v>Schmalkalden-Meiningen</v>
      </c>
      <c r="B1456" t="str">
        <f ca="1">IFERROR(__xludf.DUMMYFUNCTION("""COMPUTED_VALUE"""),"DEG0B")</f>
        <v>DEG0B</v>
      </c>
    </row>
    <row r="1457" spans="1:2" ht="12.5" x14ac:dyDescent="0.25">
      <c r="A1457" t="str">
        <f ca="1">IFERROR(__xludf.DUMMYFUNCTION("""COMPUTED_VALUE"""),"Schwabach, Kreisfreie Stadt")</f>
        <v>Schwabach, Kreisfreie Stadt</v>
      </c>
      <c r="B1457" t="str">
        <f ca="1">IFERROR(__xludf.DUMMYFUNCTION("""COMPUTED_VALUE"""),"DE255")</f>
        <v>DE255</v>
      </c>
    </row>
    <row r="1458" spans="1:2" ht="12.5" x14ac:dyDescent="0.25">
      <c r="A1458" t="str">
        <f ca="1">IFERROR(__xludf.DUMMYFUNCTION("""COMPUTED_VALUE"""),"Schwaben")</f>
        <v>Schwaben</v>
      </c>
      <c r="B1458" t="str">
        <f ca="1">IFERROR(__xludf.DUMMYFUNCTION("""COMPUTED_VALUE"""),"DE27")</f>
        <v>DE27</v>
      </c>
    </row>
    <row r="1459" spans="1:2" ht="12.5" x14ac:dyDescent="0.25">
      <c r="A1459" t="str">
        <f ca="1">IFERROR(__xludf.DUMMYFUNCTION("""COMPUTED_VALUE"""),"Schwäbisch Hall")</f>
        <v>Schwäbisch Hall</v>
      </c>
      <c r="B1459" t="str">
        <f ca="1">IFERROR(__xludf.DUMMYFUNCTION("""COMPUTED_VALUE"""),"DE11A")</f>
        <v>DE11A</v>
      </c>
    </row>
    <row r="1460" spans="1:2" ht="12.5" x14ac:dyDescent="0.25">
      <c r="A1460" t="str">
        <f ca="1">IFERROR(__xludf.DUMMYFUNCTION("""COMPUTED_VALUE"""),"Schwalm-Eder-Kreis")</f>
        <v>Schwalm-Eder-Kreis</v>
      </c>
      <c r="B1460" t="str">
        <f ca="1">IFERROR(__xludf.DUMMYFUNCTION("""COMPUTED_VALUE"""),"DE735")</f>
        <v>DE735</v>
      </c>
    </row>
    <row r="1461" spans="1:2" ht="12.5" x14ac:dyDescent="0.25">
      <c r="A1461" t="str">
        <f ca="1">IFERROR(__xludf.DUMMYFUNCTION("""COMPUTED_VALUE"""),"Schwandorf")</f>
        <v>Schwandorf</v>
      </c>
      <c r="B1461" t="str">
        <f ca="1">IFERROR(__xludf.DUMMYFUNCTION("""COMPUTED_VALUE"""),"DE239")</f>
        <v>DE239</v>
      </c>
    </row>
    <row r="1462" spans="1:2" ht="12.5" x14ac:dyDescent="0.25">
      <c r="A1462" t="str">
        <f ca="1">IFERROR(__xludf.DUMMYFUNCTION("""COMPUTED_VALUE"""),"Schwarzwald-Baar-Kreis")</f>
        <v>Schwarzwald-Baar-Kreis</v>
      </c>
      <c r="B1462" t="str">
        <f ca="1">IFERROR(__xludf.DUMMYFUNCTION("""COMPUTED_VALUE"""),"DE136")</f>
        <v>DE136</v>
      </c>
    </row>
    <row r="1463" spans="1:2" ht="12.5" x14ac:dyDescent="0.25">
      <c r="A1463" t="str">
        <f ca="1">IFERROR(__xludf.DUMMYFUNCTION("""COMPUTED_VALUE"""),"Schweinfurt, Kreisfreie Stadt")</f>
        <v>Schweinfurt, Kreisfreie Stadt</v>
      </c>
      <c r="B1463" t="str">
        <f ca="1">IFERROR(__xludf.DUMMYFUNCTION("""COMPUTED_VALUE"""),"DE262")</f>
        <v>DE262</v>
      </c>
    </row>
    <row r="1464" spans="1:2" ht="12.5" x14ac:dyDescent="0.25">
      <c r="A1464" t="str">
        <f ca="1">IFERROR(__xludf.DUMMYFUNCTION("""COMPUTED_VALUE"""),"Schweinfurt, Landkreis")</f>
        <v>Schweinfurt, Landkreis</v>
      </c>
      <c r="B1464" t="str">
        <f ca="1">IFERROR(__xludf.DUMMYFUNCTION("""COMPUTED_VALUE"""),"DE26B")</f>
        <v>DE26B</v>
      </c>
    </row>
    <row r="1465" spans="1:2" ht="12.5" x14ac:dyDescent="0.25">
      <c r="A1465" t="str">
        <f ca="1">IFERROR(__xludf.DUMMYFUNCTION("""COMPUTED_VALUE"""),"Schweiz/Suisse/Svizzera")</f>
        <v>Schweiz/Suisse/Svizzera</v>
      </c>
      <c r="B1465" t="str">
        <f ca="1">IFERROR(__xludf.DUMMYFUNCTION("""COMPUTED_VALUE"""),"CH")</f>
        <v>CH</v>
      </c>
    </row>
    <row r="1466" spans="1:2" ht="12.5" x14ac:dyDescent="0.25">
      <c r="A1466" t="str">
        <f ca="1">IFERROR(__xludf.DUMMYFUNCTION("""COMPUTED_VALUE"""),"Schweiz/Suisse/Svizzera (*)")</f>
        <v>Schweiz/Suisse/Svizzera (*)</v>
      </c>
      <c r="B1466" t="str">
        <f ca="1">IFERROR(__xludf.DUMMYFUNCTION("""COMPUTED_VALUE"""),"CH0")</f>
        <v>CH0</v>
      </c>
    </row>
    <row r="1467" spans="1:2" ht="12.5" x14ac:dyDescent="0.25">
      <c r="A1467" t="str">
        <f ca="1">IFERROR(__xludf.DUMMYFUNCTION("""COMPUTED_VALUE"""),"Schwerin, Kreisfreie Stadt")</f>
        <v>Schwerin, Kreisfreie Stadt</v>
      </c>
      <c r="B1467" t="str">
        <f ca="1">IFERROR(__xludf.DUMMYFUNCTION("""COMPUTED_VALUE"""),"DE804")</f>
        <v>DE804</v>
      </c>
    </row>
    <row r="1468" spans="1:2" ht="12.5" x14ac:dyDescent="0.25">
      <c r="A1468" t="str">
        <f ca="1">IFERROR(__xludf.DUMMYFUNCTION("""COMPUTED_VALUE"""),"Schwyz")</f>
        <v>Schwyz</v>
      </c>
      <c r="B1468" t="str">
        <f ca="1">IFERROR(__xludf.DUMMYFUNCTION("""COMPUTED_VALUE"""),"CH063")</f>
        <v>CH063</v>
      </c>
    </row>
    <row r="1469" spans="1:2" ht="12.5" x14ac:dyDescent="0.25">
      <c r="A1469" t="str">
        <f ca="1">IFERROR(__xludf.DUMMYFUNCTION("""COMPUTED_VALUE"""),"Scotland")</f>
        <v>Scotland</v>
      </c>
      <c r="B1469" t="str">
        <f ca="1">IFERROR(__xludf.DUMMYFUNCTION("""COMPUTED_VALUE"""),"UKM")</f>
        <v>UKM</v>
      </c>
    </row>
    <row r="1470" spans="1:2" ht="12.5" x14ac:dyDescent="0.25">
      <c r="A1470" t="str">
        <f ca="1">IFERROR(__xludf.DUMMYFUNCTION("""COMPUTED_VALUE"""),"Scottish Borders")</f>
        <v>Scottish Borders</v>
      </c>
      <c r="B1470" t="str">
        <f ca="1">IFERROR(__xludf.DUMMYFUNCTION("""COMPUTED_VALUE"""),"UKM24")</f>
        <v>UKM24</v>
      </c>
    </row>
    <row r="1471" spans="1:2" ht="12.5" x14ac:dyDescent="0.25">
      <c r="A1471" t="str">
        <f ca="1">IFERROR(__xludf.DUMMYFUNCTION("""COMPUTED_VALUE"""),"Sefton")</f>
        <v>Sefton</v>
      </c>
      <c r="B1471" t="str">
        <f ca="1">IFERROR(__xludf.DUMMYFUNCTION("""COMPUTED_VALUE"""),"UKD53")</f>
        <v>UKD53</v>
      </c>
    </row>
    <row r="1472" spans="1:2" ht="12.5" x14ac:dyDescent="0.25">
      <c r="A1472" t="str">
        <f ca="1">IFERROR(__xludf.DUMMYFUNCTION("""COMPUTED_VALUE"""),"Segeberg")</f>
        <v>Segeberg</v>
      </c>
      <c r="B1472" t="str">
        <f ca="1">IFERROR(__xludf.DUMMYFUNCTION("""COMPUTED_VALUE"""),"DEF0D")</f>
        <v>DEF0D</v>
      </c>
    </row>
    <row r="1473" spans="1:2" ht="12.5" x14ac:dyDescent="0.25">
      <c r="A1473" t="str">
        <f ca="1">IFERROR(__xludf.DUMMYFUNCTION("""COMPUTED_VALUE"""),"Segovia")</f>
        <v>Segovia</v>
      </c>
      <c r="B1473" t="str">
        <f ca="1">IFERROR(__xludf.DUMMYFUNCTION("""COMPUTED_VALUE"""),"ES416")</f>
        <v>ES416</v>
      </c>
    </row>
    <row r="1474" spans="1:2" ht="12.5" x14ac:dyDescent="0.25">
      <c r="A1474" t="str">
        <f ca="1">IFERROR(__xludf.DUMMYFUNCTION("""COMPUTED_VALUE"""),"Seine-Et-Marne")</f>
        <v>Seine-Et-Marne</v>
      </c>
      <c r="B1474" t="str">
        <f ca="1">IFERROR(__xludf.DUMMYFUNCTION("""COMPUTED_VALUE"""),"FR102")</f>
        <v>FR102</v>
      </c>
    </row>
    <row r="1475" spans="1:2" ht="12.5" x14ac:dyDescent="0.25">
      <c r="A1475" t="str">
        <f ca="1">IFERROR(__xludf.DUMMYFUNCTION("""COMPUTED_VALUE"""),"Seine-Maritime")</f>
        <v>Seine-Maritime</v>
      </c>
      <c r="B1475" t="str">
        <f ca="1">IFERROR(__xludf.DUMMYFUNCTION("""COMPUTED_VALUE"""),"FR232")</f>
        <v>FR232</v>
      </c>
    </row>
    <row r="1476" spans="1:2" ht="12.5" x14ac:dyDescent="0.25">
      <c r="A1476" t="str">
        <f ca="1">IFERROR(__xludf.DUMMYFUNCTION("""COMPUTED_VALUE"""),"Seine-Saint-Denis")</f>
        <v>Seine-Saint-Denis</v>
      </c>
      <c r="B1476" t="str">
        <f ca="1">IFERROR(__xludf.DUMMYFUNCTION("""COMPUTED_VALUE"""),"FR106")</f>
        <v>FR106</v>
      </c>
    </row>
    <row r="1477" spans="1:2" ht="12.5" x14ac:dyDescent="0.25">
      <c r="A1477" t="str">
        <f ca="1">IFERROR(__xludf.DUMMYFUNCTION("""COMPUTED_VALUE"""),"Serra Da Estrela")</f>
        <v>Serra Da Estrela</v>
      </c>
      <c r="B1477" t="str">
        <f ca="1">IFERROR(__xludf.DUMMYFUNCTION("""COMPUTED_VALUE"""),"PT167")</f>
        <v>PT167</v>
      </c>
    </row>
    <row r="1478" spans="1:2" ht="12.5" x14ac:dyDescent="0.25">
      <c r="A1478" t="str">
        <f ca="1">IFERROR(__xludf.DUMMYFUNCTION("""COMPUTED_VALUE"""),"Serres")</f>
        <v>Serres</v>
      </c>
      <c r="B1478" t="str">
        <f ca="1">IFERROR(__xludf.DUMMYFUNCTION("""COMPUTED_VALUE"""),"GR126")</f>
        <v>GR126</v>
      </c>
    </row>
    <row r="1479" spans="1:2" ht="12.5" x14ac:dyDescent="0.25">
      <c r="A1479" t="str">
        <f ca="1">IFERROR(__xludf.DUMMYFUNCTION("""COMPUTED_VALUE"""),"Severen Tsentralen")</f>
        <v>Severen Tsentralen</v>
      </c>
      <c r="B1479" t="str">
        <f ca="1">IFERROR(__xludf.DUMMYFUNCTION("""COMPUTED_VALUE"""),"BG32")</f>
        <v>BG32</v>
      </c>
    </row>
    <row r="1480" spans="1:2" ht="12.5" x14ac:dyDescent="0.25">
      <c r="A1480" t="str">
        <f ca="1">IFERROR(__xludf.DUMMYFUNCTION("""COMPUTED_VALUE"""),"Severna I Iztochna Bulgaria")</f>
        <v>Severna I Iztochna Bulgaria</v>
      </c>
      <c r="B1480" t="str">
        <f ca="1">IFERROR(__xludf.DUMMYFUNCTION("""COMPUTED_VALUE"""),"BG3")</f>
        <v>BG3</v>
      </c>
    </row>
    <row r="1481" spans="1:2" ht="12.5" x14ac:dyDescent="0.25">
      <c r="A1481" t="str">
        <f ca="1">IFERROR(__xludf.DUMMYFUNCTION("""COMPUTED_VALUE"""),"Severoiztochen")</f>
        <v>Severoiztochen</v>
      </c>
      <c r="B1481" t="str">
        <f ca="1">IFERROR(__xludf.DUMMYFUNCTION("""COMPUTED_VALUE"""),"BG33")</f>
        <v>BG33</v>
      </c>
    </row>
    <row r="1482" spans="1:2" ht="12.5" x14ac:dyDescent="0.25">
      <c r="A1482" t="str">
        <f ca="1">IFERROR(__xludf.DUMMYFUNCTION("""COMPUTED_VALUE"""),"Severovychod")</f>
        <v>Severovychod</v>
      </c>
      <c r="B1482" t="str">
        <f ca="1">IFERROR(__xludf.DUMMYFUNCTION("""COMPUTED_VALUE"""),"CZ05")</f>
        <v>CZ05</v>
      </c>
    </row>
    <row r="1483" spans="1:2" ht="12.5" x14ac:dyDescent="0.25">
      <c r="A1483" t="str">
        <f ca="1">IFERROR(__xludf.DUMMYFUNCTION("""COMPUTED_VALUE"""),"Severozapad")</f>
        <v>Severozapad</v>
      </c>
      <c r="B1483" t="str">
        <f ca="1">IFERROR(__xludf.DUMMYFUNCTION("""COMPUTED_VALUE"""),"CZ04")</f>
        <v>CZ04</v>
      </c>
    </row>
    <row r="1484" spans="1:2" ht="12.5" x14ac:dyDescent="0.25">
      <c r="A1484" t="str">
        <f ca="1">IFERROR(__xludf.DUMMYFUNCTION("""COMPUTED_VALUE"""),"Severozapaden")</f>
        <v>Severozapaden</v>
      </c>
      <c r="B1484" t="str">
        <f ca="1">IFERROR(__xludf.DUMMYFUNCTION("""COMPUTED_VALUE"""),"BG31")</f>
        <v>BG31</v>
      </c>
    </row>
    <row r="1485" spans="1:2" ht="12.5" x14ac:dyDescent="0.25">
      <c r="A1485" t="str">
        <f ca="1">IFERROR(__xludf.DUMMYFUNCTION("""COMPUTED_VALUE"""),"Sevilla")</f>
        <v>Sevilla</v>
      </c>
      <c r="B1485" t="str">
        <f ca="1">IFERROR(__xludf.DUMMYFUNCTION("""COMPUTED_VALUE"""),"ES618")</f>
        <v>ES618</v>
      </c>
    </row>
    <row r="1486" spans="1:2" ht="12.5" x14ac:dyDescent="0.25">
      <c r="A1486" t="str">
        <f ca="1">IFERROR(__xludf.DUMMYFUNCTION("""COMPUTED_VALUE"""),"Sheffield")</f>
        <v>Sheffield</v>
      </c>
      <c r="B1486" t="str">
        <f ca="1">IFERROR(__xludf.DUMMYFUNCTION("""COMPUTED_VALUE"""),"UKE32")</f>
        <v>UKE32</v>
      </c>
    </row>
    <row r="1487" spans="1:2" ht="12.5" x14ac:dyDescent="0.25">
      <c r="A1487" t="str">
        <f ca="1">IFERROR(__xludf.DUMMYFUNCTION("""COMPUTED_VALUE"""),"Shetland Islands")</f>
        <v>Shetland Islands</v>
      </c>
      <c r="B1487" t="str">
        <f ca="1">IFERROR(__xludf.DUMMYFUNCTION("""COMPUTED_VALUE"""),"UKM66")</f>
        <v>UKM66</v>
      </c>
    </row>
    <row r="1488" spans="1:2" ht="12.5" x14ac:dyDescent="0.25">
      <c r="A1488" t="str">
        <f ca="1">IFERROR(__xludf.DUMMYFUNCTION("""COMPUTED_VALUE"""),"Shropshire And Staffordshire")</f>
        <v>Shropshire And Staffordshire</v>
      </c>
      <c r="B1488" t="str">
        <f ca="1">IFERROR(__xludf.DUMMYFUNCTION("""COMPUTED_VALUE"""),"UKG2")</f>
        <v>UKG2</v>
      </c>
    </row>
    <row r="1489" spans="1:2" ht="12.5" x14ac:dyDescent="0.25">
      <c r="A1489" t="str">
        <f ca="1">IFERROR(__xludf.DUMMYFUNCTION("""COMPUTED_VALUE"""),"Shropshire Cc")</f>
        <v>Shropshire Cc</v>
      </c>
      <c r="B1489" t="str">
        <f ca="1">IFERROR(__xludf.DUMMYFUNCTION("""COMPUTED_VALUE"""),"UKG22")</f>
        <v>UKG22</v>
      </c>
    </row>
    <row r="1490" spans="1:2" ht="12.5" x14ac:dyDescent="0.25">
      <c r="A1490" t="str">
        <f ca="1">IFERROR(__xludf.DUMMYFUNCTION("""COMPUTED_VALUE"""),"Shumen")</f>
        <v>Shumen</v>
      </c>
      <c r="B1490" t="str">
        <f ca="1">IFERROR(__xludf.DUMMYFUNCTION("""COMPUTED_VALUE"""),"BG333")</f>
        <v>BG333</v>
      </c>
    </row>
    <row r="1491" spans="1:2" ht="12.5" x14ac:dyDescent="0.25">
      <c r="A1491" t="str">
        <f ca="1">IFERROR(__xludf.DUMMYFUNCTION("""COMPUTED_VALUE"""),"Siauliu Apskritis")</f>
        <v>Siauliu Apskritis</v>
      </c>
      <c r="B1491" t="str">
        <f ca="1">IFERROR(__xludf.DUMMYFUNCTION("""COMPUTED_VALUE"""),"LT006")</f>
        <v>LT006</v>
      </c>
    </row>
    <row r="1492" spans="1:2" ht="12.5" x14ac:dyDescent="0.25">
      <c r="A1492" t="str">
        <f ca="1">IFERROR(__xludf.DUMMYFUNCTION("""COMPUTED_VALUE"""),"Sibiu")</f>
        <v>Sibiu</v>
      </c>
      <c r="B1492" t="str">
        <f ca="1">IFERROR(__xludf.DUMMYFUNCTION("""COMPUTED_VALUE"""),"RO126")</f>
        <v>RO126</v>
      </c>
    </row>
    <row r="1493" spans="1:2" ht="12.5" x14ac:dyDescent="0.25">
      <c r="A1493" t="str">
        <f ca="1">IFERROR(__xludf.DUMMYFUNCTION("""COMPUTED_VALUE"""),"Sicilia")</f>
        <v>Sicilia</v>
      </c>
      <c r="B1493" t="str">
        <f ca="1">IFERROR(__xludf.DUMMYFUNCTION("""COMPUTED_VALUE"""),"ITG1")</f>
        <v>ITG1</v>
      </c>
    </row>
    <row r="1494" spans="1:2" ht="12.5" x14ac:dyDescent="0.25">
      <c r="A1494" t="str">
        <f ca="1">IFERROR(__xludf.DUMMYFUNCTION("""COMPUTED_VALUE"""),"Siegen-Wittgenstein")</f>
        <v>Siegen-Wittgenstein</v>
      </c>
      <c r="B1494" t="str">
        <f ca="1">IFERROR(__xludf.DUMMYFUNCTION("""COMPUTED_VALUE"""),"DEA5A")</f>
        <v>DEA5A</v>
      </c>
    </row>
    <row r="1495" spans="1:2" ht="12.5" x14ac:dyDescent="0.25">
      <c r="A1495" t="str">
        <f ca="1">IFERROR(__xludf.DUMMYFUNCTION("""COMPUTED_VALUE"""),"Siena")</f>
        <v>Siena</v>
      </c>
      <c r="B1495" t="str">
        <f ca="1">IFERROR(__xludf.DUMMYFUNCTION("""COMPUTED_VALUE"""),"ITE19")</f>
        <v>ITE19</v>
      </c>
    </row>
    <row r="1496" spans="1:2" ht="12.5" x14ac:dyDescent="0.25">
      <c r="A1496" t="str">
        <f ca="1">IFERROR(__xludf.DUMMYFUNCTION("""COMPUTED_VALUE"""),"Sieradzki")</f>
        <v>Sieradzki</v>
      </c>
      <c r="B1496" t="str">
        <f ca="1">IFERROR(__xludf.DUMMYFUNCTION("""COMPUTED_VALUE"""),"PL116")</f>
        <v>PL116</v>
      </c>
    </row>
    <row r="1497" spans="1:2" ht="12.5" x14ac:dyDescent="0.25">
      <c r="A1497" t="str">
        <f ca="1">IFERROR(__xludf.DUMMYFUNCTION("""COMPUTED_VALUE"""),"Sigmaringen")</f>
        <v>Sigmaringen</v>
      </c>
      <c r="B1497" t="str">
        <f ca="1">IFERROR(__xludf.DUMMYFUNCTION("""COMPUTED_VALUE"""),"DE149")</f>
        <v>DE149</v>
      </c>
    </row>
    <row r="1498" spans="1:2" ht="12.5" x14ac:dyDescent="0.25">
      <c r="A1498" t="str">
        <f ca="1">IFERROR(__xludf.DUMMYFUNCTION("""COMPUTED_VALUE"""),"Silistra")</f>
        <v>Silistra</v>
      </c>
      <c r="B1498" t="str">
        <f ca="1">IFERROR(__xludf.DUMMYFUNCTION("""COMPUTED_VALUE"""),"BG325")</f>
        <v>BG325</v>
      </c>
    </row>
    <row r="1499" spans="1:2" ht="12.5" x14ac:dyDescent="0.25">
      <c r="A1499" t="str">
        <f ca="1">IFERROR(__xludf.DUMMYFUNCTION("""COMPUTED_VALUE"""),"Siracusa")</f>
        <v>Siracusa</v>
      </c>
      <c r="B1499" t="str">
        <f ca="1">IFERROR(__xludf.DUMMYFUNCTION("""COMPUTED_VALUE"""),"ITG19")</f>
        <v>ITG19</v>
      </c>
    </row>
    <row r="1500" spans="1:2" ht="12.5" x14ac:dyDescent="0.25">
      <c r="A1500" t="str">
        <f ca="1">IFERROR(__xludf.DUMMYFUNCTION("""COMPUTED_VALUE"""),"Sjælland")</f>
        <v>Sjælland</v>
      </c>
      <c r="B1500" t="str">
        <f ca="1">IFERROR(__xludf.DUMMYFUNCTION("""COMPUTED_VALUE"""),"DK02")</f>
        <v>DK02</v>
      </c>
    </row>
    <row r="1501" spans="1:2" ht="12.5" x14ac:dyDescent="0.25">
      <c r="A1501" t="str">
        <f ca="1">IFERROR(__xludf.DUMMYFUNCTION("""COMPUTED_VALUE"""),"Skåne Län")</f>
        <v>Skåne Län</v>
      </c>
      <c r="B1501" t="str">
        <f ca="1">IFERROR(__xludf.DUMMYFUNCTION("""COMPUTED_VALUE"""),"SE224")</f>
        <v>SE224</v>
      </c>
    </row>
    <row r="1502" spans="1:2" ht="12.5" x14ac:dyDescent="0.25">
      <c r="A1502" t="str">
        <f ca="1">IFERROR(__xludf.DUMMYFUNCTION("""COMPUTED_VALUE"""),"Skierniewicki")</f>
        <v>Skierniewicki</v>
      </c>
      <c r="B1502" t="str">
        <f ca="1">IFERROR(__xludf.DUMMYFUNCTION("""COMPUTED_VALUE"""),"PL117")</f>
        <v>PL117</v>
      </c>
    </row>
    <row r="1503" spans="1:2" ht="12.5" x14ac:dyDescent="0.25">
      <c r="A1503" t="str">
        <f ca="1">IFERROR(__xludf.DUMMYFUNCTION("""COMPUTED_VALUE"""),"Slaskie")</f>
        <v>Slaskie</v>
      </c>
      <c r="B1503" t="str">
        <f ca="1">IFERROR(__xludf.DUMMYFUNCTION("""COMPUTED_VALUE"""),"PL22")</f>
        <v>PL22</v>
      </c>
    </row>
    <row r="1504" spans="1:2" ht="12.5" x14ac:dyDescent="0.25">
      <c r="A1504" t="str">
        <f ca="1">IFERROR(__xludf.DUMMYFUNCTION("""COMPUTED_VALUE"""),"Sliven")</f>
        <v>Sliven</v>
      </c>
      <c r="B1504" t="str">
        <f ca="1">IFERROR(__xludf.DUMMYFUNCTION("""COMPUTED_VALUE"""),"BG342")</f>
        <v>BG342</v>
      </c>
    </row>
    <row r="1505" spans="1:2" ht="12.5" x14ac:dyDescent="0.25">
      <c r="A1505" t="str">
        <f ca="1">IFERROR(__xludf.DUMMYFUNCTION("""COMPUTED_VALUE"""),"Slovenija")</f>
        <v>Slovenija</v>
      </c>
      <c r="B1505" t="str">
        <f ca="1">IFERROR(__xludf.DUMMYFUNCTION("""COMPUTED_VALUE"""),"SI")</f>
        <v>SI</v>
      </c>
    </row>
    <row r="1506" spans="1:2" ht="12.5" x14ac:dyDescent="0.25">
      <c r="A1506" t="str">
        <f ca="1">IFERROR(__xludf.DUMMYFUNCTION("""COMPUTED_VALUE"""),"Slovenija (*)")</f>
        <v>Slovenija (*)</v>
      </c>
      <c r="B1506" t="str">
        <f ca="1">IFERROR(__xludf.DUMMYFUNCTION("""COMPUTED_VALUE"""),"SI0")</f>
        <v>SI0</v>
      </c>
    </row>
    <row r="1507" spans="1:2" ht="12.5" x14ac:dyDescent="0.25">
      <c r="A1507" t="str">
        <f ca="1">IFERROR(__xludf.DUMMYFUNCTION("""COMPUTED_VALUE"""),"Slovenska Republika")</f>
        <v>Slovenska Republika</v>
      </c>
      <c r="B1507" t="str">
        <f ca="1">IFERROR(__xludf.DUMMYFUNCTION("""COMPUTED_VALUE"""),"SK")</f>
        <v>SK</v>
      </c>
    </row>
    <row r="1508" spans="1:2" ht="12.5" x14ac:dyDescent="0.25">
      <c r="A1508" t="str">
        <f ca="1">IFERROR(__xludf.DUMMYFUNCTION("""COMPUTED_VALUE"""),"Slovenska Republika (*)")</f>
        <v>Slovenska Republika (*)</v>
      </c>
      <c r="B1508" t="str">
        <f ca="1">IFERROR(__xludf.DUMMYFUNCTION("""COMPUTED_VALUE"""),"SK0")</f>
        <v>SK0</v>
      </c>
    </row>
    <row r="1509" spans="1:2" ht="12.5" x14ac:dyDescent="0.25">
      <c r="A1509" t="str">
        <f ca="1">IFERROR(__xludf.DUMMYFUNCTION("""COMPUTED_VALUE"""),"Slupski")</f>
        <v>Slupski</v>
      </c>
      <c r="B1509" t="str">
        <f ca="1">IFERROR(__xludf.DUMMYFUNCTION("""COMPUTED_VALUE"""),"PL631")</f>
        <v>PL631</v>
      </c>
    </row>
    <row r="1510" spans="1:2" ht="12.5" x14ac:dyDescent="0.25">
      <c r="A1510" t="str">
        <f ca="1">IFERROR(__xludf.DUMMYFUNCTION("""COMPUTED_VALUE"""),"Småland Med Öarna")</f>
        <v>Småland Med Öarna</v>
      </c>
      <c r="B1510" t="str">
        <f ca="1">IFERROR(__xludf.DUMMYFUNCTION("""COMPUTED_VALUE"""),"SE21")</f>
        <v>SE21</v>
      </c>
    </row>
    <row r="1511" spans="1:2" ht="12.5" x14ac:dyDescent="0.25">
      <c r="A1511" t="str">
        <f ca="1">IFERROR(__xludf.DUMMYFUNCTION("""COMPUTED_VALUE"""),"Smolyan")</f>
        <v>Smolyan</v>
      </c>
      <c r="B1511" t="str">
        <f ca="1">IFERROR(__xludf.DUMMYFUNCTION("""COMPUTED_VALUE"""),"BG424")</f>
        <v>BG424</v>
      </c>
    </row>
    <row r="1512" spans="1:2" ht="12.5" x14ac:dyDescent="0.25">
      <c r="A1512" t="str">
        <f ca="1">IFERROR(__xludf.DUMMYFUNCTION("""COMPUTED_VALUE"""),"Södermanlands Län")</f>
        <v>Södermanlands Län</v>
      </c>
      <c r="B1512" t="str">
        <f ca="1">IFERROR(__xludf.DUMMYFUNCTION("""COMPUTED_VALUE"""),"SE122")</f>
        <v>SE122</v>
      </c>
    </row>
    <row r="1513" spans="1:2" ht="12.5" x14ac:dyDescent="0.25">
      <c r="A1513" t="str">
        <f ca="1">IFERROR(__xludf.DUMMYFUNCTION("""COMPUTED_VALUE"""),"Södra Sverige")</f>
        <v>Södra Sverige</v>
      </c>
      <c r="B1513" t="str">
        <f ca="1">IFERROR(__xludf.DUMMYFUNCTION("""COMPUTED_VALUE"""),"SE2")</f>
        <v>SE2</v>
      </c>
    </row>
    <row r="1514" spans="1:2" ht="12.5" x14ac:dyDescent="0.25">
      <c r="A1514" t="str">
        <f ca="1">IFERROR(__xludf.DUMMYFUNCTION("""COMPUTED_VALUE"""),"Soest")</f>
        <v>Soest</v>
      </c>
      <c r="B1514" t="str">
        <f ca="1">IFERROR(__xludf.DUMMYFUNCTION("""COMPUTED_VALUE"""),"DEA5B")</f>
        <v>DEA5B</v>
      </c>
    </row>
    <row r="1515" spans="1:2" ht="12.5" x14ac:dyDescent="0.25">
      <c r="A1515" t="str">
        <f ca="1">IFERROR(__xludf.DUMMYFUNCTION("""COMPUTED_VALUE"""),"Sofia")</f>
        <v>Sofia</v>
      </c>
      <c r="B1515" t="str">
        <f ca="1">IFERROR(__xludf.DUMMYFUNCTION("""COMPUTED_VALUE"""),"BG412")</f>
        <v>BG412</v>
      </c>
    </row>
    <row r="1516" spans="1:2" ht="12.5" x14ac:dyDescent="0.25">
      <c r="A1516" t="str">
        <f ca="1">IFERROR(__xludf.DUMMYFUNCTION("""COMPUTED_VALUE"""),"Sofia (Stolitsa)")</f>
        <v>Sofia (Stolitsa)</v>
      </c>
      <c r="B1516" t="str">
        <f ca="1">IFERROR(__xludf.DUMMYFUNCTION("""COMPUTED_VALUE"""),"BG411")</f>
        <v>BG411</v>
      </c>
    </row>
    <row r="1517" spans="1:2" ht="12.5" x14ac:dyDescent="0.25">
      <c r="A1517" t="str">
        <f ca="1">IFERROR(__xludf.DUMMYFUNCTION("""COMPUTED_VALUE"""),"Sogn Og Fjordane")</f>
        <v>Sogn Og Fjordane</v>
      </c>
      <c r="B1517" t="str">
        <f ca="1">IFERROR(__xludf.DUMMYFUNCTION("""COMPUTED_VALUE"""),"NO052")</f>
        <v>NO052</v>
      </c>
    </row>
    <row r="1518" spans="1:2" ht="12.5" x14ac:dyDescent="0.25">
      <c r="A1518" t="str">
        <f ca="1">IFERROR(__xludf.DUMMYFUNCTION("""COMPUTED_VALUE"""),"Solihull")</f>
        <v>Solihull</v>
      </c>
      <c r="B1518" t="str">
        <f ca="1">IFERROR(__xludf.DUMMYFUNCTION("""COMPUTED_VALUE"""),"UKG32")</f>
        <v>UKG32</v>
      </c>
    </row>
    <row r="1519" spans="1:2" ht="12.5" x14ac:dyDescent="0.25">
      <c r="A1519" t="str">
        <f ca="1">IFERROR(__xludf.DUMMYFUNCTION("""COMPUTED_VALUE"""),"Solingen, Kreisfreie Stadt")</f>
        <v>Solingen, Kreisfreie Stadt</v>
      </c>
      <c r="B1519" t="str">
        <f ca="1">IFERROR(__xludf.DUMMYFUNCTION("""COMPUTED_VALUE"""),"DEA19")</f>
        <v>DEA19</v>
      </c>
    </row>
    <row r="1520" spans="1:2" ht="12.5" x14ac:dyDescent="0.25">
      <c r="A1520" t="str">
        <f ca="1">IFERROR(__xludf.DUMMYFUNCTION("""COMPUTED_VALUE"""),"Solothurn")</f>
        <v>Solothurn</v>
      </c>
      <c r="B1520" t="str">
        <f ca="1">IFERROR(__xludf.DUMMYFUNCTION("""COMPUTED_VALUE"""),"CH023")</f>
        <v>CH023</v>
      </c>
    </row>
    <row r="1521" spans="1:2" ht="12.5" x14ac:dyDescent="0.25">
      <c r="A1521" t="str">
        <f ca="1">IFERROR(__xludf.DUMMYFUNCTION("""COMPUTED_VALUE"""),"Soltau-Fallingbostel")</f>
        <v>Soltau-Fallingbostel</v>
      </c>
      <c r="B1521" t="str">
        <f ca="1">IFERROR(__xludf.DUMMYFUNCTION("""COMPUTED_VALUE"""),"DE938")</f>
        <v>DE938</v>
      </c>
    </row>
    <row r="1522" spans="1:2" ht="12.5" x14ac:dyDescent="0.25">
      <c r="A1522" t="str">
        <f ca="1">IFERROR(__xludf.DUMMYFUNCTION("""COMPUTED_VALUE"""),"Somerset")</f>
        <v>Somerset</v>
      </c>
      <c r="B1522" t="str">
        <f ca="1">IFERROR(__xludf.DUMMYFUNCTION("""COMPUTED_VALUE"""),"UKK23")</f>
        <v>UKK23</v>
      </c>
    </row>
    <row r="1523" spans="1:2" ht="12.5" x14ac:dyDescent="0.25">
      <c r="A1523" t="str">
        <f ca="1">IFERROR(__xludf.DUMMYFUNCTION("""COMPUTED_VALUE"""),"Somme")</f>
        <v>Somme</v>
      </c>
      <c r="B1523" t="str">
        <f ca="1">IFERROR(__xludf.DUMMYFUNCTION("""COMPUTED_VALUE"""),"FR223")</f>
        <v>FR223</v>
      </c>
    </row>
    <row r="1524" spans="1:2" ht="12.5" x14ac:dyDescent="0.25">
      <c r="A1524" t="str">
        <f ca="1">IFERROR(__xludf.DUMMYFUNCTION("""COMPUTED_VALUE"""),"Sömmerda")</f>
        <v>Sömmerda</v>
      </c>
      <c r="B1524" t="str">
        <f ca="1">IFERROR(__xludf.DUMMYFUNCTION("""COMPUTED_VALUE"""),"DEG0D")</f>
        <v>DEG0D</v>
      </c>
    </row>
    <row r="1525" spans="1:2" ht="12.5" x14ac:dyDescent="0.25">
      <c r="A1525" t="str">
        <f ca="1">IFERROR(__xludf.DUMMYFUNCTION("""COMPUTED_VALUE"""),"Somogy")</f>
        <v>Somogy</v>
      </c>
      <c r="B1525" t="str">
        <f ca="1">IFERROR(__xludf.DUMMYFUNCTION("""COMPUTED_VALUE"""),"HU232")</f>
        <v>HU232</v>
      </c>
    </row>
    <row r="1526" spans="1:2" ht="12.5" x14ac:dyDescent="0.25">
      <c r="A1526" t="str">
        <f ca="1">IFERROR(__xludf.DUMMYFUNCTION("""COMPUTED_VALUE"""),"Sondrio")</f>
        <v>Sondrio</v>
      </c>
      <c r="B1526" t="str">
        <f ca="1">IFERROR(__xludf.DUMMYFUNCTION("""COMPUTED_VALUE"""),"ITC44")</f>
        <v>ITC44</v>
      </c>
    </row>
    <row r="1527" spans="1:2" ht="12.5" x14ac:dyDescent="0.25">
      <c r="A1527" t="str">
        <f ca="1">IFERROR(__xludf.DUMMYFUNCTION("""COMPUTED_VALUE"""),"Sonneberg")</f>
        <v>Sonneberg</v>
      </c>
      <c r="B1527" t="str">
        <f ca="1">IFERROR(__xludf.DUMMYFUNCTION("""COMPUTED_VALUE"""),"DEG0H")</f>
        <v>DEG0H</v>
      </c>
    </row>
    <row r="1528" spans="1:2" ht="12.5" x14ac:dyDescent="0.25">
      <c r="A1528" t="str">
        <f ca="1">IFERROR(__xludf.DUMMYFUNCTION("""COMPUTED_VALUE"""),"Sør-Østlandet")</f>
        <v>Sør-Østlandet</v>
      </c>
      <c r="B1528" t="str">
        <f ca="1">IFERROR(__xludf.DUMMYFUNCTION("""COMPUTED_VALUE"""),"NO03")</f>
        <v>NO03</v>
      </c>
    </row>
    <row r="1529" spans="1:2" ht="12.5" x14ac:dyDescent="0.25">
      <c r="A1529" t="str">
        <f ca="1">IFERROR(__xludf.DUMMYFUNCTION("""COMPUTED_VALUE"""),"Sør-Trøndelag")</f>
        <v>Sør-Trøndelag</v>
      </c>
      <c r="B1529" t="str">
        <f ca="1">IFERROR(__xludf.DUMMYFUNCTION("""COMPUTED_VALUE"""),"NO061")</f>
        <v>NO061</v>
      </c>
    </row>
    <row r="1530" spans="1:2" ht="12.5" x14ac:dyDescent="0.25">
      <c r="A1530" t="str">
        <f ca="1">IFERROR(__xludf.DUMMYFUNCTION("""COMPUTED_VALUE"""),"Soria")</f>
        <v>Soria</v>
      </c>
      <c r="B1530" t="str">
        <f ca="1">IFERROR(__xludf.DUMMYFUNCTION("""COMPUTED_VALUE"""),"ES417")</f>
        <v>ES417</v>
      </c>
    </row>
    <row r="1531" spans="1:2" ht="12.5" x14ac:dyDescent="0.25">
      <c r="A1531" t="str">
        <f ca="1">IFERROR(__xludf.DUMMYFUNCTION("""COMPUTED_VALUE"""),"Sosnowiecki")</f>
        <v>Sosnowiecki</v>
      </c>
      <c r="B1531" t="str">
        <f ca="1">IFERROR(__xludf.DUMMYFUNCTION("""COMPUTED_VALUE"""),"PL22B")</f>
        <v>PL22B</v>
      </c>
    </row>
    <row r="1532" spans="1:2" ht="12.5" x14ac:dyDescent="0.25">
      <c r="A1532" t="str">
        <f ca="1">IFERROR(__xludf.DUMMYFUNCTION("""COMPUTED_VALUE"""),"South And West Derbyshire")</f>
        <v>South And West Derbyshire</v>
      </c>
      <c r="B1532" t="str">
        <f ca="1">IFERROR(__xludf.DUMMYFUNCTION("""COMPUTED_VALUE"""),"UKF13")</f>
        <v>UKF13</v>
      </c>
    </row>
    <row r="1533" spans="1:2" ht="12.5" x14ac:dyDescent="0.25">
      <c r="A1533" t="str">
        <f ca="1">IFERROR(__xludf.DUMMYFUNCTION("""COMPUTED_VALUE"""),"South Ayrshire")</f>
        <v>South Ayrshire</v>
      </c>
      <c r="B1533" t="str">
        <f ca="1">IFERROR(__xludf.DUMMYFUNCTION("""COMPUTED_VALUE"""),"UKM37")</f>
        <v>UKM37</v>
      </c>
    </row>
    <row r="1534" spans="1:2" ht="12.5" x14ac:dyDescent="0.25">
      <c r="A1534" t="str">
        <f ca="1">IFERROR(__xludf.DUMMYFUNCTION("""COMPUTED_VALUE"""),"South East (England)")</f>
        <v>South East (England)</v>
      </c>
      <c r="B1534" t="str">
        <f ca="1">IFERROR(__xludf.DUMMYFUNCTION("""COMPUTED_VALUE"""),"UKJ")</f>
        <v>UKJ</v>
      </c>
    </row>
    <row r="1535" spans="1:2" ht="12.5" x14ac:dyDescent="0.25">
      <c r="A1535" t="str">
        <f ca="1">IFERROR(__xludf.DUMMYFUNCTION("""COMPUTED_VALUE"""),"South Lanarkshire")</f>
        <v>South Lanarkshire</v>
      </c>
      <c r="B1535" t="str">
        <f ca="1">IFERROR(__xludf.DUMMYFUNCTION("""COMPUTED_VALUE"""),"UKM38")</f>
        <v>UKM38</v>
      </c>
    </row>
    <row r="1536" spans="1:2" ht="12.5" x14ac:dyDescent="0.25">
      <c r="A1536" t="str">
        <f ca="1">IFERROR(__xludf.DUMMYFUNCTION("""COMPUTED_VALUE"""),"South Nottinghamshire")</f>
        <v>South Nottinghamshire</v>
      </c>
      <c r="B1536" t="str">
        <f ca="1">IFERROR(__xludf.DUMMYFUNCTION("""COMPUTED_VALUE"""),"UKF16")</f>
        <v>UKF16</v>
      </c>
    </row>
    <row r="1537" spans="1:2" ht="12.5" x14ac:dyDescent="0.25">
      <c r="A1537" t="str">
        <f ca="1">IFERROR(__xludf.DUMMYFUNCTION("""COMPUTED_VALUE"""),"South Teesside")</f>
        <v>South Teesside</v>
      </c>
      <c r="B1537" t="str">
        <f ca="1">IFERROR(__xludf.DUMMYFUNCTION("""COMPUTED_VALUE"""),"UKC12")</f>
        <v>UKC12</v>
      </c>
    </row>
    <row r="1538" spans="1:2" ht="12.5" x14ac:dyDescent="0.25">
      <c r="A1538" t="str">
        <f ca="1">IFERROR(__xludf.DUMMYFUNCTION("""COMPUTED_VALUE"""),"South West (England)")</f>
        <v>South West (England)</v>
      </c>
      <c r="B1538" t="str">
        <f ca="1">IFERROR(__xludf.DUMMYFUNCTION("""COMPUTED_VALUE"""),"UKK")</f>
        <v>UKK</v>
      </c>
    </row>
    <row r="1539" spans="1:2" ht="12.5" x14ac:dyDescent="0.25">
      <c r="A1539" t="str">
        <f ca="1">IFERROR(__xludf.DUMMYFUNCTION("""COMPUTED_VALUE"""),"South West Wales")</f>
        <v>South West Wales</v>
      </c>
      <c r="B1539" t="str">
        <f ca="1">IFERROR(__xludf.DUMMYFUNCTION("""COMPUTED_VALUE"""),"UKL14")</f>
        <v>UKL14</v>
      </c>
    </row>
    <row r="1540" spans="1:2" ht="12.5" x14ac:dyDescent="0.25">
      <c r="A1540" t="str">
        <f ca="1">IFERROR(__xludf.DUMMYFUNCTION("""COMPUTED_VALUE"""),"South Western Scotland")</f>
        <v>South Western Scotland</v>
      </c>
      <c r="B1540" t="str">
        <f ca="1">IFERROR(__xludf.DUMMYFUNCTION("""COMPUTED_VALUE"""),"UKM3")</f>
        <v>UKM3</v>
      </c>
    </row>
    <row r="1541" spans="1:2" ht="12.5" x14ac:dyDescent="0.25">
      <c r="A1541" t="str">
        <f ca="1">IFERROR(__xludf.DUMMYFUNCTION("""COMPUTED_VALUE"""),"South Yorkshire")</f>
        <v>South Yorkshire</v>
      </c>
      <c r="B1541" t="str">
        <f ca="1">IFERROR(__xludf.DUMMYFUNCTION("""COMPUTED_VALUE"""),"UKE3")</f>
        <v>UKE3</v>
      </c>
    </row>
    <row r="1542" spans="1:2" ht="12.5" x14ac:dyDescent="0.25">
      <c r="A1542" t="str">
        <f ca="1">IFERROR(__xludf.DUMMYFUNCTION("""COMPUTED_VALUE"""),"South-East (Irl)")</f>
        <v>South-East (Irl)</v>
      </c>
      <c r="B1542" t="str">
        <f ca="1">IFERROR(__xludf.DUMMYFUNCTION("""COMPUTED_VALUE"""),"IE024")</f>
        <v>IE024</v>
      </c>
    </row>
    <row r="1543" spans="1:2" ht="12.5" x14ac:dyDescent="0.25">
      <c r="A1543" t="str">
        <f ca="1">IFERROR(__xludf.DUMMYFUNCTION("""COMPUTED_VALUE"""),"South-West (Irl)")</f>
        <v>South-West (Irl)</v>
      </c>
      <c r="B1543" t="str">
        <f ca="1">IFERROR(__xludf.DUMMYFUNCTION("""COMPUTED_VALUE"""),"IE025")</f>
        <v>IE025</v>
      </c>
    </row>
    <row r="1544" spans="1:2" ht="12.5" x14ac:dyDescent="0.25">
      <c r="A1544" t="str">
        <f ca="1">IFERROR(__xludf.DUMMYFUNCTION("""COMPUTED_VALUE"""),"Southampton")</f>
        <v>Southampton</v>
      </c>
      <c r="B1544" t="str">
        <f ca="1">IFERROR(__xludf.DUMMYFUNCTION("""COMPUTED_VALUE"""),"UKJ32")</f>
        <v>UKJ32</v>
      </c>
    </row>
    <row r="1545" spans="1:2" ht="12.5" x14ac:dyDescent="0.25">
      <c r="A1545" t="str">
        <f ca="1">IFERROR(__xludf.DUMMYFUNCTION("""COMPUTED_VALUE"""),"Southend-On-Sea")</f>
        <v>Southend-On-Sea</v>
      </c>
      <c r="B1545" t="str">
        <f ca="1">IFERROR(__xludf.DUMMYFUNCTION("""COMPUTED_VALUE"""),"UKH31")</f>
        <v>UKH31</v>
      </c>
    </row>
    <row r="1546" spans="1:2" ht="12.5" x14ac:dyDescent="0.25">
      <c r="A1546" t="str">
        <f ca="1">IFERROR(__xludf.DUMMYFUNCTION("""COMPUTED_VALUE"""),"Southern And Eastern")</f>
        <v>Southern And Eastern</v>
      </c>
      <c r="B1546" t="str">
        <f ca="1">IFERROR(__xludf.DUMMYFUNCTION("""COMPUTED_VALUE"""),"IE02")</f>
        <v>IE02</v>
      </c>
    </row>
    <row r="1547" spans="1:2" ht="12.5" x14ac:dyDescent="0.25">
      <c r="A1547" t="str">
        <f ca="1">IFERROR(__xludf.DUMMYFUNCTION("""COMPUTED_VALUE"""),"Speyer, Kreisfreie Stadt")</f>
        <v>Speyer, Kreisfreie Stadt</v>
      </c>
      <c r="B1547" t="str">
        <f ca="1">IFERROR(__xludf.DUMMYFUNCTION("""COMPUTED_VALUE"""),"DEB38")</f>
        <v>DEB38</v>
      </c>
    </row>
    <row r="1548" spans="1:2" ht="12.5" x14ac:dyDescent="0.25">
      <c r="A1548" t="str">
        <f ca="1">IFERROR(__xludf.DUMMYFUNCTION("""COMPUTED_VALUE"""),"Spodnjeposavska")</f>
        <v>Spodnjeposavska</v>
      </c>
      <c r="B1548" t="str">
        <f ca="1">IFERROR(__xludf.DUMMYFUNCTION("""COMPUTED_VALUE"""),"SI016")</f>
        <v>SI016</v>
      </c>
    </row>
    <row r="1549" spans="1:2" ht="12.5" x14ac:dyDescent="0.25">
      <c r="A1549" t="str">
        <f ca="1">IFERROR(__xludf.DUMMYFUNCTION("""COMPUTED_VALUE"""),"Spree-Neiße")</f>
        <v>Spree-Neiße</v>
      </c>
      <c r="B1549" t="str">
        <f ca="1">IFERROR(__xludf.DUMMYFUNCTION("""COMPUTED_VALUE"""),"DE429")</f>
        <v>DE429</v>
      </c>
    </row>
    <row r="1550" spans="1:2" ht="12.5" x14ac:dyDescent="0.25">
      <c r="A1550" t="str">
        <f ca="1">IFERROR(__xludf.DUMMYFUNCTION("""COMPUTED_VALUE"""),"St. Gallen")</f>
        <v>St. Gallen</v>
      </c>
      <c r="B1550" t="str">
        <f ca="1">IFERROR(__xludf.DUMMYFUNCTION("""COMPUTED_VALUE"""),"CH055")</f>
        <v>CH055</v>
      </c>
    </row>
    <row r="1551" spans="1:2" ht="12.5" x14ac:dyDescent="0.25">
      <c r="A1551" t="str">
        <f ca="1">IFERROR(__xludf.DUMMYFUNCTION("""COMPUTED_VALUE"""),"St. Wendel")</f>
        <v>St. Wendel</v>
      </c>
      <c r="B1551" t="str">
        <f ca="1">IFERROR(__xludf.DUMMYFUNCTION("""COMPUTED_VALUE"""),"DEC06")</f>
        <v>DEC06</v>
      </c>
    </row>
    <row r="1552" spans="1:2" ht="12.5" x14ac:dyDescent="0.25">
      <c r="A1552" t="str">
        <f ca="1">IFERROR(__xludf.DUMMYFUNCTION("""COMPUTED_VALUE"""),"Stade")</f>
        <v>Stade</v>
      </c>
      <c r="B1552" t="str">
        <f ca="1">IFERROR(__xludf.DUMMYFUNCTION("""COMPUTED_VALUE"""),"DE939")</f>
        <v>DE939</v>
      </c>
    </row>
    <row r="1553" spans="1:2" ht="12.5" x14ac:dyDescent="0.25">
      <c r="A1553" t="str">
        <f ca="1">IFERROR(__xludf.DUMMYFUNCTION("""COMPUTED_VALUE"""),"Stadtverband Saarbrücken")</f>
        <v>Stadtverband Saarbrücken</v>
      </c>
      <c r="B1553" t="str">
        <f ca="1">IFERROR(__xludf.DUMMYFUNCTION("""COMPUTED_VALUE"""),"DEC01")</f>
        <v>DEC01</v>
      </c>
    </row>
    <row r="1554" spans="1:2" ht="12.5" x14ac:dyDescent="0.25">
      <c r="A1554" t="str">
        <f ca="1">IFERROR(__xludf.DUMMYFUNCTION("""COMPUTED_VALUE"""),"Staffordshire Cc")</f>
        <v>Staffordshire Cc</v>
      </c>
      <c r="B1554" t="str">
        <f ca="1">IFERROR(__xludf.DUMMYFUNCTION("""COMPUTED_VALUE"""),"UKG24")</f>
        <v>UKG24</v>
      </c>
    </row>
    <row r="1555" spans="1:2" ht="12.5" x14ac:dyDescent="0.25">
      <c r="A1555" t="str">
        <f ca="1">IFERROR(__xludf.DUMMYFUNCTION("""COMPUTED_VALUE"""),"Stara Zagora")</f>
        <v>Stara Zagora</v>
      </c>
      <c r="B1555" t="str">
        <f ca="1">IFERROR(__xludf.DUMMYFUNCTION("""COMPUTED_VALUE"""),"BG344")</f>
        <v>BG344</v>
      </c>
    </row>
    <row r="1556" spans="1:2" ht="12.5" x14ac:dyDescent="0.25">
      <c r="A1556" t="str">
        <f ca="1">IFERROR(__xludf.DUMMYFUNCTION("""COMPUTED_VALUE"""),"Stargardzki")</f>
        <v>Stargardzki</v>
      </c>
      <c r="B1556" t="str">
        <f ca="1">IFERROR(__xludf.DUMMYFUNCTION("""COMPUTED_VALUE"""),"PL423")</f>
        <v>PL423</v>
      </c>
    </row>
    <row r="1557" spans="1:2" ht="12.5" x14ac:dyDescent="0.25">
      <c r="A1557" t="str">
        <f ca="1">IFERROR(__xludf.DUMMYFUNCTION("""COMPUTED_VALUE"""),"Starnberg")</f>
        <v>Starnberg</v>
      </c>
      <c r="B1557" t="str">
        <f ca="1">IFERROR(__xludf.DUMMYFUNCTION("""COMPUTED_VALUE"""),"DE21L")</f>
        <v>DE21L</v>
      </c>
    </row>
    <row r="1558" spans="1:2" ht="12.5" x14ac:dyDescent="0.25">
      <c r="A1558" t="str">
        <f ca="1">IFERROR(__xludf.DUMMYFUNCTION("""COMPUTED_VALUE"""),"Starogardzki")</f>
        <v>Starogardzki</v>
      </c>
      <c r="B1558" t="str">
        <f ca="1">IFERROR(__xludf.DUMMYFUNCTION("""COMPUTED_VALUE"""),"PL635")</f>
        <v>PL635</v>
      </c>
    </row>
    <row r="1559" spans="1:2" ht="12.5" x14ac:dyDescent="0.25">
      <c r="A1559" t="str">
        <f ca="1">IFERROR(__xludf.DUMMYFUNCTION("""COMPUTED_VALUE"""),"Steiermark")</f>
        <v>Steiermark</v>
      </c>
      <c r="B1559" t="str">
        <f ca="1">IFERROR(__xludf.DUMMYFUNCTION("""COMPUTED_VALUE"""),"AT22")</f>
        <v>AT22</v>
      </c>
    </row>
    <row r="1560" spans="1:2" ht="12.5" x14ac:dyDescent="0.25">
      <c r="A1560" t="str">
        <f ca="1">IFERROR(__xludf.DUMMYFUNCTION("""COMPUTED_VALUE"""),"Steinburg")</f>
        <v>Steinburg</v>
      </c>
      <c r="B1560" t="str">
        <f ca="1">IFERROR(__xludf.DUMMYFUNCTION("""COMPUTED_VALUE"""),"DEF0E")</f>
        <v>DEF0E</v>
      </c>
    </row>
    <row r="1561" spans="1:2" ht="12.5" x14ac:dyDescent="0.25">
      <c r="A1561" t="str">
        <f ca="1">IFERROR(__xludf.DUMMYFUNCTION("""COMPUTED_VALUE"""),"Steinfurt")</f>
        <v>Steinfurt</v>
      </c>
      <c r="B1561" t="str">
        <f ca="1">IFERROR(__xludf.DUMMYFUNCTION("""COMPUTED_VALUE"""),"DEA37")</f>
        <v>DEA37</v>
      </c>
    </row>
    <row r="1562" spans="1:2" ht="12.5" x14ac:dyDescent="0.25">
      <c r="A1562" t="str">
        <f ca="1">IFERROR(__xludf.DUMMYFUNCTION("""COMPUTED_VALUE"""),"Stendal")</f>
        <v>Stendal</v>
      </c>
      <c r="B1562" t="str">
        <f ca="1">IFERROR(__xludf.DUMMYFUNCTION("""COMPUTED_VALUE"""),"DEE0D")</f>
        <v>DEE0D</v>
      </c>
    </row>
    <row r="1563" spans="1:2" ht="12.5" x14ac:dyDescent="0.25">
      <c r="A1563" t="str">
        <f ca="1">IFERROR(__xludf.DUMMYFUNCTION("""COMPUTED_VALUE"""),"Sterea Ellada")</f>
        <v>Sterea Ellada</v>
      </c>
      <c r="B1563" t="str">
        <f ca="1">IFERROR(__xludf.DUMMYFUNCTION("""COMPUTED_VALUE"""),"GR24")</f>
        <v>GR24</v>
      </c>
    </row>
    <row r="1564" spans="1:2" ht="12.5" x14ac:dyDescent="0.25">
      <c r="A1564" t="str">
        <f ca="1">IFERROR(__xludf.DUMMYFUNCTION("""COMPUTED_VALUE"""),"Steyr-Kirchdorf")</f>
        <v>Steyr-Kirchdorf</v>
      </c>
      <c r="B1564" t="str">
        <f ca="1">IFERROR(__xludf.DUMMYFUNCTION("""COMPUTED_VALUE"""),"AT314")</f>
        <v>AT314</v>
      </c>
    </row>
    <row r="1565" spans="1:2" ht="12.5" x14ac:dyDescent="0.25">
      <c r="A1565" t="str">
        <f ca="1">IFERROR(__xludf.DUMMYFUNCTION("""COMPUTED_VALUE"""),"Stockholm")</f>
        <v>Stockholm</v>
      </c>
      <c r="B1565" t="str">
        <f ca="1">IFERROR(__xludf.DUMMYFUNCTION("""COMPUTED_VALUE"""),"SE11")</f>
        <v>SE11</v>
      </c>
    </row>
    <row r="1566" spans="1:2" ht="12.5" x14ac:dyDescent="0.25">
      <c r="A1566" t="str">
        <f ca="1">IFERROR(__xludf.DUMMYFUNCTION("""COMPUTED_VALUE"""),"Stockholms Län")</f>
        <v>Stockholms Län</v>
      </c>
      <c r="B1566" t="str">
        <f ca="1">IFERROR(__xludf.DUMMYFUNCTION("""COMPUTED_VALUE"""),"SE110")</f>
        <v>SE110</v>
      </c>
    </row>
    <row r="1567" spans="1:2" ht="12.5" x14ac:dyDescent="0.25">
      <c r="A1567" t="str">
        <f ca="1">IFERROR(__xludf.DUMMYFUNCTION("""COMPUTED_VALUE"""),"Stoke-On-Trent")</f>
        <v>Stoke-On-Trent</v>
      </c>
      <c r="B1567" t="str">
        <f ca="1">IFERROR(__xludf.DUMMYFUNCTION("""COMPUTED_VALUE"""),"UKG23")</f>
        <v>UKG23</v>
      </c>
    </row>
    <row r="1568" spans="1:2" ht="12.5" x14ac:dyDescent="0.25">
      <c r="A1568" t="str">
        <f ca="1">IFERROR(__xludf.DUMMYFUNCTION("""COMPUTED_VALUE"""),"Stollberg")</f>
        <v>Stollberg</v>
      </c>
      <c r="B1568" t="str">
        <f ca="1">IFERROR(__xludf.DUMMYFUNCTION("""COMPUTED_VALUE"""),"DED1A")</f>
        <v>DED1A</v>
      </c>
    </row>
    <row r="1569" spans="1:2" ht="12.5" x14ac:dyDescent="0.25">
      <c r="A1569" t="str">
        <f ca="1">IFERROR(__xludf.DUMMYFUNCTION("""COMPUTED_VALUE"""),"Stormarn")</f>
        <v>Stormarn</v>
      </c>
      <c r="B1569" t="str">
        <f ca="1">IFERROR(__xludf.DUMMYFUNCTION("""COMPUTED_VALUE"""),"DEF0F")</f>
        <v>DEF0F</v>
      </c>
    </row>
    <row r="1570" spans="1:2" ht="12.5" x14ac:dyDescent="0.25">
      <c r="A1570" t="str">
        <f ca="1">IFERROR(__xludf.DUMMYFUNCTION("""COMPUTED_VALUE"""),"Stralsund, Kreisfreie Stadt")</f>
        <v>Stralsund, Kreisfreie Stadt</v>
      </c>
      <c r="B1570" t="str">
        <f ca="1">IFERROR(__xludf.DUMMYFUNCTION("""COMPUTED_VALUE"""),"DE805")</f>
        <v>DE805</v>
      </c>
    </row>
    <row r="1571" spans="1:2" ht="12.5" x14ac:dyDescent="0.25">
      <c r="A1571" t="str">
        <f ca="1">IFERROR(__xludf.DUMMYFUNCTION("""COMPUTED_VALUE"""),"Straubing-Bogen")</f>
        <v>Straubing-Bogen</v>
      </c>
      <c r="B1571" t="str">
        <f ca="1">IFERROR(__xludf.DUMMYFUNCTION("""COMPUTED_VALUE"""),"DE22B")</f>
        <v>DE22B</v>
      </c>
    </row>
    <row r="1572" spans="1:2" ht="12.5" x14ac:dyDescent="0.25">
      <c r="A1572" t="str">
        <f ca="1">IFERROR(__xludf.DUMMYFUNCTION("""COMPUTED_VALUE"""),"Straubing, Kreisfreie Stadt")</f>
        <v>Straubing, Kreisfreie Stadt</v>
      </c>
      <c r="B1572" t="str">
        <f ca="1">IFERROR(__xludf.DUMMYFUNCTION("""COMPUTED_VALUE"""),"DE223")</f>
        <v>DE223</v>
      </c>
    </row>
    <row r="1573" spans="1:2" ht="12.5" x14ac:dyDescent="0.25">
      <c r="A1573" t="str">
        <f ca="1">IFERROR(__xludf.DUMMYFUNCTION("""COMPUTED_VALUE"""),"Stredne Slovensko")</f>
        <v>Stredne Slovensko</v>
      </c>
      <c r="B1573" t="str">
        <f ca="1">IFERROR(__xludf.DUMMYFUNCTION("""COMPUTED_VALUE"""),"SK03")</f>
        <v>SK03</v>
      </c>
    </row>
    <row r="1574" spans="1:2" ht="12.5" x14ac:dyDescent="0.25">
      <c r="A1574" t="str">
        <f ca="1">IFERROR(__xludf.DUMMYFUNCTION("""COMPUTED_VALUE"""),"Stredni Cechy")</f>
        <v>Stredni Cechy</v>
      </c>
      <c r="B1574" t="str">
        <f ca="1">IFERROR(__xludf.DUMMYFUNCTION("""COMPUTED_VALUE"""),"CZ02")</f>
        <v>CZ02</v>
      </c>
    </row>
    <row r="1575" spans="1:2" ht="12.5" x14ac:dyDescent="0.25">
      <c r="A1575" t="str">
        <f ca="1">IFERROR(__xludf.DUMMYFUNCTION("""COMPUTED_VALUE"""),"Stredni Morava")</f>
        <v>Stredni Morava</v>
      </c>
      <c r="B1575" t="str">
        <f ca="1">IFERROR(__xludf.DUMMYFUNCTION("""COMPUTED_VALUE"""),"CZ07")</f>
        <v>CZ07</v>
      </c>
    </row>
    <row r="1576" spans="1:2" ht="12.5" x14ac:dyDescent="0.25">
      <c r="A1576" t="str">
        <f ca="1">IFERROR(__xludf.DUMMYFUNCTION("""COMPUTED_VALUE"""),"Stredocesky Kraj")</f>
        <v>Stredocesky Kraj</v>
      </c>
      <c r="B1576" t="str">
        <f ca="1">IFERROR(__xludf.DUMMYFUNCTION("""COMPUTED_VALUE"""),"CZ020")</f>
        <v>CZ020</v>
      </c>
    </row>
    <row r="1577" spans="1:2" ht="12.5" x14ac:dyDescent="0.25">
      <c r="A1577" t="str">
        <f ca="1">IFERROR(__xludf.DUMMYFUNCTION("""COMPUTED_VALUE"""),"Stuttgart")</f>
        <v>Stuttgart</v>
      </c>
      <c r="B1577" t="str">
        <f ca="1">IFERROR(__xludf.DUMMYFUNCTION("""COMPUTED_VALUE"""),"DE11")</f>
        <v>DE11</v>
      </c>
    </row>
    <row r="1578" spans="1:2" ht="12.5" x14ac:dyDescent="0.25">
      <c r="A1578" t="str">
        <f ca="1">IFERROR(__xludf.DUMMYFUNCTION("""COMPUTED_VALUE"""),"Stuttgart, Stadtkreis")</f>
        <v>Stuttgart, Stadtkreis</v>
      </c>
      <c r="B1578" t="str">
        <f ca="1">IFERROR(__xludf.DUMMYFUNCTION("""COMPUTED_VALUE"""),"DE111")</f>
        <v>DE111</v>
      </c>
    </row>
    <row r="1579" spans="1:2" ht="12.5" x14ac:dyDescent="0.25">
      <c r="A1579" t="str">
        <f ca="1">IFERROR(__xludf.DUMMYFUNCTION("""COMPUTED_VALUE"""),"Suceava")</f>
        <v>Suceava</v>
      </c>
      <c r="B1579" t="str">
        <f ca="1">IFERROR(__xludf.DUMMYFUNCTION("""COMPUTED_VALUE"""),"RO215")</f>
        <v>RO215</v>
      </c>
    </row>
    <row r="1580" spans="1:2" ht="12.5" x14ac:dyDescent="0.25">
      <c r="A1580" t="str">
        <f ca="1">IFERROR(__xludf.DUMMYFUNCTION("""COMPUTED_VALUE"""),"Sud")</f>
        <v>Sud</v>
      </c>
      <c r="B1580" t="str">
        <f ca="1">IFERROR(__xludf.DUMMYFUNCTION("""COMPUTED_VALUE"""),"ITF")</f>
        <v>ITF</v>
      </c>
    </row>
    <row r="1581" spans="1:2" ht="12.5" x14ac:dyDescent="0.25">
      <c r="A1581" t="str">
        <f ca="1">IFERROR(__xludf.DUMMYFUNCTION("""COMPUTED_VALUE"""),"Sud - Muntenia")</f>
        <v>Sud - Muntenia</v>
      </c>
      <c r="B1581" t="str">
        <f ca="1">IFERROR(__xludf.DUMMYFUNCTION("""COMPUTED_VALUE"""),"RO31")</f>
        <v>RO31</v>
      </c>
    </row>
    <row r="1582" spans="1:2" ht="12.5" x14ac:dyDescent="0.25">
      <c r="A1582" t="str">
        <f ca="1">IFERROR(__xludf.DUMMYFUNCTION("""COMPUTED_VALUE"""),"Sud-Est")</f>
        <v>Sud-Est</v>
      </c>
      <c r="B1582" t="str">
        <f ca="1">IFERROR(__xludf.DUMMYFUNCTION("""COMPUTED_VALUE"""),"RO22")</f>
        <v>RO22</v>
      </c>
    </row>
    <row r="1583" spans="1:2" ht="12.5" x14ac:dyDescent="0.25">
      <c r="A1583" t="str">
        <f ca="1">IFERROR(__xludf.DUMMYFUNCTION("""COMPUTED_VALUE"""),"Sud-Ouest")</f>
        <v>Sud-Ouest</v>
      </c>
      <c r="B1583" t="str">
        <f ca="1">IFERROR(__xludf.DUMMYFUNCTION("""COMPUTED_VALUE"""),"FR6")</f>
        <v>FR6</v>
      </c>
    </row>
    <row r="1584" spans="1:2" ht="12.5" x14ac:dyDescent="0.25">
      <c r="A1584" t="str">
        <f ca="1">IFERROR(__xludf.DUMMYFUNCTION("""COMPUTED_VALUE"""),"Sud-Vest Oltenia")</f>
        <v>Sud-Vest Oltenia</v>
      </c>
      <c r="B1584" t="str">
        <f ca="1">IFERROR(__xludf.DUMMYFUNCTION("""COMPUTED_VALUE"""),"RO41")</f>
        <v>RO41</v>
      </c>
    </row>
    <row r="1585" spans="1:2" ht="12.5" x14ac:dyDescent="0.25">
      <c r="A1585" t="str">
        <f ca="1">IFERROR(__xludf.DUMMYFUNCTION("""COMPUTED_VALUE"""),"Südburgenland")</f>
        <v>Südburgenland</v>
      </c>
      <c r="B1585" t="str">
        <f ca="1">IFERROR(__xludf.DUMMYFUNCTION("""COMPUTED_VALUE"""),"AT113")</f>
        <v>AT113</v>
      </c>
    </row>
    <row r="1586" spans="1:2" ht="12.5" x14ac:dyDescent="0.25">
      <c r="A1586" t="str">
        <f ca="1">IFERROR(__xludf.DUMMYFUNCTION("""COMPUTED_VALUE"""),"Südliche Weinstraße")</f>
        <v>Südliche Weinstraße</v>
      </c>
      <c r="B1586" t="str">
        <f ca="1">IFERROR(__xludf.DUMMYFUNCTION("""COMPUTED_VALUE"""),"DEB3H")</f>
        <v>DEB3H</v>
      </c>
    </row>
    <row r="1587" spans="1:2" ht="12.5" x14ac:dyDescent="0.25">
      <c r="A1587" t="str">
        <f ca="1">IFERROR(__xludf.DUMMYFUNCTION("""COMPUTED_VALUE"""),"Südösterreich")</f>
        <v>Südösterreich</v>
      </c>
      <c r="B1587" t="str">
        <f ca="1">IFERROR(__xludf.DUMMYFUNCTION("""COMPUTED_VALUE"""),"AT2")</f>
        <v>AT2</v>
      </c>
    </row>
    <row r="1588" spans="1:2" ht="12.5" x14ac:dyDescent="0.25">
      <c r="A1588" t="str">
        <f ca="1">IFERROR(__xludf.DUMMYFUNCTION("""COMPUTED_VALUE"""),"Südwestpfalz")</f>
        <v>Südwestpfalz</v>
      </c>
      <c r="B1588" t="str">
        <f ca="1">IFERROR(__xludf.DUMMYFUNCTION("""COMPUTED_VALUE"""),"DEB3K")</f>
        <v>DEB3K</v>
      </c>
    </row>
    <row r="1589" spans="1:2" ht="12.5" x14ac:dyDescent="0.25">
      <c r="A1589" t="str">
        <f ca="1">IFERROR(__xludf.DUMMYFUNCTION("""COMPUTED_VALUE"""),"Suffolk")</f>
        <v>Suffolk</v>
      </c>
      <c r="B1589" t="str">
        <f ca="1">IFERROR(__xludf.DUMMYFUNCTION("""COMPUTED_VALUE"""),"UKH14")</f>
        <v>UKH14</v>
      </c>
    </row>
    <row r="1590" spans="1:2" ht="12.5" x14ac:dyDescent="0.25">
      <c r="A1590" t="str">
        <f ca="1">IFERROR(__xludf.DUMMYFUNCTION("""COMPUTED_VALUE"""),"Suhl, Kreisfreie Stadt")</f>
        <v>Suhl, Kreisfreie Stadt</v>
      </c>
      <c r="B1590" t="str">
        <f ca="1">IFERROR(__xludf.DUMMYFUNCTION("""COMPUTED_VALUE"""),"DEG04")</f>
        <v>DEG04</v>
      </c>
    </row>
    <row r="1591" spans="1:2" ht="12.5" x14ac:dyDescent="0.25">
      <c r="A1591" t="str">
        <f ca="1">IFERROR(__xludf.DUMMYFUNCTION("""COMPUTED_VALUE"""),"Sunderland")</f>
        <v>Sunderland</v>
      </c>
      <c r="B1591" t="str">
        <f ca="1">IFERROR(__xludf.DUMMYFUNCTION("""COMPUTED_VALUE"""),"UKC23")</f>
        <v>UKC23</v>
      </c>
    </row>
    <row r="1592" spans="1:2" ht="12.5" x14ac:dyDescent="0.25">
      <c r="A1592" t="str">
        <f ca="1">IFERROR(__xludf.DUMMYFUNCTION("""COMPUTED_VALUE"""),"Suomi / Finland")</f>
        <v>Suomi / Finland</v>
      </c>
      <c r="B1592" t="str">
        <f ca="1">IFERROR(__xludf.DUMMYFUNCTION("""COMPUTED_VALUE"""),"FI")</f>
        <v>FI</v>
      </c>
    </row>
    <row r="1593" spans="1:2" ht="12.5" x14ac:dyDescent="0.25">
      <c r="A1593" t="str">
        <f ca="1">IFERROR(__xludf.DUMMYFUNCTION("""COMPUTED_VALUE"""),"Sur")</f>
        <v>Sur</v>
      </c>
      <c r="B1593" t="str">
        <f ca="1">IFERROR(__xludf.DUMMYFUNCTION("""COMPUTED_VALUE"""),"ES6")</f>
        <v>ES6</v>
      </c>
    </row>
    <row r="1594" spans="1:2" ht="12.5" x14ac:dyDescent="0.25">
      <c r="A1594" t="str">
        <f ca="1">IFERROR(__xludf.DUMMYFUNCTION("""COMPUTED_VALUE"""),"Surrey")</f>
        <v>Surrey</v>
      </c>
      <c r="B1594" t="str">
        <f ca="1">IFERROR(__xludf.DUMMYFUNCTION("""COMPUTED_VALUE"""),"UKJ23")</f>
        <v>UKJ23</v>
      </c>
    </row>
    <row r="1595" spans="1:2" ht="12.5" x14ac:dyDescent="0.25">
      <c r="A1595" t="str">
        <f ca="1">IFERROR(__xludf.DUMMYFUNCTION("""COMPUTED_VALUE"""),"Surrey, East And West Sussex")</f>
        <v>Surrey, East And West Sussex</v>
      </c>
      <c r="B1595" t="str">
        <f ca="1">IFERROR(__xludf.DUMMYFUNCTION("""COMPUTED_VALUE"""),"UKJ2")</f>
        <v>UKJ2</v>
      </c>
    </row>
    <row r="1596" spans="1:2" ht="12.5" x14ac:dyDescent="0.25">
      <c r="A1596" t="str">
        <f ca="1">IFERROR(__xludf.DUMMYFUNCTION("""COMPUTED_VALUE"""),"Suwalski")</f>
        <v>Suwalski</v>
      </c>
      <c r="B1596" t="str">
        <f ca="1">IFERROR(__xludf.DUMMYFUNCTION("""COMPUTED_VALUE"""),"PL345")</f>
        <v>PL345</v>
      </c>
    </row>
    <row r="1597" spans="1:2" ht="12.5" x14ac:dyDescent="0.25">
      <c r="A1597" t="str">
        <f ca="1">IFERROR(__xludf.DUMMYFUNCTION("""COMPUTED_VALUE"""),"Sverige")</f>
        <v>Sverige</v>
      </c>
      <c r="B1597" t="str">
        <f ca="1">IFERROR(__xludf.DUMMYFUNCTION("""COMPUTED_VALUE"""),"SE")</f>
        <v>SE</v>
      </c>
    </row>
    <row r="1598" spans="1:2" ht="12.5" x14ac:dyDescent="0.25">
      <c r="A1598" t="str">
        <f ca="1">IFERROR(__xludf.DUMMYFUNCTION("""COMPUTED_VALUE"""),"Swansea")</f>
        <v>Swansea</v>
      </c>
      <c r="B1598" t="str">
        <f ca="1">IFERROR(__xludf.DUMMYFUNCTION("""COMPUTED_VALUE"""),"UKL18")</f>
        <v>UKL18</v>
      </c>
    </row>
    <row r="1599" spans="1:2" ht="12.5" x14ac:dyDescent="0.25">
      <c r="A1599" t="str">
        <f ca="1">IFERROR(__xludf.DUMMYFUNCTION("""COMPUTED_VALUE"""),"Swietokrzyskie")</f>
        <v>Swietokrzyskie</v>
      </c>
      <c r="B1599" t="str">
        <f ca="1">IFERROR(__xludf.DUMMYFUNCTION("""COMPUTED_VALUE"""),"PL33")</f>
        <v>PL33</v>
      </c>
    </row>
    <row r="1600" spans="1:2" ht="12.5" x14ac:dyDescent="0.25">
      <c r="A1600" t="str">
        <f ca="1">IFERROR(__xludf.DUMMYFUNCTION("""COMPUTED_VALUE"""),"Swindon")</f>
        <v>Swindon</v>
      </c>
      <c r="B1600" t="str">
        <f ca="1">IFERROR(__xludf.DUMMYFUNCTION("""COMPUTED_VALUE"""),"UKK14")</f>
        <v>UKK14</v>
      </c>
    </row>
    <row r="1601" spans="1:2" ht="12.5" x14ac:dyDescent="0.25">
      <c r="A1601" t="str">
        <f ca="1">IFERROR(__xludf.DUMMYFUNCTION("""COMPUTED_VALUE"""),"Syddanmark")</f>
        <v>Syddanmark</v>
      </c>
      <c r="B1601" t="str">
        <f ca="1">IFERROR(__xludf.DUMMYFUNCTION("""COMPUTED_VALUE"""),"DK03")</f>
        <v>DK03</v>
      </c>
    </row>
    <row r="1602" spans="1:2" ht="12.5" x14ac:dyDescent="0.25">
      <c r="A1602" t="str">
        <f ca="1">IFERROR(__xludf.DUMMYFUNCTION("""COMPUTED_VALUE"""),"Sydjylland")</f>
        <v>Sydjylland</v>
      </c>
      <c r="B1602" t="str">
        <f ca="1">IFERROR(__xludf.DUMMYFUNCTION("""COMPUTED_VALUE"""),"DK032")</f>
        <v>DK032</v>
      </c>
    </row>
    <row r="1603" spans="1:2" ht="12.5" x14ac:dyDescent="0.25">
      <c r="A1603" t="str">
        <f ca="1">IFERROR(__xludf.DUMMYFUNCTION("""COMPUTED_VALUE"""),"Sydsverige")</f>
        <v>Sydsverige</v>
      </c>
      <c r="B1603" t="str">
        <f ca="1">IFERROR(__xludf.DUMMYFUNCTION("""COMPUTED_VALUE"""),"SE22")</f>
        <v>SE22</v>
      </c>
    </row>
    <row r="1604" spans="1:2" ht="12.5" x14ac:dyDescent="0.25">
      <c r="A1604" t="str">
        <f ca="1">IFERROR(__xludf.DUMMYFUNCTION("""COMPUTED_VALUE"""),"Szabolcs-Szatmar-Bereg")</f>
        <v>Szabolcs-Szatmar-Bereg</v>
      </c>
      <c r="B1604" t="str">
        <f ca="1">IFERROR(__xludf.DUMMYFUNCTION("""COMPUTED_VALUE"""),"HU323")</f>
        <v>HU323</v>
      </c>
    </row>
    <row r="1605" spans="1:2" ht="12.5" x14ac:dyDescent="0.25">
      <c r="A1605" t="str">
        <f ca="1">IFERROR(__xludf.DUMMYFUNCTION("""COMPUTED_VALUE"""),"Szczecinski")</f>
        <v>Szczecinski</v>
      </c>
      <c r="B1605" t="str">
        <f ca="1">IFERROR(__xludf.DUMMYFUNCTION("""COMPUTED_VALUE"""),"PL425")</f>
        <v>PL425</v>
      </c>
    </row>
    <row r="1606" spans="1:2" ht="12.5" x14ac:dyDescent="0.25">
      <c r="A1606" t="str">
        <f ca="1">IFERROR(__xludf.DUMMYFUNCTION("""COMPUTED_VALUE"""),"Tâmega")</f>
        <v>Tâmega</v>
      </c>
      <c r="B1606" t="str">
        <f ca="1">IFERROR(__xludf.DUMMYFUNCTION("""COMPUTED_VALUE"""),"PT115")</f>
        <v>PT115</v>
      </c>
    </row>
    <row r="1607" spans="1:2" ht="12.5" x14ac:dyDescent="0.25">
      <c r="A1607" t="str">
        <f ca="1">IFERROR(__xludf.DUMMYFUNCTION("""COMPUTED_VALUE"""),"Taranto")</f>
        <v>Taranto</v>
      </c>
      <c r="B1607" t="str">
        <f ca="1">IFERROR(__xludf.DUMMYFUNCTION("""COMPUTED_VALUE"""),"ITF43")</f>
        <v>ITF43</v>
      </c>
    </row>
    <row r="1608" spans="1:2" ht="12.5" x14ac:dyDescent="0.25">
      <c r="A1608" t="str">
        <f ca="1">IFERROR(__xludf.DUMMYFUNCTION("""COMPUTED_VALUE"""),"Targovishte")</f>
        <v>Targovishte</v>
      </c>
      <c r="B1608" t="str">
        <f ca="1">IFERROR(__xludf.DUMMYFUNCTION("""COMPUTED_VALUE"""),"BG334")</f>
        <v>BG334</v>
      </c>
    </row>
    <row r="1609" spans="1:2" ht="12.5" x14ac:dyDescent="0.25">
      <c r="A1609" t="str">
        <f ca="1">IFERROR(__xludf.DUMMYFUNCTION("""COMPUTED_VALUE"""),"Tarn")</f>
        <v>Tarn</v>
      </c>
      <c r="B1609" t="str">
        <f ca="1">IFERROR(__xludf.DUMMYFUNCTION("""COMPUTED_VALUE"""),"FR627")</f>
        <v>FR627</v>
      </c>
    </row>
    <row r="1610" spans="1:2" ht="12.5" x14ac:dyDescent="0.25">
      <c r="A1610" t="str">
        <f ca="1">IFERROR(__xludf.DUMMYFUNCTION("""COMPUTED_VALUE"""),"Tarn-Et-Garonne")</f>
        <v>Tarn-Et-Garonne</v>
      </c>
      <c r="B1610" t="str">
        <f ca="1">IFERROR(__xludf.DUMMYFUNCTION("""COMPUTED_VALUE"""),"FR628")</f>
        <v>FR628</v>
      </c>
    </row>
    <row r="1611" spans="1:2" ht="12.5" x14ac:dyDescent="0.25">
      <c r="A1611" t="str">
        <f ca="1">IFERROR(__xludf.DUMMYFUNCTION("""COMPUTED_VALUE"""),"Tarnobrzeski")</f>
        <v>Tarnobrzeski</v>
      </c>
      <c r="B1611" t="str">
        <f ca="1">IFERROR(__xludf.DUMMYFUNCTION("""COMPUTED_VALUE"""),"PL326")</f>
        <v>PL326</v>
      </c>
    </row>
    <row r="1612" spans="1:2" ht="12.5" x14ac:dyDescent="0.25">
      <c r="A1612" t="str">
        <f ca="1">IFERROR(__xludf.DUMMYFUNCTION("""COMPUTED_VALUE"""),"Tarnowski")</f>
        <v>Tarnowski</v>
      </c>
      <c r="B1612" t="str">
        <f ca="1">IFERROR(__xludf.DUMMYFUNCTION("""COMPUTED_VALUE"""),"PL217")</f>
        <v>PL217</v>
      </c>
    </row>
    <row r="1613" spans="1:2" ht="12.5" x14ac:dyDescent="0.25">
      <c r="A1613" t="str">
        <f ca="1">IFERROR(__xludf.DUMMYFUNCTION("""COMPUTED_VALUE"""),"Tarragona")</f>
        <v>Tarragona</v>
      </c>
      <c r="B1613" t="str">
        <f ca="1">IFERROR(__xludf.DUMMYFUNCTION("""COMPUTED_VALUE"""),"ES514")</f>
        <v>ES514</v>
      </c>
    </row>
    <row r="1614" spans="1:2" ht="12.5" x14ac:dyDescent="0.25">
      <c r="A1614" t="str">
        <f ca="1">IFERROR(__xludf.DUMMYFUNCTION("""COMPUTED_VALUE"""),"Taurages Apskritis")</f>
        <v>Taurages Apskritis</v>
      </c>
      <c r="B1614" t="str">
        <f ca="1">IFERROR(__xludf.DUMMYFUNCTION("""COMPUTED_VALUE"""),"LT007")</f>
        <v>LT007</v>
      </c>
    </row>
    <row r="1615" spans="1:2" ht="12.5" x14ac:dyDescent="0.25">
      <c r="A1615" t="str">
        <f ca="1">IFERROR(__xludf.DUMMYFUNCTION("""COMPUTED_VALUE"""),"Tees Valley And Durham")</f>
        <v>Tees Valley And Durham</v>
      </c>
      <c r="B1615" t="str">
        <f ca="1">IFERROR(__xludf.DUMMYFUNCTION("""COMPUTED_VALUE"""),"UKC1")</f>
        <v>UKC1</v>
      </c>
    </row>
    <row r="1616" spans="1:2" ht="12.5" x14ac:dyDescent="0.25">
      <c r="A1616" t="str">
        <f ca="1">IFERROR(__xludf.DUMMYFUNCTION("""COMPUTED_VALUE"""),"Telemark")</f>
        <v>Telemark</v>
      </c>
      <c r="B1616" t="str">
        <f ca="1">IFERROR(__xludf.DUMMYFUNCTION("""COMPUTED_VALUE"""),"NO034")</f>
        <v>NO034</v>
      </c>
    </row>
    <row r="1617" spans="1:2" ht="12.5" x14ac:dyDescent="0.25">
      <c r="A1617" t="str">
        <f ca="1">IFERROR(__xludf.DUMMYFUNCTION("""COMPUTED_VALUE"""),"Teleorman")</f>
        <v>Teleorman</v>
      </c>
      <c r="B1617" t="str">
        <f ca="1">IFERROR(__xludf.DUMMYFUNCTION("""COMPUTED_VALUE"""),"RO317")</f>
        <v>RO317</v>
      </c>
    </row>
    <row r="1618" spans="1:2" ht="12.5" x14ac:dyDescent="0.25">
      <c r="A1618" t="str">
        <f ca="1">IFERROR(__xludf.DUMMYFUNCTION("""COMPUTED_VALUE"""),"Telford And Wrekin")</f>
        <v>Telford And Wrekin</v>
      </c>
      <c r="B1618" t="str">
        <f ca="1">IFERROR(__xludf.DUMMYFUNCTION("""COMPUTED_VALUE"""),"UKG21")</f>
        <v>UKG21</v>
      </c>
    </row>
    <row r="1619" spans="1:2" ht="12.5" x14ac:dyDescent="0.25">
      <c r="A1619" t="str">
        <f ca="1">IFERROR(__xludf.DUMMYFUNCTION("""COMPUTED_VALUE"""),"Telsiu Apskritis")</f>
        <v>Telsiu Apskritis</v>
      </c>
      <c r="B1619" t="str">
        <f ca="1">IFERROR(__xludf.DUMMYFUNCTION("""COMPUTED_VALUE"""),"LT008")</f>
        <v>LT008</v>
      </c>
    </row>
    <row r="1620" spans="1:2" ht="12.5" x14ac:dyDescent="0.25">
      <c r="A1620" t="str">
        <f ca="1">IFERROR(__xludf.DUMMYFUNCTION("""COMPUTED_VALUE"""),"Teltow-Fläming")</f>
        <v>Teltow-Fläming</v>
      </c>
      <c r="B1620" t="str">
        <f ca="1">IFERROR(__xludf.DUMMYFUNCTION("""COMPUTED_VALUE"""),"DE42A")</f>
        <v>DE42A</v>
      </c>
    </row>
    <row r="1621" spans="1:2" ht="12.5" x14ac:dyDescent="0.25">
      <c r="A1621" t="str">
        <f ca="1">IFERROR(__xludf.DUMMYFUNCTION("""COMPUTED_VALUE"""),"Tenerife")</f>
        <v>Tenerife</v>
      </c>
      <c r="B1621" t="str">
        <f ca="1">IFERROR(__xludf.DUMMYFUNCTION("""COMPUTED_VALUE"""),"ES709")</f>
        <v>ES709</v>
      </c>
    </row>
    <row r="1622" spans="1:2" ht="12.5" x14ac:dyDescent="0.25">
      <c r="A1622" t="str">
        <f ca="1">IFERROR(__xludf.DUMMYFUNCTION("""COMPUTED_VALUE"""),"Teramo")</f>
        <v>Teramo</v>
      </c>
      <c r="B1622" t="str">
        <f ca="1">IFERROR(__xludf.DUMMYFUNCTION("""COMPUTED_VALUE"""),"ITF12")</f>
        <v>ITF12</v>
      </c>
    </row>
    <row r="1623" spans="1:2" ht="12.5" x14ac:dyDescent="0.25">
      <c r="A1623" t="str">
        <f ca="1">IFERROR(__xludf.DUMMYFUNCTION("""COMPUTED_VALUE"""),"Terni")</f>
        <v>Terni</v>
      </c>
      <c r="B1623" t="str">
        <f ca="1">IFERROR(__xludf.DUMMYFUNCTION("""COMPUTED_VALUE"""),"ITE22")</f>
        <v>ITE22</v>
      </c>
    </row>
    <row r="1624" spans="1:2" ht="12.5" x14ac:dyDescent="0.25">
      <c r="A1624" t="str">
        <f ca="1">IFERROR(__xludf.DUMMYFUNCTION("""COMPUTED_VALUE"""),"Territoire De Belfort")</f>
        <v>Territoire De Belfort</v>
      </c>
      <c r="B1624" t="str">
        <f ca="1">IFERROR(__xludf.DUMMYFUNCTION("""COMPUTED_VALUE"""),"FR434")</f>
        <v>FR434</v>
      </c>
    </row>
    <row r="1625" spans="1:2" ht="12.5" x14ac:dyDescent="0.25">
      <c r="A1625" t="str">
        <f ca="1">IFERROR(__xludf.DUMMYFUNCTION("""COMPUTED_VALUE"""),"Teruel")</f>
        <v>Teruel</v>
      </c>
      <c r="B1625" t="str">
        <f ca="1">IFERROR(__xludf.DUMMYFUNCTION("""COMPUTED_VALUE"""),"ES242")</f>
        <v>ES242</v>
      </c>
    </row>
    <row r="1626" spans="1:2" ht="12.5" x14ac:dyDescent="0.25">
      <c r="A1626" t="str">
        <f ca="1">IFERROR(__xludf.DUMMYFUNCTION("""COMPUTED_VALUE"""),"Thesprotia")</f>
        <v>Thesprotia</v>
      </c>
      <c r="B1626" t="str">
        <f ca="1">IFERROR(__xludf.DUMMYFUNCTION("""COMPUTED_VALUE"""),"GR212")</f>
        <v>GR212</v>
      </c>
    </row>
    <row r="1627" spans="1:2" ht="12.5" x14ac:dyDescent="0.25">
      <c r="A1627" t="str">
        <f ca="1">IFERROR(__xludf.DUMMYFUNCTION("""COMPUTED_VALUE"""),"Thessalia")</f>
        <v>Thessalia</v>
      </c>
      <c r="B1627" t="str">
        <f ca="1">IFERROR(__xludf.DUMMYFUNCTION("""COMPUTED_VALUE"""),"GR14")</f>
        <v>GR14</v>
      </c>
    </row>
    <row r="1628" spans="1:2" ht="12.5" x14ac:dyDescent="0.25">
      <c r="A1628" t="str">
        <f ca="1">IFERROR(__xludf.DUMMYFUNCTION("""COMPUTED_VALUE"""),"Thessaloniki")</f>
        <v>Thessaloniki</v>
      </c>
      <c r="B1628" t="str">
        <f ca="1">IFERROR(__xludf.DUMMYFUNCTION("""COMPUTED_VALUE"""),"GR122")</f>
        <v>GR122</v>
      </c>
    </row>
    <row r="1629" spans="1:2" ht="12.5" x14ac:dyDescent="0.25">
      <c r="A1629" t="str">
        <f ca="1">IFERROR(__xludf.DUMMYFUNCTION("""COMPUTED_VALUE"""),"Thurgau")</f>
        <v>Thurgau</v>
      </c>
      <c r="B1629" t="str">
        <f ca="1">IFERROR(__xludf.DUMMYFUNCTION("""COMPUTED_VALUE"""),"CH057")</f>
        <v>CH057</v>
      </c>
    </row>
    <row r="1630" spans="1:2" ht="12.5" x14ac:dyDescent="0.25">
      <c r="A1630" t="str">
        <f ca="1">IFERROR(__xludf.DUMMYFUNCTION("""COMPUTED_VALUE"""),"Thüringen")</f>
        <v>Thüringen</v>
      </c>
      <c r="B1630" t="str">
        <f ca="1">IFERROR(__xludf.DUMMYFUNCTION("""COMPUTED_VALUE"""),"DEG")</f>
        <v>DEG</v>
      </c>
    </row>
    <row r="1631" spans="1:2" ht="12.5" x14ac:dyDescent="0.25">
      <c r="A1631" t="str">
        <f ca="1">IFERROR(__xludf.DUMMYFUNCTION("""COMPUTED_VALUE"""),"Thüringen (*)")</f>
        <v>Thüringen (*)</v>
      </c>
      <c r="B1631" t="str">
        <f ca="1">IFERROR(__xludf.DUMMYFUNCTION("""COMPUTED_VALUE"""),"DEG0")</f>
        <v>DEG0</v>
      </c>
    </row>
    <row r="1632" spans="1:2" ht="12.5" x14ac:dyDescent="0.25">
      <c r="A1632" t="str">
        <f ca="1">IFERROR(__xludf.DUMMYFUNCTION("""COMPUTED_VALUE"""),"Thurrock")</f>
        <v>Thurrock</v>
      </c>
      <c r="B1632" t="str">
        <f ca="1">IFERROR(__xludf.DUMMYFUNCTION("""COMPUTED_VALUE"""),"UKH32")</f>
        <v>UKH32</v>
      </c>
    </row>
    <row r="1633" spans="1:2" ht="12.5" x14ac:dyDescent="0.25">
      <c r="A1633" t="str">
        <f ca="1">IFERROR(__xludf.DUMMYFUNCTION("""COMPUTED_VALUE"""),"Ticino")</f>
        <v>Ticino</v>
      </c>
      <c r="B1633" t="str">
        <f ca="1">IFERROR(__xludf.DUMMYFUNCTION("""COMPUTED_VALUE"""),"CH07")</f>
        <v>CH07</v>
      </c>
    </row>
    <row r="1634" spans="1:2" ht="12.5" x14ac:dyDescent="0.25">
      <c r="A1634" t="str">
        <f ca="1">IFERROR(__xludf.DUMMYFUNCTION("""COMPUTED_VALUE"""),"Ticino (*)")</f>
        <v>Ticino (*)</v>
      </c>
      <c r="B1634" t="str">
        <f ca="1">IFERROR(__xludf.DUMMYFUNCTION("""COMPUTED_VALUE"""),"CH070")</f>
        <v>CH070</v>
      </c>
    </row>
    <row r="1635" spans="1:2" ht="12.5" x14ac:dyDescent="0.25">
      <c r="A1635" t="str">
        <f ca="1">IFERROR(__xludf.DUMMYFUNCTION("""COMPUTED_VALUE"""),"Timis")</f>
        <v>Timis</v>
      </c>
      <c r="B1635" t="str">
        <f ca="1">IFERROR(__xludf.DUMMYFUNCTION("""COMPUTED_VALUE"""),"RO424")</f>
        <v>RO424</v>
      </c>
    </row>
    <row r="1636" spans="1:2" ht="12.5" x14ac:dyDescent="0.25">
      <c r="A1636" t="str">
        <f ca="1">IFERROR(__xludf.DUMMYFUNCTION("""COMPUTED_VALUE"""),"Tirol")</f>
        <v>Tirol</v>
      </c>
      <c r="B1636" t="str">
        <f ca="1">IFERROR(__xludf.DUMMYFUNCTION("""COMPUTED_VALUE"""),"AT33")</f>
        <v>AT33</v>
      </c>
    </row>
    <row r="1637" spans="1:2" ht="12.5" x14ac:dyDescent="0.25">
      <c r="A1637" t="str">
        <f ca="1">IFERROR(__xludf.DUMMYFUNCTION("""COMPUTED_VALUE"""),"Tiroler Oberland")</f>
        <v>Tiroler Oberland</v>
      </c>
      <c r="B1637" t="str">
        <f ca="1">IFERROR(__xludf.DUMMYFUNCTION("""COMPUTED_VALUE"""),"AT334")</f>
        <v>AT334</v>
      </c>
    </row>
    <row r="1638" spans="1:2" ht="12.5" x14ac:dyDescent="0.25">
      <c r="A1638" t="str">
        <f ca="1">IFERROR(__xludf.DUMMYFUNCTION("""COMPUTED_VALUE"""),"Tiroler Unterland")</f>
        <v>Tiroler Unterland</v>
      </c>
      <c r="B1638" t="str">
        <f ca="1">IFERROR(__xludf.DUMMYFUNCTION("""COMPUTED_VALUE"""),"AT335")</f>
        <v>AT335</v>
      </c>
    </row>
    <row r="1639" spans="1:2" ht="12.5" x14ac:dyDescent="0.25">
      <c r="A1639" t="str">
        <f ca="1">IFERROR(__xludf.DUMMYFUNCTION("""COMPUTED_VALUE"""),"Tirschenreuth")</f>
        <v>Tirschenreuth</v>
      </c>
      <c r="B1639" t="str">
        <f ca="1">IFERROR(__xludf.DUMMYFUNCTION("""COMPUTED_VALUE"""),"DE23A")</f>
        <v>DE23A</v>
      </c>
    </row>
    <row r="1640" spans="1:2" ht="12.5" x14ac:dyDescent="0.25">
      <c r="A1640" t="str">
        <f ca="1">IFERROR(__xludf.DUMMYFUNCTION("""COMPUTED_VALUE"""),"Toledo")</f>
        <v>Toledo</v>
      </c>
      <c r="B1640" t="str">
        <f ca="1">IFERROR(__xludf.DUMMYFUNCTION("""COMPUTED_VALUE"""),"ES425")</f>
        <v>ES425</v>
      </c>
    </row>
    <row r="1641" spans="1:2" ht="12.5" x14ac:dyDescent="0.25">
      <c r="A1641" t="str">
        <f ca="1">IFERROR(__xludf.DUMMYFUNCTION("""COMPUTED_VALUE"""),"Tolna")</f>
        <v>Tolna</v>
      </c>
      <c r="B1641" t="str">
        <f ca="1">IFERROR(__xludf.DUMMYFUNCTION("""COMPUTED_VALUE"""),"HU233")</f>
        <v>HU233</v>
      </c>
    </row>
    <row r="1642" spans="1:2" ht="12.5" x14ac:dyDescent="0.25">
      <c r="A1642" t="str">
        <f ca="1">IFERROR(__xludf.DUMMYFUNCTION("""COMPUTED_VALUE"""),"Torbay")</f>
        <v>Torbay</v>
      </c>
      <c r="B1642" t="str">
        <f ca="1">IFERROR(__xludf.DUMMYFUNCTION("""COMPUTED_VALUE"""),"UKK42")</f>
        <v>UKK42</v>
      </c>
    </row>
    <row r="1643" spans="1:2" ht="12.5" x14ac:dyDescent="0.25">
      <c r="A1643" t="str">
        <f ca="1">IFERROR(__xludf.DUMMYFUNCTION("""COMPUTED_VALUE"""),"Torgau-Oschatz")</f>
        <v>Torgau-Oschatz</v>
      </c>
      <c r="B1643" t="str">
        <f ca="1">IFERROR(__xludf.DUMMYFUNCTION("""COMPUTED_VALUE"""),"DED36")</f>
        <v>DED36</v>
      </c>
    </row>
    <row r="1644" spans="1:2" ht="12.5" x14ac:dyDescent="0.25">
      <c r="A1644" t="str">
        <f ca="1">IFERROR(__xludf.DUMMYFUNCTION("""COMPUTED_VALUE"""),"Torino")</f>
        <v>Torino</v>
      </c>
      <c r="B1644" t="str">
        <f ca="1">IFERROR(__xludf.DUMMYFUNCTION("""COMPUTED_VALUE"""),"ITC11")</f>
        <v>ITC11</v>
      </c>
    </row>
    <row r="1645" spans="1:2" ht="12.5" x14ac:dyDescent="0.25">
      <c r="A1645" t="str">
        <f ca="1">IFERROR(__xludf.DUMMYFUNCTION("""COMPUTED_VALUE"""),"Toscana")</f>
        <v>Toscana</v>
      </c>
      <c r="B1645" t="str">
        <f ca="1">IFERROR(__xludf.DUMMYFUNCTION("""COMPUTED_VALUE"""),"ITE1")</f>
        <v>ITE1</v>
      </c>
    </row>
    <row r="1646" spans="1:2" ht="12.5" x14ac:dyDescent="0.25">
      <c r="A1646" t="str">
        <f ca="1">IFERROR(__xludf.DUMMYFUNCTION("""COMPUTED_VALUE"""),"Trapani")</f>
        <v>Trapani</v>
      </c>
      <c r="B1646" t="str">
        <f ca="1">IFERROR(__xludf.DUMMYFUNCTION("""COMPUTED_VALUE"""),"ITG11")</f>
        <v>ITG11</v>
      </c>
    </row>
    <row r="1647" spans="1:2" ht="12.5" x14ac:dyDescent="0.25">
      <c r="A1647" t="str">
        <f ca="1">IFERROR(__xludf.DUMMYFUNCTION("""COMPUTED_VALUE"""),"Traunstein")</f>
        <v>Traunstein</v>
      </c>
      <c r="B1647" t="str">
        <f ca="1">IFERROR(__xludf.DUMMYFUNCTION("""COMPUTED_VALUE"""),"DE21M")</f>
        <v>DE21M</v>
      </c>
    </row>
    <row r="1648" spans="1:2" ht="12.5" x14ac:dyDescent="0.25">
      <c r="A1648" t="str">
        <f ca="1">IFERROR(__xludf.DUMMYFUNCTION("""COMPUTED_VALUE"""),"Traunviertel")</f>
        <v>Traunviertel</v>
      </c>
      <c r="B1648" t="str">
        <f ca="1">IFERROR(__xludf.DUMMYFUNCTION("""COMPUTED_VALUE"""),"AT315")</f>
        <v>AT315</v>
      </c>
    </row>
    <row r="1649" spans="1:2" ht="12.5" x14ac:dyDescent="0.25">
      <c r="A1649" t="str">
        <f ca="1">IFERROR(__xludf.DUMMYFUNCTION("""COMPUTED_VALUE"""),"Trenciansky Kraj")</f>
        <v>Trenciansky Kraj</v>
      </c>
      <c r="B1649" t="str">
        <f ca="1">IFERROR(__xludf.DUMMYFUNCTION("""COMPUTED_VALUE"""),"SK022")</f>
        <v>SK022</v>
      </c>
    </row>
    <row r="1650" spans="1:2" ht="12.5" x14ac:dyDescent="0.25">
      <c r="A1650" t="str">
        <f ca="1">IFERROR(__xludf.DUMMYFUNCTION("""COMPUTED_VALUE"""),"Trento")</f>
        <v>Trento</v>
      </c>
      <c r="B1650" t="str">
        <f ca="1">IFERROR(__xludf.DUMMYFUNCTION("""COMPUTED_VALUE"""),"ITD20")</f>
        <v>ITD20</v>
      </c>
    </row>
    <row r="1651" spans="1:2" ht="12.5" x14ac:dyDescent="0.25">
      <c r="A1651" t="str">
        <f ca="1">IFERROR(__xludf.DUMMYFUNCTION("""COMPUTED_VALUE"""),"Treviso")</f>
        <v>Treviso</v>
      </c>
      <c r="B1651" t="str">
        <f ca="1">IFERROR(__xludf.DUMMYFUNCTION("""COMPUTED_VALUE"""),"ITD34")</f>
        <v>ITD34</v>
      </c>
    </row>
    <row r="1652" spans="1:2" ht="12.5" x14ac:dyDescent="0.25">
      <c r="A1652" t="str">
        <f ca="1">IFERROR(__xludf.DUMMYFUNCTION("""COMPUTED_VALUE"""),"Trier")</f>
        <v>Trier</v>
      </c>
      <c r="B1652" t="str">
        <f ca="1">IFERROR(__xludf.DUMMYFUNCTION("""COMPUTED_VALUE"""),"DEB2")</f>
        <v>DEB2</v>
      </c>
    </row>
    <row r="1653" spans="1:2" ht="12.5" x14ac:dyDescent="0.25">
      <c r="A1653" t="str">
        <f ca="1">IFERROR(__xludf.DUMMYFUNCTION("""COMPUTED_VALUE"""),"Trier-Saarburg")</f>
        <v>Trier-Saarburg</v>
      </c>
      <c r="B1653" t="str">
        <f ca="1">IFERROR(__xludf.DUMMYFUNCTION("""COMPUTED_VALUE"""),"DEB25")</f>
        <v>DEB25</v>
      </c>
    </row>
    <row r="1654" spans="1:2" ht="12.5" x14ac:dyDescent="0.25">
      <c r="A1654" t="str">
        <f ca="1">IFERROR(__xludf.DUMMYFUNCTION("""COMPUTED_VALUE"""),"Trier, Kreisfreie Stadt")</f>
        <v>Trier, Kreisfreie Stadt</v>
      </c>
      <c r="B1654" t="str">
        <f ca="1">IFERROR(__xludf.DUMMYFUNCTION("""COMPUTED_VALUE"""),"DEB21")</f>
        <v>DEB21</v>
      </c>
    </row>
    <row r="1655" spans="1:2" ht="12.5" x14ac:dyDescent="0.25">
      <c r="A1655" t="str">
        <f ca="1">IFERROR(__xludf.DUMMYFUNCTION("""COMPUTED_VALUE"""),"Trieste")</f>
        <v>Trieste</v>
      </c>
      <c r="B1655" t="str">
        <f ca="1">IFERROR(__xludf.DUMMYFUNCTION("""COMPUTED_VALUE"""),"ITD44")</f>
        <v>ITD44</v>
      </c>
    </row>
    <row r="1656" spans="1:2" ht="12.5" x14ac:dyDescent="0.25">
      <c r="A1656" t="str">
        <f ca="1">IFERROR(__xludf.DUMMYFUNCTION("""COMPUTED_VALUE"""),"Trikala")</f>
        <v>Trikala</v>
      </c>
      <c r="B1656" t="str">
        <f ca="1">IFERROR(__xludf.DUMMYFUNCTION("""COMPUTED_VALUE"""),"GR144")</f>
        <v>GR144</v>
      </c>
    </row>
    <row r="1657" spans="1:2" ht="12.5" x14ac:dyDescent="0.25">
      <c r="A1657" t="str">
        <f ca="1">IFERROR(__xludf.DUMMYFUNCTION("""COMPUTED_VALUE"""),"Trnavsky Kraj")</f>
        <v>Trnavsky Kraj</v>
      </c>
      <c r="B1657" t="str">
        <f ca="1">IFERROR(__xludf.DUMMYFUNCTION("""COMPUTED_VALUE"""),"SK021")</f>
        <v>SK021</v>
      </c>
    </row>
    <row r="1658" spans="1:2" ht="12.5" x14ac:dyDescent="0.25">
      <c r="A1658" t="str">
        <f ca="1">IFERROR(__xludf.DUMMYFUNCTION("""COMPUTED_VALUE"""),"Trojmiejski")</f>
        <v>Trojmiejski</v>
      </c>
      <c r="B1658" t="str">
        <f ca="1">IFERROR(__xludf.DUMMYFUNCTION("""COMPUTED_VALUE"""),"PL633")</f>
        <v>PL633</v>
      </c>
    </row>
    <row r="1659" spans="1:2" ht="12.5" x14ac:dyDescent="0.25">
      <c r="A1659" t="str">
        <f ca="1">IFERROR(__xludf.DUMMYFUNCTION("""COMPUTED_VALUE"""),"Troms")</f>
        <v>Troms</v>
      </c>
      <c r="B1659" t="str">
        <f ca="1">IFERROR(__xludf.DUMMYFUNCTION("""COMPUTED_VALUE"""),"NO072")</f>
        <v>NO072</v>
      </c>
    </row>
    <row r="1660" spans="1:2" ht="12.5" x14ac:dyDescent="0.25">
      <c r="A1660" t="str">
        <f ca="1">IFERROR(__xludf.DUMMYFUNCTION("""COMPUTED_VALUE"""),"Trøndelag")</f>
        <v>Trøndelag</v>
      </c>
      <c r="B1660" t="str">
        <f ca="1">IFERROR(__xludf.DUMMYFUNCTION("""COMPUTED_VALUE"""),"NO06")</f>
        <v>NO06</v>
      </c>
    </row>
    <row r="1661" spans="1:2" ht="12.5" x14ac:dyDescent="0.25">
      <c r="A1661" t="str">
        <f ca="1">IFERROR(__xludf.DUMMYFUNCTION("""COMPUTED_VALUE"""),"Tübingen")</f>
        <v>Tübingen</v>
      </c>
      <c r="B1661" t="str">
        <f ca="1">IFERROR(__xludf.DUMMYFUNCTION("""COMPUTED_VALUE"""),"DE14")</f>
        <v>DE14</v>
      </c>
    </row>
    <row r="1662" spans="1:2" ht="12.5" x14ac:dyDescent="0.25">
      <c r="A1662" t="str">
        <f ca="1">IFERROR(__xludf.DUMMYFUNCTION("""COMPUTED_VALUE"""),"Tübingen, Landkreis")</f>
        <v>Tübingen, Landkreis</v>
      </c>
      <c r="B1662" t="str">
        <f ca="1">IFERROR(__xludf.DUMMYFUNCTION("""COMPUTED_VALUE"""),"DE142")</f>
        <v>DE142</v>
      </c>
    </row>
    <row r="1663" spans="1:2" ht="12.5" x14ac:dyDescent="0.25">
      <c r="A1663" t="str">
        <f ca="1">IFERROR(__xludf.DUMMYFUNCTION("""COMPUTED_VALUE"""),"Tulcea")</f>
        <v>Tulcea</v>
      </c>
      <c r="B1663" t="str">
        <f ca="1">IFERROR(__xludf.DUMMYFUNCTION("""COMPUTED_VALUE"""),"RO225")</f>
        <v>RO225</v>
      </c>
    </row>
    <row r="1664" spans="1:2" ht="12.5" x14ac:dyDescent="0.25">
      <c r="A1664" t="str">
        <f ca="1">IFERROR(__xludf.DUMMYFUNCTION("""COMPUTED_VALUE"""),"Tuttlingen")</f>
        <v>Tuttlingen</v>
      </c>
      <c r="B1664" t="str">
        <f ca="1">IFERROR(__xludf.DUMMYFUNCTION("""COMPUTED_VALUE"""),"DE137")</f>
        <v>DE137</v>
      </c>
    </row>
    <row r="1665" spans="1:2" ht="12.5" x14ac:dyDescent="0.25">
      <c r="A1665" t="str">
        <f ca="1">IFERROR(__xludf.DUMMYFUNCTION("""COMPUTED_VALUE"""),"Twente")</f>
        <v>Twente</v>
      </c>
      <c r="B1665" t="str">
        <f ca="1">IFERROR(__xludf.DUMMYFUNCTION("""COMPUTED_VALUE"""),"NL213")</f>
        <v>NL213</v>
      </c>
    </row>
    <row r="1666" spans="1:2" ht="12.5" x14ac:dyDescent="0.25">
      <c r="A1666" t="str">
        <f ca="1">IFERROR(__xludf.DUMMYFUNCTION("""COMPUTED_VALUE"""),"Tyneside")</f>
        <v>Tyneside</v>
      </c>
      <c r="B1666" t="str">
        <f ca="1">IFERROR(__xludf.DUMMYFUNCTION("""COMPUTED_VALUE"""),"UKC22")</f>
        <v>UKC22</v>
      </c>
    </row>
    <row r="1667" spans="1:2" ht="12.5" x14ac:dyDescent="0.25">
      <c r="A1667" t="str">
        <f ca="1">IFERROR(__xludf.DUMMYFUNCTION("""COMPUTED_VALUE"""),"Tyski")</f>
        <v>Tyski</v>
      </c>
      <c r="B1667" t="str">
        <f ca="1">IFERROR(__xludf.DUMMYFUNCTION("""COMPUTED_VALUE"""),"PL22C")</f>
        <v>PL22C</v>
      </c>
    </row>
    <row r="1668" spans="1:2" ht="12.5" x14ac:dyDescent="0.25">
      <c r="A1668" t="str">
        <f ca="1">IFERROR(__xludf.DUMMYFUNCTION("""COMPUTED_VALUE"""),"Uckermark")</f>
        <v>Uckermark</v>
      </c>
      <c r="B1668" t="str">
        <f ca="1">IFERROR(__xludf.DUMMYFUNCTION("""COMPUTED_VALUE"""),"DE418")</f>
        <v>DE418</v>
      </c>
    </row>
    <row r="1669" spans="1:2" ht="12.5" x14ac:dyDescent="0.25">
      <c r="A1669" t="str">
        <f ca="1">IFERROR(__xludf.DUMMYFUNCTION("""COMPUTED_VALUE"""),"Udine")</f>
        <v>Udine</v>
      </c>
      <c r="B1669" t="str">
        <f ca="1">IFERROR(__xludf.DUMMYFUNCTION("""COMPUTED_VALUE"""),"ITD42")</f>
        <v>ITD42</v>
      </c>
    </row>
    <row r="1670" spans="1:2" ht="12.5" x14ac:dyDescent="0.25">
      <c r="A1670" t="str">
        <f ca="1">IFERROR(__xludf.DUMMYFUNCTION("""COMPUTED_VALUE"""),"Uecker-Randow")</f>
        <v>Uecker-Randow</v>
      </c>
      <c r="B1670" t="str">
        <f ca="1">IFERROR(__xludf.DUMMYFUNCTION("""COMPUTED_VALUE"""),"DE80I")</f>
        <v>DE80I</v>
      </c>
    </row>
    <row r="1671" spans="1:2" ht="12.5" x14ac:dyDescent="0.25">
      <c r="A1671" t="str">
        <f ca="1">IFERROR(__xludf.DUMMYFUNCTION("""COMPUTED_VALUE"""),"Uelzen")</f>
        <v>Uelzen</v>
      </c>
      <c r="B1671" t="str">
        <f ca="1">IFERROR(__xludf.DUMMYFUNCTION("""COMPUTED_VALUE"""),"DE93A")</f>
        <v>DE93A</v>
      </c>
    </row>
    <row r="1672" spans="1:2" ht="12.5" x14ac:dyDescent="0.25">
      <c r="A1672" t="str">
        <f ca="1">IFERROR(__xludf.DUMMYFUNCTION("""COMPUTED_VALUE"""),"Ulm, Stadtkreis")</f>
        <v>Ulm, Stadtkreis</v>
      </c>
      <c r="B1672" t="str">
        <f ca="1">IFERROR(__xludf.DUMMYFUNCTION("""COMPUTED_VALUE"""),"DE144")</f>
        <v>DE144</v>
      </c>
    </row>
    <row r="1673" spans="1:2" ht="12.5" x14ac:dyDescent="0.25">
      <c r="A1673" t="str">
        <f ca="1">IFERROR(__xludf.DUMMYFUNCTION("""COMPUTED_VALUE"""),"Umbria")</f>
        <v>Umbria</v>
      </c>
      <c r="B1673" t="str">
        <f ca="1">IFERROR(__xludf.DUMMYFUNCTION("""COMPUTED_VALUE"""),"ITE2")</f>
        <v>ITE2</v>
      </c>
    </row>
    <row r="1674" spans="1:2" ht="12.5" x14ac:dyDescent="0.25">
      <c r="A1674" t="str">
        <f ca="1">IFERROR(__xludf.DUMMYFUNCTION("""COMPUTED_VALUE"""),"United Kingdom")</f>
        <v>United Kingdom</v>
      </c>
      <c r="B1674" t="str">
        <f ca="1">IFERROR(__xludf.DUMMYFUNCTION("""COMPUTED_VALUE"""),"UK")</f>
        <v>UK</v>
      </c>
    </row>
    <row r="1675" spans="1:2" ht="12.5" x14ac:dyDescent="0.25">
      <c r="A1675" t="str">
        <f ca="1">IFERROR(__xludf.DUMMYFUNCTION("""COMPUTED_VALUE"""),"Unna")</f>
        <v>Unna</v>
      </c>
      <c r="B1675" t="str">
        <f ca="1">IFERROR(__xludf.DUMMYFUNCTION("""COMPUTED_VALUE"""),"DEA5C")</f>
        <v>DEA5C</v>
      </c>
    </row>
    <row r="1676" spans="1:2" ht="12.5" x14ac:dyDescent="0.25">
      <c r="A1676" t="str">
        <f ca="1">IFERROR(__xludf.DUMMYFUNCTION("""COMPUTED_VALUE"""),"Unstrut-Hainich-Kreis")</f>
        <v>Unstrut-Hainich-Kreis</v>
      </c>
      <c r="B1676" t="str">
        <f ca="1">IFERROR(__xludf.DUMMYFUNCTION("""COMPUTED_VALUE"""),"DEG09")</f>
        <v>DEG09</v>
      </c>
    </row>
    <row r="1677" spans="1:2" ht="12.5" x14ac:dyDescent="0.25">
      <c r="A1677" t="str">
        <f ca="1">IFERROR(__xludf.DUMMYFUNCTION("""COMPUTED_VALUE"""),"Unterallgäu")</f>
        <v>Unterallgäu</v>
      </c>
      <c r="B1677" t="str">
        <f ca="1">IFERROR(__xludf.DUMMYFUNCTION("""COMPUTED_VALUE"""),"DE27C")</f>
        <v>DE27C</v>
      </c>
    </row>
    <row r="1678" spans="1:2" ht="12.5" x14ac:dyDescent="0.25">
      <c r="A1678" t="str">
        <f ca="1">IFERROR(__xludf.DUMMYFUNCTION("""COMPUTED_VALUE"""),"Unterfranken")</f>
        <v>Unterfranken</v>
      </c>
      <c r="B1678" t="str">
        <f ca="1">IFERROR(__xludf.DUMMYFUNCTION("""COMPUTED_VALUE"""),"DE26")</f>
        <v>DE26</v>
      </c>
    </row>
    <row r="1679" spans="1:2" ht="12.5" x14ac:dyDescent="0.25">
      <c r="A1679" t="str">
        <f ca="1">IFERROR(__xludf.DUMMYFUNCTION("""COMPUTED_VALUE"""),"Unterkärnten")</f>
        <v>Unterkärnten</v>
      </c>
      <c r="B1679" t="str">
        <f ca="1">IFERROR(__xludf.DUMMYFUNCTION("""COMPUTED_VALUE"""),"AT213")</f>
        <v>AT213</v>
      </c>
    </row>
    <row r="1680" spans="1:2" ht="12.5" x14ac:dyDescent="0.25">
      <c r="A1680" t="str">
        <f ca="1">IFERROR(__xludf.DUMMYFUNCTION("""COMPUTED_VALUE"""),"Uppsala Län")</f>
        <v>Uppsala Län</v>
      </c>
      <c r="B1680" t="str">
        <f ca="1">IFERROR(__xludf.DUMMYFUNCTION("""COMPUTED_VALUE"""),"SE121")</f>
        <v>SE121</v>
      </c>
    </row>
    <row r="1681" spans="1:2" ht="12.5" x14ac:dyDescent="0.25">
      <c r="A1681" t="str">
        <f ca="1">IFERROR(__xludf.DUMMYFUNCTION("""COMPUTED_VALUE"""),"Uri")</f>
        <v>Uri</v>
      </c>
      <c r="B1681" t="str">
        <f ca="1">IFERROR(__xludf.DUMMYFUNCTION("""COMPUTED_VALUE"""),"CH062")</f>
        <v>CH062</v>
      </c>
    </row>
    <row r="1682" spans="1:2" ht="12.5" x14ac:dyDescent="0.25">
      <c r="A1682" t="str">
        <f ca="1">IFERROR(__xludf.DUMMYFUNCTION("""COMPUTED_VALUE"""),"Ustecky Kraj")</f>
        <v>Ustecky Kraj</v>
      </c>
      <c r="B1682" t="str">
        <f ca="1">IFERROR(__xludf.DUMMYFUNCTION("""COMPUTED_VALUE"""),"CZ042")</f>
        <v>CZ042</v>
      </c>
    </row>
    <row r="1683" spans="1:2" ht="12.5" x14ac:dyDescent="0.25">
      <c r="A1683" t="str">
        <f ca="1">IFERROR(__xludf.DUMMYFUNCTION("""COMPUTED_VALUE"""),"Utenos Apskritis")</f>
        <v>Utenos Apskritis</v>
      </c>
      <c r="B1683" t="str">
        <f ca="1">IFERROR(__xludf.DUMMYFUNCTION("""COMPUTED_VALUE"""),"LT009")</f>
        <v>LT009</v>
      </c>
    </row>
    <row r="1684" spans="1:2" ht="12.5" x14ac:dyDescent="0.25">
      <c r="A1684" t="str">
        <f ca="1">IFERROR(__xludf.DUMMYFUNCTION("""COMPUTED_VALUE"""),"Utrecht")</f>
        <v>Utrecht</v>
      </c>
      <c r="B1684" t="str">
        <f ca="1">IFERROR(__xludf.DUMMYFUNCTION("""COMPUTED_VALUE"""),"NL31")</f>
        <v>NL31</v>
      </c>
    </row>
    <row r="1685" spans="1:2" ht="12.5" x14ac:dyDescent="0.25">
      <c r="A1685" t="str">
        <f ca="1">IFERROR(__xludf.DUMMYFUNCTION("""COMPUTED_VALUE"""),"Utrecht (*)")</f>
        <v>Utrecht (*)</v>
      </c>
      <c r="B1685" t="str">
        <f ca="1">IFERROR(__xludf.DUMMYFUNCTION("""COMPUTED_VALUE"""),"NL310")</f>
        <v>NL310</v>
      </c>
    </row>
    <row r="1686" spans="1:2" ht="12.5" x14ac:dyDescent="0.25">
      <c r="A1686" t="str">
        <f ca="1">IFERROR(__xludf.DUMMYFUNCTION("""COMPUTED_VALUE"""),"Uusimaa")</f>
        <v>Uusimaa</v>
      </c>
      <c r="B1686" t="str">
        <f ca="1">IFERROR(__xludf.DUMMYFUNCTION("""COMPUTED_VALUE"""),"FI181")</f>
        <v>FI181</v>
      </c>
    </row>
    <row r="1687" spans="1:2" ht="12.5" x14ac:dyDescent="0.25">
      <c r="A1687" t="str">
        <f ca="1">IFERROR(__xludf.DUMMYFUNCTION("""COMPUTED_VALUE"""),"Val-D'Oise")</f>
        <v>Val-D'Oise</v>
      </c>
      <c r="B1687" t="str">
        <f ca="1">IFERROR(__xludf.DUMMYFUNCTION("""COMPUTED_VALUE"""),"FR108")</f>
        <v>FR108</v>
      </c>
    </row>
    <row r="1688" spans="1:2" ht="12.5" x14ac:dyDescent="0.25">
      <c r="A1688" t="str">
        <f ca="1">IFERROR(__xludf.DUMMYFUNCTION("""COMPUTED_VALUE"""),"Val-De-Marne")</f>
        <v>Val-De-Marne</v>
      </c>
      <c r="B1688" t="str">
        <f ca="1">IFERROR(__xludf.DUMMYFUNCTION("""COMPUTED_VALUE"""),"FR107")</f>
        <v>FR107</v>
      </c>
    </row>
    <row r="1689" spans="1:2" ht="12.5" x14ac:dyDescent="0.25">
      <c r="A1689" t="str">
        <f ca="1">IFERROR(__xludf.DUMMYFUNCTION("""COMPUTED_VALUE"""),"Valais")</f>
        <v>Valais</v>
      </c>
      <c r="B1689" t="str">
        <f ca="1">IFERROR(__xludf.DUMMYFUNCTION("""COMPUTED_VALUE"""),"CH012")</f>
        <v>CH012</v>
      </c>
    </row>
    <row r="1690" spans="1:2" ht="12.5" x14ac:dyDescent="0.25">
      <c r="A1690" t="str">
        <f ca="1">IFERROR(__xludf.DUMMYFUNCTION("""COMPUTED_VALUE"""),"Valcea")</f>
        <v>Valcea</v>
      </c>
      <c r="B1690" t="str">
        <f ca="1">IFERROR(__xludf.DUMMYFUNCTION("""COMPUTED_VALUE"""),"RO415")</f>
        <v>RO415</v>
      </c>
    </row>
    <row r="1691" spans="1:2" ht="12.5" x14ac:dyDescent="0.25">
      <c r="A1691" t="str">
        <f ca="1">IFERROR(__xludf.DUMMYFUNCTION("""COMPUTED_VALUE"""),"Valencia / València")</f>
        <v>Valencia / València</v>
      </c>
      <c r="B1691" t="str">
        <f ca="1">IFERROR(__xludf.DUMMYFUNCTION("""COMPUTED_VALUE"""),"ES523")</f>
        <v>ES523</v>
      </c>
    </row>
    <row r="1692" spans="1:2" ht="12.5" x14ac:dyDescent="0.25">
      <c r="A1692" t="str">
        <f ca="1">IFERROR(__xludf.DUMMYFUNCTION("""COMPUTED_VALUE"""),"Valladolid")</f>
        <v>Valladolid</v>
      </c>
      <c r="B1692" t="str">
        <f ca="1">IFERROR(__xludf.DUMMYFUNCTION("""COMPUTED_VALUE"""),"ES418")</f>
        <v>ES418</v>
      </c>
    </row>
    <row r="1693" spans="1:2" ht="12.5" x14ac:dyDescent="0.25">
      <c r="A1693" t="str">
        <f ca="1">IFERROR(__xludf.DUMMYFUNCTION("""COMPUTED_VALUE"""),"Valle D'Aosta/Vallée D'Aoste")</f>
        <v>Valle D'Aosta/Vallée D'Aoste</v>
      </c>
      <c r="B1693" t="str">
        <f ca="1">IFERROR(__xludf.DUMMYFUNCTION("""COMPUTED_VALUE"""),"ITC2")</f>
        <v>ITC2</v>
      </c>
    </row>
    <row r="1694" spans="1:2" ht="12.5" x14ac:dyDescent="0.25">
      <c r="A1694" t="str">
        <f ca="1">IFERROR(__xludf.DUMMYFUNCTION("""COMPUTED_VALUE"""),"Valle D'Aosta/Vallée D'Aoste (*)")</f>
        <v>Valle D'Aosta/Vallée D'Aoste (*)</v>
      </c>
      <c r="B1694" t="str">
        <f ca="1">IFERROR(__xludf.DUMMYFUNCTION("""COMPUTED_VALUE"""),"ITC20")</f>
        <v>ITC20</v>
      </c>
    </row>
    <row r="1695" spans="1:2" ht="12.5" x14ac:dyDescent="0.25">
      <c r="A1695" t="str">
        <f ca="1">IFERROR(__xludf.DUMMYFUNCTION("""COMPUTED_VALUE"""),"Var")</f>
        <v>Var</v>
      </c>
      <c r="B1695" t="str">
        <f ca="1">IFERROR(__xludf.DUMMYFUNCTION("""COMPUTED_VALUE"""),"FR825")</f>
        <v>FR825</v>
      </c>
    </row>
    <row r="1696" spans="1:2" ht="12.5" x14ac:dyDescent="0.25">
      <c r="A1696" t="str">
        <f ca="1">IFERROR(__xludf.DUMMYFUNCTION("""COMPUTED_VALUE"""),"Varese")</f>
        <v>Varese</v>
      </c>
      <c r="B1696" t="str">
        <f ca="1">IFERROR(__xludf.DUMMYFUNCTION("""COMPUTED_VALUE"""),"ITC41")</f>
        <v>ITC41</v>
      </c>
    </row>
    <row r="1697" spans="1:2" ht="12.5" x14ac:dyDescent="0.25">
      <c r="A1697" t="str">
        <f ca="1">IFERROR(__xludf.DUMMYFUNCTION("""COMPUTED_VALUE"""),"Värmlands Län")</f>
        <v>Värmlands Län</v>
      </c>
      <c r="B1697" t="str">
        <f ca="1">IFERROR(__xludf.DUMMYFUNCTION("""COMPUTED_VALUE"""),"SE311")</f>
        <v>SE311</v>
      </c>
    </row>
    <row r="1698" spans="1:2" ht="12.5" x14ac:dyDescent="0.25">
      <c r="A1698" t="str">
        <f ca="1">IFERROR(__xludf.DUMMYFUNCTION("""COMPUTED_VALUE"""),"Varna")</f>
        <v>Varna</v>
      </c>
      <c r="B1698" t="str">
        <f ca="1">IFERROR(__xludf.DUMMYFUNCTION("""COMPUTED_VALUE"""),"BG331")</f>
        <v>BG331</v>
      </c>
    </row>
    <row r="1699" spans="1:2" ht="12.5" x14ac:dyDescent="0.25">
      <c r="A1699" t="str">
        <f ca="1">IFERROR(__xludf.DUMMYFUNCTION("""COMPUTED_VALUE"""),"Varsinais-Suomi")</f>
        <v>Varsinais-Suomi</v>
      </c>
      <c r="B1699" t="str">
        <f ca="1">IFERROR(__xludf.DUMMYFUNCTION("""COMPUTED_VALUE"""),"FI183")</f>
        <v>FI183</v>
      </c>
    </row>
    <row r="1700" spans="1:2" ht="12.5" x14ac:dyDescent="0.25">
      <c r="A1700" t="str">
        <f ca="1">IFERROR(__xludf.DUMMYFUNCTION("""COMPUTED_VALUE"""),"Vas")</f>
        <v>Vas</v>
      </c>
      <c r="B1700" t="str">
        <f ca="1">IFERROR(__xludf.DUMMYFUNCTION("""COMPUTED_VALUE"""),"HU222")</f>
        <v>HU222</v>
      </c>
    </row>
    <row r="1701" spans="1:2" ht="12.5" x14ac:dyDescent="0.25">
      <c r="A1701" t="str">
        <f ca="1">IFERROR(__xludf.DUMMYFUNCTION("""COMPUTED_VALUE"""),"Vaslui")</f>
        <v>Vaslui</v>
      </c>
      <c r="B1701" t="str">
        <f ca="1">IFERROR(__xludf.DUMMYFUNCTION("""COMPUTED_VALUE"""),"RO216")</f>
        <v>RO216</v>
      </c>
    </row>
    <row r="1702" spans="1:2" ht="12.5" x14ac:dyDescent="0.25">
      <c r="A1702" t="str">
        <f ca="1">IFERROR(__xludf.DUMMYFUNCTION("""COMPUTED_VALUE"""),"Västerbottens Län")</f>
        <v>Västerbottens Län</v>
      </c>
      <c r="B1702" t="str">
        <f ca="1">IFERROR(__xludf.DUMMYFUNCTION("""COMPUTED_VALUE"""),"SE331")</f>
        <v>SE331</v>
      </c>
    </row>
    <row r="1703" spans="1:2" ht="12.5" x14ac:dyDescent="0.25">
      <c r="A1703" t="str">
        <f ca="1">IFERROR(__xludf.DUMMYFUNCTION("""COMPUTED_VALUE"""),"Västernorrlands Län")</f>
        <v>Västernorrlands Län</v>
      </c>
      <c r="B1703" t="str">
        <f ca="1">IFERROR(__xludf.DUMMYFUNCTION("""COMPUTED_VALUE"""),"SE321")</f>
        <v>SE321</v>
      </c>
    </row>
    <row r="1704" spans="1:2" ht="12.5" x14ac:dyDescent="0.25">
      <c r="A1704" t="str">
        <f ca="1">IFERROR(__xludf.DUMMYFUNCTION("""COMPUTED_VALUE"""),"Västmanlands Län")</f>
        <v>Västmanlands Län</v>
      </c>
      <c r="B1704" t="str">
        <f ca="1">IFERROR(__xludf.DUMMYFUNCTION("""COMPUTED_VALUE"""),"SE125")</f>
        <v>SE125</v>
      </c>
    </row>
    <row r="1705" spans="1:2" ht="12.5" x14ac:dyDescent="0.25">
      <c r="A1705" t="str">
        <f ca="1">IFERROR(__xludf.DUMMYFUNCTION("""COMPUTED_VALUE"""),"Västra Götalands Län")</f>
        <v>Västra Götalands Län</v>
      </c>
      <c r="B1705" t="str">
        <f ca="1">IFERROR(__xludf.DUMMYFUNCTION("""COMPUTED_VALUE"""),"SE232")</f>
        <v>SE232</v>
      </c>
    </row>
    <row r="1706" spans="1:2" ht="12.5" x14ac:dyDescent="0.25">
      <c r="A1706" t="str">
        <f ca="1">IFERROR(__xludf.DUMMYFUNCTION("""COMPUTED_VALUE"""),"Västsverige")</f>
        <v>Västsverige</v>
      </c>
      <c r="B1706" t="str">
        <f ca="1">IFERROR(__xludf.DUMMYFUNCTION("""COMPUTED_VALUE"""),"SE23")</f>
        <v>SE23</v>
      </c>
    </row>
    <row r="1707" spans="1:2" ht="12.5" x14ac:dyDescent="0.25">
      <c r="A1707" t="str">
        <f ca="1">IFERROR(__xludf.DUMMYFUNCTION("""COMPUTED_VALUE"""),"Vaucluse")</f>
        <v>Vaucluse</v>
      </c>
      <c r="B1707" t="str">
        <f ca="1">IFERROR(__xludf.DUMMYFUNCTION("""COMPUTED_VALUE"""),"FR826")</f>
        <v>FR826</v>
      </c>
    </row>
    <row r="1708" spans="1:2" ht="12.5" x14ac:dyDescent="0.25">
      <c r="A1708" t="str">
        <f ca="1">IFERROR(__xludf.DUMMYFUNCTION("""COMPUTED_VALUE"""),"Vaud")</f>
        <v>Vaud</v>
      </c>
      <c r="B1708" t="str">
        <f ca="1">IFERROR(__xludf.DUMMYFUNCTION("""COMPUTED_VALUE"""),"CH011")</f>
        <v>CH011</v>
      </c>
    </row>
    <row r="1709" spans="1:2" ht="12.5" x14ac:dyDescent="0.25">
      <c r="A1709" t="str">
        <f ca="1">IFERROR(__xludf.DUMMYFUNCTION("""COMPUTED_VALUE"""),"Vechta")</f>
        <v>Vechta</v>
      </c>
      <c r="B1709" t="str">
        <f ca="1">IFERROR(__xludf.DUMMYFUNCTION("""COMPUTED_VALUE"""),"DE94F")</f>
        <v>DE94F</v>
      </c>
    </row>
    <row r="1710" spans="1:2" ht="12.5" x14ac:dyDescent="0.25">
      <c r="A1710" t="str">
        <f ca="1">IFERROR(__xludf.DUMMYFUNCTION("""COMPUTED_VALUE"""),"Veliko Tarnovo")</f>
        <v>Veliko Tarnovo</v>
      </c>
      <c r="B1710" t="str">
        <f ca="1">IFERROR(__xludf.DUMMYFUNCTION("""COMPUTED_VALUE"""),"BG321")</f>
        <v>BG321</v>
      </c>
    </row>
    <row r="1711" spans="1:2" ht="12.5" x14ac:dyDescent="0.25">
      <c r="A1711" t="str">
        <f ca="1">IFERROR(__xludf.DUMMYFUNCTION("""COMPUTED_VALUE"""),"Veluwe")</f>
        <v>Veluwe</v>
      </c>
      <c r="B1711" t="str">
        <f ca="1">IFERROR(__xludf.DUMMYFUNCTION("""COMPUTED_VALUE"""),"NL221")</f>
        <v>NL221</v>
      </c>
    </row>
    <row r="1712" spans="1:2" ht="12.5" x14ac:dyDescent="0.25">
      <c r="A1712" t="str">
        <f ca="1">IFERROR(__xludf.DUMMYFUNCTION("""COMPUTED_VALUE"""),"Vendée")</f>
        <v>Vendée</v>
      </c>
      <c r="B1712" t="str">
        <f ca="1">IFERROR(__xludf.DUMMYFUNCTION("""COMPUTED_VALUE"""),"FR515")</f>
        <v>FR515</v>
      </c>
    </row>
    <row r="1713" spans="1:2" ht="12.5" x14ac:dyDescent="0.25">
      <c r="A1713" t="str">
        <f ca="1">IFERROR(__xludf.DUMMYFUNCTION("""COMPUTED_VALUE"""),"Veneto")</f>
        <v>Veneto</v>
      </c>
      <c r="B1713" t="str">
        <f ca="1">IFERROR(__xludf.DUMMYFUNCTION("""COMPUTED_VALUE"""),"ITD3")</f>
        <v>ITD3</v>
      </c>
    </row>
    <row r="1714" spans="1:2" ht="12.5" x14ac:dyDescent="0.25">
      <c r="A1714" t="str">
        <f ca="1">IFERROR(__xludf.DUMMYFUNCTION("""COMPUTED_VALUE"""),"Venezia")</f>
        <v>Venezia</v>
      </c>
      <c r="B1714" t="str">
        <f ca="1">IFERROR(__xludf.DUMMYFUNCTION("""COMPUTED_VALUE"""),"ITD35")</f>
        <v>ITD35</v>
      </c>
    </row>
    <row r="1715" spans="1:2" ht="12.5" x14ac:dyDescent="0.25">
      <c r="A1715" t="str">
        <f ca="1">IFERROR(__xludf.DUMMYFUNCTION("""COMPUTED_VALUE"""),"Verbano-Cusio-Ossola")</f>
        <v>Verbano-Cusio-Ossola</v>
      </c>
      <c r="B1715" t="str">
        <f ca="1">IFERROR(__xludf.DUMMYFUNCTION("""COMPUTED_VALUE"""),"ITC14")</f>
        <v>ITC14</v>
      </c>
    </row>
    <row r="1716" spans="1:2" ht="12.5" x14ac:dyDescent="0.25">
      <c r="A1716" t="str">
        <f ca="1">IFERROR(__xludf.DUMMYFUNCTION("""COMPUTED_VALUE"""),"Vercelli")</f>
        <v>Vercelli</v>
      </c>
      <c r="B1716" t="str">
        <f ca="1">IFERROR(__xludf.DUMMYFUNCTION("""COMPUTED_VALUE"""),"ITC12")</f>
        <v>ITC12</v>
      </c>
    </row>
    <row r="1717" spans="1:2" ht="12.5" x14ac:dyDescent="0.25">
      <c r="A1717" t="str">
        <f ca="1">IFERROR(__xludf.DUMMYFUNCTION("""COMPUTED_VALUE"""),"Verden")</f>
        <v>Verden</v>
      </c>
      <c r="B1717" t="str">
        <f ca="1">IFERROR(__xludf.DUMMYFUNCTION("""COMPUTED_VALUE"""),"DE93B")</f>
        <v>DE93B</v>
      </c>
    </row>
    <row r="1718" spans="1:2" ht="12.5" x14ac:dyDescent="0.25">
      <c r="A1718" t="str">
        <f ca="1">IFERROR(__xludf.DUMMYFUNCTION("""COMPUTED_VALUE"""),"Verona")</f>
        <v>Verona</v>
      </c>
      <c r="B1718" t="str">
        <f ca="1">IFERROR(__xludf.DUMMYFUNCTION("""COMPUTED_VALUE"""),"ITD31")</f>
        <v>ITD31</v>
      </c>
    </row>
    <row r="1719" spans="1:2" ht="12.5" x14ac:dyDescent="0.25">
      <c r="A1719" t="str">
        <f ca="1">IFERROR(__xludf.DUMMYFUNCTION("""COMPUTED_VALUE"""),"Vest")</f>
        <v>Vest</v>
      </c>
      <c r="B1719" t="str">
        <f ca="1">IFERROR(__xludf.DUMMYFUNCTION("""COMPUTED_VALUE"""),"RO42")</f>
        <v>RO42</v>
      </c>
    </row>
    <row r="1720" spans="1:2" ht="12.5" x14ac:dyDescent="0.25">
      <c r="A1720" t="str">
        <f ca="1">IFERROR(__xludf.DUMMYFUNCTION("""COMPUTED_VALUE"""),"Vest- Og Sydsjælland")</f>
        <v>Vest- Og Sydsjælland</v>
      </c>
      <c r="B1720" t="str">
        <f ca="1">IFERROR(__xludf.DUMMYFUNCTION("""COMPUTED_VALUE"""),"DK022")</f>
        <v>DK022</v>
      </c>
    </row>
    <row r="1721" spans="1:2" ht="12.5" x14ac:dyDescent="0.25">
      <c r="A1721" t="str">
        <f ca="1">IFERROR(__xludf.DUMMYFUNCTION("""COMPUTED_VALUE"""),"Vest-Agder")</f>
        <v>Vest-Agder</v>
      </c>
      <c r="B1721" t="str">
        <f ca="1">IFERROR(__xludf.DUMMYFUNCTION("""COMPUTED_VALUE"""),"NO042")</f>
        <v>NO042</v>
      </c>
    </row>
    <row r="1722" spans="1:2" ht="12.5" x14ac:dyDescent="0.25">
      <c r="A1722" t="str">
        <f ca="1">IFERROR(__xludf.DUMMYFUNCTION("""COMPUTED_VALUE"""),"Vestfold")</f>
        <v>Vestfold</v>
      </c>
      <c r="B1722" t="str">
        <f ca="1">IFERROR(__xludf.DUMMYFUNCTION("""COMPUTED_VALUE"""),"NO033")</f>
        <v>NO033</v>
      </c>
    </row>
    <row r="1723" spans="1:2" ht="12.5" x14ac:dyDescent="0.25">
      <c r="A1723" t="str">
        <f ca="1">IFERROR(__xludf.DUMMYFUNCTION("""COMPUTED_VALUE"""),"Vestjylland")</f>
        <v>Vestjylland</v>
      </c>
      <c r="B1723" t="str">
        <f ca="1">IFERROR(__xludf.DUMMYFUNCTION("""COMPUTED_VALUE"""),"DK041")</f>
        <v>DK041</v>
      </c>
    </row>
    <row r="1724" spans="1:2" ht="12.5" x14ac:dyDescent="0.25">
      <c r="A1724" t="str">
        <f ca="1">IFERROR(__xludf.DUMMYFUNCTION("""COMPUTED_VALUE"""),"Vestlandet")</f>
        <v>Vestlandet</v>
      </c>
      <c r="B1724" t="str">
        <f ca="1">IFERROR(__xludf.DUMMYFUNCTION("""COMPUTED_VALUE"""),"NO05")</f>
        <v>NO05</v>
      </c>
    </row>
    <row r="1725" spans="1:2" ht="12.5" x14ac:dyDescent="0.25">
      <c r="A1725" t="str">
        <f ca="1">IFERROR(__xludf.DUMMYFUNCTION("""COMPUTED_VALUE"""),"Veszprem")</f>
        <v>Veszprem</v>
      </c>
      <c r="B1725" t="str">
        <f ca="1">IFERROR(__xludf.DUMMYFUNCTION("""COMPUTED_VALUE"""),"HU213")</f>
        <v>HU213</v>
      </c>
    </row>
    <row r="1726" spans="1:2" ht="12.5" x14ac:dyDescent="0.25">
      <c r="A1726" t="str">
        <f ca="1">IFERROR(__xludf.DUMMYFUNCTION("""COMPUTED_VALUE"""),"Vibo Valentia")</f>
        <v>Vibo Valentia</v>
      </c>
      <c r="B1726" t="str">
        <f ca="1">IFERROR(__xludf.DUMMYFUNCTION("""COMPUTED_VALUE"""),"ITF64")</f>
        <v>ITF64</v>
      </c>
    </row>
    <row r="1727" spans="1:2" ht="12.5" x14ac:dyDescent="0.25">
      <c r="A1727" t="str">
        <f ca="1">IFERROR(__xludf.DUMMYFUNCTION("""COMPUTED_VALUE"""),"Vicenza")</f>
        <v>Vicenza</v>
      </c>
      <c r="B1727" t="str">
        <f ca="1">IFERROR(__xludf.DUMMYFUNCTION("""COMPUTED_VALUE"""),"ITD32")</f>
        <v>ITD32</v>
      </c>
    </row>
    <row r="1728" spans="1:2" ht="12.5" x14ac:dyDescent="0.25">
      <c r="A1728" t="str">
        <f ca="1">IFERROR(__xludf.DUMMYFUNCTION("""COMPUTED_VALUE"""),"Vidin")</f>
        <v>Vidin</v>
      </c>
      <c r="B1728" t="str">
        <f ca="1">IFERROR(__xludf.DUMMYFUNCTION("""COMPUTED_VALUE"""),"BG311")</f>
        <v>BG311</v>
      </c>
    </row>
    <row r="1729" spans="1:2" ht="12.5" x14ac:dyDescent="0.25">
      <c r="A1729" t="str">
        <f ca="1">IFERROR(__xludf.DUMMYFUNCTION("""COMPUTED_VALUE"""),"Vidzeme")</f>
        <v>Vidzeme</v>
      </c>
      <c r="B1729" t="str">
        <f ca="1">IFERROR(__xludf.DUMMYFUNCTION("""COMPUTED_VALUE"""),"LV008")</f>
        <v>LV008</v>
      </c>
    </row>
    <row r="1730" spans="1:2" ht="12.5" x14ac:dyDescent="0.25">
      <c r="A1730" t="str">
        <f ca="1">IFERROR(__xludf.DUMMYFUNCTION("""COMPUTED_VALUE"""),"Vienne")</f>
        <v>Vienne</v>
      </c>
      <c r="B1730" t="str">
        <f ca="1">IFERROR(__xludf.DUMMYFUNCTION("""COMPUTED_VALUE"""),"FR534")</f>
        <v>FR534</v>
      </c>
    </row>
    <row r="1731" spans="1:2" ht="12.5" x14ac:dyDescent="0.25">
      <c r="A1731" t="str">
        <f ca="1">IFERROR(__xludf.DUMMYFUNCTION("""COMPUTED_VALUE"""),"Viersen")</f>
        <v>Viersen</v>
      </c>
      <c r="B1731" t="str">
        <f ca="1">IFERROR(__xludf.DUMMYFUNCTION("""COMPUTED_VALUE"""),"DEA1E")</f>
        <v>DEA1E</v>
      </c>
    </row>
    <row r="1732" spans="1:2" ht="12.5" x14ac:dyDescent="0.25">
      <c r="A1732" t="str">
        <f ca="1">IFERROR(__xludf.DUMMYFUNCTION("""COMPUTED_VALUE"""),"Vilniaus Apskritis")</f>
        <v>Vilniaus Apskritis</v>
      </c>
      <c r="B1732" t="str">
        <f ca="1">IFERROR(__xludf.DUMMYFUNCTION("""COMPUTED_VALUE"""),"LT00A")</f>
        <v>LT00A</v>
      </c>
    </row>
    <row r="1733" spans="1:2" ht="12.5" x14ac:dyDescent="0.25">
      <c r="A1733" t="str">
        <f ca="1">IFERROR(__xludf.DUMMYFUNCTION("""COMPUTED_VALUE"""),"Viterbo")</f>
        <v>Viterbo</v>
      </c>
      <c r="B1733" t="str">
        <f ca="1">IFERROR(__xludf.DUMMYFUNCTION("""COMPUTED_VALUE"""),"ITE41")</f>
        <v>ITE41</v>
      </c>
    </row>
    <row r="1734" spans="1:2" ht="12.5" x14ac:dyDescent="0.25">
      <c r="A1734" t="str">
        <f ca="1">IFERROR(__xludf.DUMMYFUNCTION("""COMPUTED_VALUE"""),"Vizcaya")</f>
        <v>Vizcaya</v>
      </c>
      <c r="B1734" t="str">
        <f ca="1">IFERROR(__xludf.DUMMYFUNCTION("""COMPUTED_VALUE"""),"ES213")</f>
        <v>ES213</v>
      </c>
    </row>
    <row r="1735" spans="1:2" ht="12.5" x14ac:dyDescent="0.25">
      <c r="A1735" t="str">
        <f ca="1">IFERROR(__xludf.DUMMYFUNCTION("""COMPUTED_VALUE"""),"Vlaams Gewest")</f>
        <v>Vlaams Gewest</v>
      </c>
      <c r="B1735" t="str">
        <f ca="1">IFERROR(__xludf.DUMMYFUNCTION("""COMPUTED_VALUE"""),"BE2")</f>
        <v>BE2</v>
      </c>
    </row>
    <row r="1736" spans="1:2" ht="12.5" x14ac:dyDescent="0.25">
      <c r="A1736" t="str">
        <f ca="1">IFERROR(__xludf.DUMMYFUNCTION("""COMPUTED_VALUE"""),"Vogelsbergkreis")</f>
        <v>Vogelsbergkreis</v>
      </c>
      <c r="B1736" t="str">
        <f ca="1">IFERROR(__xludf.DUMMYFUNCTION("""COMPUTED_VALUE"""),"DE725")</f>
        <v>DE725</v>
      </c>
    </row>
    <row r="1737" spans="1:2" ht="12.5" x14ac:dyDescent="0.25">
      <c r="A1737" t="str">
        <f ca="1">IFERROR(__xludf.DUMMYFUNCTION("""COMPUTED_VALUE"""),"Vogtlandkreis")</f>
        <v>Vogtlandkreis</v>
      </c>
      <c r="B1737" t="str">
        <f ca="1">IFERROR(__xludf.DUMMYFUNCTION("""COMPUTED_VALUE"""),"DED17")</f>
        <v>DED17</v>
      </c>
    </row>
    <row r="1738" spans="1:2" ht="12.5" x14ac:dyDescent="0.25">
      <c r="A1738" t="str">
        <f ca="1">IFERROR(__xludf.DUMMYFUNCTION("""COMPUTED_VALUE"""),"Voiotia")</f>
        <v>Voiotia</v>
      </c>
      <c r="B1738" t="str">
        <f ca="1">IFERROR(__xludf.DUMMYFUNCTION("""COMPUTED_VALUE"""),"GR241")</f>
        <v>GR241</v>
      </c>
    </row>
    <row r="1739" spans="1:2" ht="12.5" x14ac:dyDescent="0.25">
      <c r="A1739" t="str">
        <f ca="1">IFERROR(__xludf.DUMMYFUNCTION("""COMPUTED_VALUE"""),"Vorarlberg")</f>
        <v>Vorarlberg</v>
      </c>
      <c r="B1739" t="str">
        <f ca="1">IFERROR(__xludf.DUMMYFUNCTION("""COMPUTED_VALUE"""),"AT34")</f>
        <v>AT34</v>
      </c>
    </row>
    <row r="1740" spans="1:2" ht="12.5" x14ac:dyDescent="0.25">
      <c r="A1740" t="str">
        <f ca="1">IFERROR(__xludf.DUMMYFUNCTION("""COMPUTED_VALUE"""),"Voreia Ellada")</f>
        <v>Voreia Ellada</v>
      </c>
      <c r="B1740" t="str">
        <f ca="1">IFERROR(__xludf.DUMMYFUNCTION("""COMPUTED_VALUE"""),"GR1")</f>
        <v>GR1</v>
      </c>
    </row>
    <row r="1741" spans="1:2" ht="12.5" x14ac:dyDescent="0.25">
      <c r="A1741" t="str">
        <f ca="1">IFERROR(__xludf.DUMMYFUNCTION("""COMPUTED_VALUE"""),"Voreio Aigaio")</f>
        <v>Voreio Aigaio</v>
      </c>
      <c r="B1741" t="str">
        <f ca="1">IFERROR(__xludf.DUMMYFUNCTION("""COMPUTED_VALUE"""),"GR41")</f>
        <v>GR41</v>
      </c>
    </row>
    <row r="1742" spans="1:2" ht="12.5" x14ac:dyDescent="0.25">
      <c r="A1742" t="str">
        <f ca="1">IFERROR(__xludf.DUMMYFUNCTION("""COMPUTED_VALUE"""),"Vosges")</f>
        <v>Vosges</v>
      </c>
      <c r="B1742" t="str">
        <f ca="1">IFERROR(__xludf.DUMMYFUNCTION("""COMPUTED_VALUE"""),"FR414")</f>
        <v>FR414</v>
      </c>
    </row>
    <row r="1743" spans="1:2" ht="12.5" x14ac:dyDescent="0.25">
      <c r="A1743" t="str">
        <f ca="1">IFERROR(__xludf.DUMMYFUNCTION("""COMPUTED_VALUE"""),"Vrancea")</f>
        <v>Vrancea</v>
      </c>
      <c r="B1743" t="str">
        <f ca="1">IFERROR(__xludf.DUMMYFUNCTION("""COMPUTED_VALUE"""),"RO226")</f>
        <v>RO226</v>
      </c>
    </row>
    <row r="1744" spans="1:2" ht="12.5" x14ac:dyDescent="0.25">
      <c r="A1744" t="str">
        <f ca="1">IFERROR(__xludf.DUMMYFUNCTION("""COMPUTED_VALUE"""),"Vratsa")</f>
        <v>Vratsa</v>
      </c>
      <c r="B1744" t="str">
        <f ca="1">IFERROR(__xludf.DUMMYFUNCTION("""COMPUTED_VALUE"""),"BG313")</f>
        <v>BG313</v>
      </c>
    </row>
    <row r="1745" spans="1:2" ht="12.5" x14ac:dyDescent="0.25">
      <c r="A1745" t="str">
        <f ca="1">IFERROR(__xludf.DUMMYFUNCTION("""COMPUTED_VALUE"""),"Vychodne Slovensko")</f>
        <v>Vychodne Slovensko</v>
      </c>
      <c r="B1745" t="str">
        <f ca="1">IFERROR(__xludf.DUMMYFUNCTION("""COMPUTED_VALUE"""),"SK04")</f>
        <v>SK04</v>
      </c>
    </row>
    <row r="1746" spans="1:2" ht="12.5" x14ac:dyDescent="0.25">
      <c r="A1746" t="str">
        <f ca="1">IFERROR(__xludf.DUMMYFUNCTION("""COMPUTED_VALUE"""),"Vysocina")</f>
        <v>Vysocina</v>
      </c>
      <c r="B1746" t="str">
        <f ca="1">IFERROR(__xludf.DUMMYFUNCTION("""COMPUTED_VALUE"""),"CZ063")</f>
        <v>CZ063</v>
      </c>
    </row>
    <row r="1747" spans="1:2" ht="12.5" x14ac:dyDescent="0.25">
      <c r="A1747" t="str">
        <f ca="1">IFERROR(__xludf.DUMMYFUNCTION("""COMPUTED_VALUE"""),"Vzhodna Slovenija")</f>
        <v>Vzhodna Slovenija</v>
      </c>
      <c r="B1747" t="str">
        <f ca="1">IFERROR(__xludf.DUMMYFUNCTION("""COMPUTED_VALUE"""),"SI01")</f>
        <v>SI01</v>
      </c>
    </row>
    <row r="1748" spans="1:2" ht="12.5" x14ac:dyDescent="0.25">
      <c r="A1748" t="str">
        <f ca="1">IFERROR(__xludf.DUMMYFUNCTION("""COMPUTED_VALUE"""),"Walbrzyski")</f>
        <v>Walbrzyski</v>
      </c>
      <c r="B1748" t="str">
        <f ca="1">IFERROR(__xludf.DUMMYFUNCTION("""COMPUTED_VALUE"""),"PL517")</f>
        <v>PL517</v>
      </c>
    </row>
    <row r="1749" spans="1:2" ht="12.5" x14ac:dyDescent="0.25">
      <c r="A1749" t="str">
        <f ca="1">IFERROR(__xludf.DUMMYFUNCTION("""COMPUTED_VALUE"""),"Waldeck-Frankenberg")</f>
        <v>Waldeck-Frankenberg</v>
      </c>
      <c r="B1749" t="str">
        <f ca="1">IFERROR(__xludf.DUMMYFUNCTION("""COMPUTED_VALUE"""),"DE736")</f>
        <v>DE736</v>
      </c>
    </row>
    <row r="1750" spans="1:2" ht="12.5" x14ac:dyDescent="0.25">
      <c r="A1750" t="str">
        <f ca="1">IFERROR(__xludf.DUMMYFUNCTION("""COMPUTED_VALUE"""),"Waldshut")</f>
        <v>Waldshut</v>
      </c>
      <c r="B1750" t="str">
        <f ca="1">IFERROR(__xludf.DUMMYFUNCTION("""COMPUTED_VALUE"""),"DE13A")</f>
        <v>DE13A</v>
      </c>
    </row>
    <row r="1751" spans="1:2" ht="12.5" x14ac:dyDescent="0.25">
      <c r="A1751" t="str">
        <f ca="1">IFERROR(__xludf.DUMMYFUNCTION("""COMPUTED_VALUE"""),"Waldviertel")</f>
        <v>Waldviertel</v>
      </c>
      <c r="B1751" t="str">
        <f ca="1">IFERROR(__xludf.DUMMYFUNCTION("""COMPUTED_VALUE"""),"AT124")</f>
        <v>AT124</v>
      </c>
    </row>
    <row r="1752" spans="1:2" ht="12.5" x14ac:dyDescent="0.25">
      <c r="A1752" t="str">
        <f ca="1">IFERROR(__xludf.DUMMYFUNCTION("""COMPUTED_VALUE"""),"Wales")</f>
        <v>Wales</v>
      </c>
      <c r="B1752" t="str">
        <f ca="1">IFERROR(__xludf.DUMMYFUNCTION("""COMPUTED_VALUE"""),"UKL")</f>
        <v>UKL</v>
      </c>
    </row>
    <row r="1753" spans="1:2" ht="12.5" x14ac:dyDescent="0.25">
      <c r="A1753" t="str">
        <f ca="1">IFERROR(__xludf.DUMMYFUNCTION("""COMPUTED_VALUE"""),"Walsall And Wolverhampton")</f>
        <v>Walsall And Wolverhampton</v>
      </c>
      <c r="B1753" t="str">
        <f ca="1">IFERROR(__xludf.DUMMYFUNCTION("""COMPUTED_VALUE"""),"UKG35")</f>
        <v>UKG35</v>
      </c>
    </row>
    <row r="1754" spans="1:2" ht="12.5" x14ac:dyDescent="0.25">
      <c r="A1754" t="str">
        <f ca="1">IFERROR(__xludf.DUMMYFUNCTION("""COMPUTED_VALUE"""),"Warendorf")</f>
        <v>Warendorf</v>
      </c>
      <c r="B1754" t="str">
        <f ca="1">IFERROR(__xludf.DUMMYFUNCTION("""COMPUTED_VALUE"""),"DEA38")</f>
        <v>DEA38</v>
      </c>
    </row>
    <row r="1755" spans="1:2" ht="12.5" x14ac:dyDescent="0.25">
      <c r="A1755" t="str">
        <f ca="1">IFERROR(__xludf.DUMMYFUNCTION("""COMPUTED_VALUE"""),"Warminsko-Mazurskie")</f>
        <v>Warminsko-Mazurskie</v>
      </c>
      <c r="B1755" t="str">
        <f ca="1">IFERROR(__xludf.DUMMYFUNCTION("""COMPUTED_VALUE"""),"PL62")</f>
        <v>PL62</v>
      </c>
    </row>
    <row r="1756" spans="1:2" ht="12.5" x14ac:dyDescent="0.25">
      <c r="A1756" t="str">
        <f ca="1">IFERROR(__xludf.DUMMYFUNCTION("""COMPUTED_VALUE"""),"Warszawski-Wschodni")</f>
        <v>Warszawski-Wschodni</v>
      </c>
      <c r="B1756" t="str">
        <f ca="1">IFERROR(__xludf.DUMMYFUNCTION("""COMPUTED_VALUE"""),"PL129")</f>
        <v>PL129</v>
      </c>
    </row>
    <row r="1757" spans="1:2" ht="12.5" x14ac:dyDescent="0.25">
      <c r="A1757" t="str">
        <f ca="1">IFERROR(__xludf.DUMMYFUNCTION("""COMPUTED_VALUE"""),"Warszawski-Zachodni")</f>
        <v>Warszawski-Zachodni</v>
      </c>
      <c r="B1757" t="str">
        <f ca="1">IFERROR(__xludf.DUMMYFUNCTION("""COMPUTED_VALUE"""),"PL12A")</f>
        <v>PL12A</v>
      </c>
    </row>
    <row r="1758" spans="1:2" ht="12.5" x14ac:dyDescent="0.25">
      <c r="A1758" t="str">
        <f ca="1">IFERROR(__xludf.DUMMYFUNCTION("""COMPUTED_VALUE"""),"Wartburgkreis")</f>
        <v>Wartburgkreis</v>
      </c>
      <c r="B1758" t="str">
        <f ca="1">IFERROR(__xludf.DUMMYFUNCTION("""COMPUTED_VALUE"""),"DEG0P")</f>
        <v>DEG0P</v>
      </c>
    </row>
    <row r="1759" spans="1:2" ht="12.5" x14ac:dyDescent="0.25">
      <c r="A1759" t="str">
        <f ca="1">IFERROR(__xludf.DUMMYFUNCTION("""COMPUTED_VALUE"""),"Warwickshire")</f>
        <v>Warwickshire</v>
      </c>
      <c r="B1759" t="str">
        <f ca="1">IFERROR(__xludf.DUMMYFUNCTION("""COMPUTED_VALUE"""),"UKG13")</f>
        <v>UKG13</v>
      </c>
    </row>
    <row r="1760" spans="1:2" ht="12.5" x14ac:dyDescent="0.25">
      <c r="A1760" t="str">
        <f ca="1">IFERROR(__xludf.DUMMYFUNCTION("""COMPUTED_VALUE"""),"Weiden I. D. Opf, Kreisfreie Stadt")</f>
        <v>Weiden I. D. Opf, Kreisfreie Stadt</v>
      </c>
      <c r="B1760" t="str">
        <f ca="1">IFERROR(__xludf.DUMMYFUNCTION("""COMPUTED_VALUE"""),"DE233")</f>
        <v>DE233</v>
      </c>
    </row>
    <row r="1761" spans="1:2" ht="12.5" x14ac:dyDescent="0.25">
      <c r="A1761" t="str">
        <f ca="1">IFERROR(__xludf.DUMMYFUNCTION("""COMPUTED_VALUE"""),"Weilheim-Schongau")</f>
        <v>Weilheim-Schongau</v>
      </c>
      <c r="B1761" t="str">
        <f ca="1">IFERROR(__xludf.DUMMYFUNCTION("""COMPUTED_VALUE"""),"DE21N")</f>
        <v>DE21N</v>
      </c>
    </row>
    <row r="1762" spans="1:2" ht="12.5" x14ac:dyDescent="0.25">
      <c r="A1762" t="str">
        <f ca="1">IFERROR(__xludf.DUMMYFUNCTION("""COMPUTED_VALUE"""),"Weimar, Kreisfreie Stadt")</f>
        <v>Weimar, Kreisfreie Stadt</v>
      </c>
      <c r="B1762" t="str">
        <f ca="1">IFERROR(__xludf.DUMMYFUNCTION("""COMPUTED_VALUE"""),"DEG05")</f>
        <v>DEG05</v>
      </c>
    </row>
    <row r="1763" spans="1:2" ht="12.5" x14ac:dyDescent="0.25">
      <c r="A1763" t="str">
        <f ca="1">IFERROR(__xludf.DUMMYFUNCTION("""COMPUTED_VALUE"""),"Weimarer Land")</f>
        <v>Weimarer Land</v>
      </c>
      <c r="B1763" t="str">
        <f ca="1">IFERROR(__xludf.DUMMYFUNCTION("""COMPUTED_VALUE"""),"DEG0G")</f>
        <v>DEG0G</v>
      </c>
    </row>
    <row r="1764" spans="1:2" ht="12.5" x14ac:dyDescent="0.25">
      <c r="A1764" t="str">
        <f ca="1">IFERROR(__xludf.DUMMYFUNCTION("""COMPUTED_VALUE"""),"Weinviertel")</f>
        <v>Weinviertel</v>
      </c>
      <c r="B1764" t="str">
        <f ca="1">IFERROR(__xludf.DUMMYFUNCTION("""COMPUTED_VALUE"""),"AT125")</f>
        <v>AT125</v>
      </c>
    </row>
    <row r="1765" spans="1:2" ht="12.5" x14ac:dyDescent="0.25">
      <c r="A1765" t="str">
        <f ca="1">IFERROR(__xludf.DUMMYFUNCTION("""COMPUTED_VALUE"""),"Weißenburg-Gunzenhausen")</f>
        <v>Weißenburg-Gunzenhausen</v>
      </c>
      <c r="B1765" t="str">
        <f ca="1">IFERROR(__xludf.DUMMYFUNCTION("""COMPUTED_VALUE"""),"DE25C")</f>
        <v>DE25C</v>
      </c>
    </row>
    <row r="1766" spans="1:2" ht="12.5" x14ac:dyDescent="0.25">
      <c r="A1766" t="str">
        <f ca="1">IFERROR(__xludf.DUMMYFUNCTION("""COMPUTED_VALUE"""),"Weißeritzkreis")</f>
        <v>Weißeritzkreis</v>
      </c>
      <c r="B1766" t="str">
        <f ca="1">IFERROR(__xludf.DUMMYFUNCTION("""COMPUTED_VALUE"""),"DED2A")</f>
        <v>DED2A</v>
      </c>
    </row>
    <row r="1767" spans="1:2" ht="12.5" x14ac:dyDescent="0.25">
      <c r="A1767" t="str">
        <f ca="1">IFERROR(__xludf.DUMMYFUNCTION("""COMPUTED_VALUE"""),"Werra-Meißner-Kreis")</f>
        <v>Werra-Meißner-Kreis</v>
      </c>
      <c r="B1767" t="str">
        <f ca="1">IFERROR(__xludf.DUMMYFUNCTION("""COMPUTED_VALUE"""),"DE737")</f>
        <v>DE737</v>
      </c>
    </row>
    <row r="1768" spans="1:2" ht="12.5" x14ac:dyDescent="0.25">
      <c r="A1768" t="str">
        <f ca="1">IFERROR(__xludf.DUMMYFUNCTION("""COMPUTED_VALUE"""),"Wesel")</f>
        <v>Wesel</v>
      </c>
      <c r="B1768" t="str">
        <f ca="1">IFERROR(__xludf.DUMMYFUNCTION("""COMPUTED_VALUE"""),"DEA1F")</f>
        <v>DEA1F</v>
      </c>
    </row>
    <row r="1769" spans="1:2" ht="12.5" x14ac:dyDescent="0.25">
      <c r="A1769" t="str">
        <f ca="1">IFERROR(__xludf.DUMMYFUNCTION("""COMPUTED_VALUE"""),"Weser-Ems")</f>
        <v>Weser-Ems</v>
      </c>
      <c r="B1769" t="str">
        <f ca="1">IFERROR(__xludf.DUMMYFUNCTION("""COMPUTED_VALUE"""),"DE94")</f>
        <v>DE94</v>
      </c>
    </row>
    <row r="1770" spans="1:2" ht="12.5" x14ac:dyDescent="0.25">
      <c r="A1770" t="str">
        <f ca="1">IFERROR(__xludf.DUMMYFUNCTION("""COMPUTED_VALUE"""),"Wesermarsch")</f>
        <v>Wesermarsch</v>
      </c>
      <c r="B1770" t="str">
        <f ca="1">IFERROR(__xludf.DUMMYFUNCTION("""COMPUTED_VALUE"""),"DE94G")</f>
        <v>DE94G</v>
      </c>
    </row>
    <row r="1771" spans="1:2" ht="12.5" x14ac:dyDescent="0.25">
      <c r="A1771" t="str">
        <f ca="1">IFERROR(__xludf.DUMMYFUNCTION("""COMPUTED_VALUE"""),"West")</f>
        <v>West</v>
      </c>
      <c r="B1771" t="str">
        <f ca="1">IFERROR(__xludf.DUMMYFUNCTION("""COMPUTED_VALUE"""),"IE013")</f>
        <v>IE013</v>
      </c>
    </row>
    <row r="1772" spans="1:2" ht="12.5" x14ac:dyDescent="0.25">
      <c r="A1772" t="str">
        <f ca="1">IFERROR(__xludf.DUMMYFUNCTION("""COMPUTED_VALUE"""),"West And South Of Northern Ireland")</f>
        <v>West And South Of Northern Ireland</v>
      </c>
      <c r="B1772" t="str">
        <f ca="1">IFERROR(__xludf.DUMMYFUNCTION("""COMPUTED_VALUE"""),"UKN05")</f>
        <v>UKN05</v>
      </c>
    </row>
    <row r="1773" spans="1:2" ht="12.5" x14ac:dyDescent="0.25">
      <c r="A1773" t="str">
        <f ca="1">IFERROR(__xludf.DUMMYFUNCTION("""COMPUTED_VALUE"""),"West Cumbria")</f>
        <v>West Cumbria</v>
      </c>
      <c r="B1773" t="str">
        <f ca="1">IFERROR(__xludf.DUMMYFUNCTION("""COMPUTED_VALUE"""),"UKD11")</f>
        <v>UKD11</v>
      </c>
    </row>
    <row r="1774" spans="1:2" ht="12.5" x14ac:dyDescent="0.25">
      <c r="A1774" t="str">
        <f ca="1">IFERROR(__xludf.DUMMYFUNCTION("""COMPUTED_VALUE"""),"West Lothian")</f>
        <v>West Lothian</v>
      </c>
      <c r="B1774" t="str">
        <f ca="1">IFERROR(__xludf.DUMMYFUNCTION("""COMPUTED_VALUE"""),"UKM28")</f>
        <v>UKM28</v>
      </c>
    </row>
    <row r="1775" spans="1:2" ht="12.5" x14ac:dyDescent="0.25">
      <c r="A1775" t="str">
        <f ca="1">IFERROR(__xludf.DUMMYFUNCTION("""COMPUTED_VALUE"""),"West Midlands")</f>
        <v>West Midlands</v>
      </c>
      <c r="B1775" t="str">
        <f ca="1">IFERROR(__xludf.DUMMYFUNCTION("""COMPUTED_VALUE"""),"UKG3")</f>
        <v>UKG3</v>
      </c>
    </row>
    <row r="1776" spans="1:2" ht="12.5" x14ac:dyDescent="0.25">
      <c r="A1776" t="str">
        <f ca="1">IFERROR(__xludf.DUMMYFUNCTION("""COMPUTED_VALUE"""),"West Midlands (England)")</f>
        <v>West Midlands (England)</v>
      </c>
      <c r="B1776" t="str">
        <f ca="1">IFERROR(__xludf.DUMMYFUNCTION("""COMPUTED_VALUE"""),"UKG")</f>
        <v>UKG</v>
      </c>
    </row>
    <row r="1777" spans="1:2" ht="12.5" x14ac:dyDescent="0.25">
      <c r="A1777" t="str">
        <f ca="1">IFERROR(__xludf.DUMMYFUNCTION("""COMPUTED_VALUE"""),"West Sussex")</f>
        <v>West Sussex</v>
      </c>
      <c r="B1777" t="str">
        <f ca="1">IFERROR(__xludf.DUMMYFUNCTION("""COMPUTED_VALUE"""),"UKJ24")</f>
        <v>UKJ24</v>
      </c>
    </row>
    <row r="1778" spans="1:2" ht="12.5" x14ac:dyDescent="0.25">
      <c r="A1778" t="str">
        <f ca="1">IFERROR(__xludf.DUMMYFUNCTION("""COMPUTED_VALUE"""),"West Wales And The Valleys")</f>
        <v>West Wales And The Valleys</v>
      </c>
      <c r="B1778" t="str">
        <f ca="1">IFERROR(__xludf.DUMMYFUNCTION("""COMPUTED_VALUE"""),"UKL1")</f>
        <v>UKL1</v>
      </c>
    </row>
    <row r="1779" spans="1:2" ht="12.5" x14ac:dyDescent="0.25">
      <c r="A1779" t="str">
        <f ca="1">IFERROR(__xludf.DUMMYFUNCTION("""COMPUTED_VALUE"""),"West Yorkshire")</f>
        <v>West Yorkshire</v>
      </c>
      <c r="B1779" t="str">
        <f ca="1">IFERROR(__xludf.DUMMYFUNCTION("""COMPUTED_VALUE"""),"UKE4")</f>
        <v>UKE4</v>
      </c>
    </row>
    <row r="1780" spans="1:2" ht="12.5" x14ac:dyDescent="0.25">
      <c r="A1780" t="str">
        <f ca="1">IFERROR(__xludf.DUMMYFUNCTION("""COMPUTED_VALUE"""),"West- Und Südsteiermark")</f>
        <v>West- Und Südsteiermark</v>
      </c>
      <c r="B1780" t="str">
        <f ca="1">IFERROR(__xludf.DUMMYFUNCTION("""COMPUTED_VALUE"""),"AT225")</f>
        <v>AT225</v>
      </c>
    </row>
    <row r="1781" spans="1:2" ht="12.5" x14ac:dyDescent="0.25">
      <c r="A1781" t="str">
        <f ca="1">IFERROR(__xludf.DUMMYFUNCTION("""COMPUTED_VALUE"""),"West-Nederland")</f>
        <v>West-Nederland</v>
      </c>
      <c r="B1781" t="str">
        <f ca="1">IFERROR(__xludf.DUMMYFUNCTION("""COMPUTED_VALUE"""),"NL3")</f>
        <v>NL3</v>
      </c>
    </row>
    <row r="1782" spans="1:2" ht="12.5" x14ac:dyDescent="0.25">
      <c r="A1782" t="str">
        <f ca="1">IFERROR(__xludf.DUMMYFUNCTION("""COMPUTED_VALUE"""),"West-Noord-Brabant")</f>
        <v>West-Noord-Brabant</v>
      </c>
      <c r="B1782" t="str">
        <f ca="1">IFERROR(__xludf.DUMMYFUNCTION("""COMPUTED_VALUE"""),"NL411")</f>
        <v>NL411</v>
      </c>
    </row>
    <row r="1783" spans="1:2" ht="12.5" x14ac:dyDescent="0.25">
      <c r="A1783" t="str">
        <f ca="1">IFERROR(__xludf.DUMMYFUNCTION("""COMPUTED_VALUE"""),"Westerwaldkreis")</f>
        <v>Westerwaldkreis</v>
      </c>
      <c r="B1783" t="str">
        <f ca="1">IFERROR(__xludf.DUMMYFUNCTION("""COMPUTED_VALUE"""),"DEB1B")</f>
        <v>DEB1B</v>
      </c>
    </row>
    <row r="1784" spans="1:2" ht="12.5" x14ac:dyDescent="0.25">
      <c r="A1784" t="str">
        <f ca="1">IFERROR(__xludf.DUMMYFUNCTION("""COMPUTED_VALUE"""),"Westliche Obersteiermark")</f>
        <v>Westliche Obersteiermark</v>
      </c>
      <c r="B1784" t="str">
        <f ca="1">IFERROR(__xludf.DUMMYFUNCTION("""COMPUTED_VALUE"""),"AT226")</f>
        <v>AT226</v>
      </c>
    </row>
    <row r="1785" spans="1:2" ht="12.5" x14ac:dyDescent="0.25">
      <c r="A1785" t="str">
        <f ca="1">IFERROR(__xludf.DUMMYFUNCTION("""COMPUTED_VALUE"""),"Westösterreich")</f>
        <v>Westösterreich</v>
      </c>
      <c r="B1785" t="str">
        <f ca="1">IFERROR(__xludf.DUMMYFUNCTION("""COMPUTED_VALUE"""),"AT3")</f>
        <v>AT3</v>
      </c>
    </row>
    <row r="1786" spans="1:2" ht="12.5" x14ac:dyDescent="0.25">
      <c r="A1786" t="str">
        <f ca="1">IFERROR(__xludf.DUMMYFUNCTION("""COMPUTED_VALUE"""),"Wetteraukreis")</f>
        <v>Wetteraukreis</v>
      </c>
      <c r="B1786" t="str">
        <f ca="1">IFERROR(__xludf.DUMMYFUNCTION("""COMPUTED_VALUE"""),"DE71E")</f>
        <v>DE71E</v>
      </c>
    </row>
    <row r="1787" spans="1:2" ht="12.5" x14ac:dyDescent="0.25">
      <c r="A1787" t="str">
        <f ca="1">IFERROR(__xludf.DUMMYFUNCTION("""COMPUTED_VALUE"""),"Wielkopolskie")</f>
        <v>Wielkopolskie</v>
      </c>
      <c r="B1787" t="str">
        <f ca="1">IFERROR(__xludf.DUMMYFUNCTION("""COMPUTED_VALUE"""),"PL41")</f>
        <v>PL41</v>
      </c>
    </row>
    <row r="1788" spans="1:2" ht="12.5" x14ac:dyDescent="0.25">
      <c r="A1788" t="str">
        <f ca="1">IFERROR(__xludf.DUMMYFUNCTION("""COMPUTED_VALUE"""),"Wien")</f>
        <v>Wien</v>
      </c>
      <c r="B1788" t="str">
        <f ca="1">IFERROR(__xludf.DUMMYFUNCTION("""COMPUTED_VALUE"""),"AT13")</f>
        <v>AT13</v>
      </c>
    </row>
    <row r="1789" spans="1:2" ht="12.5" x14ac:dyDescent="0.25">
      <c r="A1789" t="str">
        <f ca="1">IFERROR(__xludf.DUMMYFUNCTION("""COMPUTED_VALUE"""),"Wien (*)")</f>
        <v>Wien (*)</v>
      </c>
      <c r="B1789" t="str">
        <f ca="1">IFERROR(__xludf.DUMMYFUNCTION("""COMPUTED_VALUE"""),"AT130")</f>
        <v>AT130</v>
      </c>
    </row>
    <row r="1790" spans="1:2" ht="12.5" x14ac:dyDescent="0.25">
      <c r="A1790" t="str">
        <f ca="1">IFERROR(__xludf.DUMMYFUNCTION("""COMPUTED_VALUE"""),"Wiener Umland/Nordteil")</f>
        <v>Wiener Umland/Nordteil</v>
      </c>
      <c r="B1790" t="str">
        <f ca="1">IFERROR(__xludf.DUMMYFUNCTION("""COMPUTED_VALUE"""),"AT126")</f>
        <v>AT126</v>
      </c>
    </row>
    <row r="1791" spans="1:2" ht="12.5" x14ac:dyDescent="0.25">
      <c r="A1791" t="str">
        <f ca="1">IFERROR(__xludf.DUMMYFUNCTION("""COMPUTED_VALUE"""),"Wiener Umland/Südteil")</f>
        <v>Wiener Umland/Südteil</v>
      </c>
      <c r="B1791" t="str">
        <f ca="1">IFERROR(__xludf.DUMMYFUNCTION("""COMPUTED_VALUE"""),"AT127")</f>
        <v>AT127</v>
      </c>
    </row>
    <row r="1792" spans="1:2" ht="12.5" x14ac:dyDescent="0.25">
      <c r="A1792" t="str">
        <f ca="1">IFERROR(__xludf.DUMMYFUNCTION("""COMPUTED_VALUE"""),"Wiesbaden, Kreisfreie Stadt")</f>
        <v>Wiesbaden, Kreisfreie Stadt</v>
      </c>
      <c r="B1792" t="str">
        <f ca="1">IFERROR(__xludf.DUMMYFUNCTION("""COMPUTED_VALUE"""),"DE714")</f>
        <v>DE714</v>
      </c>
    </row>
    <row r="1793" spans="1:2" ht="12.5" x14ac:dyDescent="0.25">
      <c r="A1793" t="str">
        <f ca="1">IFERROR(__xludf.DUMMYFUNCTION("""COMPUTED_VALUE"""),"Wilhelmshaven, Kreisfreie Stadt")</f>
        <v>Wilhelmshaven, Kreisfreie Stadt</v>
      </c>
      <c r="B1793" t="str">
        <f ca="1">IFERROR(__xludf.DUMMYFUNCTION("""COMPUTED_VALUE"""),"DE945")</f>
        <v>DE945</v>
      </c>
    </row>
    <row r="1794" spans="1:2" ht="12.5" x14ac:dyDescent="0.25">
      <c r="A1794" t="str">
        <f ca="1">IFERROR(__xludf.DUMMYFUNCTION("""COMPUTED_VALUE"""),"Wiltshire Cc")</f>
        <v>Wiltshire Cc</v>
      </c>
      <c r="B1794" t="str">
        <f ca="1">IFERROR(__xludf.DUMMYFUNCTION("""COMPUTED_VALUE"""),"UKK15")</f>
        <v>UKK15</v>
      </c>
    </row>
    <row r="1795" spans="1:2" ht="12.5" x14ac:dyDescent="0.25">
      <c r="A1795" t="str">
        <f ca="1">IFERROR(__xludf.DUMMYFUNCTION("""COMPUTED_VALUE"""),"Wirral")</f>
        <v>Wirral</v>
      </c>
      <c r="B1795" t="str">
        <f ca="1">IFERROR(__xludf.DUMMYFUNCTION("""COMPUTED_VALUE"""),"UKD54")</f>
        <v>UKD54</v>
      </c>
    </row>
    <row r="1796" spans="1:2" ht="12.5" x14ac:dyDescent="0.25">
      <c r="A1796" t="str">
        <f ca="1">IFERROR(__xludf.DUMMYFUNCTION("""COMPUTED_VALUE"""),"Wismar, Kreisfreie Stadt")</f>
        <v>Wismar, Kreisfreie Stadt</v>
      </c>
      <c r="B1796" t="str">
        <f ca="1">IFERROR(__xludf.DUMMYFUNCTION("""COMPUTED_VALUE"""),"DE806")</f>
        <v>DE806</v>
      </c>
    </row>
    <row r="1797" spans="1:2" ht="12.5" x14ac:dyDescent="0.25">
      <c r="A1797" t="str">
        <f ca="1">IFERROR(__xludf.DUMMYFUNCTION("""COMPUTED_VALUE"""),"Wittenberg")</f>
        <v>Wittenberg</v>
      </c>
      <c r="B1797" t="str">
        <f ca="1">IFERROR(__xludf.DUMMYFUNCTION("""COMPUTED_VALUE"""),"DEE0E")</f>
        <v>DEE0E</v>
      </c>
    </row>
    <row r="1798" spans="1:2" ht="12.5" x14ac:dyDescent="0.25">
      <c r="A1798" t="str">
        <f ca="1">IFERROR(__xludf.DUMMYFUNCTION("""COMPUTED_VALUE"""),"Wittmund")</f>
        <v>Wittmund</v>
      </c>
      <c r="B1798" t="str">
        <f ca="1">IFERROR(__xludf.DUMMYFUNCTION("""COMPUTED_VALUE"""),"DE94H")</f>
        <v>DE94H</v>
      </c>
    </row>
    <row r="1799" spans="1:2" ht="12.5" x14ac:dyDescent="0.25">
      <c r="A1799" t="str">
        <f ca="1">IFERROR(__xludf.DUMMYFUNCTION("""COMPUTED_VALUE"""),"Wloclawski")</f>
        <v>Wloclawski</v>
      </c>
      <c r="B1799" t="str">
        <f ca="1">IFERROR(__xludf.DUMMYFUNCTION("""COMPUTED_VALUE"""),"PL615")</f>
        <v>PL615</v>
      </c>
    </row>
    <row r="1800" spans="1:2" ht="12.5" x14ac:dyDescent="0.25">
      <c r="A1800" t="str">
        <f ca="1">IFERROR(__xludf.DUMMYFUNCTION("""COMPUTED_VALUE"""),"Wolfenbüttel")</f>
        <v>Wolfenbüttel</v>
      </c>
      <c r="B1800" t="str">
        <f ca="1">IFERROR(__xludf.DUMMYFUNCTION("""COMPUTED_VALUE"""),"DE91B")</f>
        <v>DE91B</v>
      </c>
    </row>
    <row r="1801" spans="1:2" ht="12.5" x14ac:dyDescent="0.25">
      <c r="A1801" t="str">
        <f ca="1">IFERROR(__xludf.DUMMYFUNCTION("""COMPUTED_VALUE"""),"Wolfsburg, Kreisfreie Stadt")</f>
        <v>Wolfsburg, Kreisfreie Stadt</v>
      </c>
      <c r="B1801" t="str">
        <f ca="1">IFERROR(__xludf.DUMMYFUNCTION("""COMPUTED_VALUE"""),"DE913")</f>
        <v>DE913</v>
      </c>
    </row>
    <row r="1802" spans="1:2" ht="12.5" x14ac:dyDescent="0.25">
      <c r="A1802" t="str">
        <f ca="1">IFERROR(__xludf.DUMMYFUNCTION("""COMPUTED_VALUE"""),"Worcestershire")</f>
        <v>Worcestershire</v>
      </c>
      <c r="B1802" t="str">
        <f ca="1">IFERROR(__xludf.DUMMYFUNCTION("""COMPUTED_VALUE"""),"UKG12")</f>
        <v>UKG12</v>
      </c>
    </row>
    <row r="1803" spans="1:2" ht="12.5" x14ac:dyDescent="0.25">
      <c r="A1803" t="str">
        <f ca="1">IFERROR(__xludf.DUMMYFUNCTION("""COMPUTED_VALUE"""),"Worms, Kreisfreie Stadt")</f>
        <v>Worms, Kreisfreie Stadt</v>
      </c>
      <c r="B1803" t="str">
        <f ca="1">IFERROR(__xludf.DUMMYFUNCTION("""COMPUTED_VALUE"""),"DEB39")</f>
        <v>DEB39</v>
      </c>
    </row>
    <row r="1804" spans="1:2" ht="12.5" x14ac:dyDescent="0.25">
      <c r="A1804" t="str">
        <f ca="1">IFERROR(__xludf.DUMMYFUNCTION("""COMPUTED_VALUE"""),"Wroclawski")</f>
        <v>Wroclawski</v>
      </c>
      <c r="B1804" t="str">
        <f ca="1">IFERROR(__xludf.DUMMYFUNCTION("""COMPUTED_VALUE"""),"PL518")</f>
        <v>PL518</v>
      </c>
    </row>
    <row r="1805" spans="1:2" ht="12.5" x14ac:dyDescent="0.25">
      <c r="A1805" t="str">
        <f ca="1">IFERROR(__xludf.DUMMYFUNCTION("""COMPUTED_VALUE"""),"Wunsiedel I. Fichtelgebirge")</f>
        <v>Wunsiedel I. Fichtelgebirge</v>
      </c>
      <c r="B1805" t="str">
        <f ca="1">IFERROR(__xludf.DUMMYFUNCTION("""COMPUTED_VALUE"""),"DE24D")</f>
        <v>DE24D</v>
      </c>
    </row>
    <row r="1806" spans="1:2" ht="12.5" x14ac:dyDescent="0.25">
      <c r="A1806" t="str">
        <f ca="1">IFERROR(__xludf.DUMMYFUNCTION("""COMPUTED_VALUE"""),"Wuppertal, Kreisfreie Stadt")</f>
        <v>Wuppertal, Kreisfreie Stadt</v>
      </c>
      <c r="B1806" t="str">
        <f ca="1">IFERROR(__xludf.DUMMYFUNCTION("""COMPUTED_VALUE"""),"DEA1A")</f>
        <v>DEA1A</v>
      </c>
    </row>
    <row r="1807" spans="1:2" ht="12.5" x14ac:dyDescent="0.25">
      <c r="A1807" t="str">
        <f ca="1">IFERROR(__xludf.DUMMYFUNCTION("""COMPUTED_VALUE"""),"Würzburg, Kreisfreie Stadt")</f>
        <v>Würzburg, Kreisfreie Stadt</v>
      </c>
      <c r="B1807" t="str">
        <f ca="1">IFERROR(__xludf.DUMMYFUNCTION("""COMPUTED_VALUE"""),"DE263")</f>
        <v>DE263</v>
      </c>
    </row>
    <row r="1808" spans="1:2" ht="12.5" x14ac:dyDescent="0.25">
      <c r="A1808" t="str">
        <f ca="1">IFERROR(__xludf.DUMMYFUNCTION("""COMPUTED_VALUE"""),"Würzburg, Landkreis")</f>
        <v>Würzburg, Landkreis</v>
      </c>
      <c r="B1808" t="str">
        <f ca="1">IFERROR(__xludf.DUMMYFUNCTION("""COMPUTED_VALUE"""),"DE26C")</f>
        <v>DE26C</v>
      </c>
    </row>
    <row r="1809" spans="1:2" ht="12.5" x14ac:dyDescent="0.25">
      <c r="A1809" t="str">
        <f ca="1">IFERROR(__xludf.DUMMYFUNCTION("""COMPUTED_VALUE"""),"Xanthi")</f>
        <v>Xanthi</v>
      </c>
      <c r="B1809" t="str">
        <f ca="1">IFERROR(__xludf.DUMMYFUNCTION("""COMPUTED_VALUE"""),"GR112")</f>
        <v>GR112</v>
      </c>
    </row>
    <row r="1810" spans="1:2" ht="12.5" x14ac:dyDescent="0.25">
      <c r="A1810" t="str">
        <f ca="1">IFERROR(__xludf.DUMMYFUNCTION("""COMPUTED_VALUE"""),"Yambol")</f>
        <v>Yambol</v>
      </c>
      <c r="B1810" t="str">
        <f ca="1">IFERROR(__xludf.DUMMYFUNCTION("""COMPUTED_VALUE"""),"BG343")</f>
        <v>BG343</v>
      </c>
    </row>
    <row r="1811" spans="1:2" ht="12.5" x14ac:dyDescent="0.25">
      <c r="A1811" t="str">
        <f ca="1">IFERROR(__xludf.DUMMYFUNCTION("""COMPUTED_VALUE"""),"Yonne")</f>
        <v>Yonne</v>
      </c>
      <c r="B1811" t="str">
        <f ca="1">IFERROR(__xludf.DUMMYFUNCTION("""COMPUTED_VALUE"""),"FR264")</f>
        <v>FR264</v>
      </c>
    </row>
    <row r="1812" spans="1:2" ht="12.5" x14ac:dyDescent="0.25">
      <c r="A1812" t="str">
        <f ca="1">IFERROR(__xludf.DUMMYFUNCTION("""COMPUTED_VALUE"""),"York")</f>
        <v>York</v>
      </c>
      <c r="B1812" t="str">
        <f ca="1">IFERROR(__xludf.DUMMYFUNCTION("""COMPUTED_VALUE"""),"UKE21")</f>
        <v>UKE21</v>
      </c>
    </row>
    <row r="1813" spans="1:2" ht="12.5" x14ac:dyDescent="0.25">
      <c r="A1813" t="str">
        <f ca="1">IFERROR(__xludf.DUMMYFUNCTION("""COMPUTED_VALUE"""),"Yorkshire And The Humber")</f>
        <v>Yorkshire And The Humber</v>
      </c>
      <c r="B1813" t="str">
        <f ca="1">IFERROR(__xludf.DUMMYFUNCTION("""COMPUTED_VALUE"""),"UKE")</f>
        <v>UKE</v>
      </c>
    </row>
    <row r="1814" spans="1:2" ht="12.5" x14ac:dyDescent="0.25">
      <c r="A1814" t="str">
        <f ca="1">IFERROR(__xludf.DUMMYFUNCTION("""COMPUTED_VALUE"""),"Yugoiztochen")</f>
        <v>Yugoiztochen</v>
      </c>
      <c r="B1814" t="str">
        <f ca="1">IFERROR(__xludf.DUMMYFUNCTION("""COMPUTED_VALUE"""),"BG34")</f>
        <v>BG34</v>
      </c>
    </row>
    <row r="1815" spans="1:2" ht="12.5" x14ac:dyDescent="0.25">
      <c r="A1815" t="str">
        <f ca="1">IFERROR(__xludf.DUMMYFUNCTION("""COMPUTED_VALUE"""),"Yugozapaden")</f>
        <v>Yugozapaden</v>
      </c>
      <c r="B1815" t="str">
        <f ca="1">IFERROR(__xludf.DUMMYFUNCTION("""COMPUTED_VALUE"""),"BG41")</f>
        <v>BG41</v>
      </c>
    </row>
    <row r="1816" spans="1:2" ht="12.5" x14ac:dyDescent="0.25">
      <c r="A1816" t="str">
        <f ca="1">IFERROR(__xludf.DUMMYFUNCTION("""COMPUTED_VALUE"""),"Yugozapadna I Yuzhna Tsentralna Bulgaria")</f>
        <v>Yugozapadna I Yuzhna Tsentralna Bulgaria</v>
      </c>
      <c r="B1816" t="str">
        <f ca="1">IFERROR(__xludf.DUMMYFUNCTION("""COMPUTED_VALUE"""),"BG4")</f>
        <v>BG4</v>
      </c>
    </row>
    <row r="1817" spans="1:2" ht="12.5" x14ac:dyDescent="0.25">
      <c r="A1817" t="str">
        <f ca="1">IFERROR(__xludf.DUMMYFUNCTION("""COMPUTED_VALUE"""),"Yuzhen Tsentralen")</f>
        <v>Yuzhen Tsentralen</v>
      </c>
      <c r="B1817" t="str">
        <f ca="1">IFERROR(__xludf.DUMMYFUNCTION("""COMPUTED_VALUE"""),"BG42")</f>
        <v>BG42</v>
      </c>
    </row>
    <row r="1818" spans="1:2" ht="12.5" x14ac:dyDescent="0.25">
      <c r="A1818" t="str">
        <f ca="1">IFERROR(__xludf.DUMMYFUNCTION("""COMPUTED_VALUE"""),"Yvelines")</f>
        <v>Yvelines</v>
      </c>
      <c r="B1818" t="str">
        <f ca="1">IFERROR(__xludf.DUMMYFUNCTION("""COMPUTED_VALUE"""),"FR103")</f>
        <v>FR103</v>
      </c>
    </row>
    <row r="1819" spans="1:2" ht="12.5" x14ac:dyDescent="0.25">
      <c r="A1819" t="str">
        <f ca="1">IFERROR(__xludf.DUMMYFUNCTION("""COMPUTED_VALUE"""),"Zaanstreek")</f>
        <v>Zaanstreek</v>
      </c>
      <c r="B1819" t="str">
        <f ca="1">IFERROR(__xludf.DUMMYFUNCTION("""COMPUTED_VALUE"""),"NL325")</f>
        <v>NL325</v>
      </c>
    </row>
    <row r="1820" spans="1:2" ht="12.5" x14ac:dyDescent="0.25">
      <c r="A1820" t="str">
        <f ca="1">IFERROR(__xludf.DUMMYFUNCTION("""COMPUTED_VALUE"""),"Zachodniopomorskie")</f>
        <v>Zachodniopomorskie</v>
      </c>
      <c r="B1820" t="str">
        <f ca="1">IFERROR(__xludf.DUMMYFUNCTION("""COMPUTED_VALUE"""),"PL42")</f>
        <v>PL42</v>
      </c>
    </row>
    <row r="1821" spans="1:2" ht="12.5" x14ac:dyDescent="0.25">
      <c r="A1821" t="str">
        <f ca="1">IFERROR(__xludf.DUMMYFUNCTION("""COMPUTED_VALUE"""),"Zahodna Slovenija")</f>
        <v>Zahodna Slovenija</v>
      </c>
      <c r="B1821" t="str">
        <f ca="1">IFERROR(__xludf.DUMMYFUNCTION("""COMPUTED_VALUE"""),"SI02")</f>
        <v>SI02</v>
      </c>
    </row>
    <row r="1822" spans="1:2" ht="12.5" x14ac:dyDescent="0.25">
      <c r="A1822" t="str">
        <f ca="1">IFERROR(__xludf.DUMMYFUNCTION("""COMPUTED_VALUE"""),"Zakynthos")</f>
        <v>Zakynthos</v>
      </c>
      <c r="B1822" t="str">
        <f ca="1">IFERROR(__xludf.DUMMYFUNCTION("""COMPUTED_VALUE"""),"GR221")</f>
        <v>GR221</v>
      </c>
    </row>
    <row r="1823" spans="1:2" ht="12.5" x14ac:dyDescent="0.25">
      <c r="A1823" t="str">
        <f ca="1">IFERROR(__xludf.DUMMYFUNCTION("""COMPUTED_VALUE"""),"Zala")</f>
        <v>Zala</v>
      </c>
      <c r="B1823" t="str">
        <f ca="1">IFERROR(__xludf.DUMMYFUNCTION("""COMPUTED_VALUE"""),"HU223")</f>
        <v>HU223</v>
      </c>
    </row>
    <row r="1824" spans="1:2" ht="12.5" x14ac:dyDescent="0.25">
      <c r="A1824" t="str">
        <f ca="1">IFERROR(__xludf.DUMMYFUNCTION("""COMPUTED_VALUE"""),"Zamora")</f>
        <v>Zamora</v>
      </c>
      <c r="B1824" t="str">
        <f ca="1">IFERROR(__xludf.DUMMYFUNCTION("""COMPUTED_VALUE"""),"ES419")</f>
        <v>ES419</v>
      </c>
    </row>
    <row r="1825" spans="1:2" ht="12.5" x14ac:dyDescent="0.25">
      <c r="A1825" t="str">
        <f ca="1">IFERROR(__xludf.DUMMYFUNCTION("""COMPUTED_VALUE"""),"Zapadne Slovensko")</f>
        <v>Zapadne Slovensko</v>
      </c>
      <c r="B1825" t="str">
        <f ca="1">IFERROR(__xludf.DUMMYFUNCTION("""COMPUTED_VALUE"""),"SK02")</f>
        <v>SK02</v>
      </c>
    </row>
    <row r="1826" spans="1:2" ht="12.5" x14ac:dyDescent="0.25">
      <c r="A1826" t="str">
        <f ca="1">IFERROR(__xludf.DUMMYFUNCTION("""COMPUTED_VALUE"""),"Zaragoza")</f>
        <v>Zaragoza</v>
      </c>
      <c r="B1826" t="str">
        <f ca="1">IFERROR(__xludf.DUMMYFUNCTION("""COMPUTED_VALUE"""),"ES243")</f>
        <v>ES243</v>
      </c>
    </row>
    <row r="1827" spans="1:2" ht="12.5" x14ac:dyDescent="0.25">
      <c r="A1827" t="str">
        <f ca="1">IFERROR(__xludf.DUMMYFUNCTION("""COMPUTED_VALUE"""),"Zasavska")</f>
        <v>Zasavska</v>
      </c>
      <c r="B1827" t="str">
        <f ca="1">IFERROR(__xludf.DUMMYFUNCTION("""COMPUTED_VALUE"""),"SI015")</f>
        <v>SI015</v>
      </c>
    </row>
    <row r="1828" spans="1:2" ht="12.5" x14ac:dyDescent="0.25">
      <c r="A1828" t="str">
        <f ca="1">IFERROR(__xludf.DUMMYFUNCTION("""COMPUTED_VALUE"""),"Zeeland")</f>
        <v>Zeeland</v>
      </c>
      <c r="B1828" t="str">
        <f ca="1">IFERROR(__xludf.DUMMYFUNCTION("""COMPUTED_VALUE"""),"NL34")</f>
        <v>NL34</v>
      </c>
    </row>
    <row r="1829" spans="1:2" ht="12.5" x14ac:dyDescent="0.25">
      <c r="A1829" t="str">
        <f ca="1">IFERROR(__xludf.DUMMYFUNCTION("""COMPUTED_VALUE"""),"Zeeuwsch-Vlaanderen")</f>
        <v>Zeeuwsch-Vlaanderen</v>
      </c>
      <c r="B1829" t="str">
        <f ca="1">IFERROR(__xludf.DUMMYFUNCTION("""COMPUTED_VALUE"""),"NL341")</f>
        <v>NL341</v>
      </c>
    </row>
    <row r="1830" spans="1:2" ht="12.5" x14ac:dyDescent="0.25">
      <c r="A1830" t="str">
        <f ca="1">IFERROR(__xludf.DUMMYFUNCTION("""COMPUTED_VALUE"""),"Zemgale")</f>
        <v>Zemgale</v>
      </c>
      <c r="B1830" t="str">
        <f ca="1">IFERROR(__xludf.DUMMYFUNCTION("""COMPUTED_VALUE"""),"LV009")</f>
        <v>LV009</v>
      </c>
    </row>
    <row r="1831" spans="1:2" ht="12.5" x14ac:dyDescent="0.25">
      <c r="A1831" t="str">
        <f ca="1">IFERROR(__xludf.DUMMYFUNCTION("""COMPUTED_VALUE"""),"Zentralschweiz")</f>
        <v>Zentralschweiz</v>
      </c>
      <c r="B1831" t="str">
        <f ca="1">IFERROR(__xludf.DUMMYFUNCTION("""COMPUTED_VALUE"""),"CH06")</f>
        <v>CH06</v>
      </c>
    </row>
    <row r="1832" spans="1:2" ht="12.5" x14ac:dyDescent="0.25">
      <c r="A1832" t="str">
        <f ca="1">IFERROR(__xludf.DUMMYFUNCTION("""COMPUTED_VALUE"""),"Zielonogorski")</f>
        <v>Zielonogorski</v>
      </c>
      <c r="B1832" t="str">
        <f ca="1">IFERROR(__xludf.DUMMYFUNCTION("""COMPUTED_VALUE"""),"PL432")</f>
        <v>PL432</v>
      </c>
    </row>
    <row r="1833" spans="1:2" ht="12.5" x14ac:dyDescent="0.25">
      <c r="A1833" t="str">
        <f ca="1">IFERROR(__xludf.DUMMYFUNCTION("""COMPUTED_VALUE"""),"Zilinsky Kraj")</f>
        <v>Zilinsky Kraj</v>
      </c>
      <c r="B1833" t="str">
        <f ca="1">IFERROR(__xludf.DUMMYFUNCTION("""COMPUTED_VALUE"""),"SK031")</f>
        <v>SK031</v>
      </c>
    </row>
    <row r="1834" spans="1:2" ht="12.5" x14ac:dyDescent="0.25">
      <c r="A1834" t="str">
        <f ca="1">IFERROR(__xludf.DUMMYFUNCTION("""COMPUTED_VALUE"""),"Zlinsky Kraj")</f>
        <v>Zlinsky Kraj</v>
      </c>
      <c r="B1834" t="str">
        <f ca="1">IFERROR(__xludf.DUMMYFUNCTION("""COMPUTED_VALUE"""),"CZ072")</f>
        <v>CZ072</v>
      </c>
    </row>
    <row r="1835" spans="1:2" ht="12.5" x14ac:dyDescent="0.25">
      <c r="A1835" t="str">
        <f ca="1">IFERROR(__xludf.DUMMYFUNCTION("""COMPUTED_VALUE"""),"Zollernalbkreis")</f>
        <v>Zollernalbkreis</v>
      </c>
      <c r="B1835" t="str">
        <f ca="1">IFERROR(__xludf.DUMMYFUNCTION("""COMPUTED_VALUE"""),"DE143")</f>
        <v>DE143</v>
      </c>
    </row>
    <row r="1836" spans="1:2" ht="12.5" x14ac:dyDescent="0.25">
      <c r="A1836" t="str">
        <f ca="1">IFERROR(__xludf.DUMMYFUNCTION("""COMPUTED_VALUE"""),"Zug")</f>
        <v>Zug</v>
      </c>
      <c r="B1836" t="str">
        <f ca="1">IFERROR(__xludf.DUMMYFUNCTION("""COMPUTED_VALUE"""),"CH066")</f>
        <v>CH066</v>
      </c>
    </row>
    <row r="1837" spans="1:2" ht="12.5" x14ac:dyDescent="0.25">
      <c r="A1837" t="str">
        <f ca="1">IFERROR(__xludf.DUMMYFUNCTION("""COMPUTED_VALUE"""),"Zuid-Holland")</f>
        <v>Zuid-Holland</v>
      </c>
      <c r="B1837" t="str">
        <f ca="1">IFERROR(__xludf.DUMMYFUNCTION("""COMPUTED_VALUE"""),"NL33")</f>
        <v>NL33</v>
      </c>
    </row>
    <row r="1838" spans="1:2" ht="12.5" x14ac:dyDescent="0.25">
      <c r="A1838" t="str">
        <f ca="1">IFERROR(__xludf.DUMMYFUNCTION("""COMPUTED_VALUE"""),"Zuid-Limburg")</f>
        <v>Zuid-Limburg</v>
      </c>
      <c r="B1838" t="str">
        <f ca="1">IFERROR(__xludf.DUMMYFUNCTION("""COMPUTED_VALUE"""),"NL423")</f>
        <v>NL423</v>
      </c>
    </row>
    <row r="1839" spans="1:2" ht="12.5" x14ac:dyDescent="0.25">
      <c r="A1839" t="str">
        <f ca="1">IFERROR(__xludf.DUMMYFUNCTION("""COMPUTED_VALUE"""),"Zuid-Nederland")</f>
        <v>Zuid-Nederland</v>
      </c>
      <c r="B1839" t="str">
        <f ca="1">IFERROR(__xludf.DUMMYFUNCTION("""COMPUTED_VALUE"""),"NL4")</f>
        <v>NL4</v>
      </c>
    </row>
    <row r="1840" spans="1:2" ht="12.5" x14ac:dyDescent="0.25">
      <c r="A1840" t="str">
        <f ca="1">IFERROR(__xludf.DUMMYFUNCTION("""COMPUTED_VALUE"""),"Zuidoost-Drenthe")</f>
        <v>Zuidoost-Drenthe</v>
      </c>
      <c r="B1840" t="str">
        <f ca="1">IFERROR(__xludf.DUMMYFUNCTION("""COMPUTED_VALUE"""),"NL132")</f>
        <v>NL132</v>
      </c>
    </row>
    <row r="1841" spans="1:2" ht="12.5" x14ac:dyDescent="0.25">
      <c r="A1841" t="str">
        <f ca="1">IFERROR(__xludf.DUMMYFUNCTION("""COMPUTED_VALUE"""),"Zuidoost-Friesland")</f>
        <v>Zuidoost-Friesland</v>
      </c>
      <c r="B1841" t="str">
        <f ca="1">IFERROR(__xludf.DUMMYFUNCTION("""COMPUTED_VALUE"""),"NL123")</f>
        <v>NL123</v>
      </c>
    </row>
    <row r="1842" spans="1:2" ht="12.5" x14ac:dyDescent="0.25">
      <c r="A1842" t="str">
        <f ca="1">IFERROR(__xludf.DUMMYFUNCTION("""COMPUTED_VALUE"""),"Zuidoost-Noord-Brabant")</f>
        <v>Zuidoost-Noord-Brabant</v>
      </c>
      <c r="B1842" t="str">
        <f ca="1">IFERROR(__xludf.DUMMYFUNCTION("""COMPUTED_VALUE"""),"NL414")</f>
        <v>NL414</v>
      </c>
    </row>
    <row r="1843" spans="1:2" ht="12.5" x14ac:dyDescent="0.25">
      <c r="A1843" t="str">
        <f ca="1">IFERROR(__xludf.DUMMYFUNCTION("""COMPUTED_VALUE"""),"Zuidoost-Zuid-Holland")</f>
        <v>Zuidoost-Zuid-Holland</v>
      </c>
      <c r="B1843" t="str">
        <f ca="1">IFERROR(__xludf.DUMMYFUNCTION("""COMPUTED_VALUE"""),"NL336")</f>
        <v>NL336</v>
      </c>
    </row>
    <row r="1844" spans="1:2" ht="12.5" x14ac:dyDescent="0.25">
      <c r="A1844" t="str">
        <f ca="1">IFERROR(__xludf.DUMMYFUNCTION("""COMPUTED_VALUE"""),"Zuidwest-Drenthe")</f>
        <v>Zuidwest-Drenthe</v>
      </c>
      <c r="B1844" t="str">
        <f ca="1">IFERROR(__xludf.DUMMYFUNCTION("""COMPUTED_VALUE"""),"NL133")</f>
        <v>NL133</v>
      </c>
    </row>
    <row r="1845" spans="1:2" ht="12.5" x14ac:dyDescent="0.25">
      <c r="A1845" t="str">
        <f ca="1">IFERROR(__xludf.DUMMYFUNCTION("""COMPUTED_VALUE"""),"Zuidwest-Friesland")</f>
        <v>Zuidwest-Friesland</v>
      </c>
      <c r="B1845" t="str">
        <f ca="1">IFERROR(__xludf.DUMMYFUNCTION("""COMPUTED_VALUE"""),"NL122")</f>
        <v>NL122</v>
      </c>
    </row>
    <row r="1846" spans="1:2" ht="12.5" x14ac:dyDescent="0.25">
      <c r="A1846" t="str">
        <f ca="1">IFERROR(__xludf.DUMMYFUNCTION("""COMPUTED_VALUE"""),"Zuidwest-Gelderland")</f>
        <v>Zuidwest-Gelderland</v>
      </c>
      <c r="B1846" t="str">
        <f ca="1">IFERROR(__xludf.DUMMYFUNCTION("""COMPUTED_VALUE"""),"NL224")</f>
        <v>NL224</v>
      </c>
    </row>
    <row r="1847" spans="1:2" ht="12.5" x14ac:dyDescent="0.25">
      <c r="A1847" t="str">
        <f ca="1">IFERROR(__xludf.DUMMYFUNCTION("""COMPUTED_VALUE"""),"Zuidwest-Overijssel")</f>
        <v>Zuidwest-Overijssel</v>
      </c>
      <c r="B1847" t="str">
        <f ca="1">IFERROR(__xludf.DUMMYFUNCTION("""COMPUTED_VALUE"""),"NL212")</f>
        <v>NL212</v>
      </c>
    </row>
    <row r="1848" spans="1:2" ht="12.5" x14ac:dyDescent="0.25">
      <c r="A1848" t="str">
        <f ca="1">IFERROR(__xludf.DUMMYFUNCTION("""COMPUTED_VALUE"""),"Zürich")</f>
        <v>Zürich</v>
      </c>
      <c r="B1848" t="str">
        <f ca="1">IFERROR(__xludf.DUMMYFUNCTION("""COMPUTED_VALUE"""),"CH04")</f>
        <v>CH04</v>
      </c>
    </row>
    <row r="1849" spans="1:2" ht="12.5" x14ac:dyDescent="0.25">
      <c r="A1849" t="str">
        <f ca="1">IFERROR(__xludf.DUMMYFUNCTION("""COMPUTED_VALUE"""),"Zürich (*)")</f>
        <v>Zürich (*)</v>
      </c>
      <c r="B1849" t="str">
        <f ca="1">IFERROR(__xludf.DUMMYFUNCTION("""COMPUTED_VALUE"""),"CH040")</f>
        <v>CH040</v>
      </c>
    </row>
    <row r="1850" spans="1:2" ht="12.5" x14ac:dyDescent="0.25">
      <c r="A1850" t="str">
        <f ca="1">IFERROR(__xludf.DUMMYFUNCTION("""COMPUTED_VALUE"""),"Zweibrücken, Kreisfreie Stadt")</f>
        <v>Zweibrücken, Kreisfreie Stadt</v>
      </c>
      <c r="B1850" t="str">
        <f ca="1">IFERROR(__xludf.DUMMYFUNCTION("""COMPUTED_VALUE"""),"DEB3A")</f>
        <v>DEB3A</v>
      </c>
    </row>
    <row r="1851" spans="1:2" ht="12.5" x14ac:dyDescent="0.25">
      <c r="A1851" t="str">
        <f ca="1">IFERROR(__xludf.DUMMYFUNCTION("""COMPUTED_VALUE"""),"Zwickau, Kreisfreie Stadt")</f>
        <v>Zwickau, Kreisfreie Stadt</v>
      </c>
      <c r="B1851" t="str">
        <f ca="1">IFERROR(__xludf.DUMMYFUNCTION("""COMPUTED_VALUE"""),"DED13")</f>
        <v>DED13</v>
      </c>
    </row>
    <row r="1852" spans="1:2" ht="12.5" x14ac:dyDescent="0.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x14ac:dyDescent="0.25">
      <c r="A2" t="str">
        <f ca="1">IFERROR(__xludf.DUMMYFUNCTION("""COMPUTED_VALUE"""),"Aluminium foil - aluminium sheet")</f>
        <v>Aluminium foil - aluminium sheet</v>
      </c>
      <c r="B2" t="str">
        <f ca="1">IFERROR(__xludf.DUMMYFUNCTION("""COMPUTED_VALUE"""),"H510A")</f>
        <v>H510A</v>
      </c>
    </row>
    <row r="3" spans="1:3" ht="12.5" x14ac:dyDescent="0.25">
      <c r="A3" t="str">
        <f ca="1">IFERROR(__xludf.DUMMYFUNCTION("""COMPUTED_VALUE"""),"Artificial casing")</f>
        <v>Artificial casing</v>
      </c>
      <c r="B3" t="str">
        <f ca="1">IFERROR(__xludf.DUMMYFUNCTION("""COMPUTED_VALUE"""),"H066A")</f>
        <v>H066A</v>
      </c>
    </row>
    <row r="4" spans="1:3" ht="12.5" x14ac:dyDescent="0.25">
      <c r="A4" t="str">
        <f ca="1">IFERROR(__xludf.DUMMYFUNCTION("""COMPUTED_VALUE"""),"Artificial fibre fabric")</f>
        <v>Artificial fibre fabric</v>
      </c>
      <c r="B4" t="str">
        <f ca="1">IFERROR(__xludf.DUMMYFUNCTION("""COMPUTED_VALUE"""),"H032A")</f>
        <v>H032A</v>
      </c>
    </row>
    <row r="5" spans="1:3" ht="12.5" x14ac:dyDescent="0.25">
      <c r="A5" t="str">
        <f ca="1">IFERROR(__xludf.DUMMYFUNCTION("""COMPUTED_VALUE"""),"Blister (film)")</f>
        <v>Blister (film)</v>
      </c>
      <c r="B5" t="str">
        <f ca="1">IFERROR(__xludf.DUMMYFUNCTION("""COMPUTED_VALUE"""),"H600A")</f>
        <v>H600A</v>
      </c>
    </row>
    <row r="6" spans="1:3" ht="12.5" x14ac:dyDescent="0.25">
      <c r="A6" t="str">
        <f ca="1">IFERROR(__xludf.DUMMYFUNCTION("""COMPUTED_VALUE"""),"Cardboard - paperboard")</f>
        <v>Cardboard - paperboard</v>
      </c>
      <c r="B6" t="str">
        <f ca="1">IFERROR(__xludf.DUMMYFUNCTION("""COMPUTED_VALUE"""),"H012A")</f>
        <v>H012A</v>
      </c>
    </row>
    <row r="7" spans="1:3" ht="12.5" x14ac:dyDescent="0.25">
      <c r="A7" t="str">
        <f ca="1">IFERROR(__xludf.DUMMYFUNCTION("""COMPUTED_VALUE"""),"Cellophane")</f>
        <v>Cellophane</v>
      </c>
      <c r="B7" t="str">
        <f ca="1">IFERROR(__xludf.DUMMYFUNCTION("""COMPUTED_VALUE"""),"H011A")</f>
        <v>H011A</v>
      </c>
    </row>
    <row r="8" spans="1:3" ht="12.5" x14ac:dyDescent="0.25">
      <c r="A8" t="str">
        <f ca="1">IFERROR(__xludf.DUMMYFUNCTION("""COMPUTED_VALUE"""),"Combined aluminium and film packaging")</f>
        <v>Combined aluminium and film packaging</v>
      </c>
      <c r="B8" t="str">
        <f ca="1">IFERROR(__xludf.DUMMYFUNCTION("""COMPUTED_VALUE"""),"H161A")</f>
        <v>H161A</v>
      </c>
    </row>
    <row r="9" spans="1:3" ht="12.5" x14ac:dyDescent="0.25">
      <c r="A9" t="str">
        <f ca="1">IFERROR(__xludf.DUMMYFUNCTION("""COMPUTED_VALUE"""),"Combined material")</f>
        <v>Combined material</v>
      </c>
      <c r="B9" t="str">
        <f ca="1">IFERROR(__xludf.DUMMYFUNCTION("""COMPUTED_VALUE"""),"H150A")</f>
        <v>H150A</v>
      </c>
    </row>
    <row r="10" spans="1:3" ht="12.5" x14ac:dyDescent="0.25">
      <c r="A10" t="str">
        <f ca="1">IFERROR(__xludf.DUMMYFUNCTION("""COMPUTED_VALUE"""),"Combined paper and film packaging")</f>
        <v>Combined paper and film packaging</v>
      </c>
      <c r="B10" t="str">
        <f ca="1">IFERROR(__xludf.DUMMYFUNCTION("""COMPUTED_VALUE"""),"H160A")</f>
        <v>H160A</v>
      </c>
    </row>
    <row r="11" spans="1:3" ht="12.5" x14ac:dyDescent="0.25">
      <c r="A11" t="str">
        <f ca="1">IFERROR(__xludf.DUMMYFUNCTION("""COMPUTED_VALUE"""),"Combined styropor and film packaging")</f>
        <v>Combined styropor and film packaging</v>
      </c>
      <c r="B11" t="str">
        <f ca="1">IFERROR(__xludf.DUMMYFUNCTION("""COMPUTED_VALUE"""),"H162A")</f>
        <v>H162A</v>
      </c>
    </row>
    <row r="12" spans="1:3" ht="12.5" x14ac:dyDescent="0.25">
      <c r="A12" t="str">
        <f ca="1">IFERROR(__xludf.DUMMYFUNCTION("""COMPUTED_VALUE"""),"Fabric - textile material")</f>
        <v>Fabric - textile material</v>
      </c>
      <c r="B12" t="str">
        <f ca="1">IFERROR(__xludf.DUMMYFUNCTION("""COMPUTED_VALUE"""),"H030A")</f>
        <v>H030A</v>
      </c>
    </row>
    <row r="13" spans="1:3" ht="12.5" x14ac:dyDescent="0.25">
      <c r="A13" t="str">
        <f ca="1">IFERROR(__xludf.DUMMYFUNCTION("""COMPUTED_VALUE"""),"Glass")</f>
        <v>Glass</v>
      </c>
      <c r="B13" t="str">
        <f ca="1">IFERROR(__xludf.DUMMYFUNCTION("""COMPUTED_VALUE"""),"H200A")</f>
        <v>H200A</v>
      </c>
    </row>
    <row r="14" spans="1:3" ht="12.5" x14ac:dyDescent="0.25">
      <c r="A14" t="str">
        <f ca="1">IFERROR(__xludf.DUMMYFUNCTION("""COMPUTED_VALUE"""),"High-grade steel or stainless steel or: Fine steel")</f>
        <v>High-grade steel or stainless steel or: Fine steel</v>
      </c>
      <c r="B14" t="str">
        <f ca="1">IFERROR(__xludf.DUMMYFUNCTION("""COMPUTED_VALUE"""),"H534A")</f>
        <v>H534A</v>
      </c>
    </row>
    <row r="15" spans="1:3" ht="12.5" x14ac:dyDescent="0.25">
      <c r="A15" t="str">
        <f ca="1">IFERROR(__xludf.DUMMYFUNCTION("""COMPUTED_VALUE"""),"Jute")</f>
        <v>Jute</v>
      </c>
      <c r="B15" t="str">
        <f ca="1">IFERROR(__xludf.DUMMYFUNCTION("""COMPUTED_VALUE"""),"H034A")</f>
        <v>H034A</v>
      </c>
    </row>
    <row r="16" spans="1:3" ht="12.5" x14ac:dyDescent="0.25">
      <c r="A16" t="str">
        <f ca="1">IFERROR(__xludf.DUMMYFUNCTION("""COMPUTED_VALUE"""),"Laminated film; composite film")</f>
        <v>Laminated film; composite film</v>
      </c>
      <c r="B16" t="str">
        <f ca="1">IFERROR(__xludf.DUMMYFUNCTION("""COMPUTED_VALUE"""),"H151A")</f>
        <v>H151A</v>
      </c>
    </row>
    <row r="17" spans="1:2" ht="12.5" x14ac:dyDescent="0.25">
      <c r="A17" t="str">
        <f ca="1">IFERROR(__xludf.DUMMYFUNCTION("""COMPUTED_VALUE"""),"Metal")</f>
        <v>Metal</v>
      </c>
      <c r="B17" t="str">
        <f ca="1">IFERROR(__xludf.DUMMYFUNCTION("""COMPUTED_VALUE"""),"H500A")</f>
        <v>H500A</v>
      </c>
    </row>
    <row r="18" spans="1:2" ht="12.5" x14ac:dyDescent="0.25">
      <c r="A18" t="str">
        <f ca="1">IFERROR(__xludf.DUMMYFUNCTION("""COMPUTED_VALUE"""),"Metal alloy")</f>
        <v>Metal alloy</v>
      </c>
      <c r="B18" t="str">
        <f ca="1">IFERROR(__xludf.DUMMYFUNCTION("""COMPUTED_VALUE"""),"H501A")</f>
        <v>H501A</v>
      </c>
    </row>
    <row r="19" spans="1:2" ht="12.5" x14ac:dyDescent="0.25">
      <c r="A19" t="str">
        <f ca="1">IFERROR(__xludf.DUMMYFUNCTION("""COMPUTED_VALUE"""),"Mixed fibre fabric")</f>
        <v>Mixed fibre fabric</v>
      </c>
      <c r="B19" t="str">
        <f ca="1">IFERROR(__xludf.DUMMYFUNCTION("""COMPUTED_VALUE"""),"H033A")</f>
        <v>H033A</v>
      </c>
    </row>
    <row r="20" spans="1:2" ht="12.5" x14ac:dyDescent="0.25">
      <c r="A20" t="str">
        <f ca="1">IFERROR(__xludf.DUMMYFUNCTION("""COMPUTED_VALUE"""),"Natural fibre fabric")</f>
        <v>Natural fibre fabric</v>
      </c>
      <c r="B20" t="str">
        <f ca="1">IFERROR(__xludf.DUMMYFUNCTION("""COMPUTED_VALUE"""),"H031A")</f>
        <v>H031A</v>
      </c>
    </row>
    <row r="21" spans="1:2" ht="12.5" x14ac:dyDescent="0.25">
      <c r="A21" t="str">
        <f ca="1">IFERROR(__xludf.DUMMYFUNCTION("""COMPUTED_VALUE"""),"No information")</f>
        <v>No information</v>
      </c>
      <c r="B21" t="str">
        <f ca="1">IFERROR(__xludf.DUMMYFUNCTION("""COMPUTED_VALUE"""),"H999A")</f>
        <v>H999A</v>
      </c>
    </row>
    <row r="22" spans="1:2" ht="12.5" x14ac:dyDescent="0.25">
      <c r="A22" t="str">
        <f ca="1">IFERROR(__xludf.DUMMYFUNCTION("""COMPUTED_VALUE"""),"Not packed (loose; open)")</f>
        <v>Not packed (loose; open)</v>
      </c>
      <c r="B22" t="str">
        <f ca="1">IFERROR(__xludf.DUMMYFUNCTION("""COMPUTED_VALUE"""),"H001A")</f>
        <v>H001A</v>
      </c>
    </row>
    <row r="23" spans="1:2" ht="12.5" x14ac:dyDescent="0.25">
      <c r="A23" t="str">
        <f ca="1">IFERROR(__xludf.DUMMYFUNCTION("""COMPUTED_VALUE"""),"Other")</f>
        <v>Other</v>
      </c>
      <c r="B23" t="str">
        <f ca="1">IFERROR(__xludf.DUMMYFUNCTION("""COMPUTED_VALUE"""),"Other")</f>
        <v>Other</v>
      </c>
    </row>
    <row r="24" spans="1:2" ht="12.5" x14ac:dyDescent="0.25">
      <c r="A24" t="str">
        <f ca="1">IFERROR(__xludf.DUMMYFUNCTION("""COMPUTED_VALUE"""),"Packed")</f>
        <v>Packed</v>
      </c>
      <c r="B24" t="str">
        <f ca="1">IFERROR(__xludf.DUMMYFUNCTION("""COMPUTED_VALUE"""),"H003A")</f>
        <v>H003A</v>
      </c>
    </row>
    <row r="25" spans="1:2" ht="12.5" x14ac:dyDescent="0.25">
      <c r="A25" t="str">
        <f ca="1">IFERROR(__xludf.DUMMYFUNCTION("""COMPUTED_VALUE"""),"Paper")</f>
        <v>Paper</v>
      </c>
      <c r="B25" t="str">
        <f ca="1">IFERROR(__xludf.DUMMYFUNCTION("""COMPUTED_VALUE"""),"H010A")</f>
        <v>H010A</v>
      </c>
    </row>
    <row r="26" spans="1:2" ht="12.5" x14ac:dyDescent="0.25">
      <c r="A26" t="str">
        <f ca="1">IFERROR(__xludf.DUMMYFUNCTION("""COMPUTED_VALUE"""),"Parchment")</f>
        <v>Parchment</v>
      </c>
      <c r="B26" t="str">
        <f ca="1">IFERROR(__xludf.DUMMYFUNCTION("""COMPUTED_VALUE"""),"H015A")</f>
        <v>H015A</v>
      </c>
    </row>
    <row r="27" spans="1:2" ht="12.5" x14ac:dyDescent="0.25">
      <c r="A27" t="str">
        <f ca="1">IFERROR(__xludf.DUMMYFUNCTION("""COMPUTED_VALUE"""),"PET Polyethylene terephthalate")</f>
        <v>PET Polyethylene terephthalate</v>
      </c>
      <c r="B27" t="str">
        <f ca="1">IFERROR(__xludf.DUMMYFUNCTION("""COMPUTED_VALUE"""),"H125A")</f>
        <v>H125A</v>
      </c>
    </row>
    <row r="28" spans="1:2" ht="12.5" x14ac:dyDescent="0.25">
      <c r="A28" t="str">
        <f ca="1">IFERROR(__xludf.DUMMYFUNCTION("""COMPUTED_VALUE"""),"Plastic - plastic film")</f>
        <v>Plastic - plastic film</v>
      </c>
      <c r="B28" t="str">
        <f ca="1">IFERROR(__xludf.DUMMYFUNCTION("""COMPUTED_VALUE"""),"H100A")</f>
        <v>H100A</v>
      </c>
    </row>
    <row r="29" spans="1:2" ht="12.5" x14ac:dyDescent="0.25">
      <c r="A29" t="str">
        <f ca="1">IFERROR(__xludf.DUMMYFUNCTION("""COMPUTED_VALUE"""),"Polyacryl")</f>
        <v>Polyacryl</v>
      </c>
      <c r="B29" t="str">
        <f ca="1">IFERROR(__xludf.DUMMYFUNCTION("""COMPUTED_VALUE"""),"H124A")</f>
        <v>H124A</v>
      </c>
    </row>
    <row r="30" spans="1:2" ht="12.5" x14ac:dyDescent="0.25">
      <c r="A30" t="str">
        <f ca="1">IFERROR(__xludf.DUMMYFUNCTION("""COMPUTED_VALUE"""),"Polyamide")</f>
        <v>Polyamide</v>
      </c>
      <c r="B30" t="str">
        <f ca="1">IFERROR(__xludf.DUMMYFUNCTION("""COMPUTED_VALUE"""),"H115A")</f>
        <v>H115A</v>
      </c>
    </row>
    <row r="31" spans="1:2" ht="12.5" x14ac:dyDescent="0.25">
      <c r="A31" t="str">
        <f ca="1">IFERROR(__xludf.DUMMYFUNCTION("""COMPUTED_VALUE"""),"Polycarbonate")</f>
        <v>Polycarbonate</v>
      </c>
      <c r="B31" t="str">
        <f ca="1">IFERROR(__xludf.DUMMYFUNCTION("""COMPUTED_VALUE"""),"H118A")</f>
        <v>H118A</v>
      </c>
    </row>
    <row r="32" spans="1:2" ht="12.5" x14ac:dyDescent="0.25">
      <c r="A32" t="str">
        <f ca="1">IFERROR(__xludf.DUMMYFUNCTION("""COMPUTED_VALUE"""),"Polyethylene")</f>
        <v>Polyethylene</v>
      </c>
      <c r="B32" t="str">
        <f ca="1">IFERROR(__xludf.DUMMYFUNCTION("""COMPUTED_VALUE"""),"H106A")</f>
        <v>H106A</v>
      </c>
    </row>
    <row r="33" spans="1:2" ht="12.5" x14ac:dyDescent="0.25">
      <c r="A33" t="str">
        <f ca="1">IFERROR(__xludf.DUMMYFUNCTION("""COMPUTED_VALUE"""),"Polymethane")</f>
        <v>Polymethane</v>
      </c>
      <c r="B33" t="str">
        <f ca="1">IFERROR(__xludf.DUMMYFUNCTION("""COMPUTED_VALUE"""),"H121A")</f>
        <v>H121A</v>
      </c>
    </row>
    <row r="34" spans="1:2" ht="12.5" x14ac:dyDescent="0.25">
      <c r="A34" t="str">
        <f ca="1">IFERROR(__xludf.DUMMYFUNCTION("""COMPUTED_VALUE"""),"Polypropylene")</f>
        <v>Polypropylene</v>
      </c>
      <c r="B34" t="str">
        <f ca="1">IFERROR(__xludf.DUMMYFUNCTION("""COMPUTED_VALUE"""),"H107A")</f>
        <v>H107A</v>
      </c>
    </row>
    <row r="35" spans="1:2" ht="12.5" x14ac:dyDescent="0.25">
      <c r="A35" t="str">
        <f ca="1">IFERROR(__xludf.DUMMYFUNCTION("""COMPUTED_VALUE"""),"Polystyrene")</f>
        <v>Polystyrene</v>
      </c>
      <c r="B35" t="str">
        <f ca="1">IFERROR(__xludf.DUMMYFUNCTION("""COMPUTED_VALUE"""),"H109A")</f>
        <v>H109A</v>
      </c>
    </row>
    <row r="36" spans="1:2" ht="12.5" x14ac:dyDescent="0.25">
      <c r="A36" t="str">
        <f ca="1">IFERROR(__xludf.DUMMYFUNCTION("""COMPUTED_VALUE"""),"Polyvinyl chloride")</f>
        <v>Polyvinyl chloride</v>
      </c>
      <c r="B36" t="str">
        <f ca="1">IFERROR(__xludf.DUMMYFUNCTION("""COMPUTED_VALUE"""),"H103A")</f>
        <v>H103A</v>
      </c>
    </row>
    <row r="37" spans="1:2" ht="12.5" x14ac:dyDescent="0.25">
      <c r="A37" t="str">
        <f ca="1">IFERROR(__xludf.DUMMYFUNCTION("""COMPUTED_VALUE"""),"Porcelain - earthenware - ceramics")</f>
        <v>Porcelain - earthenware - ceramics</v>
      </c>
      <c r="B37" t="str">
        <f ca="1">IFERROR(__xludf.DUMMYFUNCTION("""COMPUTED_VALUE"""),"H210A")</f>
        <v>H210A</v>
      </c>
    </row>
    <row r="38" spans="1:2" ht="12.5" x14ac:dyDescent="0.25">
      <c r="A38" t="str">
        <f ca="1">IFERROR(__xludf.DUMMYFUNCTION("""COMPUTED_VALUE"""),"Protective gas package")</f>
        <v>Protective gas package</v>
      </c>
      <c r="B38" t="str">
        <f ca="1">IFERROR(__xludf.DUMMYFUNCTION("""COMPUTED_VALUE"""),"H004A")</f>
        <v>H004A</v>
      </c>
    </row>
    <row r="39" spans="1:2" ht="12.5" x14ac:dyDescent="0.25">
      <c r="A39" t="str">
        <f ca="1">IFERROR(__xludf.DUMMYFUNCTION("""COMPUTED_VALUE"""),"Steel")</f>
        <v>Steel</v>
      </c>
      <c r="B39" t="str">
        <f ca="1">IFERROR(__xludf.DUMMYFUNCTION("""COMPUTED_VALUE"""),"H530A")</f>
        <v>H530A</v>
      </c>
    </row>
    <row r="40" spans="1:2" ht="12.5" x14ac:dyDescent="0.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x14ac:dyDescent="0.25">
      <c r="A41" t="str">
        <f ca="1">IFERROR(__xludf.DUMMYFUNCTION("""COMPUTED_VALUE"""),"Tinplate")</f>
        <v>Tinplate</v>
      </c>
      <c r="B41" t="str">
        <f ca="1">IFERROR(__xludf.DUMMYFUNCTION("""COMPUTED_VALUE"""),"H520A")</f>
        <v>H520A</v>
      </c>
    </row>
    <row r="42" spans="1:2" ht="12.5" x14ac:dyDescent="0.25">
      <c r="A42" t="str">
        <f ca="1">IFERROR(__xludf.DUMMYFUNCTION("""COMPUTED_VALUE"""),"Tinplate soldered, not varnished")</f>
        <v>Tinplate soldered, not varnished</v>
      </c>
      <c r="B42" t="str">
        <f ca="1">IFERROR(__xludf.DUMMYFUNCTION("""COMPUTED_VALUE"""),"H524A")</f>
        <v>H524A</v>
      </c>
    </row>
    <row r="43" spans="1:2" ht="12.5" x14ac:dyDescent="0.25">
      <c r="A43" t="str">
        <f ca="1">IFERROR(__xludf.DUMMYFUNCTION("""COMPUTED_VALUE"""),"Tinplate, soldered")</f>
        <v>Tinplate, soldered</v>
      </c>
      <c r="B43" t="str">
        <f ca="1">IFERROR(__xludf.DUMMYFUNCTION("""COMPUTED_VALUE"""),"H522A")</f>
        <v>H522A</v>
      </c>
    </row>
    <row r="44" spans="1:2" ht="12.5" x14ac:dyDescent="0.25">
      <c r="A44" t="str">
        <f ca="1">IFERROR(__xludf.DUMMYFUNCTION("""COMPUTED_VALUE"""),"Tinplate, varnished - partly varnished")</f>
        <v>Tinplate, varnished - partly varnished</v>
      </c>
      <c r="B44" t="str">
        <f ca="1">IFERROR(__xludf.DUMMYFUNCTION("""COMPUTED_VALUE"""),"H523A")</f>
        <v>H523A</v>
      </c>
    </row>
    <row r="45" spans="1:2" ht="12.5" x14ac:dyDescent="0.25">
      <c r="A45" t="str">
        <f ca="1">IFERROR(__xludf.DUMMYFUNCTION("""COMPUTED_VALUE"""),"Vacuum package")</f>
        <v>Vacuum package</v>
      </c>
      <c r="B45" t="str">
        <f ca="1">IFERROR(__xludf.DUMMYFUNCTION("""COMPUTED_VALUE"""),"H005A")</f>
        <v>H005A</v>
      </c>
    </row>
    <row r="46" spans="1:2" ht="12.5" x14ac:dyDescent="0.25">
      <c r="A46" t="str">
        <f ca="1">IFERROR(__xludf.DUMMYFUNCTION("""COMPUTED_VALUE"""),"Wax paper - wax cardboard")</f>
        <v>Wax paper - wax cardboard</v>
      </c>
      <c r="B46" t="str">
        <f ca="1">IFERROR(__xludf.DUMMYFUNCTION("""COMPUTED_VALUE"""),"H013A")</f>
        <v>H013A</v>
      </c>
    </row>
    <row r="47" spans="1:2" ht="12.5" x14ac:dyDescent="0.25">
      <c r="A47" t="str">
        <f ca="1">IFERROR(__xludf.DUMMYFUNCTION("""COMPUTED_VALUE"""),"Wood - wood wool")</f>
        <v>Wood - wood wool</v>
      </c>
      <c r="B47" t="str">
        <f ca="1">IFERROR(__xludf.DUMMYFUNCTION("""COMPUTED_VALUE"""),"H020A")</f>
        <v>H020A</v>
      </c>
    </row>
    <row r="48" spans="1:2" ht="12.5" x14ac:dyDescent="0.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x14ac:dyDescent="0.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x14ac:dyDescent="0.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x14ac:dyDescent="0.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x14ac:dyDescent="0.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x14ac:dyDescent="0.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x14ac:dyDescent="0.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x14ac:dyDescent="0.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x14ac:dyDescent="0.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x14ac:dyDescent="0.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x14ac:dyDescent="0.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x14ac:dyDescent="0.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x14ac:dyDescent="0.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x14ac:dyDescent="0.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x14ac:dyDescent="0.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x14ac:dyDescent="0.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x14ac:dyDescent="0.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x14ac:dyDescent="0.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x14ac:dyDescent="0.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x14ac:dyDescent="0.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x14ac:dyDescent="0.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x14ac:dyDescent="0.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x14ac:dyDescent="0.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x14ac:dyDescent="0.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x14ac:dyDescent="0.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x14ac:dyDescent="0.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x14ac:dyDescent="0.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x14ac:dyDescent="0.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x14ac:dyDescent="0.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x14ac:dyDescent="0.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x14ac:dyDescent="0.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x14ac:dyDescent="0.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x14ac:dyDescent="0.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x14ac:dyDescent="0.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x14ac:dyDescent="0.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x14ac:dyDescent="0.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x14ac:dyDescent="0.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x14ac:dyDescent="0.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x14ac:dyDescent="0.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x14ac:dyDescent="0.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x14ac:dyDescent="0.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x14ac:dyDescent="0.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x14ac:dyDescent="0.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x14ac:dyDescent="0.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x14ac:dyDescent="0.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x14ac:dyDescent="0.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x14ac:dyDescent="0.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x14ac:dyDescent="0.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x14ac:dyDescent="0.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x14ac:dyDescent="0.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x14ac:dyDescent="0.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x14ac:dyDescent="0.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x14ac:dyDescent="0.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x14ac:dyDescent="0.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x14ac:dyDescent="0.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x14ac:dyDescent="0.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x14ac:dyDescent="0.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x14ac:dyDescent="0.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x14ac:dyDescent="0.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x14ac:dyDescent="0.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x14ac:dyDescent="0.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x14ac:dyDescent="0.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x14ac:dyDescent="0.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x14ac:dyDescent="0.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x14ac:dyDescent="0.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x14ac:dyDescent="0.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x14ac:dyDescent="0.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x14ac:dyDescent="0.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x14ac:dyDescent="0.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x14ac:dyDescent="0.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x14ac:dyDescent="0.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x14ac:dyDescent="0.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x14ac:dyDescent="0.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x14ac:dyDescent="0.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x14ac:dyDescent="0.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x14ac:dyDescent="0.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x14ac:dyDescent="0.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x14ac:dyDescent="0.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x14ac:dyDescent="0.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x14ac:dyDescent="0.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x14ac:dyDescent="0.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x14ac:dyDescent="0.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x14ac:dyDescent="0.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x14ac:dyDescent="0.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x14ac:dyDescent="0.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x14ac:dyDescent="0.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x14ac:dyDescent="0.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x14ac:dyDescent="0.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x14ac:dyDescent="0.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x14ac:dyDescent="0.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x14ac:dyDescent="0.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x14ac:dyDescent="0.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x14ac:dyDescent="0.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x14ac:dyDescent="0.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x14ac:dyDescent="0.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x14ac:dyDescent="0.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x14ac:dyDescent="0.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x14ac:dyDescent="0.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x14ac:dyDescent="0.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x14ac:dyDescent="0.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x14ac:dyDescent="0.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x14ac:dyDescent="0.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x14ac:dyDescent="0.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x14ac:dyDescent="0.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x14ac:dyDescent="0.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x14ac:dyDescent="0.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x14ac:dyDescent="0.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x14ac:dyDescent="0.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x14ac:dyDescent="0.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x14ac:dyDescent="0.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x14ac:dyDescent="0.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x14ac:dyDescent="0.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x14ac:dyDescent="0.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x14ac:dyDescent="0.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x14ac:dyDescent="0.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x14ac:dyDescent="0.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x14ac:dyDescent="0.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x14ac:dyDescent="0.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x14ac:dyDescent="0.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x14ac:dyDescent="0.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x14ac:dyDescent="0.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x14ac:dyDescent="0.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x14ac:dyDescent="0.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x14ac:dyDescent="0.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x14ac:dyDescent="0.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x14ac:dyDescent="0.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x14ac:dyDescent="0.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x14ac:dyDescent="0.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x14ac:dyDescent="0.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x14ac:dyDescent="0.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x14ac:dyDescent="0.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x14ac:dyDescent="0.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x14ac:dyDescent="0.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x14ac:dyDescent="0.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x14ac:dyDescent="0.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x14ac:dyDescent="0.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x14ac:dyDescent="0.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x14ac:dyDescent="0.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x14ac:dyDescent="0.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x14ac:dyDescent="0.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x14ac:dyDescent="0.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x14ac:dyDescent="0.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x14ac:dyDescent="0.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x14ac:dyDescent="0.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x14ac:dyDescent="0.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x14ac:dyDescent="0.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x14ac:dyDescent="0.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x14ac:dyDescent="0.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x14ac:dyDescent="0.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x14ac:dyDescent="0.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x14ac:dyDescent="0.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x14ac:dyDescent="0.25">
      <c r="A153" t="str">
        <f ca="1">IFERROR(__xludf.DUMMYFUNCTION("""COMPUTED_VALUE"""),"Empirical distribution")</f>
        <v>Empirical distribution</v>
      </c>
      <c r="B153" t="str">
        <f ca="1">IFERROR(__xludf.DUMMYFUNCTION("""COMPUTED_VALUE"""),"Parameter distribution_151")</f>
        <v>Parameter distribution_151</v>
      </c>
    </row>
    <row r="186" spans="6:6" ht="12.5" x14ac:dyDescent="0.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x14ac:dyDescent="0.25">
      <c r="A2" t="str">
        <f ca="1">IFERROR(__xludf.DUMMYFUNCTION("""COMPUTED_VALUE"""),"Adriatic")</f>
        <v>Adriatic</v>
      </c>
      <c r="B2" t="str">
        <f ca="1">IFERROR(__xludf.DUMMYFUNCTION("""COMPUTED_VALUE"""),"M3721")</f>
        <v>M3721</v>
      </c>
    </row>
    <row r="3" spans="1:3" ht="12.5" x14ac:dyDescent="0.25">
      <c r="A3" t="str">
        <f ca="1">IFERROR(__xludf.DUMMYFUNCTION("""COMPUTED_VALUE"""),"Aegean")</f>
        <v>Aegean</v>
      </c>
      <c r="B3" t="str">
        <f ca="1">IFERROR(__xludf.DUMMYFUNCTION("""COMPUTED_VALUE"""),"M3731")</f>
        <v>M3731</v>
      </c>
    </row>
    <row r="4" spans="1:3" ht="12.5" x14ac:dyDescent="0.25">
      <c r="A4" t="str">
        <f ca="1">IFERROR(__xludf.DUMMYFUNCTION("""COMPUTED_VALUE"""),"Amazon")</f>
        <v>Amazon</v>
      </c>
      <c r="B4" t="str">
        <f ca="1">IFERROR(__xludf.DUMMYFUNCTION("""COMPUTED_VALUE"""),"M4111")</f>
        <v>M4111</v>
      </c>
    </row>
    <row r="5" spans="1:3" ht="12.5" x14ac:dyDescent="0.25">
      <c r="A5" t="str">
        <f ca="1">IFERROR(__xludf.DUMMYFUNCTION("""COMPUTED_VALUE"""),"Amundsen Sea")</f>
        <v>Amundsen Sea</v>
      </c>
      <c r="B5" t="str">
        <f ca="1">IFERROR(__xludf.DUMMYFUNCTION("""COMPUTED_VALUE"""),"M883")</f>
        <v>M883</v>
      </c>
    </row>
    <row r="6" spans="1:3" ht="12.5" x14ac:dyDescent="0.25">
      <c r="A6" t="str">
        <f ca="1">IFERROR(__xludf.DUMMYFUNCTION("""COMPUTED_VALUE"""),"Archipelago Sea")</f>
        <v>Archipelago Sea</v>
      </c>
      <c r="B6" t="str">
        <f ca="1">IFERROR(__xludf.DUMMYFUNCTION("""COMPUTED_VALUE"""),"M27IIId29")</f>
        <v>M27IIId29</v>
      </c>
    </row>
    <row r="7" spans="1:3" ht="12.5" x14ac:dyDescent="0.25">
      <c r="A7" t="str">
        <f ca="1">IFERROR(__xludf.DUMMYFUNCTION("""COMPUTED_VALUE"""),"Arctic Sea")</f>
        <v>Arctic Sea</v>
      </c>
      <c r="B7" t="str">
        <f ca="1">IFERROR(__xludf.DUMMYFUNCTION("""COMPUTED_VALUE"""),"M18")</f>
        <v>M18</v>
      </c>
    </row>
    <row r="8" spans="1:3" ht="12.5" x14ac:dyDescent="0.25">
      <c r="A8" t="str">
        <f ca="1">IFERROR(__xludf.DUMMYFUNCTION("""COMPUTED_VALUE"""),"Atlantic Ocean")</f>
        <v>Atlantic Ocean</v>
      </c>
      <c r="B8" t="str">
        <f ca="1">IFERROR(__xludf.DUMMYFUNCTION("""COMPUTED_VALUE"""),"M40")</f>
        <v>M40</v>
      </c>
    </row>
    <row r="9" spans="1:3" ht="12.5" x14ac:dyDescent="0.25">
      <c r="A9" t="str">
        <f ca="1">IFERROR(__xludf.DUMMYFUNCTION("""COMPUTED_VALUE"""),"Atlantic, Antarctic")</f>
        <v>Atlantic, Antarctic</v>
      </c>
      <c r="B9" t="str">
        <f ca="1">IFERROR(__xludf.DUMMYFUNCTION("""COMPUTED_VALUE"""),"M48")</f>
        <v>M48</v>
      </c>
    </row>
    <row r="10" spans="1:3" ht="12.5" x14ac:dyDescent="0.25">
      <c r="A10" t="str">
        <f ca="1">IFERROR(__xludf.DUMMYFUNCTION("""COMPUTED_VALUE"""),"Atlantic, Eastern-central")</f>
        <v>Atlantic, Eastern-central</v>
      </c>
      <c r="B10" t="str">
        <f ca="1">IFERROR(__xludf.DUMMYFUNCTION("""COMPUTED_VALUE"""),"M34")</f>
        <v>M34</v>
      </c>
    </row>
    <row r="11" spans="1:3" ht="12.5" x14ac:dyDescent="0.25">
      <c r="A11" t="str">
        <f ca="1">IFERROR(__xludf.DUMMYFUNCTION("""COMPUTED_VALUE"""),"Atlantic, Northeast")</f>
        <v>Atlantic, Northeast</v>
      </c>
      <c r="B11" t="str">
        <f ca="1">IFERROR(__xludf.DUMMYFUNCTION("""COMPUTED_VALUE"""),"M27")</f>
        <v>M27</v>
      </c>
    </row>
    <row r="12" spans="1:3" ht="12.5" x14ac:dyDescent="0.25">
      <c r="A12" t="str">
        <f ca="1">IFERROR(__xludf.DUMMYFUNCTION("""COMPUTED_VALUE"""),"Atlantic, Northwest")</f>
        <v>Atlantic, Northwest</v>
      </c>
      <c r="B12" t="str">
        <f ca="1">IFERROR(__xludf.DUMMYFUNCTION("""COMPUTED_VALUE"""),"M21")</f>
        <v>M21</v>
      </c>
    </row>
    <row r="13" spans="1:3" ht="12.5" x14ac:dyDescent="0.25">
      <c r="A13" t="str">
        <f ca="1">IFERROR(__xludf.DUMMYFUNCTION("""COMPUTED_VALUE"""),"Atlantic, Southeast")</f>
        <v>Atlantic, Southeast</v>
      </c>
      <c r="B13" t="str">
        <f ca="1">IFERROR(__xludf.DUMMYFUNCTION("""COMPUTED_VALUE"""),"M47")</f>
        <v>M47</v>
      </c>
    </row>
    <row r="14" spans="1:3" ht="12.5" x14ac:dyDescent="0.25">
      <c r="A14" t="str">
        <f ca="1">IFERROR(__xludf.DUMMYFUNCTION("""COMPUTED_VALUE"""),"Atlantic, Southwest")</f>
        <v>Atlantic, Southwest</v>
      </c>
      <c r="B14" t="str">
        <f ca="1">IFERROR(__xludf.DUMMYFUNCTION("""COMPUTED_VALUE"""),"M41")</f>
        <v>M41</v>
      </c>
    </row>
    <row r="15" spans="1:3" ht="12.5" x14ac:dyDescent="0.25">
      <c r="A15" t="str">
        <f ca="1">IFERROR(__xludf.DUMMYFUNCTION("""COMPUTED_VALUE"""),"Atlantic, Western-central")</f>
        <v>Atlantic, Western-central</v>
      </c>
      <c r="B15" t="str">
        <f ca="1">IFERROR(__xludf.DUMMYFUNCTION("""COMPUTED_VALUE"""),"M31")</f>
        <v>M31</v>
      </c>
    </row>
    <row r="16" spans="1:3" ht="12.5" x14ac:dyDescent="0.25">
      <c r="A16" t="str">
        <f ca="1">IFERROR(__xludf.DUMMYFUNCTION("""COMPUTED_VALUE"""),"Azores Grounds")</f>
        <v>Azores Grounds</v>
      </c>
      <c r="B16" t="str">
        <f ca="1">IFERROR(__xludf.DUMMYFUNCTION("""COMPUTED_VALUE"""),"M27X")</f>
        <v>M27X</v>
      </c>
    </row>
    <row r="17" spans="1:2" ht="12.5" x14ac:dyDescent="0.25">
      <c r="A17" t="str">
        <f ca="1">IFERROR(__xludf.DUMMYFUNCTION("""COMPUTED_VALUE"""),"Azores Grounds - Neafc Reg. Area")</f>
        <v>Azores Grounds - Neafc Reg. Area</v>
      </c>
      <c r="B17" t="str">
        <f ca="1">IFERROR(__xludf.DUMMYFUNCTION("""COMPUTED_VALUE"""),"M27Xa1")</f>
        <v>M27Xa1</v>
      </c>
    </row>
    <row r="18" spans="1:2" ht="12.5" x14ac:dyDescent="0.25">
      <c r="A18" t="str">
        <f ca="1">IFERROR(__xludf.DUMMYFUNCTION("""COMPUTED_VALUE"""),"Azores Grounds - Non-Neafc Reg. Area")</f>
        <v>Azores Grounds - Non-Neafc Reg. Area</v>
      </c>
      <c r="B18" t="str">
        <f ca="1">IFERROR(__xludf.DUMMYFUNCTION("""COMPUTED_VALUE"""),"M27Xa2")</f>
        <v>M27Xa2</v>
      </c>
    </row>
    <row r="19" spans="1:2" ht="12.5" x14ac:dyDescent="0.25">
      <c r="A19" t="str">
        <f ca="1">IFERROR(__xludf.DUMMYFUNCTION("""COMPUTED_VALUE"""),"Azores Grounds (Division)")</f>
        <v>Azores Grounds (Division)</v>
      </c>
      <c r="B19" t="str">
        <f ca="1">IFERROR(__xludf.DUMMYFUNCTION("""COMPUTED_VALUE"""),"M27Xa")</f>
        <v>M27Xa</v>
      </c>
    </row>
    <row r="20" spans="1:2" ht="12.5" x14ac:dyDescent="0.25">
      <c r="A20" t="str">
        <f ca="1">IFERROR(__xludf.DUMMYFUNCTION("""COMPUTED_VALUE"""),"Azov Sea")</f>
        <v>Azov Sea</v>
      </c>
      <c r="B20" t="str">
        <f ca="1">IFERROR(__xludf.DUMMYFUNCTION("""COMPUTED_VALUE"""),"M3743")</f>
        <v>M3743</v>
      </c>
    </row>
    <row r="21" spans="1:2" ht="12.5" x14ac:dyDescent="0.25">
      <c r="A21" t="str">
        <f ca="1">IFERROR(__xludf.DUMMYFUNCTION("""COMPUTED_VALUE"""),"Balearic")</f>
        <v>Balearic</v>
      </c>
      <c r="B21" t="str">
        <f ca="1">IFERROR(__xludf.DUMMYFUNCTION("""COMPUTED_VALUE"""),"M3711")</f>
        <v>M3711</v>
      </c>
    </row>
    <row r="22" spans="1:2" ht="12.5" x14ac:dyDescent="0.25">
      <c r="A22" t="str">
        <f ca="1">IFERROR(__xludf.DUMMYFUNCTION("""COMPUTED_VALUE"""),"Baltic West Of Bornholm")</f>
        <v>Baltic West Of Bornholm</v>
      </c>
      <c r="B22" t="str">
        <f ca="1">IFERROR(__xludf.DUMMYFUNCTION("""COMPUTED_VALUE"""),"M27IIId24")</f>
        <v>M27IIId24</v>
      </c>
    </row>
    <row r="23" spans="1:2" ht="12.5" x14ac:dyDescent="0.25">
      <c r="A23" t="str">
        <f ca="1">IFERROR(__xludf.DUMMYFUNCTION("""COMPUTED_VALUE"""),"Banzare Bank")</f>
        <v>Banzare Bank</v>
      </c>
      <c r="B23" t="str">
        <f ca="1">IFERROR(__xludf.DUMMYFUNCTION("""COMPUTED_VALUE"""),"M5843")</f>
        <v>M5843</v>
      </c>
    </row>
    <row r="24" spans="1:2" ht="12.5" x14ac:dyDescent="0.25">
      <c r="A24" t="str">
        <f ca="1">IFERROR(__xludf.DUMMYFUNCTION("""COMPUTED_VALUE"""),"Barents Sea")</f>
        <v>Barents Sea</v>
      </c>
      <c r="B24" t="str">
        <f ca="1">IFERROR(__xludf.DUMMYFUNCTION("""COMPUTED_VALUE"""),"M27I")</f>
        <v>M27I</v>
      </c>
    </row>
    <row r="25" spans="1:2" ht="12.5" x14ac:dyDescent="0.25">
      <c r="A25" t="str">
        <f ca="1">IFERROR(__xludf.DUMMYFUNCTION("""COMPUTED_VALUE"""),"Barents Sea - Neafc Regulatory Area")</f>
        <v>Barents Sea - Neafc Regulatory Area</v>
      </c>
      <c r="B25" t="str">
        <f ca="1">IFERROR(__xludf.DUMMYFUNCTION("""COMPUTED_VALUE"""),"M27Ia")</f>
        <v>M27Ia</v>
      </c>
    </row>
    <row r="26" spans="1:2" ht="12.5" x14ac:dyDescent="0.25">
      <c r="A26" t="str">
        <f ca="1">IFERROR(__xludf.DUMMYFUNCTION("""COMPUTED_VALUE"""),"Barents Sea Non-Neafc Regulatory Area")</f>
        <v>Barents Sea Non-Neafc Regulatory Area</v>
      </c>
      <c r="B26" t="str">
        <f ca="1">IFERROR(__xludf.DUMMYFUNCTION("""COMPUTED_VALUE"""),"M27Ib")</f>
        <v>M27Ib</v>
      </c>
    </row>
    <row r="27" spans="1:2" ht="12.5" x14ac:dyDescent="0.25">
      <c r="A27" t="str">
        <f ca="1">IFERROR(__xludf.DUMMYFUNCTION("""COMPUTED_VALUE"""),"Bay Of Bengal")</f>
        <v>Bay Of Bengal</v>
      </c>
      <c r="B27" t="str">
        <f ca="1">IFERROR(__xludf.DUMMYFUNCTION("""COMPUTED_VALUE"""),"M571")</f>
        <v>M571</v>
      </c>
    </row>
    <row r="28" spans="1:2" ht="12.5" x14ac:dyDescent="0.25">
      <c r="A28" t="str">
        <f ca="1">IFERROR(__xludf.DUMMYFUNCTION("""COMPUTED_VALUE"""),"Bay Of Biscay")</f>
        <v>Bay Of Biscay</v>
      </c>
      <c r="B28" t="str">
        <f ca="1">IFERROR(__xludf.DUMMYFUNCTION("""COMPUTED_VALUE"""),"M27VIII")</f>
        <v>M27VIII</v>
      </c>
    </row>
    <row r="29" spans="1:2" ht="12.5" x14ac:dyDescent="0.25">
      <c r="A29" t="str">
        <f ca="1">IFERROR(__xludf.DUMMYFUNCTION("""COMPUTED_VALUE"""),"Bay Of Biscay - Central")</f>
        <v>Bay Of Biscay - Central</v>
      </c>
      <c r="B29" t="str">
        <f ca="1">IFERROR(__xludf.DUMMYFUNCTION("""COMPUTED_VALUE"""),"M27VIIIb")</f>
        <v>M27VIIIb</v>
      </c>
    </row>
    <row r="30" spans="1:2" ht="12.5" x14ac:dyDescent="0.25">
      <c r="A30" t="str">
        <f ca="1">IFERROR(__xludf.DUMMYFUNCTION("""COMPUTED_VALUE"""),"Bay Of Biscay - North")</f>
        <v>Bay Of Biscay - North</v>
      </c>
      <c r="B30" t="str">
        <f ca="1">IFERROR(__xludf.DUMMYFUNCTION("""COMPUTED_VALUE"""),"M27VIIIa")</f>
        <v>M27VIIIa</v>
      </c>
    </row>
    <row r="31" spans="1:2" ht="12.5" x14ac:dyDescent="0.25">
      <c r="A31" t="str">
        <f ca="1">IFERROR(__xludf.DUMMYFUNCTION("""COMPUTED_VALUE"""),"Bay Of Biscay - Offshore")</f>
        <v>Bay Of Biscay - Offshore</v>
      </c>
      <c r="B31" t="str">
        <f ca="1">IFERROR(__xludf.DUMMYFUNCTION("""COMPUTED_VALUE"""),"M27VIIId")</f>
        <v>M27VIIId</v>
      </c>
    </row>
    <row r="32" spans="1:2" ht="12.5" x14ac:dyDescent="0.25">
      <c r="A32" t="str">
        <f ca="1">IFERROR(__xludf.DUMMYFUNCTION("""COMPUTED_VALUE"""),"Bay Of Biscay - Offshore - Neafc Reg. Area")</f>
        <v>Bay Of Biscay - Offshore - Neafc Reg. Area</v>
      </c>
      <c r="B32" t="str">
        <f ca="1">IFERROR(__xludf.DUMMYFUNCTION("""COMPUTED_VALUE"""),"M27VIIId1")</f>
        <v>M27VIIId1</v>
      </c>
    </row>
    <row r="33" spans="1:2" ht="12.5" x14ac:dyDescent="0.25">
      <c r="A33" t="str">
        <f ca="1">IFERROR(__xludf.DUMMYFUNCTION("""COMPUTED_VALUE"""),"Bay Of Biscay - Offshore - Non-Neafc Reg. Area")</f>
        <v>Bay Of Biscay - Offshore - Non-Neafc Reg. Area</v>
      </c>
      <c r="B33" t="str">
        <f ca="1">IFERROR(__xludf.DUMMYFUNCTION("""COMPUTED_VALUE"""),"M27VIIId2")</f>
        <v>M27VIIId2</v>
      </c>
    </row>
    <row r="34" spans="1:2" ht="12.5" x14ac:dyDescent="0.25">
      <c r="A34" t="str">
        <f ca="1">IFERROR(__xludf.DUMMYFUNCTION("""COMPUTED_VALUE"""),"Bay Of Biscay - South")</f>
        <v>Bay Of Biscay - South</v>
      </c>
      <c r="B34" t="str">
        <f ca="1">IFERROR(__xludf.DUMMYFUNCTION("""COMPUTED_VALUE"""),"M27VIIIc")</f>
        <v>M27VIIIc</v>
      </c>
    </row>
    <row r="35" spans="1:2" ht="12.5" x14ac:dyDescent="0.25">
      <c r="A35" t="str">
        <f ca="1">IFERROR(__xludf.DUMMYFUNCTION("""COMPUTED_VALUE"""),"Belt Sea")</f>
        <v>Belt Sea</v>
      </c>
      <c r="B35" t="str">
        <f ca="1">IFERROR(__xludf.DUMMYFUNCTION("""COMPUTED_VALUE"""),"M27III22")</f>
        <v>M27III22</v>
      </c>
    </row>
    <row r="36" spans="1:2" ht="12.5" x14ac:dyDescent="0.25">
      <c r="A36" t="str">
        <f ca="1">IFERROR(__xludf.DUMMYFUNCTION("""COMPUTED_VALUE"""),"Black Sea")</f>
        <v>Black Sea</v>
      </c>
      <c r="B36" t="str">
        <f ca="1">IFERROR(__xludf.DUMMYFUNCTION("""COMPUTED_VALUE"""),"M374")</f>
        <v>M374</v>
      </c>
    </row>
    <row r="37" spans="1:2" ht="12.5" x14ac:dyDescent="0.25">
      <c r="A37" t="str">
        <f ca="1">IFERROR(__xludf.DUMMYFUNCTION("""COMPUTED_VALUE"""),"Black Sea (Division)")</f>
        <v>Black Sea (Division)</v>
      </c>
      <c r="B37" t="str">
        <f ca="1">IFERROR(__xludf.DUMMYFUNCTION("""COMPUTED_VALUE"""),"M3742")</f>
        <v>M3742</v>
      </c>
    </row>
    <row r="38" spans="1:2" ht="12.5" x14ac:dyDescent="0.25">
      <c r="A38" t="str">
        <f ca="1">IFERROR(__xludf.DUMMYFUNCTION("""COMPUTED_VALUE"""),"Bothnian Bay")</f>
        <v>Bothnian Bay</v>
      </c>
      <c r="B38" t="str">
        <f ca="1">IFERROR(__xludf.DUMMYFUNCTION("""COMPUTED_VALUE"""),"M27IIId31")</f>
        <v>M27IIId31</v>
      </c>
    </row>
    <row r="39" spans="1:2" ht="12.5" x14ac:dyDescent="0.25">
      <c r="A39" t="str">
        <f ca="1">IFERROR(__xludf.DUMMYFUNCTION("""COMPUTED_VALUE"""),"Bothnian Sea")</f>
        <v>Bothnian Sea</v>
      </c>
      <c r="B39" t="str">
        <f ca="1">IFERROR(__xludf.DUMMYFUNCTION("""COMPUTED_VALUE"""),"M27IIId30")</f>
        <v>M27IIId30</v>
      </c>
    </row>
    <row r="40" spans="1:2" ht="12.5" x14ac:dyDescent="0.25">
      <c r="A40" t="str">
        <f ca="1">IFERROR(__xludf.DUMMYFUNCTION("""COMPUTED_VALUE"""),"Bouvet")</f>
        <v>Bouvet</v>
      </c>
      <c r="B40" t="str">
        <f ca="1">IFERROR(__xludf.DUMMYFUNCTION("""COMPUTED_VALUE"""),"M486")</f>
        <v>M486</v>
      </c>
    </row>
    <row r="41" spans="1:2" ht="12.5" x14ac:dyDescent="0.25">
      <c r="A41" t="str">
        <f ca="1">IFERROR(__xludf.DUMMYFUNCTION("""COMPUTED_VALUE"""),"Bristol Channel")</f>
        <v>Bristol Channel</v>
      </c>
      <c r="B41" t="str">
        <f ca="1">IFERROR(__xludf.DUMMYFUNCTION("""COMPUTED_VALUE"""),"M27VIIf")</f>
        <v>M27VIIf</v>
      </c>
    </row>
    <row r="42" spans="1:2" ht="12.5" x14ac:dyDescent="0.25">
      <c r="A42" t="str">
        <f ca="1">IFERROR(__xludf.DUMMYFUNCTION("""COMPUTED_VALUE"""),"Canadian Waters")</f>
        <v>Canadian Waters</v>
      </c>
      <c r="B42" t="str">
        <f ca="1">IFERROR(__xludf.DUMMYFUNCTION("""COMPUTED_VALUE"""),"M215Zc")</f>
        <v>M215Zc</v>
      </c>
    </row>
    <row r="43" spans="1:2" ht="12.5" x14ac:dyDescent="0.25">
      <c r="A43" t="str">
        <f ca="1">IFERROR(__xludf.DUMMYFUNCTION("""COMPUTED_VALUE"""),"Canaries/Madeira Insular")</f>
        <v>Canaries/Madeira Insular</v>
      </c>
      <c r="B43" t="str">
        <f ca="1">IFERROR(__xludf.DUMMYFUNCTION("""COMPUTED_VALUE"""),"M3412")</f>
        <v>M3412</v>
      </c>
    </row>
    <row r="44" spans="1:2" ht="12.5" x14ac:dyDescent="0.25">
      <c r="A44" t="str">
        <f ca="1">IFERROR(__xludf.DUMMYFUNCTION("""COMPUTED_VALUE"""),"Cape Cross")</f>
        <v>Cape Cross</v>
      </c>
      <c r="B44" t="str">
        <f ca="1">IFERROR(__xludf.DUMMYFUNCTION("""COMPUTED_VALUE"""),"M4714")</f>
        <v>M4714</v>
      </c>
    </row>
    <row r="45" spans="1:2" ht="12.5" x14ac:dyDescent="0.25">
      <c r="A45" t="str">
        <f ca="1">IFERROR(__xludf.DUMMYFUNCTION("""COMPUTED_VALUE"""),"Cape Of Good Hope")</f>
        <v>Cape Of Good Hope</v>
      </c>
      <c r="B45" t="str">
        <f ca="1">IFERROR(__xludf.DUMMYFUNCTION("""COMPUTED_VALUE"""),"M4716")</f>
        <v>M4716</v>
      </c>
    </row>
    <row r="46" spans="1:2" ht="12.5" x14ac:dyDescent="0.25">
      <c r="A46" t="str">
        <f ca="1">IFERROR(__xludf.DUMMYFUNCTION("""COMPUTED_VALUE"""),"Cape Palmeirinhas")</f>
        <v>Cape Palmeirinhas</v>
      </c>
      <c r="B46" t="str">
        <f ca="1">IFERROR(__xludf.DUMMYFUNCTION("""COMPUTED_VALUE"""),"M4711")</f>
        <v>M4711</v>
      </c>
    </row>
    <row r="47" spans="1:2" ht="12.5" x14ac:dyDescent="0.25">
      <c r="A47" t="str">
        <f ca="1">IFERROR(__xludf.DUMMYFUNCTION("""COMPUTED_VALUE"""),"Cape Salinas")</f>
        <v>Cape Salinas</v>
      </c>
      <c r="B47" t="str">
        <f ca="1">IFERROR(__xludf.DUMMYFUNCTION("""COMPUTED_VALUE"""),"M4712")</f>
        <v>M4712</v>
      </c>
    </row>
    <row r="48" spans="1:2" ht="12.5" x14ac:dyDescent="0.25">
      <c r="A48" t="str">
        <f ca="1">IFERROR(__xludf.DUMMYFUNCTION("""COMPUTED_VALUE"""),"Cape Verde Coastal")</f>
        <v>Cape Verde Coastal</v>
      </c>
      <c r="B48" t="str">
        <f ca="1">IFERROR(__xludf.DUMMYFUNCTION("""COMPUTED_VALUE"""),"M3431")</f>
        <v>M3431</v>
      </c>
    </row>
    <row r="49" spans="1:2" ht="12.5" x14ac:dyDescent="0.25">
      <c r="A49" t="str">
        <f ca="1">IFERROR(__xludf.DUMMYFUNCTION("""COMPUTED_VALUE"""),"Cape Verde Insular")</f>
        <v>Cape Verde Insular</v>
      </c>
      <c r="B49" t="str">
        <f ca="1">IFERROR(__xludf.DUMMYFUNCTION("""COMPUTED_VALUE"""),"M3432")</f>
        <v>M3432</v>
      </c>
    </row>
    <row r="50" spans="1:2" ht="12.5" x14ac:dyDescent="0.25">
      <c r="A50" t="str">
        <f ca="1">IFERROR(__xludf.DUMMYFUNCTION("""COMPUTED_VALUE"""),"Celtic Sea North")</f>
        <v>Celtic Sea North</v>
      </c>
      <c r="B50" t="str">
        <f ca="1">IFERROR(__xludf.DUMMYFUNCTION("""COMPUTED_VALUE"""),"M27VIIg")</f>
        <v>M27VIIg</v>
      </c>
    </row>
    <row r="51" spans="1:2" ht="12.5" x14ac:dyDescent="0.25">
      <c r="A51" t="str">
        <f ca="1">IFERROR(__xludf.DUMMYFUNCTION("""COMPUTED_VALUE"""),"Celtic Sea South")</f>
        <v>Celtic Sea South</v>
      </c>
      <c r="B51" t="str">
        <f ca="1">IFERROR(__xludf.DUMMYFUNCTION("""COMPUTED_VALUE"""),"M27VIIh")</f>
        <v>M27VIIh</v>
      </c>
    </row>
    <row r="52" spans="1:2" ht="12.5" x14ac:dyDescent="0.25">
      <c r="A52" t="str">
        <f ca="1">IFERROR(__xludf.DUMMYFUNCTION("""COMPUTED_VALUE"""),"Central (Atlantic)")</f>
        <v>Central (Atlantic)</v>
      </c>
      <c r="B52" t="str">
        <f ca="1">IFERROR(__xludf.DUMMYFUNCTION("""COMPUTED_VALUE"""),"M412")</f>
        <v>M412</v>
      </c>
    </row>
    <row r="53" spans="1:2" ht="12.5" x14ac:dyDescent="0.25">
      <c r="A53" t="str">
        <f ca="1">IFERROR(__xludf.DUMMYFUNCTION("""COMPUTED_VALUE"""),"Central (Indian)")</f>
        <v>Central (Indian)</v>
      </c>
      <c r="B53" t="str">
        <f ca="1">IFERROR(__xludf.DUMMYFUNCTION("""COMPUTED_VALUE"""),"M573")</f>
        <v>M573</v>
      </c>
    </row>
    <row r="54" spans="1:2" ht="12.5" x14ac:dyDescent="0.25">
      <c r="A54" t="str">
        <f ca="1">IFERROR(__xludf.DUMMYFUNCTION("""COMPUTED_VALUE"""),"Central (Pacific)")</f>
        <v>Central (Pacific)</v>
      </c>
      <c r="B54" t="str">
        <f ca="1">IFERROR(__xludf.DUMMYFUNCTION("""COMPUTED_VALUE"""),"M872")</f>
        <v>M872</v>
      </c>
    </row>
    <row r="55" spans="1:2" ht="12.5" x14ac:dyDescent="0.25">
      <c r="A55" t="str">
        <f ca="1">IFERROR(__xludf.DUMMYFUNCTION("""COMPUTED_VALUE"""),"Central Coastal")</f>
        <v>Central Coastal</v>
      </c>
      <c r="B55" t="str">
        <f ca="1">IFERROR(__xludf.DUMMYFUNCTION("""COMPUTED_VALUE"""),"M8721")</f>
        <v>M8721</v>
      </c>
    </row>
    <row r="56" spans="1:2" ht="12.5" x14ac:dyDescent="0.25">
      <c r="A56" t="str">
        <f ca="1">IFERROR(__xludf.DUMMYFUNCTION("""COMPUTED_VALUE"""),"Central Gulf Of Guinea")</f>
        <v>Central Gulf Of Guinea</v>
      </c>
      <c r="B56" t="str">
        <f ca="1">IFERROR(__xludf.DUMMYFUNCTION("""COMPUTED_VALUE"""),"M3435")</f>
        <v>M3435</v>
      </c>
    </row>
    <row r="57" spans="1:2" ht="12.5" x14ac:dyDescent="0.25">
      <c r="A57" t="str">
        <f ca="1">IFERROR(__xludf.DUMMYFUNCTION("""COMPUTED_VALUE"""),"Central Intermediate")</f>
        <v>Central Intermediate</v>
      </c>
      <c r="B57" t="str">
        <f ca="1">IFERROR(__xludf.DUMMYFUNCTION("""COMPUTED_VALUE"""),"M8722")</f>
        <v>M8722</v>
      </c>
    </row>
    <row r="58" spans="1:2" ht="12.5" x14ac:dyDescent="0.25">
      <c r="A58" t="str">
        <f ca="1">IFERROR(__xludf.DUMMYFUNCTION("""COMPUTED_VALUE"""),"Central Mediterranean")</f>
        <v>Central Mediterranean</v>
      </c>
      <c r="B58" t="str">
        <f ca="1">IFERROR(__xludf.DUMMYFUNCTION("""COMPUTED_VALUE"""),"M372")</f>
        <v>M372</v>
      </c>
    </row>
    <row r="59" spans="1:2" ht="12.5" x14ac:dyDescent="0.25">
      <c r="A59" t="str">
        <f ca="1">IFERROR(__xludf.DUMMYFUNCTION("""COMPUTED_VALUE"""),"Central North Sea")</f>
        <v>Central North Sea</v>
      </c>
      <c r="B59" t="str">
        <f ca="1">IFERROR(__xludf.DUMMYFUNCTION("""COMPUTED_VALUE"""),"M27IVb")</f>
        <v>M27IVb</v>
      </c>
    </row>
    <row r="60" spans="1:2" ht="12.5" x14ac:dyDescent="0.25">
      <c r="A60" t="str">
        <f ca="1">IFERROR(__xludf.DUMMYFUNCTION("""COMPUTED_VALUE"""),"Central Northeast Atlantic - South")</f>
        <v>Central Northeast Atlantic - South</v>
      </c>
      <c r="B60" t="str">
        <f ca="1">IFERROR(__xludf.DUMMYFUNCTION("""COMPUTED_VALUE"""),"M27XIIc")</f>
        <v>M27XIIc</v>
      </c>
    </row>
    <row r="61" spans="1:2" ht="12.5" x14ac:dyDescent="0.25">
      <c r="A61" t="str">
        <f ca="1">IFERROR(__xludf.DUMMYFUNCTION("""COMPUTED_VALUE"""),"Central Oceanic (Atlantic)")</f>
        <v>Central Oceanic (Atlantic)</v>
      </c>
      <c r="B61" t="str">
        <f ca="1">IFERROR(__xludf.DUMMYFUNCTION("""COMPUTED_VALUE"""),"M4124")</f>
        <v>M4124</v>
      </c>
    </row>
    <row r="62" spans="1:2" ht="12.5" x14ac:dyDescent="0.25">
      <c r="A62" t="str">
        <f ca="1">IFERROR(__xludf.DUMMYFUNCTION("""COMPUTED_VALUE"""),"Central Oceanic (Pacific)")</f>
        <v>Central Oceanic (Pacific)</v>
      </c>
      <c r="B62" t="str">
        <f ca="1">IFERROR(__xludf.DUMMYFUNCTION("""COMPUTED_VALUE"""),"M8726")</f>
        <v>M8726</v>
      </c>
    </row>
    <row r="63" spans="1:2" ht="12.5" x14ac:dyDescent="0.25">
      <c r="A63" t="str">
        <f ca="1">IFERROR(__xludf.DUMMYFUNCTION("""COMPUTED_VALUE"""),"Crozet")</f>
        <v>Crozet</v>
      </c>
      <c r="B63" t="str">
        <f ca="1">IFERROR(__xludf.DUMMYFUNCTION("""COMPUTED_VALUE"""),"M586")</f>
        <v>M586</v>
      </c>
    </row>
    <row r="64" spans="1:2" ht="12.5" x14ac:dyDescent="0.25">
      <c r="A64" t="str">
        <f ca="1">IFERROR(__xludf.DUMMYFUNCTION("""COMPUTED_VALUE"""),"Cunene")</f>
        <v>Cunene</v>
      </c>
      <c r="B64" t="str">
        <f ca="1">IFERROR(__xludf.DUMMYFUNCTION("""COMPUTED_VALUE"""),"M4713")</f>
        <v>M4713</v>
      </c>
    </row>
    <row r="65" spans="1:2" ht="12.5" x14ac:dyDescent="0.25">
      <c r="A65" t="str">
        <f ca="1">IFERROR(__xludf.DUMMYFUNCTION("""COMPUTED_VALUE"""),"East Greenland")</f>
        <v>East Greenland</v>
      </c>
      <c r="B65" t="str">
        <f ca="1">IFERROR(__xludf.DUMMYFUNCTION("""COMPUTED_VALUE"""),"M27XIV")</f>
        <v>M27XIV</v>
      </c>
    </row>
    <row r="66" spans="1:2" ht="12.5" x14ac:dyDescent="0.25">
      <c r="A66" t="str">
        <f ca="1">IFERROR(__xludf.DUMMYFUNCTION("""COMPUTED_VALUE"""),"East Of Gotland (Open Sea)")</f>
        <v>East Of Gotland (Open Sea)</v>
      </c>
      <c r="B66" t="str">
        <f ca="1">IFERROR(__xludf.DUMMYFUNCTION("""COMPUTED_VALUE"""),"M27IIId282")</f>
        <v>M27IIId282</v>
      </c>
    </row>
    <row r="67" spans="1:2" ht="12.5" x14ac:dyDescent="0.25">
      <c r="A67" t="str">
        <f ca="1">IFERROR(__xludf.DUMMYFUNCTION("""COMPUTED_VALUE"""),"East Of Gotland Or Gulf Of Riga")</f>
        <v>East Of Gotland Or Gulf Of Riga</v>
      </c>
      <c r="B67" t="str">
        <f ca="1">IFERROR(__xludf.DUMMYFUNCTION("""COMPUTED_VALUE"""),"M27IIId28")</f>
        <v>M27IIId28</v>
      </c>
    </row>
    <row r="68" spans="1:2" ht="12.5" x14ac:dyDescent="0.25">
      <c r="A68" t="str">
        <f ca="1">IFERROR(__xludf.DUMMYFUNCTION("""COMPUTED_VALUE"""),"Eastern Agulhas")</f>
        <v>Eastern Agulhas</v>
      </c>
      <c r="B68" t="str">
        <f ca="1">IFERROR(__xludf.DUMMYFUNCTION("""COMPUTED_VALUE"""),"M4722")</f>
        <v>M4722</v>
      </c>
    </row>
    <row r="69" spans="1:2" ht="12.5" x14ac:dyDescent="0.25">
      <c r="A69" t="str">
        <f ca="1">IFERROR(__xludf.DUMMYFUNCTION("""COMPUTED_VALUE"""),"Eastern Arabian Sea, Laccadives")</f>
        <v>Eastern Arabian Sea, Laccadives</v>
      </c>
      <c r="B69" t="str">
        <f ca="1">IFERROR(__xludf.DUMMYFUNCTION("""COMPUTED_VALUE"""),"M514")</f>
        <v>M514</v>
      </c>
    </row>
    <row r="70" spans="1:2" ht="12.5" x14ac:dyDescent="0.25">
      <c r="A70" t="str">
        <f ca="1">IFERROR(__xludf.DUMMYFUNCTION("""COMPUTED_VALUE"""),"Eastern English Channel")</f>
        <v>Eastern English Channel</v>
      </c>
      <c r="B70" t="str">
        <f ca="1">IFERROR(__xludf.DUMMYFUNCTION("""COMPUTED_VALUE"""),"M27VIId")</f>
        <v>M27VIId</v>
      </c>
    </row>
    <row r="71" spans="1:2" ht="12.5" x14ac:dyDescent="0.25">
      <c r="A71" t="str">
        <f ca="1">IFERROR(__xludf.DUMMYFUNCTION("""COMPUTED_VALUE"""),"Eastern Mediterranean")</f>
        <v>Eastern Mediterranean</v>
      </c>
      <c r="B71" t="str">
        <f ca="1">IFERROR(__xludf.DUMMYFUNCTION("""COMPUTED_VALUE"""),"M373")</f>
        <v>M373</v>
      </c>
    </row>
    <row r="72" spans="1:2" ht="12.5" x14ac:dyDescent="0.25">
      <c r="A72" t="str">
        <f ca="1">IFERROR(__xludf.DUMMYFUNCTION("""COMPUTED_VALUE"""),"Eastern Ross Sea")</f>
        <v>Eastern Ross Sea</v>
      </c>
      <c r="B72" t="str">
        <f ca="1">IFERROR(__xludf.DUMMYFUNCTION("""COMPUTED_VALUE"""),"M881")</f>
        <v>M881</v>
      </c>
    </row>
    <row r="73" spans="1:2" ht="12.5" x14ac:dyDescent="0.25">
      <c r="A73" t="str">
        <f ca="1">IFERROR(__xludf.DUMMYFUNCTION("""COMPUTED_VALUE"""),"Eastern Subdivision")</f>
        <v>Eastern Subdivision</v>
      </c>
      <c r="B73" t="str">
        <f ca="1">IFERROR(__xludf.DUMMYFUNCTION("""COMPUTED_VALUE"""),"M215Ze")</f>
        <v>M215Ze</v>
      </c>
    </row>
    <row r="74" spans="1:2" ht="12.5" x14ac:dyDescent="0.25">
      <c r="A74" t="str">
        <f ca="1">IFERROR(__xludf.DUMMYFUNCTION("""COMPUTED_VALUE"""),"Enderby-Wilkes")</f>
        <v>Enderby-Wilkes</v>
      </c>
      <c r="B74" t="str">
        <f ca="1">IFERROR(__xludf.DUMMYFUNCTION("""COMPUTED_VALUE"""),"M584")</f>
        <v>M584</v>
      </c>
    </row>
    <row r="75" spans="1:2" ht="12.5" x14ac:dyDescent="0.25">
      <c r="A75" t="str">
        <f ca="1">IFERROR(__xludf.DUMMYFUNCTION("""COMPUTED_VALUE"""),"Faeroe Plateau - Part Of Neafc Regulatory Area")</f>
        <v>Faeroe Plateau - Part Of Neafc Regulatory Area</v>
      </c>
      <c r="B75" t="str">
        <f ca="1">IFERROR(__xludf.DUMMYFUNCTION("""COMPUTED_VALUE"""),"M27Vb1a")</f>
        <v>M27Vb1a</v>
      </c>
    </row>
    <row r="76" spans="1:2" ht="12.5" x14ac:dyDescent="0.25">
      <c r="A76" t="str">
        <f ca="1">IFERROR(__xludf.DUMMYFUNCTION("""COMPUTED_VALUE"""),"Faeroe Plateau - Part Of Non-Neafc Regulatory Area")</f>
        <v>Faeroe Plateau - Part Of Non-Neafc Regulatory Area</v>
      </c>
      <c r="B76" t="str">
        <f ca="1">IFERROR(__xludf.DUMMYFUNCTION("""COMPUTED_VALUE"""),"M27Vb1b")</f>
        <v>M27Vb1b</v>
      </c>
    </row>
    <row r="77" spans="1:2" ht="12.5" x14ac:dyDescent="0.25">
      <c r="A77" t="str">
        <f ca="1">IFERROR(__xludf.DUMMYFUNCTION("""COMPUTED_VALUE"""),"Fao - Proposed Division  _31.10.1")</f>
        <v>Fao - Proposed Division  _31.10.1</v>
      </c>
      <c r="B77" t="str">
        <f ca="1">IFERROR(__xludf.DUMMYFUNCTION("""COMPUTED_VALUE"""),"M31101")</f>
        <v>M31101</v>
      </c>
    </row>
    <row r="78" spans="1:2" ht="12.5" x14ac:dyDescent="0.25">
      <c r="A78" t="str">
        <f ca="1">IFERROR(__xludf.DUMMYFUNCTION("""COMPUTED_VALUE"""),"Fao - Proposed Division  _31.10.2")</f>
        <v>Fao - Proposed Division  _31.10.2</v>
      </c>
      <c r="B78" t="str">
        <f ca="1">IFERROR(__xludf.DUMMYFUNCTION("""COMPUTED_VALUE"""),"M31102")</f>
        <v>M31102</v>
      </c>
    </row>
    <row r="79" spans="1:2" ht="12.5" x14ac:dyDescent="0.25">
      <c r="A79" t="str">
        <f ca="1">IFERROR(__xludf.DUMMYFUNCTION("""COMPUTED_VALUE"""),"Fao - Proposed Division  _31.10.3")</f>
        <v>Fao - Proposed Division  _31.10.3</v>
      </c>
      <c r="B79" t="str">
        <f ca="1">IFERROR(__xludf.DUMMYFUNCTION("""COMPUTED_VALUE"""),"M31103")</f>
        <v>M31103</v>
      </c>
    </row>
    <row r="80" spans="1:2" ht="12.5" x14ac:dyDescent="0.25">
      <c r="A80" t="str">
        <f ca="1">IFERROR(__xludf.DUMMYFUNCTION("""COMPUTED_VALUE"""),"Fao - Proposed Division  _31.10.4")</f>
        <v>Fao - Proposed Division  _31.10.4</v>
      </c>
      <c r="B80" t="str">
        <f ca="1">IFERROR(__xludf.DUMMYFUNCTION("""COMPUTED_VALUE"""),"M31104")</f>
        <v>M31104</v>
      </c>
    </row>
    <row r="81" spans="1:2" ht="12.5" x14ac:dyDescent="0.25">
      <c r="A81" t="str">
        <f ca="1">IFERROR(__xludf.DUMMYFUNCTION("""COMPUTED_VALUE"""),"Fao - Proposed Division  _31.2.1")</f>
        <v>Fao - Proposed Division  _31.2.1</v>
      </c>
      <c r="B81" t="str">
        <f ca="1">IFERROR(__xludf.DUMMYFUNCTION("""COMPUTED_VALUE"""),"M3121")</f>
        <v>M3121</v>
      </c>
    </row>
    <row r="82" spans="1:2" ht="12.5" x14ac:dyDescent="0.25">
      <c r="A82" t="str">
        <f ca="1">IFERROR(__xludf.DUMMYFUNCTION("""COMPUTED_VALUE"""),"Fao - Proposed Division  _31.2.2")</f>
        <v>Fao - Proposed Division  _31.2.2</v>
      </c>
      <c r="B82" t="str">
        <f ca="1">IFERROR(__xludf.DUMMYFUNCTION("""COMPUTED_VALUE"""),"M3122")</f>
        <v>M3122</v>
      </c>
    </row>
    <row r="83" spans="1:2" ht="12.5" x14ac:dyDescent="0.25">
      <c r="A83" t="str">
        <f ca="1">IFERROR(__xludf.DUMMYFUNCTION("""COMPUTED_VALUE"""),"Fao - Proposed Division  _31.2.3")</f>
        <v>Fao - Proposed Division  _31.2.3</v>
      </c>
      <c r="B83" t="str">
        <f ca="1">IFERROR(__xludf.DUMMYFUNCTION("""COMPUTED_VALUE"""),"M3123")</f>
        <v>M3123</v>
      </c>
    </row>
    <row r="84" spans="1:2" ht="12.5" x14ac:dyDescent="0.25">
      <c r="A84" t="str">
        <f ca="1">IFERROR(__xludf.DUMMYFUNCTION("""COMPUTED_VALUE"""),"Fao - Proposed Division  _31.2.4")</f>
        <v>Fao - Proposed Division  _31.2.4</v>
      </c>
      <c r="B84" t="str">
        <f ca="1">IFERROR(__xludf.DUMMYFUNCTION("""COMPUTED_VALUE"""),"M3124")</f>
        <v>M3124</v>
      </c>
    </row>
    <row r="85" spans="1:2" ht="12.5" x14ac:dyDescent="0.25">
      <c r="A85" t="str">
        <f ca="1">IFERROR(__xludf.DUMMYFUNCTION("""COMPUTED_VALUE"""),"Fao - Proposed Division  _31.2.5")</f>
        <v>Fao - Proposed Division  _31.2.5</v>
      </c>
      <c r="B85" t="str">
        <f ca="1">IFERROR(__xludf.DUMMYFUNCTION("""COMPUTED_VALUE"""),"M3125")</f>
        <v>M3125</v>
      </c>
    </row>
    <row r="86" spans="1:2" ht="12.5" x14ac:dyDescent="0.25">
      <c r="A86" t="str">
        <f ca="1">IFERROR(__xludf.DUMMYFUNCTION("""COMPUTED_VALUE"""),"Fao - Proposed Division  _31.2.6")</f>
        <v>Fao - Proposed Division  _31.2.6</v>
      </c>
      <c r="B86" t="str">
        <f ca="1">IFERROR(__xludf.DUMMYFUNCTION("""COMPUTED_VALUE"""),"M3126")</f>
        <v>M3126</v>
      </c>
    </row>
    <row r="87" spans="1:2" ht="12.5" x14ac:dyDescent="0.25">
      <c r="A87" t="str">
        <f ca="1">IFERROR(__xludf.DUMMYFUNCTION("""COMPUTED_VALUE"""),"Fao - Proposed Division  _31.3.1")</f>
        <v>Fao - Proposed Division  _31.3.1</v>
      </c>
      <c r="B87" t="str">
        <f ca="1">IFERROR(__xludf.DUMMYFUNCTION("""COMPUTED_VALUE"""),"M3131")</f>
        <v>M3131</v>
      </c>
    </row>
    <row r="88" spans="1:2" ht="12.5" x14ac:dyDescent="0.25">
      <c r="A88" t="str">
        <f ca="1">IFERROR(__xludf.DUMMYFUNCTION("""COMPUTED_VALUE"""),"Fao - Proposed Division  _31.3.2")</f>
        <v>Fao - Proposed Division  _31.3.2</v>
      </c>
      <c r="B88" t="str">
        <f ca="1">IFERROR(__xludf.DUMMYFUNCTION("""COMPUTED_VALUE"""),"M3132")</f>
        <v>M3132</v>
      </c>
    </row>
    <row r="89" spans="1:2" ht="12.5" x14ac:dyDescent="0.25">
      <c r="A89" t="str">
        <f ca="1">IFERROR(__xludf.DUMMYFUNCTION("""COMPUTED_VALUE"""),"Fao - Proposed Division  _31.3.3")</f>
        <v>Fao - Proposed Division  _31.3.3</v>
      </c>
      <c r="B89" t="str">
        <f ca="1">IFERROR(__xludf.DUMMYFUNCTION("""COMPUTED_VALUE"""),"M3133")</f>
        <v>M3133</v>
      </c>
    </row>
    <row r="90" spans="1:2" ht="12.5" x14ac:dyDescent="0.25">
      <c r="A90" t="str">
        <f ca="1">IFERROR(__xludf.DUMMYFUNCTION("""COMPUTED_VALUE"""),"Fao - Proposed Division  _31.4.1")</f>
        <v>Fao - Proposed Division  _31.4.1</v>
      </c>
      <c r="B90" t="str">
        <f ca="1">IFERROR(__xludf.DUMMYFUNCTION("""COMPUTED_VALUE"""),"M3141")</f>
        <v>M3141</v>
      </c>
    </row>
    <row r="91" spans="1:2" ht="12.5" x14ac:dyDescent="0.25">
      <c r="A91" t="str">
        <f ca="1">IFERROR(__xludf.DUMMYFUNCTION("""COMPUTED_VALUE"""),"Fao - Proposed Division  _31.4.2")</f>
        <v>Fao - Proposed Division  _31.4.2</v>
      </c>
      <c r="B91" t="str">
        <f ca="1">IFERROR(__xludf.DUMMYFUNCTION("""COMPUTED_VALUE"""),"M3142")</f>
        <v>M3142</v>
      </c>
    </row>
    <row r="92" spans="1:2" ht="12.5" x14ac:dyDescent="0.25">
      <c r="A92" t="str">
        <f ca="1">IFERROR(__xludf.DUMMYFUNCTION("""COMPUTED_VALUE"""),"Fao - Proposed Division  _31.7.1")</f>
        <v>Fao - Proposed Division  _31.7.1</v>
      </c>
      <c r="B92" t="str">
        <f ca="1">IFERROR(__xludf.DUMMYFUNCTION("""COMPUTED_VALUE"""),"M3171")</f>
        <v>M3171</v>
      </c>
    </row>
    <row r="93" spans="1:2" ht="12.5" x14ac:dyDescent="0.25">
      <c r="A93" t="str">
        <f ca="1">IFERROR(__xludf.DUMMYFUNCTION("""COMPUTED_VALUE"""),"Fao - Proposed Division  _31.7.2")</f>
        <v>Fao - Proposed Division  _31.7.2</v>
      </c>
      <c r="B93" t="str">
        <f ca="1">IFERROR(__xludf.DUMMYFUNCTION("""COMPUTED_VALUE"""),"M3172")</f>
        <v>M3172</v>
      </c>
    </row>
    <row r="94" spans="1:2" ht="12.5" x14ac:dyDescent="0.25">
      <c r="A94" t="str">
        <f ca="1">IFERROR(__xludf.DUMMYFUNCTION("""COMPUTED_VALUE"""),"Fao - Proposed Division  _31.7.3")</f>
        <v>Fao - Proposed Division  _31.7.3</v>
      </c>
      <c r="B94" t="str">
        <f ca="1">IFERROR(__xludf.DUMMYFUNCTION("""COMPUTED_VALUE"""),"M3173")</f>
        <v>M3173</v>
      </c>
    </row>
    <row r="95" spans="1:2" ht="12.5" x14ac:dyDescent="0.25">
      <c r="A95" t="str">
        <f ca="1">IFERROR(__xludf.DUMMYFUNCTION("""COMPUTED_VALUE"""),"Fao - Proposed Division  _31.8.1")</f>
        <v>Fao - Proposed Division  _31.8.1</v>
      </c>
      <c r="B95" t="str">
        <f ca="1">IFERROR(__xludf.DUMMYFUNCTION("""COMPUTED_VALUE"""),"M3181")</f>
        <v>M3181</v>
      </c>
    </row>
    <row r="96" spans="1:2" ht="12.5" x14ac:dyDescent="0.25">
      <c r="A96" t="str">
        <f ca="1">IFERROR(__xludf.DUMMYFUNCTION("""COMPUTED_VALUE"""),"Fao - Proposed Division  _31.8.2")</f>
        <v>Fao - Proposed Division  _31.8.2</v>
      </c>
      <c r="B96" t="str">
        <f ca="1">IFERROR(__xludf.DUMMYFUNCTION("""COMPUTED_VALUE"""),"M3182")</f>
        <v>M3182</v>
      </c>
    </row>
    <row r="97" spans="1:2" ht="12.5" x14ac:dyDescent="0.25">
      <c r="A97" t="str">
        <f ca="1">IFERROR(__xludf.DUMMYFUNCTION("""COMPUTED_VALUE"""),"Fao - Proposed Division  _81.1.1")</f>
        <v>Fao - Proposed Division  _81.1.1</v>
      </c>
      <c r="B97" t="str">
        <f ca="1">IFERROR(__xludf.DUMMYFUNCTION("""COMPUTED_VALUE"""),"M8111")</f>
        <v>M8111</v>
      </c>
    </row>
    <row r="98" spans="1:2" ht="12.5" x14ac:dyDescent="0.25">
      <c r="A98" t="str">
        <f ca="1">IFERROR(__xludf.DUMMYFUNCTION("""COMPUTED_VALUE"""),"Fao - Proposed Division  _81.1.2")</f>
        <v>Fao - Proposed Division  _81.1.2</v>
      </c>
      <c r="B98" t="str">
        <f ca="1">IFERROR(__xludf.DUMMYFUNCTION("""COMPUTED_VALUE"""),"M8112")</f>
        <v>M8112</v>
      </c>
    </row>
    <row r="99" spans="1:2" ht="12.5" x14ac:dyDescent="0.25">
      <c r="A99" t="str">
        <f ca="1">IFERROR(__xludf.DUMMYFUNCTION("""COMPUTED_VALUE"""),"Fao - Proposed Sub Area  _31.1")</f>
        <v>Fao - Proposed Sub Area  _31.1</v>
      </c>
      <c r="B99" t="str">
        <f ca="1">IFERROR(__xludf.DUMMYFUNCTION("""COMPUTED_VALUE"""),"M311")</f>
        <v>M311</v>
      </c>
    </row>
    <row r="100" spans="1:2" ht="12.5" x14ac:dyDescent="0.25">
      <c r="A100" t="str">
        <f ca="1">IFERROR(__xludf.DUMMYFUNCTION("""COMPUTED_VALUE"""),"Fao - Proposed Sub Area  _31.10")</f>
        <v>Fao - Proposed Sub Area  _31.10</v>
      </c>
      <c r="B100" t="str">
        <f ca="1">IFERROR(__xludf.DUMMYFUNCTION("""COMPUTED_VALUE"""),"M3110")</f>
        <v>M3110</v>
      </c>
    </row>
    <row r="101" spans="1:2" ht="12.5" x14ac:dyDescent="0.25">
      <c r="A101" t="str">
        <f ca="1">IFERROR(__xludf.DUMMYFUNCTION("""COMPUTED_VALUE"""),"Fao - Proposed Sub Area  _31.11")</f>
        <v>Fao - Proposed Sub Area  _31.11</v>
      </c>
      <c r="B101" t="str">
        <f ca="1">IFERROR(__xludf.DUMMYFUNCTION("""COMPUTED_VALUE"""),"M3111")</f>
        <v>M3111</v>
      </c>
    </row>
    <row r="102" spans="1:2" ht="12.5" x14ac:dyDescent="0.25">
      <c r="A102" t="str">
        <f ca="1">IFERROR(__xludf.DUMMYFUNCTION("""COMPUTED_VALUE"""),"Fao - Proposed Sub Area  _31.2")</f>
        <v>Fao - Proposed Sub Area  _31.2</v>
      </c>
      <c r="B102" t="str">
        <f ca="1">IFERROR(__xludf.DUMMYFUNCTION("""COMPUTED_VALUE"""),"M312")</f>
        <v>M312</v>
      </c>
    </row>
    <row r="103" spans="1:2" ht="12.5" x14ac:dyDescent="0.25">
      <c r="A103" t="str">
        <f ca="1">IFERROR(__xludf.DUMMYFUNCTION("""COMPUTED_VALUE"""),"Fao - Proposed Sub Area  _31.3")</f>
        <v>Fao - Proposed Sub Area  _31.3</v>
      </c>
      <c r="B103" t="str">
        <f ca="1">IFERROR(__xludf.DUMMYFUNCTION("""COMPUTED_VALUE"""),"M313")</f>
        <v>M313</v>
      </c>
    </row>
    <row r="104" spans="1:2" ht="12.5" x14ac:dyDescent="0.25">
      <c r="A104" t="str">
        <f ca="1">IFERROR(__xludf.DUMMYFUNCTION("""COMPUTED_VALUE"""),"Fao - Proposed Sub Area  _31.4")</f>
        <v>Fao - Proposed Sub Area  _31.4</v>
      </c>
      <c r="B104" t="str">
        <f ca="1">IFERROR(__xludf.DUMMYFUNCTION("""COMPUTED_VALUE"""),"M314")</f>
        <v>M314</v>
      </c>
    </row>
    <row r="105" spans="1:2" ht="12.5" x14ac:dyDescent="0.25">
      <c r="A105" t="str">
        <f ca="1">IFERROR(__xludf.DUMMYFUNCTION("""COMPUTED_VALUE"""),"Fao - Proposed Sub Area  _31.5")</f>
        <v>Fao - Proposed Sub Area  _31.5</v>
      </c>
      <c r="B105" t="str">
        <f ca="1">IFERROR(__xludf.DUMMYFUNCTION("""COMPUTED_VALUE"""),"M315")</f>
        <v>M315</v>
      </c>
    </row>
    <row r="106" spans="1:2" ht="12.5" x14ac:dyDescent="0.25">
      <c r="A106" t="str">
        <f ca="1">IFERROR(__xludf.DUMMYFUNCTION("""COMPUTED_VALUE"""),"Fao - Proposed Sub Area  _31.6")</f>
        <v>Fao - Proposed Sub Area  _31.6</v>
      </c>
      <c r="B106" t="str">
        <f ca="1">IFERROR(__xludf.DUMMYFUNCTION("""COMPUTED_VALUE"""),"M316")</f>
        <v>M316</v>
      </c>
    </row>
    <row r="107" spans="1:2" ht="12.5" x14ac:dyDescent="0.25">
      <c r="A107" t="str">
        <f ca="1">IFERROR(__xludf.DUMMYFUNCTION("""COMPUTED_VALUE"""),"Fao - Proposed Sub Area  _31.7")</f>
        <v>Fao - Proposed Sub Area  _31.7</v>
      </c>
      <c r="B107" t="str">
        <f ca="1">IFERROR(__xludf.DUMMYFUNCTION("""COMPUTED_VALUE"""),"M317")</f>
        <v>M317</v>
      </c>
    </row>
    <row r="108" spans="1:2" ht="12.5" x14ac:dyDescent="0.25">
      <c r="A108" t="str">
        <f ca="1">IFERROR(__xludf.DUMMYFUNCTION("""COMPUTED_VALUE"""),"Fao - Proposed Sub Area  _31.8")</f>
        <v>Fao - Proposed Sub Area  _31.8</v>
      </c>
      <c r="B108" t="str">
        <f ca="1">IFERROR(__xludf.DUMMYFUNCTION("""COMPUTED_VALUE"""),"M318")</f>
        <v>M318</v>
      </c>
    </row>
    <row r="109" spans="1:2" ht="12.5" x14ac:dyDescent="0.25">
      <c r="A109" t="str">
        <f ca="1">IFERROR(__xludf.DUMMYFUNCTION("""COMPUTED_VALUE"""),"Fao - Proposed Sub Area  _31.9")</f>
        <v>Fao - Proposed Sub Area  _31.9</v>
      </c>
      <c r="B109" t="str">
        <f ca="1">IFERROR(__xludf.DUMMYFUNCTION("""COMPUTED_VALUE"""),"M319")</f>
        <v>M319</v>
      </c>
    </row>
    <row r="110" spans="1:2" ht="12.5" x14ac:dyDescent="0.25">
      <c r="A110" t="str">
        <f ca="1">IFERROR(__xludf.DUMMYFUNCTION("""COMPUTED_VALUE"""),"Fao - Proposed Sub Area  _71.1")</f>
        <v>Fao - Proposed Sub Area  _71.1</v>
      </c>
      <c r="B110" t="str">
        <f ca="1">IFERROR(__xludf.DUMMYFUNCTION("""COMPUTED_VALUE"""),"M711")</f>
        <v>M711</v>
      </c>
    </row>
    <row r="111" spans="1:2" ht="12.5" x14ac:dyDescent="0.25">
      <c r="A111" t="str">
        <f ca="1">IFERROR(__xludf.DUMMYFUNCTION("""COMPUTED_VALUE"""),"Fao - Proposed Sub Area  _71.2")</f>
        <v>Fao - Proposed Sub Area  _71.2</v>
      </c>
      <c r="B111" t="str">
        <f ca="1">IFERROR(__xludf.DUMMYFUNCTION("""COMPUTED_VALUE"""),"M712")</f>
        <v>M712</v>
      </c>
    </row>
    <row r="112" spans="1:2" ht="12.5" x14ac:dyDescent="0.25">
      <c r="A112" t="str">
        <f ca="1">IFERROR(__xludf.DUMMYFUNCTION("""COMPUTED_VALUE"""),"Fao - Proposed Sub Area  _71.3")</f>
        <v>Fao - Proposed Sub Area  _71.3</v>
      </c>
      <c r="B112" t="str">
        <f ca="1">IFERROR(__xludf.DUMMYFUNCTION("""COMPUTED_VALUE"""),"M713")</f>
        <v>M713</v>
      </c>
    </row>
    <row r="113" spans="1:2" ht="12.5" x14ac:dyDescent="0.25">
      <c r="A113" t="str">
        <f ca="1">IFERROR(__xludf.DUMMYFUNCTION("""COMPUTED_VALUE"""),"Fao - Proposed Sub Area  _71.4")</f>
        <v>Fao - Proposed Sub Area  _71.4</v>
      </c>
      <c r="B113" t="str">
        <f ca="1">IFERROR(__xludf.DUMMYFUNCTION("""COMPUTED_VALUE"""),"M714")</f>
        <v>M714</v>
      </c>
    </row>
    <row r="114" spans="1:2" ht="12.5" x14ac:dyDescent="0.25">
      <c r="A114" t="str">
        <f ca="1">IFERROR(__xludf.DUMMYFUNCTION("""COMPUTED_VALUE"""),"Fao - Proposed Sub Area  _71.5")</f>
        <v>Fao - Proposed Sub Area  _71.5</v>
      </c>
      <c r="B114" t="str">
        <f ca="1">IFERROR(__xludf.DUMMYFUNCTION("""COMPUTED_VALUE"""),"M715")</f>
        <v>M715</v>
      </c>
    </row>
    <row r="115" spans="1:2" ht="12.5" x14ac:dyDescent="0.25">
      <c r="A115" t="str">
        <f ca="1">IFERROR(__xludf.DUMMYFUNCTION("""COMPUTED_VALUE"""),"Fao - Proposed Sub Area  _71.6")</f>
        <v>Fao - Proposed Sub Area  _71.6</v>
      </c>
      <c r="B115" t="str">
        <f ca="1">IFERROR(__xludf.DUMMYFUNCTION("""COMPUTED_VALUE"""),"M716")</f>
        <v>M716</v>
      </c>
    </row>
    <row r="116" spans="1:2" ht="12.5" x14ac:dyDescent="0.25">
      <c r="A116" t="str">
        <f ca="1">IFERROR(__xludf.DUMMYFUNCTION("""COMPUTED_VALUE"""),"Fao - Proposed Sub Area  _71.7")</f>
        <v>Fao - Proposed Sub Area  _71.7</v>
      </c>
      <c r="B116" t="str">
        <f ca="1">IFERROR(__xludf.DUMMYFUNCTION("""COMPUTED_VALUE"""),"M717")</f>
        <v>M717</v>
      </c>
    </row>
    <row r="117" spans="1:2" ht="12.5" x14ac:dyDescent="0.25">
      <c r="A117" t="str">
        <f ca="1">IFERROR(__xludf.DUMMYFUNCTION("""COMPUTED_VALUE"""),"Fao - Proposed Sub Area  _71.8")</f>
        <v>Fao - Proposed Sub Area  _71.8</v>
      </c>
      <c r="B117" t="str">
        <f ca="1">IFERROR(__xludf.DUMMYFUNCTION("""COMPUTED_VALUE"""),"M718")</f>
        <v>M718</v>
      </c>
    </row>
    <row r="118" spans="1:2" ht="12.5" x14ac:dyDescent="0.25">
      <c r="A118" t="str">
        <f ca="1">IFERROR(__xludf.DUMMYFUNCTION("""COMPUTED_VALUE"""),"Fao - Proposed Sub Area  _81.1")</f>
        <v>Fao - Proposed Sub Area  _81.1</v>
      </c>
      <c r="B118" t="str">
        <f ca="1">IFERROR(__xludf.DUMMYFUNCTION("""COMPUTED_VALUE"""),"M811")</f>
        <v>M811</v>
      </c>
    </row>
    <row r="119" spans="1:2" ht="12.5" x14ac:dyDescent="0.25">
      <c r="A119" t="str">
        <f ca="1">IFERROR(__xludf.DUMMYFUNCTION("""COMPUTED_VALUE"""),"Fao - Proposed Sub Area  _81.2")</f>
        <v>Fao - Proposed Sub Area  _81.2</v>
      </c>
      <c r="B119" t="str">
        <f ca="1">IFERROR(__xludf.DUMMYFUNCTION("""COMPUTED_VALUE"""),"M812")</f>
        <v>M812</v>
      </c>
    </row>
    <row r="120" spans="1:2" ht="12.5" x14ac:dyDescent="0.25">
      <c r="A120" t="str">
        <f ca="1">IFERROR(__xludf.DUMMYFUNCTION("""COMPUTED_VALUE"""),"Fao - Proposed Sub Area  _81.3")</f>
        <v>Fao - Proposed Sub Area  _81.3</v>
      </c>
      <c r="B120" t="str">
        <f ca="1">IFERROR(__xludf.DUMMYFUNCTION("""COMPUTED_VALUE"""),"M813")</f>
        <v>M813</v>
      </c>
    </row>
    <row r="121" spans="1:2" ht="12.5" x14ac:dyDescent="0.25">
      <c r="A121" t="str">
        <f ca="1">IFERROR(__xludf.DUMMYFUNCTION("""COMPUTED_VALUE"""),"Fao - Proposed Sub Area  _81.4")</f>
        <v>Fao - Proposed Sub Area  _81.4</v>
      </c>
      <c r="B121" t="str">
        <f ca="1">IFERROR(__xludf.DUMMYFUNCTION("""COMPUTED_VALUE"""),"M814")</f>
        <v>M814</v>
      </c>
    </row>
    <row r="122" spans="1:2" ht="12.5" x14ac:dyDescent="0.25">
      <c r="A122" t="str">
        <f ca="1">IFERROR(__xludf.DUMMYFUNCTION("""COMPUTED_VALUE"""),"Fao - Proposed Sub Area  _81.5")</f>
        <v>Fao - Proposed Sub Area  _81.5</v>
      </c>
      <c r="B122" t="str">
        <f ca="1">IFERROR(__xludf.DUMMYFUNCTION("""COMPUTED_VALUE"""),"M815")</f>
        <v>M815</v>
      </c>
    </row>
    <row r="123" spans="1:2" ht="12.5" x14ac:dyDescent="0.25">
      <c r="A123" t="str">
        <f ca="1">IFERROR(__xludf.DUMMYFUNCTION("""COMPUTED_VALUE"""),"Fao - Proposed Sub Area  _81.6")</f>
        <v>Fao - Proposed Sub Area  _81.6</v>
      </c>
      <c r="B123" t="str">
        <f ca="1">IFERROR(__xludf.DUMMYFUNCTION("""COMPUTED_VALUE"""),"M816")</f>
        <v>M816</v>
      </c>
    </row>
    <row r="124" spans="1:2" ht="12.5" x14ac:dyDescent="0.25">
      <c r="A124" t="str">
        <f ca="1">IFERROR(__xludf.DUMMYFUNCTION("""COMPUTED_VALUE"""),"Fao - Proposed Sub Area  _81.7")</f>
        <v>Fao - Proposed Sub Area  _81.7</v>
      </c>
      <c r="B124" t="str">
        <f ca="1">IFERROR(__xludf.DUMMYFUNCTION("""COMPUTED_VALUE"""),"M817")</f>
        <v>M817</v>
      </c>
    </row>
    <row r="125" spans="1:2" ht="12.5" x14ac:dyDescent="0.25">
      <c r="A125" t="str">
        <f ca="1">IFERROR(__xludf.DUMMYFUNCTION("""COMPUTED_VALUE"""),"Fao Division 21.0.A")</f>
        <v>Fao Division 21.0.A</v>
      </c>
      <c r="B125" t="str">
        <f ca="1">IFERROR(__xludf.DUMMYFUNCTION("""COMPUTED_VALUE"""),"M210A")</f>
        <v>M210A</v>
      </c>
    </row>
    <row r="126" spans="1:2" ht="12.5" x14ac:dyDescent="0.25">
      <c r="A126" t="str">
        <f ca="1">IFERROR(__xludf.DUMMYFUNCTION("""COMPUTED_VALUE"""),"Fao Division 21.0.B")</f>
        <v>Fao Division 21.0.B</v>
      </c>
      <c r="B126" t="str">
        <f ca="1">IFERROR(__xludf.DUMMYFUNCTION("""COMPUTED_VALUE"""),"M210B")</f>
        <v>M210B</v>
      </c>
    </row>
    <row r="127" spans="1:2" ht="12.5" x14ac:dyDescent="0.25">
      <c r="A127" t="str">
        <f ca="1">IFERROR(__xludf.DUMMYFUNCTION("""COMPUTED_VALUE"""),"Fao Division 21.1.A")</f>
        <v>Fao Division 21.1.A</v>
      </c>
      <c r="B127" t="str">
        <f ca="1">IFERROR(__xludf.DUMMYFUNCTION("""COMPUTED_VALUE"""),"M211A")</f>
        <v>M211A</v>
      </c>
    </row>
    <row r="128" spans="1:2" ht="12.5" x14ac:dyDescent="0.25">
      <c r="A128" t="str">
        <f ca="1">IFERROR(__xludf.DUMMYFUNCTION("""COMPUTED_VALUE"""),"Fao Division 21.1.B")</f>
        <v>Fao Division 21.1.B</v>
      </c>
      <c r="B128" t="str">
        <f ca="1">IFERROR(__xludf.DUMMYFUNCTION("""COMPUTED_VALUE"""),"M211B")</f>
        <v>M211B</v>
      </c>
    </row>
    <row r="129" spans="1:2" ht="12.5" x14ac:dyDescent="0.25">
      <c r="A129" t="str">
        <f ca="1">IFERROR(__xludf.DUMMYFUNCTION("""COMPUTED_VALUE"""),"Fao Division 21.1.C")</f>
        <v>Fao Division 21.1.C</v>
      </c>
      <c r="B129" t="str">
        <f ca="1">IFERROR(__xludf.DUMMYFUNCTION("""COMPUTED_VALUE"""),"M211C")</f>
        <v>M211C</v>
      </c>
    </row>
    <row r="130" spans="1:2" ht="12.5" x14ac:dyDescent="0.25">
      <c r="A130" t="str">
        <f ca="1">IFERROR(__xludf.DUMMYFUNCTION("""COMPUTED_VALUE"""),"Fao Division 21.1.D")</f>
        <v>Fao Division 21.1.D</v>
      </c>
      <c r="B130" t="str">
        <f ca="1">IFERROR(__xludf.DUMMYFUNCTION("""COMPUTED_VALUE"""),"M211D")</f>
        <v>M211D</v>
      </c>
    </row>
    <row r="131" spans="1:2" ht="12.5" x14ac:dyDescent="0.25">
      <c r="A131" t="str">
        <f ca="1">IFERROR(__xludf.DUMMYFUNCTION("""COMPUTED_VALUE"""),"Fao Division 21.1.E")</f>
        <v>Fao Division 21.1.E</v>
      </c>
      <c r="B131" t="str">
        <f ca="1">IFERROR(__xludf.DUMMYFUNCTION("""COMPUTED_VALUE"""),"M211E")</f>
        <v>M211E</v>
      </c>
    </row>
    <row r="132" spans="1:2" ht="12.5" x14ac:dyDescent="0.25">
      <c r="A132" t="str">
        <f ca="1">IFERROR(__xludf.DUMMYFUNCTION("""COMPUTED_VALUE"""),"Fao Division 21.1.F")</f>
        <v>Fao Division 21.1.F</v>
      </c>
      <c r="B132" t="str">
        <f ca="1">IFERROR(__xludf.DUMMYFUNCTION("""COMPUTED_VALUE"""),"M211F")</f>
        <v>M211F</v>
      </c>
    </row>
    <row r="133" spans="1:2" ht="12.5" x14ac:dyDescent="0.25">
      <c r="A133" t="str">
        <f ca="1">IFERROR(__xludf.DUMMYFUNCTION("""COMPUTED_VALUE"""),"Fao Division 21.2.G")</f>
        <v>Fao Division 21.2.G</v>
      </c>
      <c r="B133" t="str">
        <f ca="1">IFERROR(__xludf.DUMMYFUNCTION("""COMPUTED_VALUE"""),"M212G")</f>
        <v>M212G</v>
      </c>
    </row>
    <row r="134" spans="1:2" ht="12.5" x14ac:dyDescent="0.25">
      <c r="A134" t="str">
        <f ca="1">IFERROR(__xludf.DUMMYFUNCTION("""COMPUTED_VALUE"""),"Fao Division 21.2.H")</f>
        <v>Fao Division 21.2.H</v>
      </c>
      <c r="B134" t="str">
        <f ca="1">IFERROR(__xludf.DUMMYFUNCTION("""COMPUTED_VALUE"""),"M212H")</f>
        <v>M212H</v>
      </c>
    </row>
    <row r="135" spans="1:2" ht="12.5" x14ac:dyDescent="0.25">
      <c r="A135" t="str">
        <f ca="1">IFERROR(__xludf.DUMMYFUNCTION("""COMPUTED_VALUE"""),"Fao Division 21.2.J")</f>
        <v>Fao Division 21.2.J</v>
      </c>
      <c r="B135" t="str">
        <f ca="1">IFERROR(__xludf.DUMMYFUNCTION("""COMPUTED_VALUE"""),"M212J")</f>
        <v>M212J</v>
      </c>
    </row>
    <row r="136" spans="1:2" ht="12.5" x14ac:dyDescent="0.25">
      <c r="A136" t="str">
        <f ca="1">IFERROR(__xludf.DUMMYFUNCTION("""COMPUTED_VALUE"""),"Fao Division 21.3.K")</f>
        <v>Fao Division 21.3.K</v>
      </c>
      <c r="B136" t="str">
        <f ca="1">IFERROR(__xludf.DUMMYFUNCTION("""COMPUTED_VALUE"""),"M213K")</f>
        <v>M213K</v>
      </c>
    </row>
    <row r="137" spans="1:2" ht="12.5" x14ac:dyDescent="0.25">
      <c r="A137" t="str">
        <f ca="1">IFERROR(__xludf.DUMMYFUNCTION("""COMPUTED_VALUE"""),"Fao Division 21.3.L")</f>
        <v>Fao Division 21.3.L</v>
      </c>
      <c r="B137" t="str">
        <f ca="1">IFERROR(__xludf.DUMMYFUNCTION("""COMPUTED_VALUE"""),"M213L")</f>
        <v>M213L</v>
      </c>
    </row>
    <row r="138" spans="1:2" ht="12.5" x14ac:dyDescent="0.25">
      <c r="A138" t="str">
        <f ca="1">IFERROR(__xludf.DUMMYFUNCTION("""COMPUTED_VALUE"""),"Fao Division 21.3.M")</f>
        <v>Fao Division 21.3.M</v>
      </c>
      <c r="B138" t="str">
        <f ca="1">IFERROR(__xludf.DUMMYFUNCTION("""COMPUTED_VALUE"""),"M213M")</f>
        <v>M213M</v>
      </c>
    </row>
    <row r="139" spans="1:2" ht="12.5" x14ac:dyDescent="0.25">
      <c r="A139" t="str">
        <f ca="1">IFERROR(__xludf.DUMMYFUNCTION("""COMPUTED_VALUE"""),"Fao Division 21.3.N")</f>
        <v>Fao Division 21.3.N</v>
      </c>
      <c r="B139" t="str">
        <f ca="1">IFERROR(__xludf.DUMMYFUNCTION("""COMPUTED_VALUE"""),"M213N")</f>
        <v>M213N</v>
      </c>
    </row>
    <row r="140" spans="1:2" ht="12.5" x14ac:dyDescent="0.25">
      <c r="A140" t="str">
        <f ca="1">IFERROR(__xludf.DUMMYFUNCTION("""COMPUTED_VALUE"""),"Fao Division 21.3.O")</f>
        <v>Fao Division 21.3.O</v>
      </c>
      <c r="B140" t="str">
        <f ca="1">IFERROR(__xludf.DUMMYFUNCTION("""COMPUTED_VALUE"""),"M213O")</f>
        <v>M213O</v>
      </c>
    </row>
    <row r="141" spans="1:2" ht="12.5" x14ac:dyDescent="0.25">
      <c r="A141" t="str">
        <f ca="1">IFERROR(__xludf.DUMMYFUNCTION("""COMPUTED_VALUE"""),"Fao Division 21.3.P")</f>
        <v>Fao Division 21.3.P</v>
      </c>
      <c r="B141" t="str">
        <f ca="1">IFERROR(__xludf.DUMMYFUNCTION("""COMPUTED_VALUE"""),"M213P")</f>
        <v>M213P</v>
      </c>
    </row>
    <row r="142" spans="1:2" ht="12.5" x14ac:dyDescent="0.25">
      <c r="A142" t="str">
        <f ca="1">IFERROR(__xludf.DUMMYFUNCTION("""COMPUTED_VALUE"""),"Fao Division 21.4.R")</f>
        <v>Fao Division 21.4.R</v>
      </c>
      <c r="B142" t="str">
        <f ca="1">IFERROR(__xludf.DUMMYFUNCTION("""COMPUTED_VALUE"""),"M214R")</f>
        <v>M214R</v>
      </c>
    </row>
    <row r="143" spans="1:2" ht="12.5" x14ac:dyDescent="0.25">
      <c r="A143" t="str">
        <f ca="1">IFERROR(__xludf.DUMMYFUNCTION("""COMPUTED_VALUE"""),"Fao Division 21.4.S")</f>
        <v>Fao Division 21.4.S</v>
      </c>
      <c r="B143" t="str">
        <f ca="1">IFERROR(__xludf.DUMMYFUNCTION("""COMPUTED_VALUE"""),"M214S")</f>
        <v>M214S</v>
      </c>
    </row>
    <row r="144" spans="1:2" ht="12.5" x14ac:dyDescent="0.25">
      <c r="A144" t="str">
        <f ca="1">IFERROR(__xludf.DUMMYFUNCTION("""COMPUTED_VALUE"""),"Fao Division 21.4.T")</f>
        <v>Fao Division 21.4.T</v>
      </c>
      <c r="B144" t="str">
        <f ca="1">IFERROR(__xludf.DUMMYFUNCTION("""COMPUTED_VALUE"""),"M214T")</f>
        <v>M214T</v>
      </c>
    </row>
    <row r="145" spans="1:2" ht="12.5" x14ac:dyDescent="0.25">
      <c r="A145" t="str">
        <f ca="1">IFERROR(__xludf.DUMMYFUNCTION("""COMPUTED_VALUE"""),"Fao Division 21.4.V")</f>
        <v>Fao Division 21.4.V</v>
      </c>
      <c r="B145" t="str">
        <f ca="1">IFERROR(__xludf.DUMMYFUNCTION("""COMPUTED_VALUE"""),"M214V")</f>
        <v>M214V</v>
      </c>
    </row>
    <row r="146" spans="1:2" ht="12.5" x14ac:dyDescent="0.25">
      <c r="A146" t="str">
        <f ca="1">IFERROR(__xludf.DUMMYFUNCTION("""COMPUTED_VALUE"""),"Fao Division 21.4.W")</f>
        <v>Fao Division 21.4.W</v>
      </c>
      <c r="B146" t="str">
        <f ca="1">IFERROR(__xludf.DUMMYFUNCTION("""COMPUTED_VALUE"""),"M214W")</f>
        <v>M214W</v>
      </c>
    </row>
    <row r="147" spans="1:2" ht="12.5" x14ac:dyDescent="0.25">
      <c r="A147" t="str">
        <f ca="1">IFERROR(__xludf.DUMMYFUNCTION("""COMPUTED_VALUE"""),"Fao Division 21.4.X")</f>
        <v>Fao Division 21.4.X</v>
      </c>
      <c r="B147" t="str">
        <f ca="1">IFERROR(__xludf.DUMMYFUNCTION("""COMPUTED_VALUE"""),"M214X")</f>
        <v>M214X</v>
      </c>
    </row>
    <row r="148" spans="1:2" ht="12.5" x14ac:dyDescent="0.25">
      <c r="A148" t="str">
        <f ca="1">IFERROR(__xludf.DUMMYFUNCTION("""COMPUTED_VALUE"""),"Fao Division 21.5.Y")</f>
        <v>Fao Division 21.5.Y</v>
      </c>
      <c r="B148" t="str">
        <f ca="1">IFERROR(__xludf.DUMMYFUNCTION("""COMPUTED_VALUE"""),"M215Y")</f>
        <v>M215Y</v>
      </c>
    </row>
    <row r="149" spans="1:2" ht="12.5" x14ac:dyDescent="0.25">
      <c r="A149" t="str">
        <f ca="1">IFERROR(__xludf.DUMMYFUNCTION("""COMPUTED_VALUE"""),"Fao Division 21.5.Z")</f>
        <v>Fao Division 21.5.Z</v>
      </c>
      <c r="B149" t="str">
        <f ca="1">IFERROR(__xludf.DUMMYFUNCTION("""COMPUTED_VALUE"""),"M215Z")</f>
        <v>M215Z</v>
      </c>
    </row>
    <row r="150" spans="1:2" ht="12.5" x14ac:dyDescent="0.25">
      <c r="A150" t="str">
        <f ca="1">IFERROR(__xludf.DUMMYFUNCTION("""COMPUTED_VALUE"""),"Fao Division 21.6.A")</f>
        <v>Fao Division 21.6.A</v>
      </c>
      <c r="B150" t="str">
        <f ca="1">IFERROR(__xludf.DUMMYFUNCTION("""COMPUTED_VALUE"""),"M216A")</f>
        <v>M216A</v>
      </c>
    </row>
    <row r="151" spans="1:2" ht="12.5" x14ac:dyDescent="0.25">
      <c r="A151" t="str">
        <f ca="1">IFERROR(__xludf.DUMMYFUNCTION("""COMPUTED_VALUE"""),"Fao Division 21.6.B")</f>
        <v>Fao Division 21.6.B</v>
      </c>
      <c r="B151" t="str">
        <f ca="1">IFERROR(__xludf.DUMMYFUNCTION("""COMPUTED_VALUE"""),"M216B")</f>
        <v>M216B</v>
      </c>
    </row>
    <row r="152" spans="1:2" ht="12.5" x14ac:dyDescent="0.25">
      <c r="A152" t="str">
        <f ca="1">IFERROR(__xludf.DUMMYFUNCTION("""COMPUTED_VALUE"""),"Fao Division 21.6.C")</f>
        <v>Fao Division 21.6.C</v>
      </c>
      <c r="B152" t="str">
        <f ca="1">IFERROR(__xludf.DUMMYFUNCTION("""COMPUTED_VALUE"""),"M216C")</f>
        <v>M216C</v>
      </c>
    </row>
    <row r="153" spans="1:2" ht="12.5" x14ac:dyDescent="0.25">
      <c r="A153" t="str">
        <f ca="1">IFERROR(__xludf.DUMMYFUNCTION("""COMPUTED_VALUE"""),"Fao Division 21.6.D")</f>
        <v>Fao Division 21.6.D</v>
      </c>
      <c r="B153" t="str">
        <f ca="1">IFERROR(__xludf.DUMMYFUNCTION("""COMPUTED_VALUE"""),"M216D")</f>
        <v>M216D</v>
      </c>
    </row>
    <row r="154" spans="1:2" ht="12.5" x14ac:dyDescent="0.25">
      <c r="A154" t="str">
        <f ca="1">IFERROR(__xludf.DUMMYFUNCTION("""COMPUTED_VALUE"""),"Fao Division 21.6.E")</f>
        <v>Fao Division 21.6.E</v>
      </c>
      <c r="B154" t="str">
        <f ca="1">IFERROR(__xludf.DUMMYFUNCTION("""COMPUTED_VALUE"""),"M216E")</f>
        <v>M216E</v>
      </c>
    </row>
    <row r="155" spans="1:2" ht="12.5" x14ac:dyDescent="0.25">
      <c r="A155" t="str">
        <f ca="1">IFERROR(__xludf.DUMMYFUNCTION("""COMPUTED_VALUE"""),"Fao Division 21.6.F")</f>
        <v>Fao Division 21.6.F</v>
      </c>
      <c r="B155" t="str">
        <f ca="1">IFERROR(__xludf.DUMMYFUNCTION("""COMPUTED_VALUE"""),"M216F")</f>
        <v>M216F</v>
      </c>
    </row>
    <row r="156" spans="1:2" ht="12.5" x14ac:dyDescent="0.25">
      <c r="A156" t="str">
        <f ca="1">IFERROR(__xludf.DUMMYFUNCTION("""COMPUTED_VALUE"""),"Fao Division 21.6.G")</f>
        <v>Fao Division 21.6.G</v>
      </c>
      <c r="B156" t="str">
        <f ca="1">IFERROR(__xludf.DUMMYFUNCTION("""COMPUTED_VALUE"""),"M216G")</f>
        <v>M216G</v>
      </c>
    </row>
    <row r="157" spans="1:2" ht="12.5" x14ac:dyDescent="0.25">
      <c r="A157" t="str">
        <f ca="1">IFERROR(__xludf.DUMMYFUNCTION("""COMPUTED_VALUE"""),"Fao Division 21.6.H")</f>
        <v>Fao Division 21.6.H</v>
      </c>
      <c r="B157" t="str">
        <f ca="1">IFERROR(__xludf.DUMMYFUNCTION("""COMPUTED_VALUE"""),"M216H")</f>
        <v>M216H</v>
      </c>
    </row>
    <row r="158" spans="1:2" ht="12.5" x14ac:dyDescent="0.25">
      <c r="A158" t="str">
        <f ca="1">IFERROR(__xludf.DUMMYFUNCTION("""COMPUTED_VALUE"""),"Fao Division 27.Iii.D")</f>
        <v>Fao Division 27.Iii.D</v>
      </c>
      <c r="B158" t="str">
        <f ca="1">IFERROR(__xludf.DUMMYFUNCTION("""COMPUTED_VALUE"""),"M27IIId")</f>
        <v>M27IIId</v>
      </c>
    </row>
    <row r="159" spans="1:2" ht="12.5" x14ac:dyDescent="0.25">
      <c r="A159" t="str">
        <f ca="1">IFERROR(__xludf.DUMMYFUNCTION("""COMPUTED_VALUE"""),"Fao Division 71.6.1")</f>
        <v>Fao Division 71.6.1</v>
      </c>
      <c r="B159" t="str">
        <f ca="1">IFERROR(__xludf.DUMMYFUNCTION("""COMPUTED_VALUE"""),"M7161")</f>
        <v>M7161</v>
      </c>
    </row>
    <row r="160" spans="1:2" ht="12.5" x14ac:dyDescent="0.25">
      <c r="A160" t="str">
        <f ca="1">IFERROR(__xludf.DUMMYFUNCTION("""COMPUTED_VALUE"""),"Fao Division 71.6.2")</f>
        <v>Fao Division 71.6.2</v>
      </c>
      <c r="B160" t="str">
        <f ca="1">IFERROR(__xludf.DUMMYFUNCTION("""COMPUTED_VALUE"""),"M7162")</f>
        <v>M7162</v>
      </c>
    </row>
    <row r="161" spans="1:2" ht="12.5" x14ac:dyDescent="0.25">
      <c r="A161" t="str">
        <f ca="1">IFERROR(__xludf.DUMMYFUNCTION("""COMPUTED_VALUE"""),"Fao Sub Area 21.0")</f>
        <v>Fao Sub Area 21.0</v>
      </c>
      <c r="B161" t="str">
        <f ca="1">IFERROR(__xludf.DUMMYFUNCTION("""COMPUTED_VALUE"""),"M210")</f>
        <v>M210</v>
      </c>
    </row>
    <row r="162" spans="1:2" ht="12.5" x14ac:dyDescent="0.25">
      <c r="A162" t="str">
        <f ca="1">IFERROR(__xludf.DUMMYFUNCTION("""COMPUTED_VALUE"""),"Fao Sub Area 21.1")</f>
        <v>Fao Sub Area 21.1</v>
      </c>
      <c r="B162" t="str">
        <f ca="1">IFERROR(__xludf.DUMMYFUNCTION("""COMPUTED_VALUE"""),"M211")</f>
        <v>M211</v>
      </c>
    </row>
    <row r="163" spans="1:2" ht="12.5" x14ac:dyDescent="0.25">
      <c r="A163" t="str">
        <f ca="1">IFERROR(__xludf.DUMMYFUNCTION("""COMPUTED_VALUE"""),"Fao Sub Area 21.2")</f>
        <v>Fao Sub Area 21.2</v>
      </c>
      <c r="B163" t="str">
        <f ca="1">IFERROR(__xludf.DUMMYFUNCTION("""COMPUTED_VALUE"""),"M212")</f>
        <v>M212</v>
      </c>
    </row>
    <row r="164" spans="1:2" ht="12.5" x14ac:dyDescent="0.25">
      <c r="A164" t="str">
        <f ca="1">IFERROR(__xludf.DUMMYFUNCTION("""COMPUTED_VALUE"""),"Fao Sub Area 21.3")</f>
        <v>Fao Sub Area 21.3</v>
      </c>
      <c r="B164" t="str">
        <f ca="1">IFERROR(__xludf.DUMMYFUNCTION("""COMPUTED_VALUE"""),"M213")</f>
        <v>M213</v>
      </c>
    </row>
    <row r="165" spans="1:2" ht="12.5" x14ac:dyDescent="0.25">
      <c r="A165" t="str">
        <f ca="1">IFERROR(__xludf.DUMMYFUNCTION("""COMPUTED_VALUE"""),"Fao Sub Area 21.4")</f>
        <v>Fao Sub Area 21.4</v>
      </c>
      <c r="B165" t="str">
        <f ca="1">IFERROR(__xludf.DUMMYFUNCTION("""COMPUTED_VALUE"""),"M214")</f>
        <v>M214</v>
      </c>
    </row>
    <row r="166" spans="1:2" ht="12.5" x14ac:dyDescent="0.25">
      <c r="A166" t="str">
        <f ca="1">IFERROR(__xludf.DUMMYFUNCTION("""COMPUTED_VALUE"""),"Fao Sub Area 21.5")</f>
        <v>Fao Sub Area 21.5</v>
      </c>
      <c r="B166" t="str">
        <f ca="1">IFERROR(__xludf.DUMMYFUNCTION("""COMPUTED_VALUE"""),"M215")</f>
        <v>M215</v>
      </c>
    </row>
    <row r="167" spans="1:2" ht="12.5" x14ac:dyDescent="0.25">
      <c r="A167" t="str">
        <f ca="1">IFERROR(__xludf.DUMMYFUNCTION("""COMPUTED_VALUE"""),"Fao Sub Area 21.6")</f>
        <v>Fao Sub Area 21.6</v>
      </c>
      <c r="B167" t="str">
        <f ca="1">IFERROR(__xludf.DUMMYFUNCTION("""COMPUTED_VALUE"""),"M216")</f>
        <v>M216</v>
      </c>
    </row>
    <row r="168" spans="1:2" ht="12.5" x14ac:dyDescent="0.25">
      <c r="A168" t="str">
        <f ca="1">IFERROR(__xludf.DUMMYFUNCTION("""COMPUTED_VALUE"""),"Fao Sub Area 27.Vii")</f>
        <v>Fao Sub Area 27.Vii</v>
      </c>
      <c r="B168" t="str">
        <f ca="1">IFERROR(__xludf.DUMMYFUNCTION("""COMPUTED_VALUE"""),"M27VII")</f>
        <v>M27VII</v>
      </c>
    </row>
    <row r="169" spans="1:2" ht="12.5" x14ac:dyDescent="0.25">
      <c r="A169" t="str">
        <f ca="1">IFERROR(__xludf.DUMMYFUNCTION("""COMPUTED_VALUE"""),"Fao Sub Area 47.1")</f>
        <v>Fao Sub Area 47.1</v>
      </c>
      <c r="B169" t="str">
        <f ca="1">IFERROR(__xludf.DUMMYFUNCTION("""COMPUTED_VALUE"""),"M471")</f>
        <v>M471</v>
      </c>
    </row>
    <row r="170" spans="1:2" ht="12.5" x14ac:dyDescent="0.25">
      <c r="A170" t="str">
        <f ca="1">IFERROR(__xludf.DUMMYFUNCTION("""COMPUTED_VALUE"""),"Fao Sub Area 47.2")</f>
        <v>Fao Sub Area 47.2</v>
      </c>
      <c r="B170" t="str">
        <f ca="1">IFERROR(__xludf.DUMMYFUNCTION("""COMPUTED_VALUE"""),"M472")</f>
        <v>M472</v>
      </c>
    </row>
    <row r="171" spans="1:2" ht="12.5" x14ac:dyDescent="0.25">
      <c r="A171" t="str">
        <f ca="1">IFERROR(__xludf.DUMMYFUNCTION("""COMPUTED_VALUE"""),"Fao Sub Area 47.A")</f>
        <v>Fao Sub Area 47.A</v>
      </c>
      <c r="B171" t="str">
        <f ca="1">IFERROR(__xludf.DUMMYFUNCTION("""COMPUTED_VALUE"""),"M47A")</f>
        <v>M47A</v>
      </c>
    </row>
    <row r="172" spans="1:2" ht="12.5" x14ac:dyDescent="0.25">
      <c r="A172" t="str">
        <f ca="1">IFERROR(__xludf.DUMMYFUNCTION("""COMPUTED_VALUE"""),"Fao Sub Area 47.B")</f>
        <v>Fao Sub Area 47.B</v>
      </c>
      <c r="B172" t="str">
        <f ca="1">IFERROR(__xludf.DUMMYFUNCTION("""COMPUTED_VALUE"""),"M47B")</f>
        <v>M47B</v>
      </c>
    </row>
    <row r="173" spans="1:2" ht="12.5" x14ac:dyDescent="0.25">
      <c r="A173" t="str">
        <f ca="1">IFERROR(__xludf.DUMMYFUNCTION("""COMPUTED_VALUE"""),"Fao Sub Area 47.C")</f>
        <v>Fao Sub Area 47.C</v>
      </c>
      <c r="B173" t="str">
        <f ca="1">IFERROR(__xludf.DUMMYFUNCTION("""COMPUTED_VALUE"""),"M47C")</f>
        <v>M47C</v>
      </c>
    </row>
    <row r="174" spans="1:2" ht="12.5" x14ac:dyDescent="0.25">
      <c r="A174" t="str">
        <f ca="1">IFERROR(__xludf.DUMMYFUNCTION("""COMPUTED_VALUE"""),"Fao Sub Area 47.D")</f>
        <v>Fao Sub Area 47.D</v>
      </c>
      <c r="B174" t="str">
        <f ca="1">IFERROR(__xludf.DUMMYFUNCTION("""COMPUTED_VALUE"""),"M47D")</f>
        <v>M47D</v>
      </c>
    </row>
    <row r="175" spans="1:2" ht="12.5" x14ac:dyDescent="0.25">
      <c r="A175" t="str">
        <f ca="1">IFERROR(__xludf.DUMMYFUNCTION("""COMPUTED_VALUE"""),"Fao Sub Division 34.1.11")</f>
        <v>Fao Sub Division 34.1.11</v>
      </c>
      <c r="B175" t="str">
        <f ca="1">IFERROR(__xludf.DUMMYFUNCTION("""COMPUTED_VALUE"""),"M34111")</f>
        <v>M34111</v>
      </c>
    </row>
    <row r="176" spans="1:2" ht="12.5" x14ac:dyDescent="0.25">
      <c r="A176" t="str">
        <f ca="1">IFERROR(__xludf.DUMMYFUNCTION("""COMPUTED_VALUE"""),"Fao Sub Division 34.1.12")</f>
        <v>Fao Sub Division 34.1.12</v>
      </c>
      <c r="B176" t="str">
        <f ca="1">IFERROR(__xludf.DUMMYFUNCTION("""COMPUTED_VALUE"""),"M34112")</f>
        <v>M34112</v>
      </c>
    </row>
    <row r="177" spans="1:2" ht="12.5" x14ac:dyDescent="0.25">
      <c r="A177" t="str">
        <f ca="1">IFERROR(__xludf.DUMMYFUNCTION("""COMPUTED_VALUE"""),"Fao Sub Division 34.1.13")</f>
        <v>Fao Sub Division 34.1.13</v>
      </c>
      <c r="B177" t="str">
        <f ca="1">IFERROR(__xludf.DUMMYFUNCTION("""COMPUTED_VALUE"""),"M34113")</f>
        <v>M34113</v>
      </c>
    </row>
    <row r="178" spans="1:2" ht="12.5" x14ac:dyDescent="0.25">
      <c r="A178" t="str">
        <f ca="1">IFERROR(__xludf.DUMMYFUNCTION("""COMPUTED_VALUE"""),"Fao Sub Division 34.1.31")</f>
        <v>Fao Sub Division 34.1.31</v>
      </c>
      <c r="B178" t="str">
        <f ca="1">IFERROR(__xludf.DUMMYFUNCTION("""COMPUTED_VALUE"""),"M34131")</f>
        <v>M34131</v>
      </c>
    </row>
    <row r="179" spans="1:2" ht="12.5" x14ac:dyDescent="0.25">
      <c r="A179" t="str">
        <f ca="1">IFERROR(__xludf.DUMMYFUNCTION("""COMPUTED_VALUE"""),"Fao Sub Division 34.1.32")</f>
        <v>Fao Sub Division 34.1.32</v>
      </c>
      <c r="B179" t="str">
        <f ca="1">IFERROR(__xludf.DUMMYFUNCTION("""COMPUTED_VALUE"""),"M34132")</f>
        <v>M34132</v>
      </c>
    </row>
    <row r="180" spans="1:2" ht="12.5" x14ac:dyDescent="0.25">
      <c r="A180" t="str">
        <f ca="1">IFERROR(__xludf.DUMMYFUNCTION("""COMPUTED_VALUE"""),"Fao Sub Division 34.3.11")</f>
        <v>Fao Sub Division 34.3.11</v>
      </c>
      <c r="B180" t="str">
        <f ca="1">IFERROR(__xludf.DUMMYFUNCTION("""COMPUTED_VALUE"""),"M34311")</f>
        <v>M34311</v>
      </c>
    </row>
    <row r="181" spans="1:2" ht="12.5" x14ac:dyDescent="0.25">
      <c r="A181" t="str">
        <f ca="1">IFERROR(__xludf.DUMMYFUNCTION("""COMPUTED_VALUE"""),"Fao Sub Division 34.3.12")</f>
        <v>Fao Sub Division 34.3.12</v>
      </c>
      <c r="B181" t="str">
        <f ca="1">IFERROR(__xludf.DUMMYFUNCTION("""COMPUTED_VALUE"""),"M34312")</f>
        <v>M34312</v>
      </c>
    </row>
    <row r="182" spans="1:2" ht="12.5" x14ac:dyDescent="0.25">
      <c r="A182" t="str">
        <f ca="1">IFERROR(__xludf.DUMMYFUNCTION("""COMPUTED_VALUE"""),"Fao Sub Division 34.3.13")</f>
        <v>Fao Sub Division 34.3.13</v>
      </c>
      <c r="B182" t="str">
        <f ca="1">IFERROR(__xludf.DUMMYFUNCTION("""COMPUTED_VALUE"""),"M34313")</f>
        <v>M34313</v>
      </c>
    </row>
    <row r="183" spans="1:2" ht="12.5" x14ac:dyDescent="0.25">
      <c r="A183" t="str">
        <f ca="1">IFERROR(__xludf.DUMMYFUNCTION("""COMPUTED_VALUE"""),"Fao Sub Division 58.4.3.A")</f>
        <v>Fao Sub Division 58.4.3.A</v>
      </c>
      <c r="B183" t="str">
        <f ca="1">IFERROR(__xludf.DUMMYFUNCTION("""COMPUTED_VALUE"""),"M5843a")</f>
        <v>M5843a</v>
      </c>
    </row>
    <row r="184" spans="1:2" ht="12.5" x14ac:dyDescent="0.25">
      <c r="A184" t="str">
        <f ca="1">IFERROR(__xludf.DUMMYFUNCTION("""COMPUTED_VALUE"""),"Fao Sub Division 58.4.3.B")</f>
        <v>Fao Sub Division 58.4.3.B</v>
      </c>
      <c r="B184" t="str">
        <f ca="1">IFERROR(__xludf.DUMMYFUNCTION("""COMPUTED_VALUE"""),"M5843b")</f>
        <v>M5843b</v>
      </c>
    </row>
    <row r="185" spans="1:2" ht="12.5" x14ac:dyDescent="0.25">
      <c r="A185" t="str">
        <f ca="1">IFERROR(__xludf.DUMMYFUNCTION("""COMPUTED_VALUE"""),"Fao Sub Division 87.1.11")</f>
        <v>Fao Sub Division 87.1.11</v>
      </c>
      <c r="B185" t="str">
        <f ca="1">IFERROR(__xludf.DUMMYFUNCTION("""COMPUTED_VALUE"""),"M87111")</f>
        <v>M87111</v>
      </c>
    </row>
    <row r="186" spans="1:2" ht="12.5" x14ac:dyDescent="0.25">
      <c r="A186" t="str">
        <f ca="1">IFERROR(__xludf.DUMMYFUNCTION("""COMPUTED_VALUE"""),"Fao Sub Division 87.1.12")</f>
        <v>Fao Sub Division 87.1.12</v>
      </c>
      <c r="B186" t="str">
        <f ca="1">IFERROR(__xludf.DUMMYFUNCTION("""COMPUTED_VALUE"""),"M87112")</f>
        <v>M87112</v>
      </c>
    </row>
    <row r="187" spans="1:2" ht="12.5" x14ac:dyDescent="0.25">
      <c r="A187" t="str">
        <f ca="1">IFERROR(__xludf.DUMMYFUNCTION("""COMPUTED_VALUE"""),"Fao Sub Division 87.1.13")</f>
        <v>Fao Sub Division 87.1.13</v>
      </c>
      <c r="B187" t="str">
        <f ca="1">IFERROR(__xludf.DUMMYFUNCTION("""COMPUTED_VALUE"""),"M87113")</f>
        <v>M87113</v>
      </c>
    </row>
    <row r="188" spans="1:2" ht="12.5" x14ac:dyDescent="0.25">
      <c r="A188" t="str">
        <f ca="1">IFERROR(__xludf.DUMMYFUNCTION("""COMPUTED_VALUE"""),"Fao Sub Division 87.1.14")</f>
        <v>Fao Sub Division 87.1.14</v>
      </c>
      <c r="B188" t="str">
        <f ca="1">IFERROR(__xludf.DUMMYFUNCTION("""COMPUTED_VALUE"""),"M87114")</f>
        <v>M87114</v>
      </c>
    </row>
    <row r="189" spans="1:2" ht="12.5" x14ac:dyDescent="0.25">
      <c r="A189" t="str">
        <f ca="1">IFERROR(__xludf.DUMMYFUNCTION("""COMPUTED_VALUE"""),"Fao Sub Division 87.1.15")</f>
        <v>Fao Sub Division 87.1.15</v>
      </c>
      <c r="B189" t="str">
        <f ca="1">IFERROR(__xludf.DUMMYFUNCTION("""COMPUTED_VALUE"""),"M87115")</f>
        <v>M87115</v>
      </c>
    </row>
    <row r="190" spans="1:2" ht="12.5" x14ac:dyDescent="0.25">
      <c r="A190" t="str">
        <f ca="1">IFERROR(__xludf.DUMMYFUNCTION("""COMPUTED_VALUE"""),"Fao Sub Division 87.1.21")</f>
        <v>Fao Sub Division 87.1.21</v>
      </c>
      <c r="B190" t="str">
        <f ca="1">IFERROR(__xludf.DUMMYFUNCTION("""COMPUTED_VALUE"""),"M87121")</f>
        <v>M87121</v>
      </c>
    </row>
    <row r="191" spans="1:2" ht="12.5" x14ac:dyDescent="0.25">
      <c r="A191" t="str">
        <f ca="1">IFERROR(__xludf.DUMMYFUNCTION("""COMPUTED_VALUE"""),"Fao Sub Division 87.1.22")</f>
        <v>Fao Sub Division 87.1.22</v>
      </c>
      <c r="B191" t="str">
        <f ca="1">IFERROR(__xludf.DUMMYFUNCTION("""COMPUTED_VALUE"""),"M87122")</f>
        <v>M87122</v>
      </c>
    </row>
    <row r="192" spans="1:2" ht="12.5" x14ac:dyDescent="0.25">
      <c r="A192" t="str">
        <f ca="1">IFERROR(__xludf.DUMMYFUNCTION("""COMPUTED_VALUE"""),"Fao Sub Division 87.1.23")</f>
        <v>Fao Sub Division 87.1.23</v>
      </c>
      <c r="B192" t="str">
        <f ca="1">IFERROR(__xludf.DUMMYFUNCTION("""COMPUTED_VALUE"""),"M87123")</f>
        <v>M87123</v>
      </c>
    </row>
    <row r="193" spans="1:2" ht="12.5" x14ac:dyDescent="0.25">
      <c r="A193" t="str">
        <f ca="1">IFERROR(__xludf.DUMMYFUNCTION("""COMPUTED_VALUE"""),"Fao Sub Division 87.1.24")</f>
        <v>Fao Sub Division 87.1.24</v>
      </c>
      <c r="B193" t="str">
        <f ca="1">IFERROR(__xludf.DUMMYFUNCTION("""COMPUTED_VALUE"""),"M87124")</f>
        <v>M87124</v>
      </c>
    </row>
    <row r="194" spans="1:2" ht="12.5" x14ac:dyDescent="0.25">
      <c r="A194" t="str">
        <f ca="1">IFERROR(__xludf.DUMMYFUNCTION("""COMPUTED_VALUE"""),"Fao Sub Division 87.1.25")</f>
        <v>Fao Sub Division 87.1.25</v>
      </c>
      <c r="B194" t="str">
        <f ca="1">IFERROR(__xludf.DUMMYFUNCTION("""COMPUTED_VALUE"""),"M87125")</f>
        <v>M87125</v>
      </c>
    </row>
    <row r="195" spans="1:2" ht="12.5" x14ac:dyDescent="0.25">
      <c r="A195" t="str">
        <f ca="1">IFERROR(__xludf.DUMMYFUNCTION("""COMPUTED_VALUE"""),"Fao Sub Division 87.2.11")</f>
        <v>Fao Sub Division 87.2.11</v>
      </c>
      <c r="B195" t="str">
        <f ca="1">IFERROR(__xludf.DUMMYFUNCTION("""COMPUTED_VALUE"""),"M87211")</f>
        <v>M87211</v>
      </c>
    </row>
    <row r="196" spans="1:2" ht="12.5" x14ac:dyDescent="0.25">
      <c r="A196" t="str">
        <f ca="1">IFERROR(__xludf.DUMMYFUNCTION("""COMPUTED_VALUE"""),"Fao Sub Division 87.2.12")</f>
        <v>Fao Sub Division 87.2.12</v>
      </c>
      <c r="B196" t="str">
        <f ca="1">IFERROR(__xludf.DUMMYFUNCTION("""COMPUTED_VALUE"""),"M87212")</f>
        <v>M87212</v>
      </c>
    </row>
    <row r="197" spans="1:2" ht="12.5" x14ac:dyDescent="0.25">
      <c r="A197" t="str">
        <f ca="1">IFERROR(__xludf.DUMMYFUNCTION("""COMPUTED_VALUE"""),"Fao Sub Division 87.2.13")</f>
        <v>Fao Sub Division 87.2.13</v>
      </c>
      <c r="B197" t="str">
        <f ca="1">IFERROR(__xludf.DUMMYFUNCTION("""COMPUTED_VALUE"""),"M87213")</f>
        <v>M87213</v>
      </c>
    </row>
    <row r="198" spans="1:2" ht="12.5" x14ac:dyDescent="0.25">
      <c r="A198" t="str">
        <f ca="1">IFERROR(__xludf.DUMMYFUNCTION("""COMPUTED_VALUE"""),"Fao Sub Division 87.2.14")</f>
        <v>Fao Sub Division 87.2.14</v>
      </c>
      <c r="B198" t="str">
        <f ca="1">IFERROR(__xludf.DUMMYFUNCTION("""COMPUTED_VALUE"""),"M87214")</f>
        <v>M87214</v>
      </c>
    </row>
    <row r="199" spans="1:2" ht="12.5" x14ac:dyDescent="0.25">
      <c r="A199" t="str">
        <f ca="1">IFERROR(__xludf.DUMMYFUNCTION("""COMPUTED_VALUE"""),"Fao Sub Division 87.2.15")</f>
        <v>Fao Sub Division 87.2.15</v>
      </c>
      <c r="B199" t="str">
        <f ca="1">IFERROR(__xludf.DUMMYFUNCTION("""COMPUTED_VALUE"""),"M87215")</f>
        <v>M87215</v>
      </c>
    </row>
    <row r="200" spans="1:2" ht="12.5" x14ac:dyDescent="0.25">
      <c r="A200" t="str">
        <f ca="1">IFERROR(__xludf.DUMMYFUNCTION("""COMPUTED_VALUE"""),"Fao Sub Division 87.2.16")</f>
        <v>Fao Sub Division 87.2.16</v>
      </c>
      <c r="B200" t="str">
        <f ca="1">IFERROR(__xludf.DUMMYFUNCTION("""COMPUTED_VALUE"""),"M87216")</f>
        <v>M87216</v>
      </c>
    </row>
    <row r="201" spans="1:2" ht="12.5" x14ac:dyDescent="0.25">
      <c r="A201" t="str">
        <f ca="1">IFERROR(__xludf.DUMMYFUNCTION("""COMPUTED_VALUE"""),"Fao Sub Division 87.2.17")</f>
        <v>Fao Sub Division 87.2.17</v>
      </c>
      <c r="B201" t="str">
        <f ca="1">IFERROR(__xludf.DUMMYFUNCTION("""COMPUTED_VALUE"""),"M87217")</f>
        <v>M87217</v>
      </c>
    </row>
    <row r="202" spans="1:2" ht="12.5" x14ac:dyDescent="0.25">
      <c r="A202" t="str">
        <f ca="1">IFERROR(__xludf.DUMMYFUNCTION("""COMPUTED_VALUE"""),"Fao Sub Division 87.2.21")</f>
        <v>Fao Sub Division 87.2.21</v>
      </c>
      <c r="B202" t="str">
        <f ca="1">IFERROR(__xludf.DUMMYFUNCTION("""COMPUTED_VALUE"""),"M87221")</f>
        <v>M87221</v>
      </c>
    </row>
    <row r="203" spans="1:2" ht="12.5" x14ac:dyDescent="0.25">
      <c r="A203" t="str">
        <f ca="1">IFERROR(__xludf.DUMMYFUNCTION("""COMPUTED_VALUE"""),"Fao Sub Division 87.2.22")</f>
        <v>Fao Sub Division 87.2.22</v>
      </c>
      <c r="B203" t="str">
        <f ca="1">IFERROR(__xludf.DUMMYFUNCTION("""COMPUTED_VALUE"""),"M87222")</f>
        <v>M87222</v>
      </c>
    </row>
    <row r="204" spans="1:2" ht="12.5" x14ac:dyDescent="0.25">
      <c r="A204" t="str">
        <f ca="1">IFERROR(__xludf.DUMMYFUNCTION("""COMPUTED_VALUE"""),"Fao Sub Division 87.2.23")</f>
        <v>Fao Sub Division 87.2.23</v>
      </c>
      <c r="B204" t="str">
        <f ca="1">IFERROR(__xludf.DUMMYFUNCTION("""COMPUTED_VALUE"""),"M87223")</f>
        <v>M87223</v>
      </c>
    </row>
    <row r="205" spans="1:2" ht="12.5" x14ac:dyDescent="0.25">
      <c r="A205" t="str">
        <f ca="1">IFERROR(__xludf.DUMMYFUNCTION("""COMPUTED_VALUE"""),"Fao Sub Division 87.2.24")</f>
        <v>Fao Sub Division 87.2.24</v>
      </c>
      <c r="B205" t="str">
        <f ca="1">IFERROR(__xludf.DUMMYFUNCTION("""COMPUTED_VALUE"""),"M87224")</f>
        <v>M87224</v>
      </c>
    </row>
    <row r="206" spans="1:2" ht="12.5" x14ac:dyDescent="0.25">
      <c r="A206" t="str">
        <f ca="1">IFERROR(__xludf.DUMMYFUNCTION("""COMPUTED_VALUE"""),"Fao Sub Division 87.2.25")</f>
        <v>Fao Sub Division 87.2.25</v>
      </c>
      <c r="B206" t="str">
        <f ca="1">IFERROR(__xludf.DUMMYFUNCTION("""COMPUTED_VALUE"""),"M87225")</f>
        <v>M87225</v>
      </c>
    </row>
    <row r="207" spans="1:2" ht="12.5" x14ac:dyDescent="0.25">
      <c r="A207" t="str">
        <f ca="1">IFERROR(__xludf.DUMMYFUNCTION("""COMPUTED_VALUE"""),"Fao Sub Division 87.2.26")</f>
        <v>Fao Sub Division 87.2.26</v>
      </c>
      <c r="B207" t="str">
        <f ca="1">IFERROR(__xludf.DUMMYFUNCTION("""COMPUTED_VALUE"""),"M87226")</f>
        <v>M87226</v>
      </c>
    </row>
    <row r="208" spans="1:2" ht="12.5" x14ac:dyDescent="0.25">
      <c r="A208" t="str">
        <f ca="1">IFERROR(__xludf.DUMMYFUNCTION("""COMPUTED_VALUE"""),"Fao Sub Division 87.2.27")</f>
        <v>Fao Sub Division 87.2.27</v>
      </c>
      <c r="B208" t="str">
        <f ca="1">IFERROR(__xludf.DUMMYFUNCTION("""COMPUTED_VALUE"""),"M87227")</f>
        <v>M87227</v>
      </c>
    </row>
    <row r="209" spans="1:2" ht="12.5" x14ac:dyDescent="0.25">
      <c r="A209" t="str">
        <f ca="1">IFERROR(__xludf.DUMMYFUNCTION("""COMPUTED_VALUE"""),"Fao Sub Division 87.3.11")</f>
        <v>Fao Sub Division 87.3.11</v>
      </c>
      <c r="B209" t="str">
        <f ca="1">IFERROR(__xludf.DUMMYFUNCTION("""COMPUTED_VALUE"""),"M87311")</f>
        <v>M87311</v>
      </c>
    </row>
    <row r="210" spans="1:2" ht="12.5" x14ac:dyDescent="0.25">
      <c r="A210" t="str">
        <f ca="1">IFERROR(__xludf.DUMMYFUNCTION("""COMPUTED_VALUE"""),"Fao Sub Division 87.3.12")</f>
        <v>Fao Sub Division 87.3.12</v>
      </c>
      <c r="B210" t="str">
        <f ca="1">IFERROR(__xludf.DUMMYFUNCTION("""COMPUTED_VALUE"""),"M87312")</f>
        <v>M87312</v>
      </c>
    </row>
    <row r="211" spans="1:2" ht="12.5" x14ac:dyDescent="0.25">
      <c r="A211" t="str">
        <f ca="1">IFERROR(__xludf.DUMMYFUNCTION("""COMPUTED_VALUE"""),"Fao Sub Division 87.3.13")</f>
        <v>Fao Sub Division 87.3.13</v>
      </c>
      <c r="B211" t="str">
        <f ca="1">IFERROR(__xludf.DUMMYFUNCTION("""COMPUTED_VALUE"""),"M87313")</f>
        <v>M87313</v>
      </c>
    </row>
    <row r="212" spans="1:2" ht="12.5" x14ac:dyDescent="0.25">
      <c r="A212" t="str">
        <f ca="1">IFERROR(__xludf.DUMMYFUNCTION("""COMPUTED_VALUE"""),"Fao Sub Division 87.3.21")</f>
        <v>Fao Sub Division 87.3.21</v>
      </c>
      <c r="B212" t="str">
        <f ca="1">IFERROR(__xludf.DUMMYFUNCTION("""COMPUTED_VALUE"""),"M87321")</f>
        <v>M87321</v>
      </c>
    </row>
    <row r="213" spans="1:2" ht="12.5" x14ac:dyDescent="0.25">
      <c r="A213" t="str">
        <f ca="1">IFERROR(__xludf.DUMMYFUNCTION("""COMPUTED_VALUE"""),"Fao Sub Division 87.3.22")</f>
        <v>Fao Sub Division 87.3.22</v>
      </c>
      <c r="B213" t="str">
        <f ca="1">IFERROR(__xludf.DUMMYFUNCTION("""COMPUTED_VALUE"""),"M87322")</f>
        <v>M87322</v>
      </c>
    </row>
    <row r="214" spans="1:2" ht="12.5" x14ac:dyDescent="0.25">
      <c r="A214" t="str">
        <f ca="1">IFERROR(__xludf.DUMMYFUNCTION("""COMPUTED_VALUE"""),"Fao Sub Division 87.3.23")</f>
        <v>Fao Sub Division 87.3.23</v>
      </c>
      <c r="B214" t="str">
        <f ca="1">IFERROR(__xludf.DUMMYFUNCTION("""COMPUTED_VALUE"""),"M87323")</f>
        <v>M87323</v>
      </c>
    </row>
    <row r="215" spans="1:2" ht="12.5" x14ac:dyDescent="0.25">
      <c r="A215" t="str">
        <f ca="1">IFERROR(__xludf.DUMMYFUNCTION("""COMPUTED_VALUE"""),"Faroe Bank")</f>
        <v>Faroe Bank</v>
      </c>
      <c r="B215" t="str">
        <f ca="1">IFERROR(__xludf.DUMMYFUNCTION("""COMPUTED_VALUE"""),"M27Vb2")</f>
        <v>M27Vb2</v>
      </c>
    </row>
    <row r="216" spans="1:2" ht="12.5" x14ac:dyDescent="0.25">
      <c r="A216" t="str">
        <f ca="1">IFERROR(__xludf.DUMMYFUNCTION("""COMPUTED_VALUE"""),"Faroe Plateau")</f>
        <v>Faroe Plateau</v>
      </c>
      <c r="B216" t="str">
        <f ca="1">IFERROR(__xludf.DUMMYFUNCTION("""COMPUTED_VALUE"""),"M27Vb1")</f>
        <v>M27Vb1</v>
      </c>
    </row>
    <row r="217" spans="1:2" ht="12.5" x14ac:dyDescent="0.25">
      <c r="A217" t="str">
        <f ca="1">IFERROR(__xludf.DUMMYFUNCTION("""COMPUTED_VALUE"""),"Faroes Grounds")</f>
        <v>Faroes Grounds</v>
      </c>
      <c r="B217" t="str">
        <f ca="1">IFERROR(__xludf.DUMMYFUNCTION("""COMPUTED_VALUE"""),"M27Vb")</f>
        <v>M27Vb</v>
      </c>
    </row>
    <row r="218" spans="1:2" ht="12.5" x14ac:dyDescent="0.25">
      <c r="A218" t="str">
        <f ca="1">IFERROR(__xludf.DUMMYFUNCTION("""COMPUTED_VALUE"""),"Galapagos")</f>
        <v>Galapagos</v>
      </c>
      <c r="B218" t="str">
        <f ca="1">IFERROR(__xludf.DUMMYFUNCTION("""COMPUTED_VALUE"""),"M8713")</f>
        <v>M8713</v>
      </c>
    </row>
    <row r="219" spans="1:2" ht="12.5" x14ac:dyDescent="0.25">
      <c r="A219" t="str">
        <f ca="1">IFERROR(__xludf.DUMMYFUNCTION("""COMPUTED_VALUE"""),"Gulf")</f>
        <v>Gulf</v>
      </c>
      <c r="B219" t="str">
        <f ca="1">IFERROR(__xludf.DUMMYFUNCTION("""COMPUTED_VALUE"""),"M512")</f>
        <v>M512</v>
      </c>
    </row>
    <row r="220" spans="1:2" ht="12.5" x14ac:dyDescent="0.25">
      <c r="A220" t="str">
        <f ca="1">IFERROR(__xludf.DUMMYFUNCTION("""COMPUTED_VALUE"""),"Gulf Of Finland")</f>
        <v>Gulf Of Finland</v>
      </c>
      <c r="B220" t="str">
        <f ca="1">IFERROR(__xludf.DUMMYFUNCTION("""COMPUTED_VALUE"""),"M27IIId32")</f>
        <v>M27IIId32</v>
      </c>
    </row>
    <row r="221" spans="1:2" ht="12.5" x14ac:dyDescent="0.25">
      <c r="A221" t="str">
        <f ca="1">IFERROR(__xludf.DUMMYFUNCTION("""COMPUTED_VALUE"""),"Gulf Of Lions")</f>
        <v>Gulf Of Lions</v>
      </c>
      <c r="B221" t="str">
        <f ca="1">IFERROR(__xludf.DUMMYFUNCTION("""COMPUTED_VALUE"""),"M3712")</f>
        <v>M3712</v>
      </c>
    </row>
    <row r="222" spans="1:2" ht="12.5" x14ac:dyDescent="0.25">
      <c r="A222" t="str">
        <f ca="1">IFERROR(__xludf.DUMMYFUNCTION("""COMPUTED_VALUE"""),"Gulf Of Riga")</f>
        <v>Gulf Of Riga</v>
      </c>
      <c r="B222" t="str">
        <f ca="1">IFERROR(__xludf.DUMMYFUNCTION("""COMPUTED_VALUE"""),"M27IIId281")</f>
        <v>M27IIId281</v>
      </c>
    </row>
    <row r="223" spans="1:2" ht="12.5" x14ac:dyDescent="0.25">
      <c r="A223" t="str">
        <f ca="1">IFERROR(__xludf.DUMMYFUNCTION("""COMPUTED_VALUE"""),"Iceland And Faroes Grounds")</f>
        <v>Iceland And Faroes Grounds</v>
      </c>
      <c r="B223" t="str">
        <f ca="1">IFERROR(__xludf.DUMMYFUNCTION("""COMPUTED_VALUE"""),"M27V")</f>
        <v>M27V</v>
      </c>
    </row>
    <row r="224" spans="1:2" ht="12.5" x14ac:dyDescent="0.25">
      <c r="A224" t="str">
        <f ca="1">IFERROR(__xludf.DUMMYFUNCTION("""COMPUTED_VALUE"""),"Iceland Grounds")</f>
        <v>Iceland Grounds</v>
      </c>
      <c r="B224" t="str">
        <f ca="1">IFERROR(__xludf.DUMMYFUNCTION("""COMPUTED_VALUE"""),"M27Va")</f>
        <v>M27Va</v>
      </c>
    </row>
    <row r="225" spans="1:2" ht="12.5" x14ac:dyDescent="0.25">
      <c r="A225" t="str">
        <f ca="1">IFERROR(__xludf.DUMMYFUNCTION("""COMPUTED_VALUE"""),"Icelandic Shelf")</f>
        <v>Icelandic Shelf</v>
      </c>
      <c r="B225" t="str">
        <f ca="1">IFERROR(__xludf.DUMMYFUNCTION("""COMPUTED_VALUE"""),"M27Va2")</f>
        <v>M27Va2</v>
      </c>
    </row>
    <row r="226" spans="1:2" ht="12.5" x14ac:dyDescent="0.25">
      <c r="A226" t="str">
        <f ca="1">IFERROR(__xludf.DUMMYFUNCTION("""COMPUTED_VALUE"""),"Indian Ocean")</f>
        <v>Indian Ocean</v>
      </c>
      <c r="B226" t="str">
        <f ca="1">IFERROR(__xludf.DUMMYFUNCTION("""COMPUTED_VALUE"""),"M50")</f>
        <v>M50</v>
      </c>
    </row>
    <row r="227" spans="1:2" ht="12.5" x14ac:dyDescent="0.25">
      <c r="A227" t="str">
        <f ca="1">IFERROR(__xludf.DUMMYFUNCTION("""COMPUTED_VALUE"""),"Indian Ocean, Antarctic and Southern")</f>
        <v>Indian Ocean, Antarctic and Southern</v>
      </c>
      <c r="B227" t="str">
        <f ca="1">IFERROR(__xludf.DUMMYFUNCTION("""COMPUTED_VALUE"""),"M58")</f>
        <v>M58</v>
      </c>
    </row>
    <row r="228" spans="1:2" ht="12.5" x14ac:dyDescent="0.25">
      <c r="A228" t="str">
        <f ca="1">IFERROR(__xludf.DUMMYFUNCTION("""COMPUTED_VALUE"""),"Indian Ocean, Eastern")</f>
        <v>Indian Ocean, Eastern</v>
      </c>
      <c r="B228" t="str">
        <f ca="1">IFERROR(__xludf.DUMMYFUNCTION("""COMPUTED_VALUE"""),"M57")</f>
        <v>M57</v>
      </c>
    </row>
    <row r="229" spans="1:2" ht="12.5" x14ac:dyDescent="0.25">
      <c r="A229" t="str">
        <f ca="1">IFERROR(__xludf.DUMMYFUNCTION("""COMPUTED_VALUE"""),"Indian Ocean, Western")</f>
        <v>Indian Ocean, Western</v>
      </c>
      <c r="B229" t="str">
        <f ca="1">IFERROR(__xludf.DUMMYFUNCTION("""COMPUTED_VALUE"""),"M51")</f>
        <v>M51</v>
      </c>
    </row>
    <row r="230" spans="1:2" ht="12.5" x14ac:dyDescent="0.25">
      <c r="A230" t="str">
        <f ca="1">IFERROR(__xludf.DUMMYFUNCTION("""COMPUTED_VALUE"""),"Inland waters - Antarctica")</f>
        <v>Inland waters - Antarctica</v>
      </c>
      <c r="B230" t="str">
        <f ca="1">IFERROR(__xludf.DUMMYFUNCTION("""COMPUTED_VALUE"""),"M08")</f>
        <v>M08</v>
      </c>
    </row>
    <row r="231" spans="1:2" ht="12.5" x14ac:dyDescent="0.25">
      <c r="A231" t="str">
        <f ca="1">IFERROR(__xludf.DUMMYFUNCTION("""COMPUTED_VALUE"""),"Inland waters - Asia")</f>
        <v>Inland waters - Asia</v>
      </c>
      <c r="B231" t="str">
        <f ca="1">IFERROR(__xludf.DUMMYFUNCTION("""COMPUTED_VALUE"""),"M04")</f>
        <v>M04</v>
      </c>
    </row>
    <row r="232" spans="1:2" ht="12.5" x14ac:dyDescent="0.25">
      <c r="A232" t="str">
        <f ca="1">IFERROR(__xludf.DUMMYFUNCTION("""COMPUTED_VALUE"""),"Inland waters - Europe")</f>
        <v>Inland waters - Europe</v>
      </c>
      <c r="B232" t="str">
        <f ca="1">IFERROR(__xludf.DUMMYFUNCTION("""COMPUTED_VALUE"""),"M05")</f>
        <v>M05</v>
      </c>
    </row>
    <row r="233" spans="1:2" ht="12.5" x14ac:dyDescent="0.25">
      <c r="A233" t="str">
        <f ca="1">IFERROR(__xludf.DUMMYFUNCTION("""COMPUTED_VALUE"""),"Inland waters - Former Ussr Area")</f>
        <v>Inland waters - Former Ussr Area</v>
      </c>
      <c r="B233" t="str">
        <f ca="1">IFERROR(__xludf.DUMMYFUNCTION("""COMPUTED_VALUE"""),"M07")</f>
        <v>M07</v>
      </c>
    </row>
    <row r="234" spans="1:2" ht="12.5" x14ac:dyDescent="0.25">
      <c r="A234" t="str">
        <f ca="1">IFERROR(__xludf.DUMMYFUNCTION("""COMPUTED_VALUE"""),"Inland waters - North America")</f>
        <v>Inland waters - North America</v>
      </c>
      <c r="B234" t="str">
        <f ca="1">IFERROR(__xludf.DUMMYFUNCTION("""COMPUTED_VALUE"""),"M02")</f>
        <v>M02</v>
      </c>
    </row>
    <row r="235" spans="1:2" ht="12.5" x14ac:dyDescent="0.25">
      <c r="A235" t="str">
        <f ca="1">IFERROR(__xludf.DUMMYFUNCTION("""COMPUTED_VALUE"""),"Inland waters - Oceania")</f>
        <v>Inland waters - Oceania</v>
      </c>
      <c r="B235" t="str">
        <f ca="1">IFERROR(__xludf.DUMMYFUNCTION("""COMPUTED_VALUE"""),"M06")</f>
        <v>M06</v>
      </c>
    </row>
    <row r="236" spans="1:2" ht="12.5" x14ac:dyDescent="0.25">
      <c r="A236" t="str">
        <f ca="1">IFERROR(__xludf.DUMMYFUNCTION("""COMPUTED_VALUE"""),"Inland waters - South America")</f>
        <v>Inland waters - South America</v>
      </c>
      <c r="B236" t="str">
        <f ca="1">IFERROR(__xludf.DUMMYFUNCTION("""COMPUTED_VALUE"""),"M03")</f>
        <v>M03</v>
      </c>
    </row>
    <row r="237" spans="1:2" ht="12.5" x14ac:dyDescent="0.25">
      <c r="A237" t="str">
        <f ca="1">IFERROR(__xludf.DUMMYFUNCTION("""COMPUTED_VALUE"""),"Inland waters – Africa")</f>
        <v>Inland waters – Africa</v>
      </c>
      <c r="B237" t="str">
        <f ca="1">IFERROR(__xludf.DUMMYFUNCTION("""COMPUTED_VALUE"""),"M01")</f>
        <v>M01</v>
      </c>
    </row>
    <row r="238" spans="1:2" ht="12.5" x14ac:dyDescent="0.25">
      <c r="A238" t="str">
        <f ca="1">IFERROR(__xludf.DUMMYFUNCTION("""COMPUTED_VALUE"""),"Ionian")</f>
        <v>Ionian</v>
      </c>
      <c r="B238" t="str">
        <f ca="1">IFERROR(__xludf.DUMMYFUNCTION("""COMPUTED_VALUE"""),"M3722")</f>
        <v>M3722</v>
      </c>
    </row>
    <row r="239" spans="1:2" ht="12.5" x14ac:dyDescent="0.25">
      <c r="A239" t="str">
        <f ca="1">IFERROR(__xludf.DUMMYFUNCTION("""COMPUTED_VALUE"""),"Irish Sea")</f>
        <v>Irish Sea</v>
      </c>
      <c r="B239" t="str">
        <f ca="1">IFERROR(__xludf.DUMMYFUNCTION("""COMPUTED_VALUE"""),"M27VIIa")</f>
        <v>M27VIIa</v>
      </c>
    </row>
    <row r="240" spans="1:2" ht="12.5" x14ac:dyDescent="0.25">
      <c r="A240" t="str">
        <f ca="1">IFERROR(__xludf.DUMMYFUNCTION("""COMPUTED_VALUE"""),"Juan Fernandez")</f>
        <v>Juan Fernandez</v>
      </c>
      <c r="B240" t="str">
        <f ca="1">IFERROR(__xludf.DUMMYFUNCTION("""COMPUTED_VALUE"""),"M8724")</f>
        <v>M8724</v>
      </c>
    </row>
    <row r="241" spans="1:2" ht="12.5" x14ac:dyDescent="0.25">
      <c r="A241" t="str">
        <f ca="1">IFERROR(__xludf.DUMMYFUNCTION("""COMPUTED_VALUE"""),"Kerguelen")</f>
        <v>Kerguelen</v>
      </c>
      <c r="B241" t="str">
        <f ca="1">IFERROR(__xludf.DUMMYFUNCTION("""COMPUTED_VALUE"""),"M5851")</f>
        <v>M5851</v>
      </c>
    </row>
    <row r="242" spans="1:2" ht="12.5" x14ac:dyDescent="0.25">
      <c r="A242" t="str">
        <f ca="1">IFERROR(__xludf.DUMMYFUNCTION("""COMPUTED_VALUE"""),"Kerguelen, Mcdonald")</f>
        <v>Kerguelen, Mcdonald</v>
      </c>
      <c r="B242" t="str">
        <f ca="1">IFERROR(__xludf.DUMMYFUNCTION("""COMPUTED_VALUE"""),"M585")</f>
        <v>M585</v>
      </c>
    </row>
    <row r="243" spans="1:2" ht="12.5" x14ac:dyDescent="0.25">
      <c r="A243" t="str">
        <f ca="1">IFERROR(__xludf.DUMMYFUNCTION("""COMPUTED_VALUE"""),"Lena Bank")</f>
        <v>Lena Bank</v>
      </c>
      <c r="B243" t="str">
        <f ca="1">IFERROR(__xludf.DUMMYFUNCTION("""COMPUTED_VALUE"""),"M5844b")</f>
        <v>M5844b</v>
      </c>
    </row>
    <row r="244" spans="1:2" ht="12.5" x14ac:dyDescent="0.25">
      <c r="A244" t="str">
        <f ca="1">IFERROR(__xludf.DUMMYFUNCTION("""COMPUTED_VALUE"""),"Levant")</f>
        <v>Levant</v>
      </c>
      <c r="B244" t="str">
        <f ca="1">IFERROR(__xludf.DUMMYFUNCTION("""COMPUTED_VALUE"""),"M3732")</f>
        <v>M3732</v>
      </c>
    </row>
    <row r="245" spans="1:2" ht="12.5" x14ac:dyDescent="0.25">
      <c r="A245" t="str">
        <f ca="1">IFERROR(__xludf.DUMMYFUNCTION("""COMPUTED_VALUE"""),"Madagascar And Mozambique Channel")</f>
        <v>Madagascar And Mozambique Channel</v>
      </c>
      <c r="B245" t="str">
        <f ca="1">IFERROR(__xludf.DUMMYFUNCTION("""COMPUTED_VALUE"""),"M516")</f>
        <v>M516</v>
      </c>
    </row>
    <row r="246" spans="1:2" ht="12.5" x14ac:dyDescent="0.25">
      <c r="A246" t="str">
        <f ca="1">IFERROR(__xludf.DUMMYFUNCTION("""COMPUTED_VALUE"""),"Marion-Edward")</f>
        <v>Marion-Edward</v>
      </c>
      <c r="B246" t="str">
        <f ca="1">IFERROR(__xludf.DUMMYFUNCTION("""COMPUTED_VALUE"""),"M587")</f>
        <v>M587</v>
      </c>
    </row>
    <row r="247" spans="1:2" ht="12.5" x14ac:dyDescent="0.25">
      <c r="A247" t="str">
        <f ca="1">IFERROR(__xludf.DUMMYFUNCTION("""COMPUTED_VALUE"""),"Marmara Sea")</f>
        <v>Marmara Sea</v>
      </c>
      <c r="B247" t="str">
        <f ca="1">IFERROR(__xludf.DUMMYFUNCTION("""COMPUTED_VALUE"""),"M3741")</f>
        <v>M3741</v>
      </c>
    </row>
    <row r="248" spans="1:2" ht="12.5" x14ac:dyDescent="0.25">
      <c r="A248" t="str">
        <f ca="1">IFERROR(__xludf.DUMMYFUNCTION("""COMPUTED_VALUE"""),"Mcdonald And Heard")</f>
        <v>Mcdonald And Heard</v>
      </c>
      <c r="B248" t="str">
        <f ca="1">IFERROR(__xludf.DUMMYFUNCTION("""COMPUTED_VALUE"""),"M5852")</f>
        <v>M5852</v>
      </c>
    </row>
    <row r="249" spans="1:2" ht="12.5" x14ac:dyDescent="0.25">
      <c r="A249" t="str">
        <f ca="1">IFERROR(__xludf.DUMMYFUNCTION("""COMPUTED_VALUE"""),"Mediterranean and Black Sea")</f>
        <v>Mediterranean and Black Sea</v>
      </c>
      <c r="B249" t="str">
        <f ca="1">IFERROR(__xludf.DUMMYFUNCTION("""COMPUTED_VALUE"""),"M37")</f>
        <v>M37</v>
      </c>
    </row>
    <row r="250" spans="1:2" ht="12.5" x14ac:dyDescent="0.25">
      <c r="A250" t="str">
        <f ca="1">IFERROR(__xludf.DUMMYFUNCTION("""COMPUTED_VALUE"""),"Middle Agulhas")</f>
        <v>Middle Agulhas</v>
      </c>
      <c r="B250" t="str">
        <f ca="1">IFERROR(__xludf.DUMMYFUNCTION("""COMPUTED_VALUE"""),"M4721")</f>
        <v>M4721</v>
      </c>
    </row>
    <row r="251" spans="1:2" ht="12.5" x14ac:dyDescent="0.25">
      <c r="A251" t="str">
        <f ca="1">IFERROR(__xludf.DUMMYFUNCTION("""COMPUTED_VALUE"""),"Morocco Coastal")</f>
        <v>Morocco Coastal</v>
      </c>
      <c r="B251" t="str">
        <f ca="1">IFERROR(__xludf.DUMMYFUNCTION("""COMPUTED_VALUE"""),"M3411")</f>
        <v>M3411</v>
      </c>
    </row>
    <row r="252" spans="1:2" ht="12.5" x14ac:dyDescent="0.25">
      <c r="A252" t="str">
        <f ca="1">IFERROR(__xludf.DUMMYFUNCTION("""COMPUTED_VALUE"""),"Mozambique")</f>
        <v>Mozambique</v>
      </c>
      <c r="B252" t="str">
        <f ca="1">IFERROR(__xludf.DUMMYFUNCTION("""COMPUTED_VALUE"""),"M518")</f>
        <v>M518</v>
      </c>
    </row>
    <row r="253" spans="1:2" ht="12.5" x14ac:dyDescent="0.25">
      <c r="A253" t="str">
        <f ca="1">IFERROR(__xludf.DUMMYFUNCTION("""COMPUTED_VALUE"""),"Natal")</f>
        <v>Natal</v>
      </c>
      <c r="B253" t="str">
        <f ca="1">IFERROR(__xludf.DUMMYFUNCTION("""COMPUTED_VALUE"""),"M4112")</f>
        <v>M4112</v>
      </c>
    </row>
    <row r="254" spans="1:2" ht="12.5" x14ac:dyDescent="0.25">
      <c r="A254" t="str">
        <f ca="1">IFERROR(__xludf.DUMMYFUNCTION("""COMPUTED_VALUE"""),"North Of Azores")</f>
        <v>North Of Azores</v>
      </c>
      <c r="B254" t="str">
        <f ca="1">IFERROR(__xludf.DUMMYFUNCTION("""COMPUTED_VALUE"""),"M27XII")</f>
        <v>M27XII</v>
      </c>
    </row>
    <row r="255" spans="1:2" ht="12.5" x14ac:dyDescent="0.25">
      <c r="A255" t="str">
        <f ca="1">IFERROR(__xludf.DUMMYFUNCTION("""COMPUTED_VALUE"""),"North Sea")</f>
        <v>North Sea</v>
      </c>
      <c r="B255" t="str">
        <f ca="1">IFERROR(__xludf.DUMMYFUNCTION("""COMPUTED_VALUE"""),"M27IV")</f>
        <v>M27IV</v>
      </c>
    </row>
    <row r="256" spans="1:2" ht="12.5" x14ac:dyDescent="0.25">
      <c r="A256" t="str">
        <f ca="1">IFERROR(__xludf.DUMMYFUNCTION("""COMPUTED_VALUE"""),"Northeast Atlantic South")</f>
        <v>Northeast Atlantic South</v>
      </c>
      <c r="B256" t="str">
        <f ca="1">IFERROR(__xludf.DUMMYFUNCTION("""COMPUTED_VALUE"""),"M27Xb")</f>
        <v>M27Xb</v>
      </c>
    </row>
    <row r="257" spans="1:2" ht="12.5" x14ac:dyDescent="0.25">
      <c r="A257" t="str">
        <f ca="1">IFERROR(__xludf.DUMMYFUNCTION("""COMPUTED_VALUE"""),"Northeast Greenland")</f>
        <v>Northeast Greenland</v>
      </c>
      <c r="B257" t="str">
        <f ca="1">IFERROR(__xludf.DUMMYFUNCTION("""COMPUTED_VALUE"""),"M27XIVa")</f>
        <v>M27XIVa</v>
      </c>
    </row>
    <row r="258" spans="1:2" ht="12.5" x14ac:dyDescent="0.25">
      <c r="A258" t="str">
        <f ca="1">IFERROR(__xludf.DUMMYFUNCTION("""COMPUTED_VALUE"""),"Northern (Atlantic)")</f>
        <v>Northern (Atlantic)</v>
      </c>
      <c r="B258" t="str">
        <f ca="1">IFERROR(__xludf.DUMMYFUNCTION("""COMPUTED_VALUE"""),"M411")</f>
        <v>M411</v>
      </c>
    </row>
    <row r="259" spans="1:2" ht="12.5" x14ac:dyDescent="0.25">
      <c r="A259" t="str">
        <f ca="1">IFERROR(__xludf.DUMMYFUNCTION("""COMPUTED_VALUE"""),"Northern (Indian)")</f>
        <v>Northern (Indian)</v>
      </c>
      <c r="B259" t="str">
        <f ca="1">IFERROR(__xludf.DUMMYFUNCTION("""COMPUTED_VALUE"""),"M572")</f>
        <v>M572</v>
      </c>
    </row>
    <row r="260" spans="1:2" ht="12.5" x14ac:dyDescent="0.25">
      <c r="A260" t="str">
        <f ca="1">IFERROR(__xludf.DUMMYFUNCTION("""COMPUTED_VALUE"""),"Northern (Pacific)")</f>
        <v>Northern (Pacific)</v>
      </c>
      <c r="B260" t="str">
        <f ca="1">IFERROR(__xludf.DUMMYFUNCTION("""COMPUTED_VALUE"""),"M871")</f>
        <v>M871</v>
      </c>
    </row>
    <row r="261" spans="1:2" ht="12.5" x14ac:dyDescent="0.25">
      <c r="A261" t="str">
        <f ca="1">IFERROR(__xludf.DUMMYFUNCTION("""COMPUTED_VALUE"""),"Northern Coastal (Atlantic)")</f>
        <v>Northern Coastal (Atlantic)</v>
      </c>
      <c r="B261" t="str">
        <f ca="1">IFERROR(__xludf.DUMMYFUNCTION("""COMPUTED_VALUE"""),"M341")</f>
        <v>M341</v>
      </c>
    </row>
    <row r="262" spans="1:2" ht="12.5" x14ac:dyDescent="0.25">
      <c r="A262" t="str">
        <f ca="1">IFERROR(__xludf.DUMMYFUNCTION("""COMPUTED_VALUE"""),"Northern Coastal (Pacific)")</f>
        <v>Northern Coastal (Pacific)</v>
      </c>
      <c r="B262" t="str">
        <f ca="1">IFERROR(__xludf.DUMMYFUNCTION("""COMPUTED_VALUE"""),"M8711")</f>
        <v>M8711</v>
      </c>
    </row>
    <row r="263" spans="1:2" ht="12.5" x14ac:dyDescent="0.25">
      <c r="A263" t="str">
        <f ca="1">IFERROR(__xludf.DUMMYFUNCTION("""COMPUTED_VALUE"""),"Northern Intermediate")</f>
        <v>Northern Intermediate</v>
      </c>
      <c r="B263" t="str">
        <f ca="1">IFERROR(__xludf.DUMMYFUNCTION("""COMPUTED_VALUE"""),"M8712")</f>
        <v>M8712</v>
      </c>
    </row>
    <row r="264" spans="1:2" ht="12.5" x14ac:dyDescent="0.25">
      <c r="A264" t="str">
        <f ca="1">IFERROR(__xludf.DUMMYFUNCTION("""COMPUTED_VALUE"""),"Northern North Sea")</f>
        <v>Northern North Sea</v>
      </c>
      <c r="B264" t="str">
        <f ca="1">IFERROR(__xludf.DUMMYFUNCTION("""COMPUTED_VALUE"""),"M27IVa")</f>
        <v>M27IVa</v>
      </c>
    </row>
    <row r="265" spans="1:2" ht="12.5" x14ac:dyDescent="0.25">
      <c r="A265" t="str">
        <f ca="1">IFERROR(__xludf.DUMMYFUNCTION("""COMPUTED_VALUE"""),"Northern Oceanic (Atlantic)")</f>
        <v>Northern Oceanic (Atlantic)</v>
      </c>
      <c r="B265" t="str">
        <f ca="1">IFERROR(__xludf.DUMMYFUNCTION("""COMPUTED_VALUE"""),"M342")</f>
        <v>M342</v>
      </c>
    </row>
    <row r="266" spans="1:2" ht="12.5" x14ac:dyDescent="0.25">
      <c r="A266" t="str">
        <f ca="1">IFERROR(__xludf.DUMMYFUNCTION("""COMPUTED_VALUE"""),"Northern Oceanic (Pacific)")</f>
        <v>Northern Oceanic (Pacific)</v>
      </c>
      <c r="B266" t="str">
        <f ca="1">IFERROR(__xludf.DUMMYFUNCTION("""COMPUTED_VALUE"""),"M8714")</f>
        <v>M8714</v>
      </c>
    </row>
    <row r="267" spans="1:2" ht="12.5" x14ac:dyDescent="0.25">
      <c r="A267" t="str">
        <f ca="1">IFERROR(__xludf.DUMMYFUNCTION("""COMPUTED_VALUE"""),"Northern Patagonian")</f>
        <v>Northern Patagonian</v>
      </c>
      <c r="B267" t="str">
        <f ca="1">IFERROR(__xludf.DUMMYFUNCTION("""COMPUTED_VALUE"""),"M4131")</f>
        <v>M4131</v>
      </c>
    </row>
    <row r="268" spans="1:2" ht="12.5" x14ac:dyDescent="0.25">
      <c r="A268" t="str">
        <f ca="1">IFERROR(__xludf.DUMMYFUNCTION("""COMPUTED_VALUE"""),"Northern Reykjanes Ridge")</f>
        <v>Northern Reykjanes Ridge</v>
      </c>
      <c r="B268" t="str">
        <f ca="1">IFERROR(__xludf.DUMMYFUNCTION("""COMPUTED_VALUE"""),"M27Va1")</f>
        <v>M27Va1</v>
      </c>
    </row>
    <row r="269" spans="1:2" ht="12.5" x14ac:dyDescent="0.25">
      <c r="A269" t="str">
        <f ca="1">IFERROR(__xludf.DUMMYFUNCTION("""COMPUTED_VALUE"""),"Northern Subdivision")</f>
        <v>Northern Subdivision</v>
      </c>
      <c r="B269" t="str">
        <f ca="1">IFERROR(__xludf.DUMMYFUNCTION("""COMPUTED_VALUE"""),"M214Vn")</f>
        <v>M214Vn</v>
      </c>
    </row>
    <row r="270" spans="1:2" ht="12.5" x14ac:dyDescent="0.25">
      <c r="A270" t="str">
        <f ca="1">IFERROR(__xludf.DUMMYFUNCTION("""COMPUTED_VALUE"""),"Northwest Australia")</f>
        <v>Northwest Australia</v>
      </c>
      <c r="B270" t="str">
        <f ca="1">IFERROR(__xludf.DUMMYFUNCTION("""COMPUTED_VALUE"""),"M5752")</f>
        <v>M5752</v>
      </c>
    </row>
    <row r="271" spans="1:2" ht="12.5" x14ac:dyDescent="0.25">
      <c r="A271" t="str">
        <f ca="1">IFERROR(__xludf.DUMMYFUNCTION("""COMPUTED_VALUE"""),"Northwest Coast Of Scotland And North Ireland")</f>
        <v>Northwest Coast Of Scotland And North Ireland</v>
      </c>
      <c r="B271" t="str">
        <f ca="1">IFERROR(__xludf.DUMMYFUNCTION("""COMPUTED_VALUE"""),"M27VIa")</f>
        <v>M27VIa</v>
      </c>
    </row>
    <row r="272" spans="1:2" ht="12.5" x14ac:dyDescent="0.25">
      <c r="A272" t="str">
        <f ca="1">IFERROR(__xludf.DUMMYFUNCTION("""COMPUTED_VALUE"""),"Northwestern Subdivision")</f>
        <v>Northwestern Subdivision</v>
      </c>
      <c r="B272" t="str">
        <f ca="1">IFERROR(__xludf.DUMMYFUNCTION("""COMPUTED_VALUE"""),"M213Pn")</f>
        <v>M213Pn</v>
      </c>
    </row>
    <row r="273" spans="1:2" ht="12.5" x14ac:dyDescent="0.25">
      <c r="A273" t="str">
        <f ca="1">IFERROR(__xludf.DUMMYFUNCTION("""COMPUTED_VALUE"""),"Norwegian Sea")</f>
        <v>Norwegian Sea</v>
      </c>
      <c r="B273" t="str">
        <f ca="1">IFERROR(__xludf.DUMMYFUNCTION("""COMPUTED_VALUE"""),"M27IIa")</f>
        <v>M27IIa</v>
      </c>
    </row>
    <row r="274" spans="1:2" ht="12.5" x14ac:dyDescent="0.25">
      <c r="A274" t="str">
        <f ca="1">IFERROR(__xludf.DUMMYFUNCTION("""COMPUTED_VALUE"""),"Norwegian Sea - Neafc Regulatory Area")</f>
        <v>Norwegian Sea - Neafc Regulatory Area</v>
      </c>
      <c r="B274" t="str">
        <f ca="1">IFERROR(__xludf.DUMMYFUNCTION("""COMPUTED_VALUE"""),"M27IIa1")</f>
        <v>M27IIa1</v>
      </c>
    </row>
    <row r="275" spans="1:2" ht="12.5" x14ac:dyDescent="0.25">
      <c r="A275" t="str">
        <f ca="1">IFERROR(__xludf.DUMMYFUNCTION("""COMPUTED_VALUE"""),"Norwegian Sea Non-Neafc Regulatory Area")</f>
        <v>Norwegian Sea Non-Neafc Regulatory Area</v>
      </c>
      <c r="B275" t="str">
        <f ca="1">IFERROR(__xludf.DUMMYFUNCTION("""COMPUTED_VALUE"""),"M27IIa2")</f>
        <v>M27IIa2</v>
      </c>
    </row>
    <row r="276" spans="1:2" ht="12.5" x14ac:dyDescent="0.25">
      <c r="A276" t="str">
        <f ca="1">IFERROR(__xludf.DUMMYFUNCTION("""COMPUTED_VALUE"""),"Norwegian Sea, Spitzbergen, And Bear Island")</f>
        <v>Norwegian Sea, Spitzbergen, And Bear Island</v>
      </c>
      <c r="B276" t="str">
        <f ca="1">IFERROR(__xludf.DUMMYFUNCTION("""COMPUTED_VALUE"""),"M27II")</f>
        <v>M27II</v>
      </c>
    </row>
    <row r="277" spans="1:2" ht="12.5" x14ac:dyDescent="0.25">
      <c r="A277" t="str">
        <f ca="1">IFERROR(__xludf.DUMMYFUNCTION("""COMPUTED_VALUE"""),"Nothern Oceanic")</f>
        <v>Nothern Oceanic</v>
      </c>
      <c r="B277" t="str">
        <f ca="1">IFERROR(__xludf.DUMMYFUNCTION("""COMPUTED_VALUE"""),"M4114")</f>
        <v>M4114</v>
      </c>
    </row>
    <row r="278" spans="1:2" ht="12.5" x14ac:dyDescent="0.25">
      <c r="A278" t="str">
        <f ca="1">IFERROR(__xludf.DUMMYFUNCTION("""COMPUTED_VALUE"""),"Ob And Lena Banks")</f>
        <v>Ob And Lena Banks</v>
      </c>
      <c r="B278" t="str">
        <f ca="1">IFERROR(__xludf.DUMMYFUNCTION("""COMPUTED_VALUE"""),"M5844")</f>
        <v>M5844</v>
      </c>
    </row>
    <row r="279" spans="1:2" ht="12.5" x14ac:dyDescent="0.25">
      <c r="A279" t="str">
        <f ca="1">IFERROR(__xludf.DUMMYFUNCTION("""COMPUTED_VALUE"""),"Ob Bank")</f>
        <v>Ob Bank</v>
      </c>
      <c r="B279" t="str">
        <f ca="1">IFERROR(__xludf.DUMMYFUNCTION("""COMPUTED_VALUE"""),"M5844a")</f>
        <v>M5844a</v>
      </c>
    </row>
    <row r="280" spans="1:2" ht="12.5" x14ac:dyDescent="0.25">
      <c r="A280" t="str">
        <f ca="1">IFERROR(__xludf.DUMMYFUNCTION("""COMPUTED_VALUE"""),"Oceanic (M51.7)")</f>
        <v>Oceanic (M51.7)</v>
      </c>
      <c r="B280" t="str">
        <f ca="1">IFERROR(__xludf.DUMMYFUNCTION("""COMPUTED_VALUE"""),"M517")</f>
        <v>M517</v>
      </c>
    </row>
    <row r="281" spans="1:2" ht="12.5" x14ac:dyDescent="0.25">
      <c r="A281" t="str">
        <f ca="1">IFERROR(__xludf.DUMMYFUNCTION("""COMPUTED_VALUE"""),"Oceanic (M57.4)")</f>
        <v>Oceanic (M57.4)</v>
      </c>
      <c r="B281" t="str">
        <f ca="1">IFERROR(__xludf.DUMMYFUNCTION("""COMPUTED_VALUE"""),"M574")</f>
        <v>M574</v>
      </c>
    </row>
    <row r="282" spans="1:2" ht="12.5" x14ac:dyDescent="0.25">
      <c r="A282" t="str">
        <f ca="1">IFERROR(__xludf.DUMMYFUNCTION("""COMPUTED_VALUE"""),"Orange River")</f>
        <v>Orange River</v>
      </c>
      <c r="B282" t="str">
        <f ca="1">IFERROR(__xludf.DUMMYFUNCTION("""COMPUTED_VALUE"""),"M4715")</f>
        <v>M4715</v>
      </c>
    </row>
    <row r="283" spans="1:2" ht="12.5" x14ac:dyDescent="0.25">
      <c r="A283" t="str">
        <f ca="1">IFERROR(__xludf.DUMMYFUNCTION("""COMPUTED_VALUE"""),"Pacifc Ocean")</f>
        <v>Pacifc Ocean</v>
      </c>
      <c r="B283" t="str">
        <f ca="1">IFERROR(__xludf.DUMMYFUNCTION("""COMPUTED_VALUE"""),"M80")</f>
        <v>M80</v>
      </c>
    </row>
    <row r="284" spans="1:2" ht="12.5" x14ac:dyDescent="0.25">
      <c r="A284" t="str">
        <f ca="1">IFERROR(__xludf.DUMMYFUNCTION("""COMPUTED_VALUE"""),"Pacific, Antarctic")</f>
        <v>Pacific, Antarctic</v>
      </c>
      <c r="B284" t="str">
        <f ca="1">IFERROR(__xludf.DUMMYFUNCTION("""COMPUTED_VALUE"""),"M88")</f>
        <v>M88</v>
      </c>
    </row>
    <row r="285" spans="1:2" ht="12.5" x14ac:dyDescent="0.25">
      <c r="A285" t="str">
        <f ca="1">IFERROR(__xludf.DUMMYFUNCTION("""COMPUTED_VALUE"""),"Pacific, Eastern Central")</f>
        <v>Pacific, Eastern Central</v>
      </c>
      <c r="B285" t="str">
        <f ca="1">IFERROR(__xludf.DUMMYFUNCTION("""COMPUTED_VALUE"""),"M77")</f>
        <v>M77</v>
      </c>
    </row>
    <row r="286" spans="1:2" ht="12.5" x14ac:dyDescent="0.25">
      <c r="A286" t="str">
        <f ca="1">IFERROR(__xludf.DUMMYFUNCTION("""COMPUTED_VALUE"""),"Pacific, Northeast")</f>
        <v>Pacific, Northeast</v>
      </c>
      <c r="B286" t="str">
        <f ca="1">IFERROR(__xludf.DUMMYFUNCTION("""COMPUTED_VALUE"""),"M67")</f>
        <v>M67</v>
      </c>
    </row>
    <row r="287" spans="1:2" ht="12.5" x14ac:dyDescent="0.25">
      <c r="A287" t="str">
        <f ca="1">IFERROR(__xludf.DUMMYFUNCTION("""COMPUTED_VALUE"""),"Pacific, Northwest")</f>
        <v>Pacific, Northwest</v>
      </c>
      <c r="B287" t="str">
        <f ca="1">IFERROR(__xludf.DUMMYFUNCTION("""COMPUTED_VALUE"""),"M61")</f>
        <v>M61</v>
      </c>
    </row>
    <row r="288" spans="1:2" ht="12.5" x14ac:dyDescent="0.25">
      <c r="A288" t="str">
        <f ca="1">IFERROR(__xludf.DUMMYFUNCTION("""COMPUTED_VALUE"""),"Pacific, Southeast")</f>
        <v>Pacific, Southeast</v>
      </c>
      <c r="B288" t="str">
        <f ca="1">IFERROR(__xludf.DUMMYFUNCTION("""COMPUTED_VALUE"""),"M87")</f>
        <v>M87</v>
      </c>
    </row>
    <row r="289" spans="1:2" ht="12.5" x14ac:dyDescent="0.25">
      <c r="A289" t="str">
        <f ca="1">IFERROR(__xludf.DUMMYFUNCTION("""COMPUTED_VALUE"""),"Pacific, Southwest")</f>
        <v>Pacific, Southwest</v>
      </c>
      <c r="B289" t="str">
        <f ca="1">IFERROR(__xludf.DUMMYFUNCTION("""COMPUTED_VALUE"""),"M81")</f>
        <v>M81</v>
      </c>
    </row>
    <row r="290" spans="1:2" ht="12.5" x14ac:dyDescent="0.25">
      <c r="A290" t="str">
        <f ca="1">IFERROR(__xludf.DUMMYFUNCTION("""COMPUTED_VALUE"""),"Pacific, Western Central")</f>
        <v>Pacific, Western Central</v>
      </c>
      <c r="B290" t="str">
        <f ca="1">IFERROR(__xludf.DUMMYFUNCTION("""COMPUTED_VALUE"""),"M71")</f>
        <v>M71</v>
      </c>
    </row>
    <row r="291" spans="1:2" ht="12.5" x14ac:dyDescent="0.25">
      <c r="A291" t="str">
        <f ca="1">IFERROR(__xludf.DUMMYFUNCTION("""COMPUTED_VALUE"""),"Pascua")</f>
        <v>Pascua</v>
      </c>
      <c r="B291" t="str">
        <f ca="1">IFERROR(__xludf.DUMMYFUNCTION("""COMPUTED_VALUE"""),"M8725")</f>
        <v>M8725</v>
      </c>
    </row>
    <row r="292" spans="1:2" ht="12.5" x14ac:dyDescent="0.25">
      <c r="A292" t="str">
        <f ca="1">IFERROR(__xludf.DUMMYFUNCTION("""COMPUTED_VALUE"""),"Peninsular")</f>
        <v>Peninsular</v>
      </c>
      <c r="B292" t="str">
        <f ca="1">IFERROR(__xludf.DUMMYFUNCTION("""COMPUTED_VALUE"""),"M481")</f>
        <v>M481</v>
      </c>
    </row>
    <row r="293" spans="1:2" ht="12.5" x14ac:dyDescent="0.25">
      <c r="A293" t="str">
        <f ca="1">IFERROR(__xludf.DUMMYFUNCTION("""COMPUTED_VALUE"""),"Platense")</f>
        <v>Platense</v>
      </c>
      <c r="B293" t="str">
        <f ca="1">IFERROR(__xludf.DUMMYFUNCTION("""COMPUTED_VALUE"""),"M4123")</f>
        <v>M4123</v>
      </c>
    </row>
    <row r="294" spans="1:2" ht="12.5" x14ac:dyDescent="0.25">
      <c r="A294" t="str">
        <f ca="1">IFERROR(__xludf.DUMMYFUNCTION("""COMPUTED_VALUE"""),"Porcupine Bank")</f>
        <v>Porcupine Bank</v>
      </c>
      <c r="B294" t="str">
        <f ca="1">IFERROR(__xludf.DUMMYFUNCTION("""COMPUTED_VALUE"""),"M27VIIc")</f>
        <v>M27VIIc</v>
      </c>
    </row>
    <row r="295" spans="1:2" ht="12.5" x14ac:dyDescent="0.25">
      <c r="A295" t="str">
        <f ca="1">IFERROR(__xludf.DUMMYFUNCTION("""COMPUTED_VALUE"""),"Porcupine Bank - Neafc Regulatory Area")</f>
        <v>Porcupine Bank - Neafc Regulatory Area</v>
      </c>
      <c r="B295" t="str">
        <f ca="1">IFERROR(__xludf.DUMMYFUNCTION("""COMPUTED_VALUE"""),"M27VIIc1")</f>
        <v>M27VIIc1</v>
      </c>
    </row>
    <row r="296" spans="1:2" ht="12.5" x14ac:dyDescent="0.25">
      <c r="A296" t="str">
        <f ca="1">IFERROR(__xludf.DUMMYFUNCTION("""COMPUTED_VALUE"""),"Porcupine Bank Non-Neafc Regulatory Area")</f>
        <v>Porcupine Bank Non-Neafc Regulatory Area</v>
      </c>
      <c r="B296" t="str">
        <f ca="1">IFERROR(__xludf.DUMMYFUNCTION("""COMPUTED_VALUE"""),"M27VIIc2")</f>
        <v>M27VIIc2</v>
      </c>
    </row>
    <row r="297" spans="1:2" ht="12.5" x14ac:dyDescent="0.25">
      <c r="A297" t="str">
        <f ca="1">IFERROR(__xludf.DUMMYFUNCTION("""COMPUTED_VALUE"""),"Portuguese Waters")</f>
        <v>Portuguese Waters</v>
      </c>
      <c r="B297" t="str">
        <f ca="1">IFERROR(__xludf.DUMMYFUNCTION("""COMPUTED_VALUE"""),"M27IX")</f>
        <v>M27IX</v>
      </c>
    </row>
    <row r="298" spans="1:2" ht="12.5" x14ac:dyDescent="0.25">
      <c r="A298" t="str">
        <f ca="1">IFERROR(__xludf.DUMMYFUNCTION("""COMPUTED_VALUE"""),"Portuguese Waters - East")</f>
        <v>Portuguese Waters - East</v>
      </c>
      <c r="B298" t="str">
        <f ca="1">IFERROR(__xludf.DUMMYFUNCTION("""COMPUTED_VALUE"""),"M27IXa")</f>
        <v>M27IXa</v>
      </c>
    </row>
    <row r="299" spans="1:2" ht="12.5" x14ac:dyDescent="0.25">
      <c r="A299" t="str">
        <f ca="1">IFERROR(__xludf.DUMMYFUNCTION("""COMPUTED_VALUE"""),"Portuguese Waters - West")</f>
        <v>Portuguese Waters - West</v>
      </c>
      <c r="B299" t="str">
        <f ca="1">IFERROR(__xludf.DUMMYFUNCTION("""COMPUTED_VALUE"""),"M27IXb")</f>
        <v>M27IXb</v>
      </c>
    </row>
    <row r="300" spans="1:2" ht="12.5" x14ac:dyDescent="0.25">
      <c r="A300" t="str">
        <f ca="1">IFERROR(__xludf.DUMMYFUNCTION("""COMPUTED_VALUE"""),"Portuguese Waters - West - Neafc Reg. Area")</f>
        <v>Portuguese Waters - West - Neafc Reg. Area</v>
      </c>
      <c r="B300" t="str">
        <f ca="1">IFERROR(__xludf.DUMMYFUNCTION("""COMPUTED_VALUE"""),"M27IXb1")</f>
        <v>M27IXb1</v>
      </c>
    </row>
    <row r="301" spans="1:2" ht="12.5" x14ac:dyDescent="0.25">
      <c r="A301" t="str">
        <f ca="1">IFERROR(__xludf.DUMMYFUNCTION("""COMPUTED_VALUE"""),"Portuguese Waters - West - Non-Neafc Reg. Area")</f>
        <v>Portuguese Waters - West - Non-Neafc Reg. Area</v>
      </c>
      <c r="B301" t="str">
        <f ca="1">IFERROR(__xludf.DUMMYFUNCTION("""COMPUTED_VALUE"""),"M27IXb2")</f>
        <v>M27IXb2</v>
      </c>
    </row>
    <row r="302" spans="1:2" ht="12.5" x14ac:dyDescent="0.25">
      <c r="A302" t="str">
        <f ca="1">IFERROR(__xludf.DUMMYFUNCTION("""COMPUTED_VALUE"""),"Prydz Bay")</f>
        <v>Prydz Bay</v>
      </c>
      <c r="B302" t="str">
        <f ca="1">IFERROR(__xludf.DUMMYFUNCTION("""COMPUTED_VALUE"""),"M5842")</f>
        <v>M5842</v>
      </c>
    </row>
    <row r="303" spans="1:2" ht="12.5" x14ac:dyDescent="0.25">
      <c r="A303" t="str">
        <f ca="1">IFERROR(__xludf.DUMMYFUNCTION("""COMPUTED_VALUE"""),"Red Sea")</f>
        <v>Red Sea</v>
      </c>
      <c r="B303" t="str">
        <f ca="1">IFERROR(__xludf.DUMMYFUNCTION("""COMPUTED_VALUE"""),"M511")</f>
        <v>M511</v>
      </c>
    </row>
    <row r="304" spans="1:2" ht="12.5" x14ac:dyDescent="0.25">
      <c r="A304" t="str">
        <f ca="1">IFERROR(__xludf.DUMMYFUNCTION("""COMPUTED_VALUE"""),"Rio Grande")</f>
        <v>Rio Grande</v>
      </c>
      <c r="B304" t="str">
        <f ca="1">IFERROR(__xludf.DUMMYFUNCTION("""COMPUTED_VALUE"""),"M4122")</f>
        <v>M4122</v>
      </c>
    </row>
    <row r="305" spans="1:2" ht="12.5" x14ac:dyDescent="0.25">
      <c r="A305" t="str">
        <f ca="1">IFERROR(__xludf.DUMMYFUNCTION("""COMPUTED_VALUE"""),"Rockall")</f>
        <v>Rockall</v>
      </c>
      <c r="B305" t="str">
        <f ca="1">IFERROR(__xludf.DUMMYFUNCTION("""COMPUTED_VALUE"""),"M27VIb")</f>
        <v>M27VIb</v>
      </c>
    </row>
    <row r="306" spans="1:2" ht="12.5" x14ac:dyDescent="0.25">
      <c r="A306" t="str">
        <f ca="1">IFERROR(__xludf.DUMMYFUNCTION("""COMPUTED_VALUE"""),"Rockall - Part Of Neafc Area")</f>
        <v>Rockall - Part Of Neafc Area</v>
      </c>
      <c r="B306" t="str">
        <f ca="1">IFERROR(__xludf.DUMMYFUNCTION("""COMPUTED_VALUE"""),"M27VIb1")</f>
        <v>M27VIb1</v>
      </c>
    </row>
    <row r="307" spans="1:2" ht="12.5" x14ac:dyDescent="0.25">
      <c r="A307" t="str">
        <f ca="1">IFERROR(__xludf.DUMMYFUNCTION("""COMPUTED_VALUE"""),"Rockall Non-Neafc Area")</f>
        <v>Rockall Non-Neafc Area</v>
      </c>
      <c r="B307" t="str">
        <f ca="1">IFERROR(__xludf.DUMMYFUNCTION("""COMPUTED_VALUE"""),"M27VIb2")</f>
        <v>M27VIb2</v>
      </c>
    </row>
    <row r="308" spans="1:2" ht="12.5" x14ac:dyDescent="0.25">
      <c r="A308" t="str">
        <f ca="1">IFERROR(__xludf.DUMMYFUNCTION("""COMPUTED_VALUE"""),"Rockall, Nw Coast Of Scotland And North Ireland")</f>
        <v>Rockall, Nw Coast Of Scotland And North Ireland</v>
      </c>
      <c r="B308" t="str">
        <f ca="1">IFERROR(__xludf.DUMMYFUNCTION("""COMPUTED_VALUE"""),"M27VI")</f>
        <v>M27VI</v>
      </c>
    </row>
    <row r="309" spans="1:2" ht="12.5" x14ac:dyDescent="0.25">
      <c r="A309" t="str">
        <f ca="1">IFERROR(__xludf.DUMMYFUNCTION("""COMPUTED_VALUE"""),"Sahara Coastal")</f>
        <v>Sahara Coastal</v>
      </c>
      <c r="B309" t="str">
        <f ca="1">IFERROR(__xludf.DUMMYFUNCTION("""COMPUTED_VALUE"""),"M3413")</f>
        <v>M3413</v>
      </c>
    </row>
    <row r="310" spans="1:2" ht="12.5" x14ac:dyDescent="0.25">
      <c r="A310" t="str">
        <f ca="1">IFERROR(__xludf.DUMMYFUNCTION("""COMPUTED_VALUE"""),"Salvador")</f>
        <v>Salvador</v>
      </c>
      <c r="B310" t="str">
        <f ca="1">IFERROR(__xludf.DUMMYFUNCTION("""COMPUTED_VALUE"""),"M4113")</f>
        <v>M4113</v>
      </c>
    </row>
    <row r="311" spans="1:2" ht="12.5" x14ac:dyDescent="0.25">
      <c r="A311" t="str">
        <f ca="1">IFERROR(__xludf.DUMMYFUNCTION("""COMPUTED_VALUE"""),"San Felix")</f>
        <v>San Felix</v>
      </c>
      <c r="B311" t="str">
        <f ca="1">IFERROR(__xludf.DUMMYFUNCTION("""COMPUTED_VALUE"""),"M8723")</f>
        <v>M8723</v>
      </c>
    </row>
    <row r="312" spans="1:2" ht="12.5" x14ac:dyDescent="0.25">
      <c r="A312" t="str">
        <f ca="1">IFERROR(__xludf.DUMMYFUNCTION("""COMPUTED_VALUE"""),"Santos")</f>
        <v>Santos</v>
      </c>
      <c r="B312" t="str">
        <f ca="1">IFERROR(__xludf.DUMMYFUNCTION("""COMPUTED_VALUE"""),"M4121")</f>
        <v>M4121</v>
      </c>
    </row>
    <row r="313" spans="1:2" ht="12.5" x14ac:dyDescent="0.25">
      <c r="A313" t="str">
        <f ca="1">IFERROR(__xludf.DUMMYFUNCTION("""COMPUTED_VALUE"""),"Sardinia")</f>
        <v>Sardinia</v>
      </c>
      <c r="B313" t="str">
        <f ca="1">IFERROR(__xludf.DUMMYFUNCTION("""COMPUTED_VALUE"""),"M3713")</f>
        <v>M3713</v>
      </c>
    </row>
    <row r="314" spans="1:2" ht="12.5" x14ac:dyDescent="0.25">
      <c r="A314" t="str">
        <f ca="1">IFERROR(__xludf.DUMMYFUNCTION("""COMPUTED_VALUE"""),"Seafo (47.A.0)")</f>
        <v>Seafo (47.A.0)</v>
      </c>
      <c r="B314" t="str">
        <f ca="1">IFERROR(__xludf.DUMMYFUNCTION("""COMPUTED_VALUE"""),"M47A0")</f>
        <v>M47A0</v>
      </c>
    </row>
    <row r="315" spans="1:2" ht="12.5" x14ac:dyDescent="0.25">
      <c r="A315" t="str">
        <f ca="1">IFERROR(__xludf.DUMMYFUNCTION("""COMPUTED_VALUE"""),"Seafo (47.A.1)")</f>
        <v>Seafo (47.A.1)</v>
      </c>
      <c r="B315" t="str">
        <f ca="1">IFERROR(__xludf.DUMMYFUNCTION("""COMPUTED_VALUE"""),"M47A1")</f>
        <v>M47A1</v>
      </c>
    </row>
    <row r="316" spans="1:2" ht="12.5" x14ac:dyDescent="0.25">
      <c r="A316" t="str">
        <f ca="1">IFERROR(__xludf.DUMMYFUNCTION("""COMPUTED_VALUE"""),"Seafo (47.B.0)")</f>
        <v>Seafo (47.B.0)</v>
      </c>
      <c r="B316" t="str">
        <f ca="1">IFERROR(__xludf.DUMMYFUNCTION("""COMPUTED_VALUE"""),"M47B0")</f>
        <v>M47B0</v>
      </c>
    </row>
    <row r="317" spans="1:2" ht="12.5" x14ac:dyDescent="0.25">
      <c r="A317" t="str">
        <f ca="1">IFERROR(__xludf.DUMMYFUNCTION("""COMPUTED_VALUE"""),"Seafo (47.B.1)")</f>
        <v>Seafo (47.B.1)</v>
      </c>
      <c r="B317" t="str">
        <f ca="1">IFERROR(__xludf.DUMMYFUNCTION("""COMPUTED_VALUE"""),"M47B1")</f>
        <v>M47B1</v>
      </c>
    </row>
    <row r="318" spans="1:2" ht="12.5" x14ac:dyDescent="0.25">
      <c r="A318" t="str">
        <f ca="1">IFERROR(__xludf.DUMMYFUNCTION("""COMPUTED_VALUE"""),"Seafo (47.C.0)")</f>
        <v>Seafo (47.C.0)</v>
      </c>
      <c r="B318" t="str">
        <f ca="1">IFERROR(__xludf.DUMMYFUNCTION("""COMPUTED_VALUE"""),"M47C0")</f>
        <v>M47C0</v>
      </c>
    </row>
    <row r="319" spans="1:2" ht="12.5" x14ac:dyDescent="0.25">
      <c r="A319" t="str">
        <f ca="1">IFERROR(__xludf.DUMMYFUNCTION("""COMPUTED_VALUE"""),"Seafo (47.C.1)")</f>
        <v>Seafo (47.C.1)</v>
      </c>
      <c r="B319" t="str">
        <f ca="1">IFERROR(__xludf.DUMMYFUNCTION("""COMPUTED_VALUE"""),"M47C1")</f>
        <v>M47C1</v>
      </c>
    </row>
    <row r="320" spans="1:2" ht="12.5" x14ac:dyDescent="0.25">
      <c r="A320" t="str">
        <f ca="1">IFERROR(__xludf.DUMMYFUNCTION("""COMPUTED_VALUE"""),"Seafo (47.D.0)")</f>
        <v>Seafo (47.D.0)</v>
      </c>
      <c r="B320" t="str">
        <f ca="1">IFERROR(__xludf.DUMMYFUNCTION("""COMPUTED_VALUE"""),"M47D0")</f>
        <v>M47D0</v>
      </c>
    </row>
    <row r="321" spans="1:2" ht="12.5" x14ac:dyDescent="0.25">
      <c r="A321" t="str">
        <f ca="1">IFERROR(__xludf.DUMMYFUNCTION("""COMPUTED_VALUE"""),"Seafo (47.D.1)")</f>
        <v>Seafo (47.D.1)</v>
      </c>
      <c r="B321" t="str">
        <f ca="1">IFERROR(__xludf.DUMMYFUNCTION("""COMPUTED_VALUE"""),"M47D1")</f>
        <v>M47D1</v>
      </c>
    </row>
    <row r="322" spans="1:2" ht="12.5" x14ac:dyDescent="0.25">
      <c r="A322" t="str">
        <f ca="1">IFERROR(__xludf.DUMMYFUNCTION("""COMPUTED_VALUE"""),"Sherbro")</f>
        <v>Sherbro</v>
      </c>
      <c r="B322" t="str">
        <f ca="1">IFERROR(__xludf.DUMMYFUNCTION("""COMPUTED_VALUE"""),"M3433")</f>
        <v>M3433</v>
      </c>
    </row>
    <row r="323" spans="1:2" ht="12.5" x14ac:dyDescent="0.25">
      <c r="A323" t="str">
        <f ca="1">IFERROR(__xludf.DUMMYFUNCTION("""COMPUTED_VALUE"""),"Skagerrak And Kattegat")</f>
        <v>Skagerrak And Kattegat</v>
      </c>
      <c r="B323" t="str">
        <f ca="1">IFERROR(__xludf.DUMMYFUNCTION("""COMPUTED_VALUE"""),"M27IIIa")</f>
        <v>M27IIIa</v>
      </c>
    </row>
    <row r="324" spans="1:2" ht="12.5" x14ac:dyDescent="0.25">
      <c r="A324" t="str">
        <f ca="1">IFERROR(__xludf.DUMMYFUNCTION("""COMPUTED_VALUE"""),"Skagerrak, Kattegat, Sound, Belt S., And Baltic S.")</f>
        <v>Skagerrak, Kattegat, Sound, Belt S., And Baltic S.</v>
      </c>
      <c r="B324" t="str">
        <f ca="1">IFERROR(__xludf.DUMMYFUNCTION("""COMPUTED_VALUE"""),"M27III")</f>
        <v>M27III</v>
      </c>
    </row>
    <row r="325" spans="1:2" ht="12.5" x14ac:dyDescent="0.25">
      <c r="A325" t="str">
        <f ca="1">IFERROR(__xludf.DUMMYFUNCTION("""COMPUTED_VALUE"""),"Somalia, Kenya And Tanzania")</f>
        <v>Somalia, Kenya And Tanzania</v>
      </c>
      <c r="B325" t="str">
        <f ca="1">IFERROR(__xludf.DUMMYFUNCTION("""COMPUTED_VALUE"""),"M515")</f>
        <v>M515</v>
      </c>
    </row>
    <row r="326" spans="1:2" ht="12.5" x14ac:dyDescent="0.25">
      <c r="A326" t="str">
        <f ca="1">IFERROR(__xludf.DUMMYFUNCTION("""COMPUTED_VALUE"""),"Sound")</f>
        <v>Sound</v>
      </c>
      <c r="B326" t="str">
        <f ca="1">IFERROR(__xludf.DUMMYFUNCTION("""COMPUTED_VALUE"""),"M27III23")</f>
        <v>M27III23</v>
      </c>
    </row>
    <row r="327" spans="1:2" ht="12.5" x14ac:dyDescent="0.25">
      <c r="A327" t="str">
        <f ca="1">IFERROR(__xludf.DUMMYFUNCTION("""COMPUTED_VALUE"""),"Sound And Belt Sea Or The Transition Area")</f>
        <v>Sound And Belt Sea Or The Transition Area</v>
      </c>
      <c r="B327" t="str">
        <f ca="1">IFERROR(__xludf.DUMMYFUNCTION("""COMPUTED_VALUE"""),"M27IIIb c")</f>
        <v>M27IIIb c</v>
      </c>
    </row>
    <row r="328" spans="1:2" ht="12.5" x14ac:dyDescent="0.25">
      <c r="A328" t="str">
        <f ca="1">IFERROR(__xludf.DUMMYFUNCTION("""COMPUTED_VALUE"""),"South Georgia")</f>
        <v>South Georgia</v>
      </c>
      <c r="B328" t="str">
        <f ca="1">IFERROR(__xludf.DUMMYFUNCTION("""COMPUTED_VALUE"""),"M483")</f>
        <v>M483</v>
      </c>
    </row>
    <row r="329" spans="1:2" ht="12.5" x14ac:dyDescent="0.25">
      <c r="A329" t="str">
        <f ca="1">IFERROR(__xludf.DUMMYFUNCTION("""COMPUTED_VALUE"""),"South Orkney")</f>
        <v>South Orkney</v>
      </c>
      <c r="B329" t="str">
        <f ca="1">IFERROR(__xludf.DUMMYFUNCTION("""COMPUTED_VALUE"""),"M482")</f>
        <v>M482</v>
      </c>
    </row>
    <row r="330" spans="1:2" ht="12.5" x14ac:dyDescent="0.25">
      <c r="A330" t="str">
        <f ca="1">IFERROR(__xludf.DUMMYFUNCTION("""COMPUTED_VALUE"""),"South Sandwich")</f>
        <v>South Sandwich</v>
      </c>
      <c r="B330" t="str">
        <f ca="1">IFERROR(__xludf.DUMMYFUNCTION("""COMPUTED_VALUE"""),"M484")</f>
        <v>M484</v>
      </c>
    </row>
    <row r="331" spans="1:2" ht="12.5" x14ac:dyDescent="0.25">
      <c r="A331" t="str">
        <f ca="1">IFERROR(__xludf.DUMMYFUNCTION("""COMPUTED_VALUE"""),"Southeast Greenland")</f>
        <v>Southeast Greenland</v>
      </c>
      <c r="B331" t="str">
        <f ca="1">IFERROR(__xludf.DUMMYFUNCTION("""COMPUTED_VALUE"""),"M27XIVb")</f>
        <v>M27XIVb</v>
      </c>
    </row>
    <row r="332" spans="1:2" ht="12.5" x14ac:dyDescent="0.25">
      <c r="A332" t="str">
        <f ca="1">IFERROR(__xludf.DUMMYFUNCTION("""COMPUTED_VALUE"""),"Southeast Greenland - Neafc Regulatory Area")</f>
        <v>Southeast Greenland - Neafc Regulatory Area</v>
      </c>
      <c r="B332" t="str">
        <f ca="1">IFERROR(__xludf.DUMMYFUNCTION("""COMPUTED_VALUE"""),"M27XIVb1")</f>
        <v>M27XIVb1</v>
      </c>
    </row>
    <row r="333" spans="1:2" ht="12.5" x14ac:dyDescent="0.25">
      <c r="A333" t="str">
        <f ca="1">IFERROR(__xludf.DUMMYFUNCTION("""COMPUTED_VALUE"""),"Southeast Greenland Non-Neafc Regulatory Area")</f>
        <v>Southeast Greenland Non-Neafc Regulatory Area</v>
      </c>
      <c r="B333" t="str">
        <f ca="1">IFERROR(__xludf.DUMMYFUNCTION("""COMPUTED_VALUE"""),"M27XIVb2")</f>
        <v>M27XIVb2</v>
      </c>
    </row>
    <row r="334" spans="1:2" ht="12.5" x14ac:dyDescent="0.25">
      <c r="A334" t="str">
        <f ca="1">IFERROR(__xludf.DUMMYFUNCTION("""COMPUTED_VALUE"""),"Southeastern Subdivision")</f>
        <v>Southeastern Subdivision</v>
      </c>
      <c r="B334" t="str">
        <f ca="1">IFERROR(__xludf.DUMMYFUNCTION("""COMPUTED_VALUE"""),"M213Ps")</f>
        <v>M213Ps</v>
      </c>
    </row>
    <row r="335" spans="1:2" ht="12.5" x14ac:dyDescent="0.25">
      <c r="A335" t="str">
        <f ca="1">IFERROR(__xludf.DUMMYFUNCTION("""COMPUTED_VALUE"""),"Southern (Atlantic)")</f>
        <v>Southern (Atlantic)</v>
      </c>
      <c r="B335" t="str">
        <f ca="1">IFERROR(__xludf.DUMMYFUNCTION("""COMPUTED_VALUE"""),"M413")</f>
        <v>M413</v>
      </c>
    </row>
    <row r="336" spans="1:2" ht="12.5" x14ac:dyDescent="0.25">
      <c r="A336" t="str">
        <f ca="1">IFERROR(__xludf.DUMMYFUNCTION("""COMPUTED_VALUE"""),"Southern (Pacific)")</f>
        <v>Southern (Pacific)</v>
      </c>
      <c r="B336" t="str">
        <f ca="1">IFERROR(__xludf.DUMMYFUNCTION("""COMPUTED_VALUE"""),"M873")</f>
        <v>M873</v>
      </c>
    </row>
    <row r="337" spans="1:2" ht="12.5" x14ac:dyDescent="0.25">
      <c r="A337" t="str">
        <f ca="1">IFERROR(__xludf.DUMMYFUNCTION("""COMPUTED_VALUE"""),"Southern Australia")</f>
        <v>Southern Australia</v>
      </c>
      <c r="B337" t="str">
        <f ca="1">IFERROR(__xludf.DUMMYFUNCTION("""COMPUTED_VALUE"""),"M576")</f>
        <v>M576</v>
      </c>
    </row>
    <row r="338" spans="1:2" ht="12.5" x14ac:dyDescent="0.25">
      <c r="A338" t="str">
        <f ca="1">IFERROR(__xludf.DUMMYFUNCTION("""COMPUTED_VALUE"""),"Southern Central Baltic - East")</f>
        <v>Southern Central Baltic - East</v>
      </c>
      <c r="B338" t="str">
        <f ca="1">IFERROR(__xludf.DUMMYFUNCTION("""COMPUTED_VALUE"""),"M27IIId26")</f>
        <v>M27IIId26</v>
      </c>
    </row>
    <row r="339" spans="1:2" ht="12.5" x14ac:dyDescent="0.25">
      <c r="A339" t="str">
        <f ca="1">IFERROR(__xludf.DUMMYFUNCTION("""COMPUTED_VALUE"""),"Southern Central Baltic - West")</f>
        <v>Southern Central Baltic - West</v>
      </c>
      <c r="B339" t="str">
        <f ca="1">IFERROR(__xludf.DUMMYFUNCTION("""COMPUTED_VALUE"""),"M27IIId25")</f>
        <v>M27IIId25</v>
      </c>
    </row>
    <row r="340" spans="1:2" ht="12.5" x14ac:dyDescent="0.25">
      <c r="A340" t="str">
        <f ca="1">IFERROR(__xludf.DUMMYFUNCTION("""COMPUTED_VALUE"""),"Southern Coastal (Atlantic)")</f>
        <v>Southern Coastal (Atlantic)</v>
      </c>
      <c r="B340" t="str">
        <f ca="1">IFERROR(__xludf.DUMMYFUNCTION("""COMPUTED_VALUE"""),"M343")</f>
        <v>M343</v>
      </c>
    </row>
    <row r="341" spans="1:2" ht="12.5" x14ac:dyDescent="0.25">
      <c r="A341" t="str">
        <f ca="1">IFERROR(__xludf.DUMMYFUNCTION("""COMPUTED_VALUE"""),"Southern Coastal (Pacific)")</f>
        <v>Southern Coastal (Pacific)</v>
      </c>
      <c r="B341" t="str">
        <f ca="1">IFERROR(__xludf.DUMMYFUNCTION("""COMPUTED_VALUE"""),"M8731")</f>
        <v>M8731</v>
      </c>
    </row>
    <row r="342" spans="1:2" ht="12.5" x14ac:dyDescent="0.25">
      <c r="A342" t="str">
        <f ca="1">IFERROR(__xludf.DUMMYFUNCTION("""COMPUTED_VALUE"""),"Southern Gulf Of Guinea")</f>
        <v>Southern Gulf Of Guinea</v>
      </c>
      <c r="B342" t="str">
        <f ca="1">IFERROR(__xludf.DUMMYFUNCTION("""COMPUTED_VALUE"""),"M3436")</f>
        <v>M3436</v>
      </c>
    </row>
    <row r="343" spans="1:2" ht="12.5" x14ac:dyDescent="0.25">
      <c r="A343" t="str">
        <f ca="1">IFERROR(__xludf.DUMMYFUNCTION("""COMPUTED_VALUE"""),"Southern Intermediate")</f>
        <v>Southern Intermediate</v>
      </c>
      <c r="B343" t="str">
        <f ca="1">IFERROR(__xludf.DUMMYFUNCTION("""COMPUTED_VALUE"""),"M8732")</f>
        <v>M8732</v>
      </c>
    </row>
    <row r="344" spans="1:2" ht="12.5" x14ac:dyDescent="0.25">
      <c r="A344" t="str">
        <f ca="1">IFERROR(__xludf.DUMMYFUNCTION("""COMPUTED_VALUE"""),"Southern Mid-Atlantic Ridge")</f>
        <v>Southern Mid-Atlantic Ridge</v>
      </c>
      <c r="B344" t="str">
        <f ca="1">IFERROR(__xludf.DUMMYFUNCTION("""COMPUTED_VALUE"""),"M27XIIa")</f>
        <v>M27XIIa</v>
      </c>
    </row>
    <row r="345" spans="1:2" ht="12.5" x14ac:dyDescent="0.25">
      <c r="A345" t="str">
        <f ca="1">IFERROR(__xludf.DUMMYFUNCTION("""COMPUTED_VALUE"""),"Southern North Sea")</f>
        <v>Southern North Sea</v>
      </c>
      <c r="B345" t="str">
        <f ca="1">IFERROR(__xludf.DUMMYFUNCTION("""COMPUTED_VALUE"""),"M27IVc")</f>
        <v>M27IVc</v>
      </c>
    </row>
    <row r="346" spans="1:2" ht="12.5" x14ac:dyDescent="0.25">
      <c r="A346" t="str">
        <f ca="1">IFERROR(__xludf.DUMMYFUNCTION("""COMPUTED_VALUE"""),"Southern Oceanic")</f>
        <v>Southern Oceanic</v>
      </c>
      <c r="B346" t="str">
        <f ca="1">IFERROR(__xludf.DUMMYFUNCTION("""COMPUTED_VALUE"""),"M4133")</f>
        <v>M4133</v>
      </c>
    </row>
    <row r="347" spans="1:2" ht="12.5" x14ac:dyDescent="0.25">
      <c r="A347" t="str">
        <f ca="1">IFERROR(__xludf.DUMMYFUNCTION("""COMPUTED_VALUE"""),"Southern Oceanic (Atlantic)")</f>
        <v>Southern Oceanic (Atlantic)</v>
      </c>
      <c r="B347" t="str">
        <f ca="1">IFERROR(__xludf.DUMMYFUNCTION("""COMPUTED_VALUE"""),"M344")</f>
        <v>M344</v>
      </c>
    </row>
    <row r="348" spans="1:2" ht="12.5" x14ac:dyDescent="0.25">
      <c r="A348" t="str">
        <f ca="1">IFERROR(__xludf.DUMMYFUNCTION("""COMPUTED_VALUE"""),"Southern Oceanic (Pacific)")</f>
        <v>Southern Oceanic (Pacific)</v>
      </c>
      <c r="B348" t="str">
        <f ca="1">IFERROR(__xludf.DUMMYFUNCTION("""COMPUTED_VALUE"""),"M8733")</f>
        <v>M8733</v>
      </c>
    </row>
    <row r="349" spans="1:2" ht="12.5" x14ac:dyDescent="0.25">
      <c r="A349" t="str">
        <f ca="1">IFERROR(__xludf.DUMMYFUNCTION("""COMPUTED_VALUE"""),"Southern Patagonian")</f>
        <v>Southern Patagonian</v>
      </c>
      <c r="B349" t="str">
        <f ca="1">IFERROR(__xludf.DUMMYFUNCTION("""COMPUTED_VALUE"""),"M4132")</f>
        <v>M4132</v>
      </c>
    </row>
    <row r="350" spans="1:2" ht="12.5" x14ac:dyDescent="0.25">
      <c r="A350" t="str">
        <f ca="1">IFERROR(__xludf.DUMMYFUNCTION("""COMPUTED_VALUE"""),"Southern Subdivision")</f>
        <v>Southern Subdivision</v>
      </c>
      <c r="B350" t="str">
        <f ca="1">IFERROR(__xludf.DUMMYFUNCTION("""COMPUTED_VALUE"""),"M214Vs")</f>
        <v>M214Vs</v>
      </c>
    </row>
    <row r="351" spans="1:2" ht="12.5" x14ac:dyDescent="0.25">
      <c r="A351" t="str">
        <f ca="1">IFERROR(__xludf.DUMMYFUNCTION("""COMPUTED_VALUE"""),"Southwest Australia")</f>
        <v>Southwest Australia</v>
      </c>
      <c r="B351" t="str">
        <f ca="1">IFERROR(__xludf.DUMMYFUNCTION("""COMPUTED_VALUE"""),"M5751")</f>
        <v>M5751</v>
      </c>
    </row>
    <row r="352" spans="1:2" ht="12.5" x14ac:dyDescent="0.25">
      <c r="A352" t="str">
        <f ca="1">IFERROR(__xludf.DUMMYFUNCTION("""COMPUTED_VALUE"""),"Southwest Gulf Of Guinea")</f>
        <v>Southwest Gulf Of Guinea</v>
      </c>
      <c r="B352" t="str">
        <f ca="1">IFERROR(__xludf.DUMMYFUNCTION("""COMPUTED_VALUE"""),"M3441")</f>
        <v>M3441</v>
      </c>
    </row>
    <row r="353" spans="1:2" ht="12.5" x14ac:dyDescent="0.25">
      <c r="A353" t="str">
        <f ca="1">IFERROR(__xludf.DUMMYFUNCTION("""COMPUTED_VALUE"""),"Southwest Oceanic")</f>
        <v>Southwest Oceanic</v>
      </c>
      <c r="B353" t="str">
        <f ca="1">IFERROR(__xludf.DUMMYFUNCTION("""COMPUTED_VALUE"""),"M3442")</f>
        <v>M3442</v>
      </c>
    </row>
    <row r="354" spans="1:2" ht="12.5" x14ac:dyDescent="0.25">
      <c r="A354" t="str">
        <f ca="1">IFERROR(__xludf.DUMMYFUNCTION("""COMPUTED_VALUE"""),"Southwest Of Ireland - East")</f>
        <v>Southwest Of Ireland - East</v>
      </c>
      <c r="B354" t="str">
        <f ca="1">IFERROR(__xludf.DUMMYFUNCTION("""COMPUTED_VALUE"""),"M27VIIj")</f>
        <v>M27VIIj</v>
      </c>
    </row>
    <row r="355" spans="1:2" ht="12.5" x14ac:dyDescent="0.25">
      <c r="A355" t="str">
        <f ca="1">IFERROR(__xludf.DUMMYFUNCTION("""COMPUTED_VALUE"""),"Southwest Of Ireland - West")</f>
        <v>Southwest Of Ireland - West</v>
      </c>
      <c r="B355" t="str">
        <f ca="1">IFERROR(__xludf.DUMMYFUNCTION("""COMPUTED_VALUE"""),"M27VIIk")</f>
        <v>M27VIIk</v>
      </c>
    </row>
    <row r="356" spans="1:2" ht="12.5" x14ac:dyDescent="0.25">
      <c r="A356" t="str">
        <f ca="1">IFERROR(__xludf.DUMMYFUNCTION("""COMPUTED_VALUE"""),"Spitzbergen And Bear Island")</f>
        <v>Spitzbergen And Bear Island</v>
      </c>
      <c r="B356" t="str">
        <f ca="1">IFERROR(__xludf.DUMMYFUNCTION("""COMPUTED_VALUE"""),"M27IIb")</f>
        <v>M27IIb</v>
      </c>
    </row>
    <row r="357" spans="1:2" ht="12.5" x14ac:dyDescent="0.25">
      <c r="A357" t="str">
        <f ca="1">IFERROR(__xludf.DUMMYFUNCTION("""COMPUTED_VALUE"""),"Spitzbergen And Bear Island - Neafc Reg. Area (27.II.b.1)")</f>
        <v>Spitzbergen And Bear Island - Neafc Reg. Area (27.II.b.1)</v>
      </c>
      <c r="B357" t="str">
        <f ca="1">IFERROR(__xludf.DUMMYFUNCTION("""COMPUTED_VALUE"""),"M27IIb1")</f>
        <v>M27IIb1</v>
      </c>
    </row>
    <row r="358" spans="1:2" ht="12.5" x14ac:dyDescent="0.25">
      <c r="A358" t="str">
        <f ca="1">IFERROR(__xludf.DUMMYFUNCTION("""COMPUTED_VALUE"""),"Spitzbergen And Bear Island - Neafc Reg. Area (27.II.b.2)")</f>
        <v>Spitzbergen And Bear Island - Neafc Reg. Area (27.II.b.2)</v>
      </c>
      <c r="B358" t="str">
        <f ca="1">IFERROR(__xludf.DUMMYFUNCTION("""COMPUTED_VALUE"""),"M27IIb2")</f>
        <v>M27IIb2</v>
      </c>
    </row>
    <row r="359" spans="1:2" ht="12.5" x14ac:dyDescent="0.25">
      <c r="A359" t="str">
        <f ca="1">IFERROR(__xludf.DUMMYFUNCTION("""COMPUTED_VALUE"""),"Subdivision Xiia1 - Neafc Regulatory Area")</f>
        <v>Subdivision Xiia1 - Neafc Regulatory Area</v>
      </c>
      <c r="B359" t="str">
        <f ca="1">IFERROR(__xludf.DUMMYFUNCTION("""COMPUTED_VALUE"""),"M27XIIa1")</f>
        <v>M27XIIa1</v>
      </c>
    </row>
    <row r="360" spans="1:2" ht="12.5" x14ac:dyDescent="0.25">
      <c r="A360" t="str">
        <f ca="1">IFERROR(__xludf.DUMMYFUNCTION("""COMPUTED_VALUE"""),"Subdivision Xiia2 - Neafc Regulatory Area")</f>
        <v>Subdivision Xiia2 - Neafc Regulatory Area</v>
      </c>
      <c r="B360" t="str">
        <f ca="1">IFERROR(__xludf.DUMMYFUNCTION("""COMPUTED_VALUE"""),"M27XIIa2")</f>
        <v>M27XIIa2</v>
      </c>
    </row>
    <row r="361" spans="1:2" ht="12.5" x14ac:dyDescent="0.25">
      <c r="A361" t="str">
        <f ca="1">IFERROR(__xludf.DUMMYFUNCTION("""COMPUTED_VALUE"""),"Subdivision Xiia3 Non-Neafc Regulatory Area")</f>
        <v>Subdivision Xiia3 Non-Neafc Regulatory Area</v>
      </c>
      <c r="B361" t="str">
        <f ca="1">IFERROR(__xludf.DUMMYFUNCTION("""COMPUTED_VALUE"""),"M27XIIa3")</f>
        <v>M27XIIa3</v>
      </c>
    </row>
    <row r="362" spans="1:2" ht="12.5" x14ac:dyDescent="0.25">
      <c r="A362" t="str">
        <f ca="1">IFERROR(__xludf.DUMMYFUNCTION("""COMPUTED_VALUE"""),"Subdivision Xiia4 Non-Neafc Regulatory Area")</f>
        <v>Subdivision Xiia4 Non-Neafc Regulatory Area</v>
      </c>
      <c r="B362" t="str">
        <f ca="1">IFERROR(__xludf.DUMMYFUNCTION("""COMPUTED_VALUE"""),"M27XIIa4")</f>
        <v>M27XIIa4</v>
      </c>
    </row>
    <row r="363" spans="1:2" ht="12.5" x14ac:dyDescent="0.25">
      <c r="A363" t="str">
        <f ca="1">IFERROR(__xludf.DUMMYFUNCTION("""COMPUTED_VALUE"""),"Sw Of Ireland - East - Neafc Regulatory")</f>
        <v>Sw Of Ireland - East - Neafc Regulatory</v>
      </c>
      <c r="B363" t="str">
        <f ca="1">IFERROR(__xludf.DUMMYFUNCTION("""COMPUTED_VALUE"""),"M27VIIj1")</f>
        <v>M27VIIj1</v>
      </c>
    </row>
    <row r="364" spans="1:2" ht="12.5" x14ac:dyDescent="0.25">
      <c r="A364" t="str">
        <f ca="1">IFERROR(__xludf.DUMMYFUNCTION("""COMPUTED_VALUE"""),"Sw Of Ireland - East - Non-Neafc Regulatory")</f>
        <v>Sw Of Ireland - East - Non-Neafc Regulatory</v>
      </c>
      <c r="B364" t="str">
        <f ca="1">IFERROR(__xludf.DUMMYFUNCTION("""COMPUTED_VALUE"""),"M27VIIj2")</f>
        <v>M27VIIj2</v>
      </c>
    </row>
    <row r="365" spans="1:2" ht="12.5" x14ac:dyDescent="0.25">
      <c r="A365" t="str">
        <f ca="1">IFERROR(__xludf.DUMMYFUNCTION("""COMPUTED_VALUE"""),"Sw Of Ireland - West - Neafc Regulatory Area")</f>
        <v>Sw Of Ireland - West - Neafc Regulatory Area</v>
      </c>
      <c r="B365" t="str">
        <f ca="1">IFERROR(__xludf.DUMMYFUNCTION("""COMPUTED_VALUE"""),"M27VIIk1")</f>
        <v>M27VIIk1</v>
      </c>
    </row>
    <row r="366" spans="1:2" ht="12.5" x14ac:dyDescent="0.25">
      <c r="A366" t="str">
        <f ca="1">IFERROR(__xludf.DUMMYFUNCTION("""COMPUTED_VALUE"""),"Sw Of Ireland - West - Non-Neafc Regulatory Area")</f>
        <v>Sw Of Ireland - West - Non-Neafc Regulatory Area</v>
      </c>
      <c r="B366" t="str">
        <f ca="1">IFERROR(__xludf.DUMMYFUNCTION("""COMPUTED_VALUE"""),"M27VIIk2")</f>
        <v>M27VIIk2</v>
      </c>
    </row>
    <row r="367" spans="1:2" ht="12.5" x14ac:dyDescent="0.25">
      <c r="A367" t="str">
        <f ca="1">IFERROR(__xludf.DUMMYFUNCTION("""COMPUTED_VALUE"""),"United States Waters")</f>
        <v>United States Waters</v>
      </c>
      <c r="B367" t="str">
        <f ca="1">IFERROR(__xludf.DUMMYFUNCTION("""COMPUTED_VALUE"""),"M215Zu")</f>
        <v>M215Zu</v>
      </c>
    </row>
    <row r="368" spans="1:2" ht="12.5" x14ac:dyDescent="0.25">
      <c r="A368" t="str">
        <f ca="1">IFERROR(__xludf.DUMMYFUNCTION("""COMPUTED_VALUE"""),"Unknown Area")</f>
        <v>Unknown Area</v>
      </c>
      <c r="B368" t="str">
        <f ca="1">IFERROR(__xludf.DUMMYFUNCTION("""COMPUTED_VALUE"""),"M99")</f>
        <v>M99</v>
      </c>
    </row>
    <row r="369" spans="1:2" ht="12.5" x14ac:dyDescent="0.25">
      <c r="A369" t="str">
        <f ca="1">IFERROR(__xludf.DUMMYFUNCTION("""COMPUTED_VALUE"""),"Weddel Sea")</f>
        <v>Weddel Sea</v>
      </c>
      <c r="B369" t="str">
        <f ca="1">IFERROR(__xludf.DUMMYFUNCTION("""COMPUTED_VALUE"""),"M485")</f>
        <v>M485</v>
      </c>
    </row>
    <row r="370" spans="1:2" ht="12.5" x14ac:dyDescent="0.25">
      <c r="A370" t="str">
        <f ca="1">IFERROR(__xludf.DUMMYFUNCTION("""COMPUTED_VALUE"""),"West Of Bay Of Biscay")</f>
        <v>West Of Bay Of Biscay</v>
      </c>
      <c r="B370" t="str">
        <f ca="1">IFERROR(__xludf.DUMMYFUNCTION("""COMPUTED_VALUE"""),"M27VIIIe")</f>
        <v>M27VIIIe</v>
      </c>
    </row>
    <row r="371" spans="1:2" ht="12.5" x14ac:dyDescent="0.25">
      <c r="A371" t="str">
        <f ca="1">IFERROR(__xludf.DUMMYFUNCTION("""COMPUTED_VALUE"""),"West Of Bay Of Biscay - Neafc Reg. Area")</f>
        <v>West Of Bay Of Biscay - Neafc Reg. Area</v>
      </c>
      <c r="B371" t="str">
        <f ca="1">IFERROR(__xludf.DUMMYFUNCTION("""COMPUTED_VALUE"""),"M27VIIIe1")</f>
        <v>M27VIIIe1</v>
      </c>
    </row>
    <row r="372" spans="1:2" ht="12.5" x14ac:dyDescent="0.25">
      <c r="A372" t="str">
        <f ca="1">IFERROR(__xludf.DUMMYFUNCTION("""COMPUTED_VALUE"""),"West Of Bay Of Biscay - Non-Neafc Reg. Area")</f>
        <v>West Of Bay Of Biscay - Non-Neafc Reg. Area</v>
      </c>
      <c r="B372" t="str">
        <f ca="1">IFERROR(__xludf.DUMMYFUNCTION("""COMPUTED_VALUE"""),"M27VIIIe2")</f>
        <v>M27VIIIe2</v>
      </c>
    </row>
    <row r="373" spans="1:2" ht="12.5" x14ac:dyDescent="0.25">
      <c r="A373" t="str">
        <f ca="1">IFERROR(__xludf.DUMMYFUNCTION("""COMPUTED_VALUE"""),"West Of Gotland")</f>
        <v>West Of Gotland</v>
      </c>
      <c r="B373" t="str">
        <f ca="1">IFERROR(__xludf.DUMMYFUNCTION("""COMPUTED_VALUE"""),"M27IIId27")</f>
        <v>M27IIId27</v>
      </c>
    </row>
    <row r="374" spans="1:2" ht="12.5" x14ac:dyDescent="0.25">
      <c r="A374" t="str">
        <f ca="1">IFERROR(__xludf.DUMMYFUNCTION("""COMPUTED_VALUE"""),"West Of Ireland")</f>
        <v>West Of Ireland</v>
      </c>
      <c r="B374" t="str">
        <f ca="1">IFERROR(__xludf.DUMMYFUNCTION("""COMPUTED_VALUE"""),"M27VIIb")</f>
        <v>M27VIIb</v>
      </c>
    </row>
    <row r="375" spans="1:2" ht="12.5" x14ac:dyDescent="0.25">
      <c r="A375" t="str">
        <f ca="1">IFERROR(__xludf.DUMMYFUNCTION("""COMPUTED_VALUE"""),"Western Arabian Sea")</f>
        <v>Western Arabian Sea</v>
      </c>
      <c r="B375" t="str">
        <f ca="1">IFERROR(__xludf.DUMMYFUNCTION("""COMPUTED_VALUE"""),"M513")</f>
        <v>M513</v>
      </c>
    </row>
    <row r="376" spans="1:2" ht="12.5" x14ac:dyDescent="0.25">
      <c r="A376" t="str">
        <f ca="1">IFERROR(__xludf.DUMMYFUNCTION("""COMPUTED_VALUE"""),"Western Australia")</f>
        <v>Western Australia</v>
      </c>
      <c r="B376" t="str">
        <f ca="1">IFERROR(__xludf.DUMMYFUNCTION("""COMPUTED_VALUE"""),"M575")</f>
        <v>M575</v>
      </c>
    </row>
    <row r="377" spans="1:2" ht="12.5" x14ac:dyDescent="0.25">
      <c r="A377" t="str">
        <f ca="1">IFERROR(__xludf.DUMMYFUNCTION("""COMPUTED_VALUE"""),"Western English Channel")</f>
        <v>Western English Channel</v>
      </c>
      <c r="B377" t="str">
        <f ca="1">IFERROR(__xludf.DUMMYFUNCTION("""COMPUTED_VALUE"""),"M27VIIe")</f>
        <v>M27VIIe</v>
      </c>
    </row>
    <row r="378" spans="1:2" ht="12.5" x14ac:dyDescent="0.25">
      <c r="A378" t="str">
        <f ca="1">IFERROR(__xludf.DUMMYFUNCTION("""COMPUTED_VALUE"""),"Western Gulf Of Guinea")</f>
        <v>Western Gulf Of Guinea</v>
      </c>
      <c r="B378" t="str">
        <f ca="1">IFERROR(__xludf.DUMMYFUNCTION("""COMPUTED_VALUE"""),"M3434")</f>
        <v>M3434</v>
      </c>
    </row>
    <row r="379" spans="1:2" ht="12.5" x14ac:dyDescent="0.25">
      <c r="A379" t="str">
        <f ca="1">IFERROR(__xludf.DUMMYFUNCTION("""COMPUTED_VALUE"""),"Western Hatton Bank")</f>
        <v>Western Hatton Bank</v>
      </c>
      <c r="B379" t="str">
        <f ca="1">IFERROR(__xludf.DUMMYFUNCTION("""COMPUTED_VALUE"""),"M27XIIb")</f>
        <v>M27XIIb</v>
      </c>
    </row>
    <row r="380" spans="1:2" ht="12.5" x14ac:dyDescent="0.25">
      <c r="A380" t="str">
        <f ca="1">IFERROR(__xludf.DUMMYFUNCTION("""COMPUTED_VALUE"""),"Western Mediterranean")</f>
        <v>Western Mediterranean</v>
      </c>
      <c r="B380" t="str">
        <f ca="1">IFERROR(__xludf.DUMMYFUNCTION("""COMPUTED_VALUE"""),"M371")</f>
        <v>M371</v>
      </c>
    </row>
    <row r="381" spans="1:2" ht="12.5" x14ac:dyDescent="0.25">
      <c r="A381" t="str">
        <f ca="1">IFERROR(__xludf.DUMMYFUNCTION("""COMPUTED_VALUE"""),"Western Ross Sea")</f>
        <v>Western Ross Sea</v>
      </c>
      <c r="B381" t="str">
        <f ca="1">IFERROR(__xludf.DUMMYFUNCTION("""COMPUTED_VALUE"""),"M882")</f>
        <v>M882</v>
      </c>
    </row>
    <row r="382" spans="1:2" ht="12.5" x14ac:dyDescent="0.25">
      <c r="A382" t="str">
        <f ca="1">IFERROR(__xludf.DUMMYFUNCTION("""COMPUTED_VALUE"""),"Western Subdivision")</f>
        <v>Western Subdivision</v>
      </c>
      <c r="B382" t="str">
        <f ca="1">IFERROR(__xludf.DUMMYFUNCTION("""COMPUTED_VALUE"""),"M215Zw")</f>
        <v>M215Zw</v>
      </c>
    </row>
    <row r="383" spans="1:2" ht="12.5" x14ac:dyDescent="0.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x14ac:dyDescent="0.25"/>
  <cols>
    <col min="1" max="1" width="47.1796875" customWidth="1"/>
  </cols>
  <sheetData>
    <row r="1" spans="1:3" ht="15.75" customHeight="1" x14ac:dyDescent="0.3">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x14ac:dyDescent="0.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x14ac:dyDescent="0.25">
      <c r="A3" t="str">
        <f ca="1">IFERROR(__xludf.DUMMYFUNCTION("""COMPUTED_VALUE"""),"(Z)-erucifoline")</f>
        <v>(Z)-erucifoline</v>
      </c>
      <c r="B3" t="str">
        <f ca="1">IFERROR(__xludf.DUMMYFUNCTION("""COMPUTED_VALUE"""),"RF-00000259-TOX")</f>
        <v>RF-00000259-TOX</v>
      </c>
    </row>
    <row r="4" spans="1:3" ht="12.5" x14ac:dyDescent="0.25">
      <c r="A4" t="str">
        <f ca="1">IFERROR(__xludf.DUMMYFUNCTION("""COMPUTED_VALUE"""),"1-(2,4 dichlorophenyl)-2-Imidazol-1-yl-ethanol")</f>
        <v>1-(2,4 dichlorophenyl)-2-Imidazol-1-yl-ethanol</v>
      </c>
      <c r="B4" t="str">
        <f ca="1">IFERROR(__xludf.DUMMYFUNCTION("""COMPUTED_VALUE"""),"RF-00000007-PAR")</f>
        <v>RF-00000007-PAR</v>
      </c>
    </row>
    <row r="5" spans="1:3" ht="12.5" x14ac:dyDescent="0.25">
      <c r="A5" t="str">
        <f ca="1">IFERROR(__xludf.DUMMYFUNCTION("""COMPUTED_VALUE"""),"1-methylcyclopropene")</f>
        <v>1-methylcyclopropene</v>
      </c>
      <c r="B5" t="str">
        <f ca="1">IFERROR(__xludf.DUMMYFUNCTION("""COMPUTED_VALUE"""),"RF-0005-001-PPP")</f>
        <v>RF-0005-001-PPP</v>
      </c>
    </row>
    <row r="6" spans="1:3" ht="12.5" x14ac:dyDescent="0.25">
      <c r="A6" t="str">
        <f ca="1">IFERROR(__xludf.DUMMYFUNCTION("""COMPUTED_VALUE"""),"1-Naphthol")</f>
        <v>1-Naphthol</v>
      </c>
      <c r="B6" t="str">
        <f ca="1">IFERROR(__xludf.DUMMYFUNCTION("""COMPUTED_VALUE"""),"RF-00000067-ORG")</f>
        <v>RF-00000067-ORG</v>
      </c>
    </row>
    <row r="7" spans="1:3" ht="12.5" x14ac:dyDescent="0.25">
      <c r="A7" t="str">
        <f ca="1">IFERROR(__xludf.DUMMYFUNCTION("""COMPUTED_VALUE"""),"1-naphthylacetamide")</f>
        <v>1-naphthylacetamide</v>
      </c>
      <c r="B7" t="str">
        <f ca="1">IFERROR(__xludf.DUMMYFUNCTION("""COMPUTED_VALUE"""),"RF-0006-001-PPP")</f>
        <v>RF-0006-001-PPP</v>
      </c>
    </row>
    <row r="8" spans="1:3" ht="12.5" x14ac:dyDescent="0.25">
      <c r="A8" t="str">
        <f ca="1">IFERROR(__xludf.DUMMYFUNCTION("""COMPUTED_VALUE"""),"1-naphthylacetic acid")</f>
        <v>1-naphthylacetic acid</v>
      </c>
      <c r="B8" t="str">
        <f ca="1">IFERROR(__xludf.DUMMYFUNCTION("""COMPUTED_VALUE"""),"RF-0007-001-PPP")</f>
        <v>RF-0007-001-PPP</v>
      </c>
    </row>
    <row r="9" spans="1:3" ht="12.5" x14ac:dyDescent="0.25">
      <c r="A9" t="str">
        <f ca="1">IFERROR(__xludf.DUMMYFUNCTION("""COMPUTED_VALUE"""),"1,1-dichloro-2,2-bis(4-ethylphenyl)ethane")</f>
        <v>1,1-dichloro-2,2-bis(4-ethylphenyl)ethane</v>
      </c>
      <c r="B9" t="str">
        <f ca="1">IFERROR(__xludf.DUMMYFUNCTION("""COMPUTED_VALUE"""),"RF-0001-001-PPP")</f>
        <v>RF-0001-001-PPP</v>
      </c>
    </row>
    <row r="10" spans="1:3" ht="12.5" x14ac:dyDescent="0.25">
      <c r="A10" t="str">
        <f ca="1">IFERROR(__xludf.DUMMYFUNCTION("""COMPUTED_VALUE"""),"1,2-Dibromo-3-chloropropane")</f>
        <v>1,2-Dibromo-3-chloropropane</v>
      </c>
      <c r="B10" t="str">
        <f ca="1">IFERROR(__xludf.DUMMYFUNCTION("""COMPUTED_VALUE"""),"RF-1052-001-PPP")</f>
        <v>RF-1052-001-PPP</v>
      </c>
    </row>
    <row r="11" spans="1:3" ht="12.5" x14ac:dyDescent="0.25">
      <c r="A11" t="str">
        <f ca="1">IFERROR(__xludf.DUMMYFUNCTION("""COMPUTED_VALUE"""),"1,2-dibromoethane (ethylene dibromide)")</f>
        <v>1,2-dibromoethane (ethylene dibromide)</v>
      </c>
      <c r="B11" t="str">
        <f ca="1">IFERROR(__xludf.DUMMYFUNCTION("""COMPUTED_VALUE"""),"RF-0002-001-PPP")</f>
        <v>RF-0002-001-PPP</v>
      </c>
    </row>
    <row r="12" spans="1:3" ht="12.5" x14ac:dyDescent="0.25">
      <c r="A12" t="str">
        <f ca="1">IFERROR(__xludf.DUMMYFUNCTION("""COMPUTED_VALUE"""),"1,2-dichloroethane (ethylene dichloride)")</f>
        <v>1,2-dichloroethane (ethylene dichloride)</v>
      </c>
      <c r="B12" t="str">
        <f ca="1">IFERROR(__xludf.DUMMYFUNCTION("""COMPUTED_VALUE"""),"RF-0003-001-PPP")</f>
        <v>RF-0003-001-PPP</v>
      </c>
    </row>
    <row r="13" spans="1:3" ht="12.5" x14ac:dyDescent="0.25">
      <c r="A13" t="str">
        <f ca="1">IFERROR(__xludf.DUMMYFUNCTION("""COMPUTED_VALUE"""),"1,2,3,4,6,7,8-HeptaBDF")</f>
        <v>1,2,3,4,6,7,8-HeptaBDF</v>
      </c>
      <c r="B13" t="str">
        <f ca="1">IFERROR(__xludf.DUMMYFUNCTION("""COMPUTED_VALUE"""),"RF-00000420-ORG")</f>
        <v>RF-00000420-ORG</v>
      </c>
    </row>
    <row r="14" spans="1:3" ht="12.5" x14ac:dyDescent="0.25">
      <c r="A14" t="str">
        <f ca="1">IFERROR(__xludf.DUMMYFUNCTION("""COMPUTED_VALUE"""),"1,2,3,4,6,7,8-HpCDD")</f>
        <v>1,2,3,4,6,7,8-HpCDD</v>
      </c>
      <c r="B14" t="str">
        <f ca="1">IFERROR(__xludf.DUMMYFUNCTION("""COMPUTED_VALUE"""),"RF-00000341-ORG")</f>
        <v>RF-00000341-ORG</v>
      </c>
    </row>
    <row r="15" spans="1:3" ht="12.5" x14ac:dyDescent="0.25">
      <c r="A15" t="str">
        <f ca="1">IFERROR(__xludf.DUMMYFUNCTION("""COMPUTED_VALUE"""),"1,2,3,4,6,7,8-HpCDF")</f>
        <v>1,2,3,4,6,7,8-HpCDF</v>
      </c>
      <c r="B15" t="str">
        <f ca="1">IFERROR(__xludf.DUMMYFUNCTION("""COMPUTED_VALUE"""),"RF-00000330-ORG")</f>
        <v>RF-00000330-ORG</v>
      </c>
    </row>
    <row r="16" spans="1:3" ht="12.5" x14ac:dyDescent="0.25">
      <c r="A16" t="str">
        <f ca="1">IFERROR(__xludf.DUMMYFUNCTION("""COMPUTED_VALUE"""),"1,2,3,4,7,8-1,2,3,6,7,8-HexaBDD")</f>
        <v>1,2,3,4,7,8-1,2,3,6,7,8-HexaBDD</v>
      </c>
      <c r="B16" t="str">
        <f ca="1">IFERROR(__xludf.DUMMYFUNCTION("""COMPUTED_VALUE"""),"RF-00000422-ORG")</f>
        <v>RF-00000422-ORG</v>
      </c>
    </row>
    <row r="17" spans="1:2" ht="12.5" x14ac:dyDescent="0.25">
      <c r="A17" t="str">
        <f ca="1">IFERROR(__xludf.DUMMYFUNCTION("""COMPUTED_VALUE"""),"1,2,3,4,7,8-HexaBDF")</f>
        <v>1,2,3,4,7,8-HexaBDF</v>
      </c>
      <c r="B17" t="str">
        <f ca="1">IFERROR(__xludf.DUMMYFUNCTION("""COMPUTED_VALUE"""),"RF-00000421-ORG")</f>
        <v>RF-00000421-ORG</v>
      </c>
    </row>
    <row r="18" spans="1:2" ht="12.5" x14ac:dyDescent="0.25">
      <c r="A18" t="str">
        <f ca="1">IFERROR(__xludf.DUMMYFUNCTION("""COMPUTED_VALUE"""),"1,2,3,4,7,8-HxCDD")</f>
        <v>1,2,3,4,7,8-HxCDD</v>
      </c>
      <c r="B18" t="str">
        <f ca="1">IFERROR(__xludf.DUMMYFUNCTION("""COMPUTED_VALUE"""),"RF-00000347-ORG")</f>
        <v>RF-00000347-ORG</v>
      </c>
    </row>
    <row r="19" spans="1:2" ht="12.5" x14ac:dyDescent="0.25">
      <c r="A19" t="str">
        <f ca="1">IFERROR(__xludf.DUMMYFUNCTION("""COMPUTED_VALUE"""),"1,2,3,4,7,8-HxCDF")</f>
        <v>1,2,3,4,7,8-HxCDF</v>
      </c>
      <c r="B19" t="str">
        <f ca="1">IFERROR(__xludf.DUMMYFUNCTION("""COMPUTED_VALUE"""),"RF-00000332-ORG")</f>
        <v>RF-00000332-ORG</v>
      </c>
    </row>
    <row r="20" spans="1:2" ht="12.5" x14ac:dyDescent="0.25">
      <c r="A20" t="str">
        <f ca="1">IFERROR(__xludf.DUMMYFUNCTION("""COMPUTED_VALUE"""),"1,2,3,4,7,8,9-HpCDF")</f>
        <v>1,2,3,4,7,8,9-HpCDF</v>
      </c>
      <c r="B20" t="str">
        <f ca="1">IFERROR(__xludf.DUMMYFUNCTION("""COMPUTED_VALUE"""),"RF-00000331-ORG")</f>
        <v>RF-00000331-ORG</v>
      </c>
    </row>
    <row r="21" spans="1:2" ht="12.5" x14ac:dyDescent="0.25">
      <c r="A21" t="str">
        <f ca="1">IFERROR(__xludf.DUMMYFUNCTION("""COMPUTED_VALUE"""),"1,2,3,6,7,8-HxCDD")</f>
        <v>1,2,3,6,7,8-HxCDD</v>
      </c>
      <c r="B21" t="str">
        <f ca="1">IFERROR(__xludf.DUMMYFUNCTION("""COMPUTED_VALUE"""),"RF-00000342-ORG")</f>
        <v>RF-00000342-ORG</v>
      </c>
    </row>
    <row r="22" spans="1:2" ht="12.5" x14ac:dyDescent="0.25">
      <c r="A22" t="str">
        <f ca="1">IFERROR(__xludf.DUMMYFUNCTION("""COMPUTED_VALUE"""),"1,2,3,6,7,8-HxCDF")</f>
        <v>1,2,3,6,7,8-HxCDF</v>
      </c>
      <c r="B22" t="str">
        <f ca="1">IFERROR(__xludf.DUMMYFUNCTION("""COMPUTED_VALUE"""),"RF-00000333-ORG")</f>
        <v>RF-00000333-ORG</v>
      </c>
    </row>
    <row r="23" spans="1:2" ht="12.5" x14ac:dyDescent="0.25">
      <c r="A23" t="str">
        <f ca="1">IFERROR(__xludf.DUMMYFUNCTION("""COMPUTED_VALUE"""),"1,2,3,7,8-PeCDD")</f>
        <v>1,2,3,7,8-PeCDD</v>
      </c>
      <c r="B23" t="str">
        <f ca="1">IFERROR(__xludf.DUMMYFUNCTION("""COMPUTED_VALUE"""),"RF-00000344-ORG")</f>
        <v>RF-00000344-ORG</v>
      </c>
    </row>
    <row r="24" spans="1:2" ht="12.5" x14ac:dyDescent="0.25">
      <c r="A24" t="str">
        <f ca="1">IFERROR(__xludf.DUMMYFUNCTION("""COMPUTED_VALUE"""),"1,2,3,7,8-PeCDF")</f>
        <v>1,2,3,7,8-PeCDF</v>
      </c>
      <c r="B24" t="str">
        <f ca="1">IFERROR(__xludf.DUMMYFUNCTION("""COMPUTED_VALUE"""),"RF-00000335-ORG")</f>
        <v>RF-00000335-ORG</v>
      </c>
    </row>
    <row r="25" spans="1:2" ht="12.5" x14ac:dyDescent="0.25">
      <c r="A25" t="str">
        <f ca="1">IFERROR(__xludf.DUMMYFUNCTION("""COMPUTED_VALUE"""),"1,2,3,7,8-PentaBDD")</f>
        <v>1,2,3,7,8-PentaBDD</v>
      </c>
      <c r="B25" t="str">
        <f ca="1">IFERROR(__xludf.DUMMYFUNCTION("""COMPUTED_VALUE"""),"RF-00000423-ORG")</f>
        <v>RF-00000423-ORG</v>
      </c>
    </row>
    <row r="26" spans="1:2" ht="12.5" x14ac:dyDescent="0.25">
      <c r="A26" t="str">
        <f ca="1">IFERROR(__xludf.DUMMYFUNCTION("""COMPUTED_VALUE"""),"1,2,3,7,8-PentaBDF")</f>
        <v>1,2,3,7,8-PentaBDF</v>
      </c>
      <c r="B26" t="str">
        <f ca="1">IFERROR(__xludf.DUMMYFUNCTION("""COMPUTED_VALUE"""),"RF-00000424-ORG")</f>
        <v>RF-00000424-ORG</v>
      </c>
    </row>
    <row r="27" spans="1:2" ht="12.5" x14ac:dyDescent="0.25">
      <c r="A27" t="str">
        <f ca="1">IFERROR(__xludf.DUMMYFUNCTION("""COMPUTED_VALUE"""),"1,2,3,7,8,9-HexaBDD")</f>
        <v>1,2,3,7,8,9-HexaBDD</v>
      </c>
      <c r="B27" t="str">
        <f ca="1">IFERROR(__xludf.DUMMYFUNCTION("""COMPUTED_VALUE"""),"RF-00000425-ORG")</f>
        <v>RF-00000425-ORG</v>
      </c>
    </row>
    <row r="28" spans="1:2" ht="12.5" x14ac:dyDescent="0.25">
      <c r="A28" t="str">
        <f ca="1">IFERROR(__xludf.DUMMYFUNCTION("""COMPUTED_VALUE"""),"1,2,3,7,8,9-HxCDD")</f>
        <v>1,2,3,7,8,9-HxCDD</v>
      </c>
      <c r="B28" t="str">
        <f ca="1">IFERROR(__xludf.DUMMYFUNCTION("""COMPUTED_VALUE"""),"RF-00000343-ORG")</f>
        <v>RF-00000343-ORG</v>
      </c>
    </row>
    <row r="29" spans="1:2" ht="12.5" x14ac:dyDescent="0.25">
      <c r="A29" t="str">
        <f ca="1">IFERROR(__xludf.DUMMYFUNCTION("""COMPUTED_VALUE"""),"1,2,3,7,8,9-HxCDF")</f>
        <v>1,2,3,7,8,9-HxCDF</v>
      </c>
      <c r="B29" t="str">
        <f ca="1">IFERROR(__xludf.DUMMYFUNCTION("""COMPUTED_VALUE"""),"RF-00000334-ORG")</f>
        <v>RF-00000334-ORG</v>
      </c>
    </row>
    <row r="30" spans="1:2" ht="12.5" x14ac:dyDescent="0.25">
      <c r="A30" t="str">
        <f ca="1">IFERROR(__xludf.DUMMYFUNCTION("""COMPUTED_VALUE"""),"1,3-dichloropropene")</f>
        <v>1,3-dichloropropene</v>
      </c>
      <c r="B30" t="str">
        <f ca="1">IFERROR(__xludf.DUMMYFUNCTION("""COMPUTED_VALUE"""),"RF-0004-001-PPP")</f>
        <v>RF-0004-001-PPP</v>
      </c>
    </row>
    <row r="31" spans="1:2" ht="12.5" x14ac:dyDescent="0.25">
      <c r="A31" t="str">
        <f ca="1">IFERROR(__xludf.DUMMYFUNCTION("""COMPUTED_VALUE"""),"12-acetylheliosupine")</f>
        <v>12-acetylheliosupine</v>
      </c>
      <c r="B31" t="str">
        <f ca="1">IFERROR(__xludf.DUMMYFUNCTION("""COMPUTED_VALUE"""),"RF-00000260-TOX")</f>
        <v>RF-00000260-TOX</v>
      </c>
    </row>
    <row r="32" spans="1:2" ht="12.5" x14ac:dyDescent="0.25">
      <c r="A32" t="str">
        <f ca="1">IFERROR(__xludf.DUMMYFUNCTION("""COMPUTED_VALUE"""),"12-acetylindicine")</f>
        <v>12-acetylindicine</v>
      </c>
      <c r="B32" t="str">
        <f ca="1">IFERROR(__xludf.DUMMYFUNCTION("""COMPUTED_VALUE"""),"RF-00000261-TOX")</f>
        <v>RF-00000261-TOX</v>
      </c>
    </row>
    <row r="33" spans="1:2" ht="12.5" x14ac:dyDescent="0.25">
      <c r="A33" t="str">
        <f ca="1">IFERROR(__xludf.DUMMYFUNCTION("""COMPUTED_VALUE"""),"12-acetyllithosenine")</f>
        <v>12-acetyllithosenine</v>
      </c>
      <c r="B33" t="str">
        <f ca="1">IFERROR(__xludf.DUMMYFUNCTION("""COMPUTED_VALUE"""),"RF-00000262-TOX")</f>
        <v>RF-00000262-TOX</v>
      </c>
    </row>
    <row r="34" spans="1:2" ht="12.5" x14ac:dyDescent="0.25">
      <c r="A34" t="str">
        <f ca="1">IFERROR(__xludf.DUMMYFUNCTION("""COMPUTED_VALUE"""),"13-cis retinol")</f>
        <v>13-cis retinol</v>
      </c>
      <c r="B34" t="str">
        <f ca="1">IFERROR(__xludf.DUMMYFUNCTION("""COMPUTED_VALUE"""),"RF-00000002-NTR")</f>
        <v>RF-00000002-NTR</v>
      </c>
    </row>
    <row r="35" spans="1:2" ht="12.5" x14ac:dyDescent="0.25">
      <c r="A35" t="str">
        <f ca="1">IFERROR(__xludf.DUMMYFUNCTION("""COMPUTED_VALUE"""),"15-acetyldeoxynivalenol")</f>
        <v>15-acetyldeoxynivalenol</v>
      </c>
      <c r="B35" t="str">
        <f ca="1">IFERROR(__xludf.DUMMYFUNCTION("""COMPUTED_VALUE"""),"RF-00000169-TOX")</f>
        <v>RF-00000169-TOX</v>
      </c>
    </row>
    <row r="36" spans="1:2" ht="12.5" x14ac:dyDescent="0.25">
      <c r="A36" t="str">
        <f ca="1">IFERROR(__xludf.DUMMYFUNCTION("""COMPUTED_VALUE"""),"17-Alpha-Methyl-5-Beta-Androstan-3-Alpha-17-Beta-Diol")</f>
        <v>17-Alpha-Methyl-5-Beta-Androstan-3-Alpha-17-Beta-Diol</v>
      </c>
      <c r="B36" t="str">
        <f ca="1">IFERROR(__xludf.DUMMYFUNCTION("""COMPUTED_VALUE"""),"RF-00000376-VET")</f>
        <v>RF-00000376-VET</v>
      </c>
    </row>
    <row r="37" spans="1:2" ht="12.5" x14ac:dyDescent="0.25">
      <c r="A37" t="str">
        <f ca="1">IFERROR(__xludf.DUMMYFUNCTION("""COMPUTED_VALUE"""),"1a-homoYTX")</f>
        <v>1a-homoYTX</v>
      </c>
      <c r="B37" t="str">
        <f ca="1">IFERROR(__xludf.DUMMYFUNCTION("""COMPUTED_VALUE"""),"RF-00000120-TOX")</f>
        <v>RF-00000120-TOX</v>
      </c>
    </row>
    <row r="38" spans="1:2" ht="12.5" x14ac:dyDescent="0.25">
      <c r="A38" t="str">
        <f ca="1">IFERROR(__xludf.DUMMYFUNCTION("""COMPUTED_VALUE"""),"1st generation cephalosporins")</f>
        <v>1st generation cephalosporins</v>
      </c>
      <c r="B38" t="str">
        <f ca="1">IFERROR(__xludf.DUMMYFUNCTION("""COMPUTED_VALUE"""),"RF-00000807-VET")</f>
        <v>RF-00000807-VET</v>
      </c>
    </row>
    <row r="39" spans="1:2" ht="12.5" x14ac:dyDescent="0.25">
      <c r="A39" t="str">
        <f ca="1">IFERROR(__xludf.DUMMYFUNCTION("""COMPUTED_VALUE"""),"2-anilino-4-(2-hydroxypropyl)- 6-methylpyrimidin")</f>
        <v>2-anilino-4-(2-hydroxypropyl)- 6-methylpyrimidin</v>
      </c>
      <c r="B39" t="str">
        <f ca="1">IFERROR(__xludf.DUMMYFUNCTION("""COMPUTED_VALUE"""),"RF-0274-003-PPP")</f>
        <v>RF-0274-003-PPP</v>
      </c>
    </row>
    <row r="40" spans="1:2" ht="12.5" x14ac:dyDescent="0.25">
      <c r="A40" t="str">
        <f ca="1">IFERROR(__xludf.DUMMYFUNCTION("""COMPUTED_VALUE"""),"2-Chloorphenol")</f>
        <v>2-Chloorphenol</v>
      </c>
      <c r="B40" t="str">
        <f ca="1">IFERROR(__xludf.DUMMYFUNCTION("""COMPUTED_VALUE"""),"RF-00000020-ORG")</f>
        <v>RF-00000020-ORG</v>
      </c>
    </row>
    <row r="41" spans="1:2" ht="12.5" x14ac:dyDescent="0.25">
      <c r="A41" t="str">
        <f ca="1">IFERROR(__xludf.DUMMYFUNCTION("""COMPUTED_VALUE"""),"2-Hydroxyethylphosphonic acid")</f>
        <v>2-Hydroxyethylphosphonic acid</v>
      </c>
      <c r="B41" t="str">
        <f ca="1">IFERROR(__xludf.DUMMYFUNCTION("""COMPUTED_VALUE"""),"RF-1061-001-PPP")</f>
        <v>RF-1061-001-PPP</v>
      </c>
    </row>
    <row r="42" spans="1:2" ht="12.5" x14ac:dyDescent="0.25">
      <c r="A42" t="str">
        <f ca="1">IFERROR(__xludf.DUMMYFUNCTION("""COMPUTED_VALUE"""),"2-Mercaptoimidazole")</f>
        <v>2-Mercaptoimidazole</v>
      </c>
      <c r="B42" t="str">
        <f ca="1">IFERROR(__xludf.DUMMYFUNCTION("""COMPUTED_VALUE"""),"RF-00000298-VET")</f>
        <v>RF-00000298-VET</v>
      </c>
    </row>
    <row r="43" spans="1:2" ht="12.5" x14ac:dyDescent="0.25">
      <c r="A43" t="str">
        <f ca="1">IFERROR(__xludf.DUMMYFUNCTION("""COMPUTED_VALUE"""),"2-methyl naphthalene")</f>
        <v>2-methyl naphthalene</v>
      </c>
      <c r="B43" t="str">
        <f ca="1">IFERROR(__xludf.DUMMYFUNCTION("""COMPUTED_VALUE"""),"RF-00000068-ORG")</f>
        <v>RF-00000068-ORG</v>
      </c>
    </row>
    <row r="44" spans="1:2" ht="12.5" x14ac:dyDescent="0.25">
      <c r="A44" t="str">
        <f ca="1">IFERROR(__xludf.DUMMYFUNCTION("""COMPUTED_VALUE"""),"2-methyl,4,6-dinitrophenol")</f>
        <v>2-methyl,4,6-dinitrophenol</v>
      </c>
      <c r="B44" t="str">
        <f ca="1">IFERROR(__xludf.DUMMYFUNCTION("""COMPUTED_VALUE"""),"RF-00000021-ORG")</f>
        <v>RF-00000021-ORG</v>
      </c>
    </row>
    <row r="45" spans="1:2" ht="12.5" x14ac:dyDescent="0.25">
      <c r="A45" t="str">
        <f ca="1">IFERROR(__xludf.DUMMYFUNCTION("""COMPUTED_VALUE"""),"2-phenylphenol")</f>
        <v>2-phenylphenol</v>
      </c>
      <c r="B45" t="str">
        <f ca="1">IFERROR(__xludf.DUMMYFUNCTION("""COMPUTED_VALUE"""),"RF-0823-001-PPP")</f>
        <v>RF-0823-001-PPP</v>
      </c>
    </row>
    <row r="46" spans="1:2" ht="12.5" x14ac:dyDescent="0.25">
      <c r="A46" t="str">
        <f ca="1">IFERROR(__xludf.DUMMYFUNCTION("""COMPUTED_VALUE"""),"2-Propylphenol")</f>
        <v>2-Propylphenol</v>
      </c>
      <c r="B46" t="str">
        <f ca="1">IFERROR(__xludf.DUMMYFUNCTION("""COMPUTED_VALUE"""),"RF-00000022-ORG")</f>
        <v>RF-00000022-ORG</v>
      </c>
    </row>
    <row r="47" spans="1:2" ht="12.5" x14ac:dyDescent="0.25">
      <c r="A47" t="str">
        <f ca="1">IFERROR(__xludf.DUMMYFUNCTION("""COMPUTED_VALUE"""),"2,2,2-Trichloro-1-(3,4-dichlorophenyl)ethyl acetate")</f>
        <v>2,2,2-Trichloro-1-(3,4-dichlorophenyl)ethyl acetate</v>
      </c>
      <c r="B47" t="str">
        <f ca="1">IFERROR(__xludf.DUMMYFUNCTION("""COMPUTED_VALUE"""),"RF-0990-001-PPP")</f>
        <v>RF-0990-001-PPP</v>
      </c>
    </row>
    <row r="48" spans="1:2" ht="12.5" x14ac:dyDescent="0.25">
      <c r="A48" t="str">
        <f ca="1">IFERROR(__xludf.DUMMYFUNCTION("""COMPUTED_VALUE"""),"2,3,4-Trichloorphenol")</f>
        <v>2,3,4-Trichloorphenol</v>
      </c>
      <c r="B48" t="str">
        <f ca="1">IFERROR(__xludf.DUMMYFUNCTION("""COMPUTED_VALUE"""),"RF-00000013-ORG")</f>
        <v>RF-00000013-ORG</v>
      </c>
    </row>
    <row r="49" spans="1:2" ht="12.5" x14ac:dyDescent="0.25">
      <c r="A49" t="str">
        <f ca="1">IFERROR(__xludf.DUMMYFUNCTION("""COMPUTED_VALUE"""),"2,3,4,5-Tetrachloorphenol")</f>
        <v>2,3,4,5-Tetrachloorphenol</v>
      </c>
      <c r="B49" t="str">
        <f ca="1">IFERROR(__xludf.DUMMYFUNCTION("""COMPUTED_VALUE"""),"RF-00000011-ORG")</f>
        <v>RF-00000011-ORG</v>
      </c>
    </row>
    <row r="50" spans="1:2" ht="12.5" x14ac:dyDescent="0.25">
      <c r="A50" t="str">
        <f ca="1">IFERROR(__xludf.DUMMYFUNCTION("""COMPUTED_VALUE"""),"2,3,4,6-Tetrachloorphenol")</f>
        <v>2,3,4,6-Tetrachloorphenol</v>
      </c>
      <c r="B50" t="str">
        <f ca="1">IFERROR(__xludf.DUMMYFUNCTION("""COMPUTED_VALUE"""),"RF-00000012-ORG")</f>
        <v>RF-00000012-ORG</v>
      </c>
    </row>
    <row r="51" spans="1:2" ht="12.5" x14ac:dyDescent="0.25">
      <c r="A51" t="str">
        <f ca="1">IFERROR(__xludf.DUMMYFUNCTION("""COMPUTED_VALUE"""),"2,3,4,6,7,8-HxCDF")</f>
        <v>2,3,4,6,7,8-HxCDF</v>
      </c>
      <c r="B51" t="str">
        <f ca="1">IFERROR(__xludf.DUMMYFUNCTION("""COMPUTED_VALUE"""),"RF-00000336-ORG")</f>
        <v>RF-00000336-ORG</v>
      </c>
    </row>
    <row r="52" spans="1:2" ht="12.5" x14ac:dyDescent="0.25">
      <c r="A52" t="str">
        <f ca="1">IFERROR(__xludf.DUMMYFUNCTION("""COMPUTED_VALUE"""),"2,3,4,7,8-PeCDF")</f>
        <v>2,3,4,7,8-PeCDF</v>
      </c>
      <c r="B52" t="str">
        <f ca="1">IFERROR(__xludf.DUMMYFUNCTION("""COMPUTED_VALUE"""),"RF-00000337-ORG")</f>
        <v>RF-00000337-ORG</v>
      </c>
    </row>
    <row r="53" spans="1:2" ht="12.5" x14ac:dyDescent="0.25">
      <c r="A53" t="str">
        <f ca="1">IFERROR(__xludf.DUMMYFUNCTION("""COMPUTED_VALUE"""),"2,3,4,7,8-PentaBDF")</f>
        <v>2,3,4,7,8-PentaBDF</v>
      </c>
      <c r="B53" t="str">
        <f ca="1">IFERROR(__xludf.DUMMYFUNCTION("""COMPUTED_VALUE"""),"RF-00000426-ORG")</f>
        <v>RF-00000426-ORG</v>
      </c>
    </row>
    <row r="54" spans="1:2" ht="12.5" x14ac:dyDescent="0.25">
      <c r="A54" t="str">
        <f ca="1">IFERROR(__xludf.DUMMYFUNCTION("""COMPUTED_VALUE"""),"2,3,5-Trichloorphenol")</f>
        <v>2,3,5-Trichloorphenol</v>
      </c>
      <c r="B54" t="str">
        <f ca="1">IFERROR(__xludf.DUMMYFUNCTION("""COMPUTED_VALUE"""),"RF-00000015-ORG")</f>
        <v>RF-00000015-ORG</v>
      </c>
    </row>
    <row r="55" spans="1:2" ht="12.5" x14ac:dyDescent="0.25">
      <c r="A55" t="str">
        <f ca="1">IFERROR(__xludf.DUMMYFUNCTION("""COMPUTED_VALUE"""),"2,3,5-Trimethacarb")</f>
        <v>2,3,5-Trimethacarb</v>
      </c>
      <c r="B55" t="str">
        <f ca="1">IFERROR(__xludf.DUMMYFUNCTION("""COMPUTED_VALUE"""),"RF-0962-002-PPP")</f>
        <v>RF-0962-002-PPP</v>
      </c>
    </row>
    <row r="56" spans="1:2" ht="12.5" x14ac:dyDescent="0.25">
      <c r="A56" t="str">
        <f ca="1">IFERROR(__xludf.DUMMYFUNCTION("""COMPUTED_VALUE"""),"2,3,5,6-Tetrachloorphenol")</f>
        <v>2,3,5,6-Tetrachloorphenol</v>
      </c>
      <c r="B56" t="str">
        <f ca="1">IFERROR(__xludf.DUMMYFUNCTION("""COMPUTED_VALUE"""),"RF-00000014-ORG")</f>
        <v>RF-00000014-ORG</v>
      </c>
    </row>
    <row r="57" spans="1:2" ht="12.5" x14ac:dyDescent="0.25">
      <c r="A57" t="str">
        <f ca="1">IFERROR(__xludf.DUMMYFUNCTION("""COMPUTED_VALUE"""),"2,3,6-Trichloorphenol")</f>
        <v>2,3,6-Trichloorphenol</v>
      </c>
      <c r="B57" t="str">
        <f ca="1">IFERROR(__xludf.DUMMYFUNCTION("""COMPUTED_VALUE"""),"RF-00000016-ORG")</f>
        <v>RF-00000016-ORG</v>
      </c>
    </row>
    <row r="58" spans="1:2" ht="12.5" x14ac:dyDescent="0.25">
      <c r="A58" t="str">
        <f ca="1">IFERROR(__xludf.DUMMYFUNCTION("""COMPUTED_VALUE"""),"2,3,7-TriBDD")</f>
        <v>2,3,7-TriBDD</v>
      </c>
      <c r="B58" t="str">
        <f ca="1">IFERROR(__xludf.DUMMYFUNCTION("""COMPUTED_VALUE"""),"RF-00000427-ORG")</f>
        <v>RF-00000427-ORG</v>
      </c>
    </row>
    <row r="59" spans="1:2" ht="12.5" x14ac:dyDescent="0.25">
      <c r="A59" t="str">
        <f ca="1">IFERROR(__xludf.DUMMYFUNCTION("""COMPUTED_VALUE"""),"2,3,7,8-TCDD")</f>
        <v>2,3,7,8-TCDD</v>
      </c>
      <c r="B59" t="str">
        <f ca="1">IFERROR(__xludf.DUMMYFUNCTION("""COMPUTED_VALUE"""),"RF-00000345-ORG")</f>
        <v>RF-00000345-ORG</v>
      </c>
    </row>
    <row r="60" spans="1:2" ht="12.5" x14ac:dyDescent="0.25">
      <c r="A60" t="str">
        <f ca="1">IFERROR(__xludf.DUMMYFUNCTION("""COMPUTED_VALUE"""),"2,3,7,8-TCDF")</f>
        <v>2,3,7,8-TCDF</v>
      </c>
      <c r="B60" t="str">
        <f ca="1">IFERROR(__xludf.DUMMYFUNCTION("""COMPUTED_VALUE"""),"RF-00000338-ORG")</f>
        <v>RF-00000338-ORG</v>
      </c>
    </row>
    <row r="61" spans="1:2" ht="12.5" x14ac:dyDescent="0.25">
      <c r="A61" t="str">
        <f ca="1">IFERROR(__xludf.DUMMYFUNCTION("""COMPUTED_VALUE"""),"2,3,7,8-TetraBDD")</f>
        <v>2,3,7,8-TetraBDD</v>
      </c>
      <c r="B61" t="str">
        <f ca="1">IFERROR(__xludf.DUMMYFUNCTION("""COMPUTED_VALUE"""),"RF-00000428-ORG")</f>
        <v>RF-00000428-ORG</v>
      </c>
    </row>
    <row r="62" spans="1:2" ht="12.5" x14ac:dyDescent="0.25">
      <c r="A62" t="str">
        <f ca="1">IFERROR(__xludf.DUMMYFUNCTION("""COMPUTED_VALUE"""),"2,3,7,8-TetraBDF")</f>
        <v>2,3,7,8-TetraBDF</v>
      </c>
      <c r="B62" t="str">
        <f ca="1">IFERROR(__xludf.DUMMYFUNCTION("""COMPUTED_VALUE"""),"RF-00000429-ORG")</f>
        <v>RF-00000429-ORG</v>
      </c>
    </row>
    <row r="63" spans="1:2" ht="12.5" x14ac:dyDescent="0.25">
      <c r="A63" t="str">
        <f ca="1">IFERROR(__xludf.DUMMYFUNCTION("""COMPUTED_VALUE"""),"2,3,8-TriBDF")</f>
        <v>2,3,8-TriBDF</v>
      </c>
      <c r="B63" t="str">
        <f ca="1">IFERROR(__xludf.DUMMYFUNCTION("""COMPUTED_VALUE"""),"RF-00000430-ORG")</f>
        <v>RF-00000430-ORG</v>
      </c>
    </row>
    <row r="64" spans="1:2" ht="12.5" x14ac:dyDescent="0.25">
      <c r="A64" t="str">
        <f ca="1">IFERROR(__xludf.DUMMYFUNCTION("""COMPUTED_VALUE"""),"2,4-D")</f>
        <v>2,4-D</v>
      </c>
      <c r="B64" t="str">
        <f ca="1">IFERROR(__xludf.DUMMYFUNCTION("""COMPUTED_VALUE"""),"RF-0010-003-PPP")</f>
        <v>RF-0010-003-PPP</v>
      </c>
    </row>
    <row r="65" spans="1:2" ht="12.5" x14ac:dyDescent="0.25">
      <c r="A65" t="str">
        <f ca="1">IFERROR(__xludf.DUMMYFUNCTION("""COMPUTED_VALUE"""),"2,4-D (sum of 2,4-D and its esters expressed as 2,4-D)")</f>
        <v>2,4-D (sum of 2,4-D and its esters expressed as 2,4-D)</v>
      </c>
      <c r="B65" t="str">
        <f ca="1">IFERROR(__xludf.DUMMYFUNCTION("""COMPUTED_VALUE"""),"RF-0010-001-PPP")</f>
        <v>RF-0010-001-PPP</v>
      </c>
    </row>
    <row r="66" spans="1:2" ht="12.5" x14ac:dyDescent="0.25">
      <c r="A66" t="str">
        <f ca="1">IFERROR(__xludf.DUMMYFUNCTION("""COMPUTED_VALUE"""),"2,4-D-Methylester")</f>
        <v>2,4-D-Methylester</v>
      </c>
      <c r="B66" t="str">
        <f ca="1">IFERROR(__xludf.DUMMYFUNCTION("""COMPUTED_VALUE"""),"RF-0010-002-PPP")</f>
        <v>RF-0010-002-PPP</v>
      </c>
    </row>
    <row r="67" spans="1:2" ht="12.5" x14ac:dyDescent="0.25">
      <c r="A67" t="str">
        <f ca="1">IFERROR(__xludf.DUMMYFUNCTION("""COMPUTED_VALUE"""),"2,4-DB")</f>
        <v>2,4-DB</v>
      </c>
      <c r="B67" t="str">
        <f ca="1">IFERROR(__xludf.DUMMYFUNCTION("""COMPUTED_VALUE"""),"RF-0008-001-PPP")</f>
        <v>RF-0008-001-PPP</v>
      </c>
    </row>
    <row r="68" spans="1:2" ht="12.5" x14ac:dyDescent="0.25">
      <c r="A68" t="str">
        <f ca="1">IFERROR(__xludf.DUMMYFUNCTION("""COMPUTED_VALUE"""),"2,4-Dichloorphenol")</f>
        <v>2,4-Dichloorphenol</v>
      </c>
      <c r="B68" t="str">
        <f ca="1">IFERROR(__xludf.DUMMYFUNCTION("""COMPUTED_VALUE"""),"RF-00000019-ORG")</f>
        <v>RF-00000019-ORG</v>
      </c>
    </row>
    <row r="69" spans="1:2" ht="12.5" x14ac:dyDescent="0.25">
      <c r="A69" t="str">
        <f ca="1">IFERROR(__xludf.DUMMYFUNCTION("""COMPUTED_VALUE"""),"2,4-Dimethylanilin")</f>
        <v>2,4-Dimethylanilin</v>
      </c>
      <c r="B69" t="str">
        <f ca="1">IFERROR(__xludf.DUMMYFUNCTION("""COMPUTED_VALUE"""),"RF-0992-001-PPP")</f>
        <v>RF-0992-001-PPP</v>
      </c>
    </row>
    <row r="70" spans="1:2" ht="12.5" x14ac:dyDescent="0.25">
      <c r="A70" t="str">
        <f ca="1">IFERROR(__xludf.DUMMYFUNCTION("""COMPUTED_VALUE"""),"2,4,5-T")</f>
        <v>2,4,5-T</v>
      </c>
      <c r="B70" t="str">
        <f ca="1">IFERROR(__xludf.DUMMYFUNCTION("""COMPUTED_VALUE"""),"RF-0009-001-PPP")</f>
        <v>RF-0009-001-PPP</v>
      </c>
    </row>
    <row r="71" spans="1:2" ht="12.5" x14ac:dyDescent="0.25">
      <c r="A71" t="str">
        <f ca="1">IFERROR(__xludf.DUMMYFUNCTION("""COMPUTED_VALUE"""),"2,4,5-T-Methylester")</f>
        <v>2,4,5-T-Methylester</v>
      </c>
      <c r="B71" t="str">
        <f ca="1">IFERROR(__xludf.DUMMYFUNCTION("""COMPUTED_VALUE"""),"RF-0457-001-PPP")</f>
        <v>RF-0457-001-PPP</v>
      </c>
    </row>
    <row r="72" spans="1:2" ht="12.5" x14ac:dyDescent="0.25">
      <c r="A72" t="str">
        <f ca="1">IFERROR(__xludf.DUMMYFUNCTION("""COMPUTED_VALUE"""),"2,4,5-TP")</f>
        <v>2,4,5-TP</v>
      </c>
      <c r="B72" t="str">
        <f ca="1">IFERROR(__xludf.DUMMYFUNCTION("""COMPUTED_VALUE"""),"RF-0458-001-PPP")</f>
        <v>RF-0458-001-PPP</v>
      </c>
    </row>
    <row r="73" spans="1:2" ht="12.5" x14ac:dyDescent="0.25">
      <c r="A73" t="str">
        <f ca="1">IFERROR(__xludf.DUMMYFUNCTION("""COMPUTED_VALUE"""),"2,4,5-Trichloorphenol")</f>
        <v>2,4,5-Trichloorphenol</v>
      </c>
      <c r="B73" t="str">
        <f ca="1">IFERROR(__xludf.DUMMYFUNCTION("""COMPUTED_VALUE"""),"RF-00000017-ORG")</f>
        <v>RF-00000017-ORG</v>
      </c>
    </row>
    <row r="74" spans="1:2" ht="12.5" x14ac:dyDescent="0.25">
      <c r="A74" t="str">
        <f ca="1">IFERROR(__xludf.DUMMYFUNCTION("""COMPUTED_VALUE"""),"2,4,6-Trichloorphenol")</f>
        <v>2,4,6-Trichloorphenol</v>
      </c>
      <c r="B74" t="str">
        <f ca="1">IFERROR(__xludf.DUMMYFUNCTION("""COMPUTED_VALUE"""),"RF-00000018-ORG")</f>
        <v>RF-00000018-ORG</v>
      </c>
    </row>
    <row r="75" spans="1:2" ht="12.5" x14ac:dyDescent="0.25">
      <c r="A75" t="str">
        <f ca="1">IFERROR(__xludf.DUMMYFUNCTION("""COMPUTED_VALUE"""),"21-22-dehydro-22-desmethyl-8-methylazaspiracid")</f>
        <v>21-22-dehydro-22-desmethyl-8-methylazaspiracid</v>
      </c>
      <c r="B75" t="str">
        <f ca="1">IFERROR(__xludf.DUMMYFUNCTION("""COMPUTED_VALUE"""),"RF-00000038-TOX")</f>
        <v>RF-00000038-TOX</v>
      </c>
    </row>
    <row r="76" spans="1:2" ht="12.5" x14ac:dyDescent="0.25">
      <c r="A76" t="str">
        <f ca="1">IFERROR(__xludf.DUMMYFUNCTION("""COMPUTED_VALUE"""),"21-22-dehydro-22-desmethylazaspiracid")</f>
        <v>21-22-dehydro-22-desmethylazaspiracid</v>
      </c>
      <c r="B76" t="str">
        <f ca="1">IFERROR(__xludf.DUMMYFUNCTION("""COMPUTED_VALUE"""),"RF-00000035-TOX")</f>
        <v>RF-00000035-TOX</v>
      </c>
    </row>
    <row r="77" spans="1:2" ht="12.5" x14ac:dyDescent="0.25">
      <c r="A77" t="str">
        <f ca="1">IFERROR(__xludf.DUMMYFUNCTION("""COMPUTED_VALUE"""),"21-22-dehydro-8-methylazaspiracid")</f>
        <v>21-22-dehydro-8-methylazaspiracid</v>
      </c>
      <c r="B77" t="str">
        <f ca="1">IFERROR(__xludf.DUMMYFUNCTION("""COMPUTED_VALUE"""),"RF-00000037-TOX")</f>
        <v>RF-00000037-TOX</v>
      </c>
    </row>
    <row r="78" spans="1:2" ht="12.5" x14ac:dyDescent="0.25">
      <c r="A78" t="str">
        <f ca="1">IFERROR(__xludf.DUMMYFUNCTION("""COMPUTED_VALUE"""),"21-22-dehydroazaspiracid")</f>
        <v>21-22-dehydroazaspiracid</v>
      </c>
      <c r="B78" t="str">
        <f ca="1">IFERROR(__xludf.DUMMYFUNCTION("""COMPUTED_VALUE"""),"RF-00000036-TOX")</f>
        <v>RF-00000036-TOX</v>
      </c>
    </row>
    <row r="79" spans="1:2" ht="12.5" x14ac:dyDescent="0.25">
      <c r="A79" t="str">
        <f ca="1">IFERROR(__xludf.DUMMYFUNCTION("""COMPUTED_VALUE"""),"21-hydroxyintergerrimine")</f>
        <v>21-hydroxyintergerrimine</v>
      </c>
      <c r="B79" t="str">
        <f ca="1">IFERROR(__xludf.DUMMYFUNCTION("""COMPUTED_VALUE"""),"RF-00000263-TOX")</f>
        <v>RF-00000263-TOX</v>
      </c>
    </row>
    <row r="80" spans="1:2" ht="12.5" x14ac:dyDescent="0.25">
      <c r="A80" t="str">
        <f ca="1">IFERROR(__xludf.DUMMYFUNCTION("""COMPUTED_VALUE"""),"22-desmethyl-23-hydroxy-8-methylazaspiracid")</f>
        <v>22-desmethyl-23-hydroxy-8-methylazaspiracid</v>
      </c>
      <c r="B80" t="str">
        <f ca="1">IFERROR(__xludf.DUMMYFUNCTION("""COMPUTED_VALUE"""),"RF-00000020-TOX")</f>
        <v>RF-00000020-TOX</v>
      </c>
    </row>
    <row r="81" spans="1:2" ht="12.5" x14ac:dyDescent="0.25">
      <c r="A81" t="str">
        <f ca="1">IFERROR(__xludf.DUMMYFUNCTION("""COMPUTED_VALUE"""),"22-desmethyl-23-hydroxyazaspiracid")</f>
        <v>22-desmethyl-23-hydroxyazaspiracid</v>
      </c>
      <c r="B81" t="str">
        <f ca="1">IFERROR(__xludf.DUMMYFUNCTION("""COMPUTED_VALUE"""),"RF-00000015-TOX")</f>
        <v>RF-00000015-TOX</v>
      </c>
    </row>
    <row r="82" spans="1:2" ht="12.5" x14ac:dyDescent="0.25">
      <c r="A82" t="str">
        <f ca="1">IFERROR(__xludf.DUMMYFUNCTION("""COMPUTED_VALUE"""),"22-desmethyl-3-hydroxy-8-methylazaspiracid")</f>
        <v>22-desmethyl-3-hydroxy-8-methylazaspiracid</v>
      </c>
      <c r="B82" t="str">
        <f ca="1">IFERROR(__xludf.DUMMYFUNCTION("""COMPUTED_VALUE"""),"RF-00000019-TOX")</f>
        <v>RF-00000019-TOX</v>
      </c>
    </row>
    <row r="83" spans="1:2" ht="12.5" x14ac:dyDescent="0.25">
      <c r="A83" t="str">
        <f ca="1">IFERROR(__xludf.DUMMYFUNCTION("""COMPUTED_VALUE"""),"22-desmethyl-3-hydroxyazaspiracid")</f>
        <v>22-desmethyl-3-hydroxyazaspiracid</v>
      </c>
      <c r="B83" t="str">
        <f ca="1">IFERROR(__xludf.DUMMYFUNCTION("""COMPUTED_VALUE"""),"RF-00000014-TOX")</f>
        <v>RF-00000014-TOX</v>
      </c>
    </row>
    <row r="84" spans="1:2" ht="12.5" x14ac:dyDescent="0.25">
      <c r="A84" t="str">
        <f ca="1">IFERROR(__xludf.DUMMYFUNCTION("""COMPUTED_VALUE"""),"22-desmethyl-3,23-dihydroxy-8-methylazaspiracid")</f>
        <v>22-desmethyl-3,23-dihydroxy-8-methylazaspiracid</v>
      </c>
      <c r="B84" t="str">
        <f ca="1">IFERROR(__xludf.DUMMYFUNCTION("""COMPUTED_VALUE"""),"RF-00000026-TOX")</f>
        <v>RF-00000026-TOX</v>
      </c>
    </row>
    <row r="85" spans="1:2" ht="12.5" x14ac:dyDescent="0.25">
      <c r="A85" t="str">
        <f ca="1">IFERROR(__xludf.DUMMYFUNCTION("""COMPUTED_VALUE"""),"22-desmethyl-3,23-dihydroxyazaspiracid")</f>
        <v>22-desmethyl-3,23-dihydroxyazaspiracid</v>
      </c>
      <c r="B85" t="str">
        <f ca="1">IFERROR(__xludf.DUMMYFUNCTION("""COMPUTED_VALUE"""),"RF-00000023-TOX")</f>
        <v>RF-00000023-TOX</v>
      </c>
    </row>
    <row r="86" spans="1:2" ht="12.5" x14ac:dyDescent="0.25">
      <c r="A86" t="str">
        <f ca="1">IFERROR(__xludf.DUMMYFUNCTION("""COMPUTED_VALUE"""),"22-desmethyl-8-methyl-azaspiracid-1-methyl ester")</f>
        <v>22-desmethyl-8-methyl-azaspiracid-1-methyl ester</v>
      </c>
      <c r="B86" t="str">
        <f ca="1">IFERROR(__xludf.DUMMYFUNCTION("""COMPUTED_VALUE"""),"RF-00000041-TOX")</f>
        <v>RF-00000041-TOX</v>
      </c>
    </row>
    <row r="87" spans="1:2" ht="12.5" x14ac:dyDescent="0.25">
      <c r="A87" t="str">
        <f ca="1">IFERROR(__xludf.DUMMYFUNCTION("""COMPUTED_VALUE"""),"22-desmethyl-8-methylazaspiracid")</f>
        <v>22-desmethyl-8-methylazaspiracid</v>
      </c>
      <c r="B87" t="str">
        <f ca="1">IFERROR(__xludf.DUMMYFUNCTION("""COMPUTED_VALUE"""),"RF-00000016-TOX")</f>
        <v>RF-00000016-TOX</v>
      </c>
    </row>
    <row r="88" spans="1:2" ht="12.5" x14ac:dyDescent="0.25">
      <c r="A88" t="str">
        <f ca="1">IFERROR(__xludf.DUMMYFUNCTION("""COMPUTED_VALUE"""),"22-desmethyl-azaspiracid")</f>
        <v>22-desmethyl-azaspiracid</v>
      </c>
      <c r="B88" t="str">
        <f ca="1">IFERROR(__xludf.DUMMYFUNCTION("""COMPUTED_VALUE"""),"RF-00000013-TOX")</f>
        <v>RF-00000013-TOX</v>
      </c>
    </row>
    <row r="89" spans="1:2" ht="12.5" x14ac:dyDescent="0.25">
      <c r="A89" t="str">
        <f ca="1">IFERROR(__xludf.DUMMYFUNCTION("""COMPUTED_VALUE"""),"22-desmethyl-azaspiracid-1-methyl ester")</f>
        <v>22-desmethyl-azaspiracid-1-methyl ester</v>
      </c>
      <c r="B89" t="str">
        <f ca="1">IFERROR(__xludf.DUMMYFUNCTION("""COMPUTED_VALUE"""),"RF-00000039-TOX")</f>
        <v>RF-00000039-TOX</v>
      </c>
    </row>
    <row r="90" spans="1:2" ht="12.5" x14ac:dyDescent="0.25">
      <c r="A90" t="str">
        <f ca="1">IFERROR(__xludf.DUMMYFUNCTION("""COMPUTED_VALUE"""),"23-hydroxy-8-methylazaspiracid")</f>
        <v>23-hydroxy-8-methylazaspiracid</v>
      </c>
      <c r="B90" t="str">
        <f ca="1">IFERROR(__xludf.DUMMYFUNCTION("""COMPUTED_VALUE"""),"RF-00000022-TOX")</f>
        <v>RF-00000022-TOX</v>
      </c>
    </row>
    <row r="91" spans="1:2" ht="12.5" x14ac:dyDescent="0.25">
      <c r="A91" t="str">
        <f ca="1">IFERROR(__xludf.DUMMYFUNCTION("""COMPUTED_VALUE"""),"23-hydroxyazaspiracid")</f>
        <v>23-hydroxyazaspiracid</v>
      </c>
      <c r="B91" t="str">
        <f ca="1">IFERROR(__xludf.DUMMYFUNCTION("""COMPUTED_VALUE"""),"RF-00000018-TOX")</f>
        <v>RF-00000018-TOX</v>
      </c>
    </row>
    <row r="92" spans="1:2" ht="12.5" x14ac:dyDescent="0.25">
      <c r="A92" t="str">
        <f ca="1">IFERROR(__xludf.DUMMYFUNCTION("""COMPUTED_VALUE"""),"24-methylcholest-7-erol")</f>
        <v>24-methylcholest-7-erol</v>
      </c>
      <c r="B92" t="str">
        <f ca="1">IFERROR(__xludf.DUMMYFUNCTION("""COMPUTED_VALUE"""),"RF-00000003-NTR")</f>
        <v>RF-00000003-NTR</v>
      </c>
    </row>
    <row r="93" spans="1:2" ht="12.5" x14ac:dyDescent="0.25">
      <c r="A93" t="str">
        <f ca="1">IFERROR(__xludf.DUMMYFUNCTION("""COMPUTED_VALUE"""),"25-hydroxycholecalciferol")</f>
        <v>25-hydroxycholecalciferol</v>
      </c>
      <c r="B93" t="str">
        <f ca="1">IFERROR(__xludf.DUMMYFUNCTION("""COMPUTED_VALUE"""),"RF-00000004-NTR")</f>
        <v>RF-00000004-NTR</v>
      </c>
    </row>
    <row r="94" spans="1:2" ht="12.5" x14ac:dyDescent="0.25">
      <c r="A94" t="str">
        <f ca="1">IFERROR(__xludf.DUMMYFUNCTION("""COMPUTED_VALUE"""),"3- and 15-acetyldeoxynivalenol")</f>
        <v>3- and 15-acetyldeoxynivalenol</v>
      </c>
      <c r="B94" t="str">
        <f ca="1">IFERROR(__xludf.DUMMYFUNCTION("""COMPUTED_VALUE"""),"RF-00000167-TOX")</f>
        <v>RF-00000167-TOX</v>
      </c>
    </row>
    <row r="95" spans="1:2" ht="12.5" x14ac:dyDescent="0.25">
      <c r="A95" t="str">
        <f ca="1">IFERROR(__xludf.DUMMYFUNCTION("""COMPUTED_VALUE"""),"3-0-Acetyltylosin")</f>
        <v>3-0-Acetyltylosin</v>
      </c>
      <c r="B95" t="str">
        <f ca="1">IFERROR(__xludf.DUMMYFUNCTION("""COMPUTED_VALUE"""),"RF-00000571-VET")</f>
        <v>RF-00000571-VET</v>
      </c>
    </row>
    <row r="96" spans="1:2" ht="12.5" x14ac:dyDescent="0.25">
      <c r="A96" t="str">
        <f ca="1">IFERROR(__xludf.DUMMYFUNCTION("""COMPUTED_VALUE"""),"3-acetildeoxynivalenol")</f>
        <v>3-acetildeoxynivalenol</v>
      </c>
      <c r="B96" t="str">
        <f ca="1">IFERROR(__xludf.DUMMYFUNCTION("""COMPUTED_VALUE"""),"RF-00000168-TOX")</f>
        <v>RF-00000168-TOX</v>
      </c>
    </row>
    <row r="97" spans="1:2" ht="12.5" x14ac:dyDescent="0.25">
      <c r="A97" t="str">
        <f ca="1">IFERROR(__xludf.DUMMYFUNCTION("""COMPUTED_VALUE"""),"3-Chloorphenol")</f>
        <v>3-Chloorphenol</v>
      </c>
      <c r="B97" t="str">
        <f ca="1">IFERROR(__xludf.DUMMYFUNCTION("""COMPUTED_VALUE"""),"RF-00000024-ORG")</f>
        <v>RF-00000024-ORG</v>
      </c>
    </row>
    <row r="98" spans="1:2" ht="12.5" x14ac:dyDescent="0.25">
      <c r="A98" t="str">
        <f ca="1">IFERROR(__xludf.DUMMYFUNCTION("""COMPUTED_VALUE"""),"3-hydroxy-8-methylazaspiracid")</f>
        <v>3-hydroxy-8-methylazaspiracid</v>
      </c>
      <c r="B98" t="str">
        <f ca="1">IFERROR(__xludf.DUMMYFUNCTION("""COMPUTED_VALUE"""),"RF-00000021-TOX")</f>
        <v>RF-00000021-TOX</v>
      </c>
    </row>
    <row r="99" spans="1:2" ht="12.5" x14ac:dyDescent="0.25">
      <c r="A99" t="str">
        <f ca="1">IFERROR(__xludf.DUMMYFUNCTION("""COMPUTED_VALUE"""),"3-hydroxyazaspiracid")</f>
        <v>3-hydroxyazaspiracid</v>
      </c>
      <c r="B99" t="str">
        <f ca="1">IFERROR(__xludf.DUMMYFUNCTION("""COMPUTED_VALUE"""),"RF-00000017-TOX")</f>
        <v>RF-00000017-TOX</v>
      </c>
    </row>
    <row r="100" spans="1:2" ht="12.5" x14ac:dyDescent="0.25">
      <c r="A100" t="str">
        <f ca="1">IFERROR(__xludf.DUMMYFUNCTION("""COMPUTED_VALUE"""),"3-MCPD (Free)")</f>
        <v>3-MCPD (Free)</v>
      </c>
      <c r="B100" t="str">
        <f ca="1">IFERROR(__xludf.DUMMYFUNCTION("""COMPUTED_VALUE"""),"RF-00000377-ORG")</f>
        <v>RF-00000377-ORG</v>
      </c>
    </row>
    <row r="101" spans="1:2" ht="12.5" x14ac:dyDescent="0.25">
      <c r="A101" t="str">
        <f ca="1">IFERROR(__xludf.DUMMYFUNCTION("""COMPUTED_VALUE"""),"3-MCPD (From ester bounds)")</f>
        <v>3-MCPD (From ester bounds)</v>
      </c>
      <c r="B101" t="str">
        <f ca="1">IFERROR(__xludf.DUMMYFUNCTION("""COMPUTED_VALUE"""),"RF-00000380-ORG")</f>
        <v>RF-00000380-ORG</v>
      </c>
    </row>
    <row r="102" spans="1:2" ht="12.5" x14ac:dyDescent="0.25">
      <c r="A102" t="str">
        <f ca="1">IFERROR(__xludf.DUMMYFUNCTION("""COMPUTED_VALUE"""),"3-MCPD (Sum free and bound)")</f>
        <v>3-MCPD (Sum free and bound)</v>
      </c>
      <c r="B102" t="str">
        <f ca="1">IFERROR(__xludf.DUMMYFUNCTION("""COMPUTED_VALUE"""),"RF-00000378-ORG")</f>
        <v>RF-00000378-ORG</v>
      </c>
    </row>
    <row r="103" spans="1:2" ht="12.5" x14ac:dyDescent="0.25">
      <c r="A103" t="str">
        <f ca="1">IFERROR(__xludf.DUMMYFUNCTION("""COMPUTED_VALUE"""),"3-MCPDs")</f>
        <v>3-MCPDs</v>
      </c>
      <c r="B103" t="str">
        <f ca="1">IFERROR(__xludf.DUMMYFUNCTION("""COMPUTED_VALUE"""),"RF-00000376-ORG")</f>
        <v>RF-00000376-ORG</v>
      </c>
    </row>
    <row r="104" spans="1:2" ht="12.5" x14ac:dyDescent="0.25">
      <c r="A104" t="str">
        <f ca="1">IFERROR(__xludf.DUMMYFUNCTION("""COMPUTED_VALUE"""),"3,23-dihydroxy-8-methylazaspiracid")</f>
        <v>3,23-dihydroxy-8-methylazaspiracid</v>
      </c>
      <c r="B104" t="str">
        <f ca="1">IFERROR(__xludf.DUMMYFUNCTION("""COMPUTED_VALUE"""),"RF-00000025-TOX")</f>
        <v>RF-00000025-TOX</v>
      </c>
    </row>
    <row r="105" spans="1:2" ht="12.5" x14ac:dyDescent="0.25">
      <c r="A105" t="str">
        <f ca="1">IFERROR(__xludf.DUMMYFUNCTION("""COMPUTED_VALUE"""),"3,23-dihydroxyazaspiracid")</f>
        <v>3,23-dihydroxyazaspiracid</v>
      </c>
      <c r="B105" t="str">
        <f ca="1">IFERROR(__xludf.DUMMYFUNCTION("""COMPUTED_VALUE"""),"RF-00000024-TOX")</f>
        <v>RF-00000024-TOX</v>
      </c>
    </row>
    <row r="106" spans="1:2" ht="12.5" x14ac:dyDescent="0.25">
      <c r="A106" t="str">
        <f ca="1">IFERROR(__xludf.DUMMYFUNCTION("""COMPUTED_VALUE"""),"3,4,5-Trichloorphenol")</f>
        <v>3,4,5-Trichloorphenol</v>
      </c>
      <c r="B106" t="str">
        <f ca="1">IFERROR(__xludf.DUMMYFUNCTION("""COMPUTED_VALUE"""),"RF-00000023-ORG")</f>
        <v>RF-00000023-ORG</v>
      </c>
    </row>
    <row r="107" spans="1:2" ht="12.5" x14ac:dyDescent="0.25">
      <c r="A107" t="str">
        <f ca="1">IFERROR(__xludf.DUMMYFUNCTION("""COMPUTED_VALUE"""),"3,4,5-Trimethacarb")</f>
        <v>3,4,5-Trimethacarb</v>
      </c>
      <c r="B107" t="str">
        <f ca="1">IFERROR(__xludf.DUMMYFUNCTION("""COMPUTED_VALUE"""),"RF-0962-003-PPP")</f>
        <v>RF-0962-003-PPP</v>
      </c>
    </row>
    <row r="108" spans="1:2" ht="12.5" x14ac:dyDescent="0.25">
      <c r="A108" t="str">
        <f ca="1">IFERROR(__xludf.DUMMYFUNCTION("""COMPUTED_VALUE"""),"3rd generation cephalosporins")</f>
        <v>3rd generation cephalosporins</v>
      </c>
      <c r="B108" t="str">
        <f ca="1">IFERROR(__xludf.DUMMYFUNCTION("""COMPUTED_VALUE"""),"RF-00000802-VET")</f>
        <v>RF-00000802-VET</v>
      </c>
    </row>
    <row r="109" spans="1:2" ht="12.5" x14ac:dyDescent="0.25">
      <c r="A109" t="str">
        <f ca="1">IFERROR(__xludf.DUMMYFUNCTION("""COMPUTED_VALUE"""),"4-Chloor,3-methylphenol")</f>
        <v>4-Chloor,3-methylphenol</v>
      </c>
      <c r="B109" t="str">
        <f ca="1">IFERROR(__xludf.DUMMYFUNCTION("""COMPUTED_VALUE"""),"RF-00000025-ORG")</f>
        <v>RF-00000025-ORG</v>
      </c>
    </row>
    <row r="110" spans="1:2" ht="12.5" x14ac:dyDescent="0.25">
      <c r="A110" t="str">
        <f ca="1">IFERROR(__xludf.DUMMYFUNCTION("""COMPUTED_VALUE"""),"4-Chloorphenol")</f>
        <v>4-Chloorphenol</v>
      </c>
      <c r="B110" t="str">
        <f ca="1">IFERROR(__xludf.DUMMYFUNCTION("""COMPUTED_VALUE"""),"RF-00000026-ORG")</f>
        <v>RF-00000026-ORG</v>
      </c>
    </row>
    <row r="111" spans="1:2" ht="12.5" x14ac:dyDescent="0.25">
      <c r="A111" t="str">
        <f ca="1">IFERROR(__xludf.DUMMYFUNCTION("""COMPUTED_VALUE"""),"4-CPA")</f>
        <v>4-CPA</v>
      </c>
      <c r="B111" t="str">
        <f ca="1">IFERROR(__xludf.DUMMYFUNCTION("""COMPUTED_VALUE"""),"RF-0460-001-PPP")</f>
        <v>RF-0460-001-PPP</v>
      </c>
    </row>
    <row r="112" spans="1:2" ht="12.5" x14ac:dyDescent="0.25">
      <c r="A112" t="str">
        <f ca="1">IFERROR(__xludf.DUMMYFUNCTION("""COMPUTED_VALUE"""),"4-Hexylresorcinol")</f>
        <v>4-Hexylresorcinol</v>
      </c>
      <c r="B112" t="str">
        <f ca="1">IFERROR(__xludf.DUMMYFUNCTION("""COMPUTED_VALUE"""),"RF-00000032-VET")</f>
        <v>RF-00000032-VET</v>
      </c>
    </row>
    <row r="113" spans="1:2" ht="12.5" x14ac:dyDescent="0.25">
      <c r="A113" t="str">
        <f ca="1">IFERROR(__xludf.DUMMYFUNCTION("""COMPUTED_VALUE"""),"4-hydroxychlorothalonil")</f>
        <v>4-hydroxychlorothalonil</v>
      </c>
      <c r="B113" t="str">
        <f ca="1">IFERROR(__xludf.DUMMYFUNCTION("""COMPUTED_VALUE"""),"RF-00000008-PAR")</f>
        <v>RF-00000008-PAR</v>
      </c>
    </row>
    <row r="114" spans="1:2" ht="12.5" x14ac:dyDescent="0.25">
      <c r="A114" t="str">
        <f ca="1">IFERROR(__xludf.DUMMYFUNCTION("""COMPUTED_VALUE"""),"4-Phenylphenol")</f>
        <v>4-Phenylphenol</v>
      </c>
      <c r="B114" t="str">
        <f ca="1">IFERROR(__xludf.DUMMYFUNCTION("""COMPUTED_VALUE"""),"RF-0823-002-PPP")</f>
        <v>RF-0823-002-PPP</v>
      </c>
    </row>
    <row r="115" spans="1:2" ht="12.5" x14ac:dyDescent="0.25">
      <c r="A115" t="str">
        <f ca="1">IFERROR(__xludf.DUMMYFUNCTION("""COMPUTED_VALUE"""),"4-Propylphenol")</f>
        <v>4-Propylphenol</v>
      </c>
      <c r="B115" t="str">
        <f ca="1">IFERROR(__xludf.DUMMYFUNCTION("""COMPUTED_VALUE"""),"RF-00000027-ORG")</f>
        <v>RF-00000027-ORG</v>
      </c>
    </row>
    <row r="116" spans="1:2" ht="12.5" x14ac:dyDescent="0.25">
      <c r="A116" t="str">
        <f ca="1">IFERROR(__xludf.DUMMYFUNCTION("""COMPUTED_VALUE"""),"4,4' Methoxychlor")</f>
        <v>4,4' Methoxychlor</v>
      </c>
      <c r="B116" t="str">
        <f ca="1">IFERROR(__xludf.DUMMYFUNCTION("""COMPUTED_VALUE"""),"RF-1021-001-PPP")</f>
        <v>RF-1021-001-PPP</v>
      </c>
    </row>
    <row r="117" spans="1:2" ht="12.5" x14ac:dyDescent="0.25">
      <c r="A117" t="str">
        <f ca="1">IFERROR(__xludf.DUMMYFUNCTION("""COMPUTED_VALUE"""),"4,4'-Dichlorodiphenyl sulfone")</f>
        <v>4,4'-Dichlorodiphenyl sulfone</v>
      </c>
      <c r="B117" t="str">
        <f ca="1">IFERROR(__xludf.DUMMYFUNCTION("""COMPUTED_VALUE"""),"RF-1064-001-PPP")</f>
        <v>RF-1064-001-PPP</v>
      </c>
    </row>
    <row r="118" spans="1:2" ht="12.5" x14ac:dyDescent="0.25">
      <c r="A118" t="str">
        <f ca="1">IFERROR(__xludf.DUMMYFUNCTION("""COMPUTED_VALUE"""),"4,6-Dimethyl-2-hydroxypyrimidine")</f>
        <v>4,6-Dimethyl-2-hydroxypyrimidine</v>
      </c>
      <c r="B118" t="str">
        <f ca="1">IFERROR(__xludf.DUMMYFUNCTION("""COMPUTED_VALUE"""),"RF-00000091-VET")</f>
        <v>RF-00000091-VET</v>
      </c>
    </row>
    <row r="119" spans="1:2" ht="12.5" x14ac:dyDescent="0.25">
      <c r="A119" t="str">
        <f ca="1">IFERROR(__xludf.DUMMYFUNCTION("""COMPUTED_VALUE"""),"40-epi-ketoYTX")</f>
        <v>40-epi-ketoYTX</v>
      </c>
      <c r="B119" t="str">
        <f ca="1">IFERROR(__xludf.DUMMYFUNCTION("""COMPUTED_VALUE"""),"RF-00000123-TOX")</f>
        <v>RF-00000123-TOX</v>
      </c>
    </row>
    <row r="120" spans="1:2" ht="12.5" x14ac:dyDescent="0.25">
      <c r="A120" t="str">
        <f ca="1">IFERROR(__xludf.DUMMYFUNCTION("""COMPUTED_VALUE"""),"41a-homoYTX")</f>
        <v>41a-homoYTX</v>
      </c>
      <c r="B120" t="str">
        <f ca="1">IFERROR(__xludf.DUMMYFUNCTION("""COMPUTED_VALUE"""),"RF-00000124-TOX")</f>
        <v>RF-00000124-TOX</v>
      </c>
    </row>
    <row r="121" spans="1:2" ht="12.5" x14ac:dyDescent="0.25">
      <c r="A121" t="str">
        <f ca="1">IFERROR(__xludf.DUMMYFUNCTION("""COMPUTED_VALUE"""),"42-hydroxypalytoxi")</f>
        <v>42-hydroxypalytoxi</v>
      </c>
      <c r="B121" t="str">
        <f ca="1">IFERROR(__xludf.DUMMYFUNCTION("""COMPUTED_VALUE"""),"RF-00000079-TOX")</f>
        <v>RF-00000079-TOX</v>
      </c>
    </row>
    <row r="122" spans="1:2" ht="12.5" x14ac:dyDescent="0.25">
      <c r="A122" t="str">
        <f ca="1">IFERROR(__xludf.DUMMYFUNCTION("""COMPUTED_VALUE"""),"44,55-dihydroxyYTX")</f>
        <v>44,55-dihydroxyYTX</v>
      </c>
      <c r="B122" t="str">
        <f ca="1">IFERROR(__xludf.DUMMYFUNCTION("""COMPUTED_VALUE"""),"RF-00000126-TOX")</f>
        <v>RF-00000126-TOX</v>
      </c>
    </row>
    <row r="123" spans="1:2" ht="12.5" x14ac:dyDescent="0.25">
      <c r="A123" t="str">
        <f ca="1">IFERROR(__xludf.DUMMYFUNCTION("""COMPUTED_VALUE"""),"45-hydrotoxyYTX")</f>
        <v>45-hydrotoxyYTX</v>
      </c>
      <c r="B123" t="str">
        <f ca="1">IFERROR(__xludf.DUMMYFUNCTION("""COMPUTED_VALUE"""),"RF-00000118-TOX")</f>
        <v>RF-00000118-TOX</v>
      </c>
    </row>
    <row r="124" spans="1:2" ht="12.5" x14ac:dyDescent="0.25">
      <c r="A124" t="str">
        <f ca="1">IFERROR(__xludf.DUMMYFUNCTION("""COMPUTED_VALUE"""),"45-hydroxy-1a-homoYTX")</f>
        <v>45-hydroxy-1a-homoYTX</v>
      </c>
      <c r="B124" t="str">
        <f ca="1">IFERROR(__xludf.DUMMYFUNCTION("""COMPUTED_VALUE"""),"RF-00000127-TOX")</f>
        <v>RF-00000127-TOX</v>
      </c>
    </row>
    <row r="125" spans="1:2" ht="12.5" x14ac:dyDescent="0.25">
      <c r="A125" t="str">
        <f ca="1">IFERROR(__xludf.DUMMYFUNCTION("""COMPUTED_VALUE"""),"45,46,47-trinorYTX")</f>
        <v>45,46,47-trinorYTX</v>
      </c>
      <c r="B125" t="str">
        <f ca="1">IFERROR(__xludf.DUMMYFUNCTION("""COMPUTED_VALUE"""),"RF-00000121-TOX")</f>
        <v>RF-00000121-TOX</v>
      </c>
    </row>
    <row r="126" spans="1:2" ht="12.5" x14ac:dyDescent="0.25">
      <c r="A126" t="str">
        <f ca="1">IFERROR(__xludf.DUMMYFUNCTION("""COMPUTED_VALUE"""),"490M1")</f>
        <v>490M1</v>
      </c>
      <c r="B126" t="str">
        <f ca="1">IFERROR(__xludf.DUMMYFUNCTION("""COMPUTED_VALUE"""),"RF-0260-005-PPP")</f>
        <v>RF-0260-005-PPP</v>
      </c>
    </row>
    <row r="127" spans="1:2" ht="12.5" x14ac:dyDescent="0.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x14ac:dyDescent="0.25">
      <c r="A128" t="str">
        <f ca="1">IFERROR(__xludf.DUMMYFUNCTION("""COMPUTED_VALUE"""),"490M9")</f>
        <v>490M9</v>
      </c>
      <c r="B128" t="str">
        <f ca="1">IFERROR(__xludf.DUMMYFUNCTION("""COMPUTED_VALUE"""),"RF-0260-004-PPP")</f>
        <v>RF-0260-004-PPP</v>
      </c>
    </row>
    <row r="129" spans="1:2" ht="12.5" x14ac:dyDescent="0.25">
      <c r="A129" t="str">
        <f ca="1">IFERROR(__xludf.DUMMYFUNCTION("""COMPUTED_VALUE"""),"490M9 expressed as kresoxim-methyl")</f>
        <v>490M9 expressed as kresoxim-methyl</v>
      </c>
      <c r="B129" t="str">
        <f ca="1">IFERROR(__xludf.DUMMYFUNCTION("""COMPUTED_VALUE"""),"RF-0260-002-PPP")</f>
        <v>RF-0260-002-PPP</v>
      </c>
    </row>
    <row r="130" spans="1:2" ht="12.5" x14ac:dyDescent="0.25">
      <c r="A130" t="str">
        <f ca="1">IFERROR(__xludf.DUMMYFUNCTION("""COMPUTED_VALUE"""),"4th generation cephalosporins")</f>
        <v>4th generation cephalosporins</v>
      </c>
      <c r="B130" t="str">
        <f ca="1">IFERROR(__xludf.DUMMYFUNCTION("""COMPUTED_VALUE"""),"RF-00000808-VET")</f>
        <v>RF-00000808-VET</v>
      </c>
    </row>
    <row r="131" spans="1:2" ht="12.5" x14ac:dyDescent="0.25">
      <c r="A131" t="str">
        <f ca="1">IFERROR(__xludf.DUMMYFUNCTION("""COMPUTED_VALUE"""),"5-Ethinyl-2-thiouracil")</f>
        <v>5-Ethinyl-2-thiouracil</v>
      </c>
      <c r="B131" t="str">
        <f ca="1">IFERROR(__xludf.DUMMYFUNCTION("""COMPUTED_VALUE"""),"RF-00000304-VET")</f>
        <v>RF-00000304-VET</v>
      </c>
    </row>
    <row r="132" spans="1:2" ht="12.5" x14ac:dyDescent="0.25">
      <c r="A132" t="str">
        <f ca="1">IFERROR(__xludf.DUMMYFUNCTION("""COMPUTED_VALUE"""),"5-methoxysterigmatocystin")</f>
        <v>5-methoxysterigmatocystin</v>
      </c>
      <c r="B132" t="str">
        <f ca="1">IFERROR(__xludf.DUMMYFUNCTION("""COMPUTED_VALUE"""),"RF-00000197-TOX")</f>
        <v>RF-00000197-TOX</v>
      </c>
    </row>
    <row r="133" spans="1:2" ht="12.5" x14ac:dyDescent="0.25">
      <c r="A133" t="str">
        <f ca="1">IFERROR(__xludf.DUMMYFUNCTION("""COMPUTED_VALUE"""),"5-Methyl-2-thiouracil")</f>
        <v>5-Methyl-2-thiouracil</v>
      </c>
      <c r="B133" t="str">
        <f ca="1">IFERROR(__xludf.DUMMYFUNCTION("""COMPUTED_VALUE"""),"RF-00000305-VET")</f>
        <v>RF-00000305-VET</v>
      </c>
    </row>
    <row r="134" spans="1:2" ht="12.5" x14ac:dyDescent="0.25">
      <c r="A134" t="str">
        <f ca="1">IFERROR(__xludf.DUMMYFUNCTION("""COMPUTED_VALUE"""),"5-methylchrysene")</f>
        <v>5-methylchrysene</v>
      </c>
      <c r="B134" t="str">
        <f ca="1">IFERROR(__xludf.DUMMYFUNCTION("""COMPUTED_VALUE"""),"RF-00000041-ORG")</f>
        <v>RF-00000041-ORG</v>
      </c>
    </row>
    <row r="135" spans="1:2" ht="12.5" x14ac:dyDescent="0.25">
      <c r="A135" t="str">
        <f ca="1">IFERROR(__xludf.DUMMYFUNCTION("""COMPUTED_VALUE"""),"5-Propyl-2-thiouracil")</f>
        <v>5-Propyl-2-thiouracil</v>
      </c>
      <c r="B135" t="str">
        <f ca="1">IFERROR(__xludf.DUMMYFUNCTION("""COMPUTED_VALUE"""),"RF-00000301-VET")</f>
        <v>RF-00000301-VET</v>
      </c>
    </row>
    <row r="136" spans="1:2" ht="12.5" x14ac:dyDescent="0.25">
      <c r="A136" t="str">
        <f ca="1">IFERROR(__xludf.DUMMYFUNCTION("""COMPUTED_VALUE"""),"6-Benzyladenin")</f>
        <v>6-Benzyladenin</v>
      </c>
      <c r="B136" t="str">
        <f ca="1">IFERROR(__xludf.DUMMYFUNCTION("""COMPUTED_VALUE"""),"RF-1062-001-PPP")</f>
        <v>RF-1062-001-PPP</v>
      </c>
    </row>
    <row r="137" spans="1:2" ht="12.5" x14ac:dyDescent="0.25">
      <c r="A137" t="str">
        <f ca="1">IFERROR(__xludf.DUMMYFUNCTION("""COMPUTED_VALUE"""),"6-Methyl-2-thiouracil")</f>
        <v>6-Methyl-2-thiouracil</v>
      </c>
      <c r="B137" t="str">
        <f ca="1">IFERROR(__xludf.DUMMYFUNCTION("""COMPUTED_VALUE"""),"RF-00000297-VET")</f>
        <v>RF-00000297-VET</v>
      </c>
    </row>
    <row r="138" spans="1:2" ht="12.5" x14ac:dyDescent="0.25">
      <c r="A138" t="str">
        <f ca="1">IFERROR(__xludf.DUMMYFUNCTION("""COMPUTED_VALUE"""),"6-Propyl-2-thiouracil")</f>
        <v>6-Propyl-2-thiouracil</v>
      </c>
      <c r="B138" t="str">
        <f ca="1">IFERROR(__xludf.DUMMYFUNCTION("""COMPUTED_VALUE"""),"RF-00000303-VET")</f>
        <v>RF-00000303-VET</v>
      </c>
    </row>
    <row r="139" spans="1:2" ht="12.5" x14ac:dyDescent="0.25">
      <c r="A139" t="str">
        <f ca="1">IFERROR(__xludf.DUMMYFUNCTION("""COMPUTED_VALUE"""),"7-acetylintermedine")</f>
        <v>7-acetylintermedine</v>
      </c>
      <c r="B139" t="str">
        <f ca="1">IFERROR(__xludf.DUMMYFUNCTION("""COMPUTED_VALUE"""),"RF-00000264-TOX")</f>
        <v>RF-00000264-TOX</v>
      </c>
    </row>
    <row r="140" spans="1:2" ht="12.5" x14ac:dyDescent="0.25">
      <c r="A140" t="str">
        <f ca="1">IFERROR(__xludf.DUMMYFUNCTION("""COMPUTED_VALUE"""),"7-acetyllycopsamine")</f>
        <v>7-acetyllycopsamine</v>
      </c>
      <c r="B140" t="str">
        <f ca="1">IFERROR(__xludf.DUMMYFUNCTION("""COMPUTED_VALUE"""),"RF-00000265-TOX")</f>
        <v>RF-00000265-TOX</v>
      </c>
    </row>
    <row r="141" spans="1:2" ht="12.5" x14ac:dyDescent="0.25">
      <c r="A141" t="str">
        <f ca="1">IFERROR(__xludf.DUMMYFUNCTION("""COMPUTED_VALUE"""),"7-acetylscorpioidine")</f>
        <v>7-acetylscorpioidine</v>
      </c>
      <c r="B141" t="str">
        <f ca="1">IFERROR(__xludf.DUMMYFUNCTION("""COMPUTED_VALUE"""),"RF-00000266-TOX")</f>
        <v>RF-00000266-TOX</v>
      </c>
    </row>
    <row r="142" spans="1:2" ht="12.5" x14ac:dyDescent="0.25">
      <c r="A142" t="str">
        <f ca="1">IFERROR(__xludf.DUMMYFUNCTION("""COMPUTED_VALUE"""),"7-angeloylheliotridine")</f>
        <v>7-angeloylheliotridine</v>
      </c>
      <c r="B142" t="str">
        <f ca="1">IFERROR(__xludf.DUMMYFUNCTION("""COMPUTED_VALUE"""),"RF-00000267-TOX")</f>
        <v>RF-00000267-TOX</v>
      </c>
    </row>
    <row r="143" spans="1:2" ht="12.5" x14ac:dyDescent="0.25">
      <c r="A143" t="str">
        <f ca="1">IFERROR(__xludf.DUMMYFUNCTION("""COMPUTED_VALUE"""),"7-epi-PTX2 seco acid")</f>
        <v>7-epi-PTX2 seco acid</v>
      </c>
      <c r="B143" t="str">
        <f ca="1">IFERROR(__xludf.DUMMYFUNCTION("""COMPUTED_VALUE"""),"RF-00000089-TOX")</f>
        <v>RF-00000089-TOX</v>
      </c>
    </row>
    <row r="144" spans="1:2" ht="12.5" x14ac:dyDescent="0.25">
      <c r="A144" t="str">
        <f ca="1">IFERROR(__xludf.DUMMYFUNCTION("""COMPUTED_VALUE"""),"8-methyl-azaspiracid-1-methyl ester")</f>
        <v>8-methyl-azaspiracid-1-methyl ester</v>
      </c>
      <c r="B144" t="str">
        <f ca="1">IFERROR(__xludf.DUMMYFUNCTION("""COMPUTED_VALUE"""),"RF-00000042-TOX")</f>
        <v>RF-00000042-TOX</v>
      </c>
    </row>
    <row r="145" spans="1:2" ht="12.5" x14ac:dyDescent="0.25">
      <c r="A145" t="str">
        <f ca="1">IFERROR(__xludf.DUMMYFUNCTION("""COMPUTED_VALUE"""),"8-methylazaspiracid")</f>
        <v>8-methylazaspiracid</v>
      </c>
      <c r="B145" t="str">
        <f ca="1">IFERROR(__xludf.DUMMYFUNCTION("""COMPUTED_VALUE"""),"RF-00000012-TOX")</f>
        <v>RF-00000012-TOX</v>
      </c>
    </row>
    <row r="146" spans="1:2" ht="12.5" x14ac:dyDescent="0.25">
      <c r="A146" t="str">
        <f ca="1">IFERROR(__xludf.DUMMYFUNCTION("""COMPUTED_VALUE"""),"8:2 fluorotelomer alcohol")</f>
        <v>8:2 fluorotelomer alcohol</v>
      </c>
      <c r="B146" t="str">
        <f ca="1">IFERROR(__xludf.DUMMYFUNCTION("""COMPUTED_VALUE"""),"RF-00000372-ORG")</f>
        <v>RF-00000372-ORG</v>
      </c>
    </row>
    <row r="147" spans="1:2" ht="12.5" x14ac:dyDescent="0.25">
      <c r="A147" t="str">
        <f ca="1">IFERROR(__xludf.DUMMYFUNCTION("""COMPUTED_VALUE"""),"8:2 fluorotelomer alcohol (8:2 FTOH) di-phosphate")</f>
        <v>8:2 fluorotelomer alcohol (8:2 FTOH) di-phosphate</v>
      </c>
      <c r="B147" t="str">
        <f ca="1">IFERROR(__xludf.DUMMYFUNCTION("""COMPUTED_VALUE"""),"RF-00000367-ORG")</f>
        <v>RF-00000367-ORG</v>
      </c>
    </row>
    <row r="148" spans="1:2" ht="12.5" x14ac:dyDescent="0.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x14ac:dyDescent="0.25">
      <c r="A149" t="str">
        <f ca="1">IFERROR(__xludf.DUMMYFUNCTION("""COMPUTED_VALUE"""),"9-Me-41a-homoYTX")</f>
        <v>9-Me-41a-homoYTX</v>
      </c>
      <c r="B149" t="str">
        <f ca="1">IFERROR(__xludf.DUMMYFUNCTION("""COMPUTED_VALUE"""),"RF-00000125-TOX")</f>
        <v>RF-00000125-TOX</v>
      </c>
    </row>
    <row r="150" spans="1:2" ht="12.5" x14ac:dyDescent="0.25">
      <c r="A150" t="str">
        <f ca="1">IFERROR(__xludf.DUMMYFUNCTION("""COMPUTED_VALUE"""),"Abamectin (Avermectin B1)")</f>
        <v>Abamectin (Avermectin B1)</v>
      </c>
      <c r="B150" t="str">
        <f ca="1">IFERROR(__xludf.DUMMYFUNCTION("""COMPUTED_VALUE"""),"RF-00000011-VET")</f>
        <v>RF-00000011-VET</v>
      </c>
    </row>
    <row r="151" spans="1:2" ht="12.5" x14ac:dyDescent="0.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x14ac:dyDescent="0.25">
      <c r="A152" t="str">
        <f ca="1">IFERROR(__xludf.DUMMYFUNCTION("""COMPUTED_VALUE"""),"Abrin")</f>
        <v>Abrin</v>
      </c>
      <c r="B152" t="str">
        <f ca="1">IFERROR(__xludf.DUMMYFUNCTION("""COMPUTED_VALUE"""),"RF-00000336-TOX")</f>
        <v>RF-00000336-TOX</v>
      </c>
    </row>
    <row r="153" spans="1:2" ht="12.5" x14ac:dyDescent="0.25">
      <c r="A153" t="str">
        <f ca="1">IFERROR(__xludf.DUMMYFUNCTION("""COMPUTED_VALUE"""),"ACC")</f>
        <v>ACC</v>
      </c>
      <c r="B153" t="str">
        <f ca="1">IFERROR(__xludf.DUMMYFUNCTION("""COMPUTED_VALUE"""),"RF-00000713-PAR")</f>
        <v>RF-00000713-PAR</v>
      </c>
    </row>
    <row r="154" spans="1:2" ht="12.5" x14ac:dyDescent="0.25">
      <c r="A154" t="str">
        <f ca="1">IFERROR(__xludf.DUMMYFUNCTION("""COMPUTED_VALUE"""),"ACC-1")</f>
        <v>ACC-1</v>
      </c>
      <c r="B154" t="str">
        <f ca="1">IFERROR(__xludf.DUMMYFUNCTION("""COMPUTED_VALUE"""),"RF-00000714-PAR")</f>
        <v>RF-00000714-PAR</v>
      </c>
    </row>
    <row r="155" spans="1:2" ht="12.5" x14ac:dyDescent="0.25">
      <c r="A155" t="str">
        <f ca="1">IFERROR(__xludf.DUMMYFUNCTION("""COMPUTED_VALUE"""),"ACC-2")</f>
        <v>ACC-2</v>
      </c>
      <c r="B155" t="str">
        <f ca="1">IFERROR(__xludf.DUMMYFUNCTION("""COMPUTED_VALUE"""),"RF-00000715-PAR")</f>
        <v>RF-00000715-PAR</v>
      </c>
    </row>
    <row r="156" spans="1:2" ht="12.5" x14ac:dyDescent="0.25">
      <c r="A156" t="str">
        <f ca="1">IFERROR(__xludf.DUMMYFUNCTION("""COMPUTED_VALUE"""),"ACC-3")</f>
        <v>ACC-3</v>
      </c>
      <c r="B156" t="str">
        <f ca="1">IFERROR(__xludf.DUMMYFUNCTION("""COMPUTED_VALUE"""),"RF-00000716-PAR")</f>
        <v>RF-00000716-PAR</v>
      </c>
    </row>
    <row r="157" spans="1:2" ht="12.5" x14ac:dyDescent="0.25">
      <c r="A157" t="str">
        <f ca="1">IFERROR(__xludf.DUMMYFUNCTION("""COMPUTED_VALUE"""),"ACC-4")</f>
        <v>ACC-4</v>
      </c>
      <c r="B157" t="str">
        <f ca="1">IFERROR(__xludf.DUMMYFUNCTION("""COMPUTED_VALUE"""),"RF-00000717-PAR")</f>
        <v>RF-00000717-PAR</v>
      </c>
    </row>
    <row r="158" spans="1:2" ht="12.5" x14ac:dyDescent="0.25">
      <c r="A158" t="str">
        <f ca="1">IFERROR(__xludf.DUMMYFUNCTION("""COMPUTED_VALUE"""),"ACC-5")</f>
        <v>ACC-5</v>
      </c>
      <c r="B158" t="str">
        <f ca="1">IFERROR(__xludf.DUMMYFUNCTION("""COMPUTED_VALUE"""),"RF-00000718-PAR")</f>
        <v>RF-00000718-PAR</v>
      </c>
    </row>
    <row r="159" spans="1:2" ht="12.5" x14ac:dyDescent="0.25">
      <c r="A159" t="str">
        <f ca="1">IFERROR(__xludf.DUMMYFUNCTION("""COMPUTED_VALUE"""),"Acenaphthene")</f>
        <v>Acenaphthene</v>
      </c>
      <c r="B159" t="str">
        <f ca="1">IFERROR(__xludf.DUMMYFUNCTION("""COMPUTED_VALUE"""),"RF-00000042-ORG")</f>
        <v>RF-00000042-ORG</v>
      </c>
    </row>
    <row r="160" spans="1:2" ht="12.5" x14ac:dyDescent="0.25">
      <c r="A160" t="str">
        <f ca="1">IFERROR(__xludf.DUMMYFUNCTION("""COMPUTED_VALUE"""),"Acenaphthylene")</f>
        <v>Acenaphthylene</v>
      </c>
      <c r="B160" t="str">
        <f ca="1">IFERROR(__xludf.DUMMYFUNCTION("""COMPUTED_VALUE"""),"RF-00000043-ORG")</f>
        <v>RF-00000043-ORG</v>
      </c>
    </row>
    <row r="161" spans="1:2" ht="12.5" x14ac:dyDescent="0.25">
      <c r="A161" t="str">
        <f ca="1">IFERROR(__xludf.DUMMYFUNCTION("""COMPUTED_VALUE"""),"Acephate")</f>
        <v>Acephate</v>
      </c>
      <c r="B161" t="str">
        <f ca="1">IFERROR(__xludf.DUMMYFUNCTION("""COMPUTED_VALUE"""),"RF-0012-001-PPP")</f>
        <v>RF-0012-001-PPP</v>
      </c>
    </row>
    <row r="162" spans="1:2" ht="12.5" x14ac:dyDescent="0.25">
      <c r="A162" t="str">
        <f ca="1">IFERROR(__xludf.DUMMYFUNCTION("""COMPUTED_VALUE"""),"Acepromazine")</f>
        <v>Acepromazine</v>
      </c>
      <c r="B162" t="str">
        <f ca="1">IFERROR(__xludf.DUMMYFUNCTION("""COMPUTED_VALUE"""),"RF-00000168-VET")</f>
        <v>RF-00000168-VET</v>
      </c>
    </row>
    <row r="163" spans="1:2" ht="12.5" x14ac:dyDescent="0.25">
      <c r="A163" t="str">
        <f ca="1">IFERROR(__xludf.DUMMYFUNCTION("""COMPUTED_VALUE"""),"Acequinocyl")</f>
        <v>Acequinocyl</v>
      </c>
      <c r="B163" t="str">
        <f ca="1">IFERROR(__xludf.DUMMYFUNCTION("""COMPUTED_VALUE"""),"RF-0013-001-PPP")</f>
        <v>RF-0013-001-PPP</v>
      </c>
    </row>
    <row r="164" spans="1:2" ht="12.5" x14ac:dyDescent="0.25">
      <c r="A164" t="str">
        <f ca="1">IFERROR(__xludf.DUMMYFUNCTION("""COMPUTED_VALUE"""),"Acesulfame K")</f>
        <v>Acesulfame K</v>
      </c>
      <c r="B164" t="str">
        <f ca="1">IFERROR(__xludf.DUMMYFUNCTION("""COMPUTED_VALUE"""),"RF-00000003-ADD")</f>
        <v>RF-00000003-ADD</v>
      </c>
    </row>
    <row r="165" spans="1:2" ht="12.5" x14ac:dyDescent="0.25">
      <c r="A165" t="str">
        <f ca="1">IFERROR(__xludf.DUMMYFUNCTION("""COMPUTED_VALUE"""),"Acetaminophen (Paracetamol)")</f>
        <v>Acetaminophen (Paracetamol)</v>
      </c>
      <c r="B165" t="str">
        <f ca="1">IFERROR(__xludf.DUMMYFUNCTION("""COMPUTED_VALUE"""),"RF-00000237-VET")</f>
        <v>RF-00000237-VET</v>
      </c>
    </row>
    <row r="166" spans="1:2" ht="12.5" x14ac:dyDescent="0.25">
      <c r="A166" t="str">
        <f ca="1">IFERROR(__xludf.DUMMYFUNCTION("""COMPUTED_VALUE"""),"Acetamiprid")</f>
        <v>Acetamiprid</v>
      </c>
      <c r="B166" t="str">
        <f ca="1">IFERROR(__xludf.DUMMYFUNCTION("""COMPUTED_VALUE"""),"RF-0014-001-PPP")</f>
        <v>RF-0014-001-PPP</v>
      </c>
    </row>
    <row r="167" spans="1:2" ht="12.5" x14ac:dyDescent="0.25">
      <c r="A167" t="str">
        <f ca="1">IFERROR(__xludf.DUMMYFUNCTION("""COMPUTED_VALUE"""),"Acetamiprid and IM-2-1 metabolite")</f>
        <v>Acetamiprid and IM-2-1 metabolite</v>
      </c>
      <c r="B167" t="str">
        <f ca="1">IFERROR(__xludf.DUMMYFUNCTION("""COMPUTED_VALUE"""),"RF-1001-001-PPP")</f>
        <v>RF-1001-001-PPP</v>
      </c>
    </row>
    <row r="168" spans="1:2" ht="12.5" x14ac:dyDescent="0.25">
      <c r="A168" t="str">
        <f ca="1">IFERROR(__xludf.DUMMYFUNCTION("""COMPUTED_VALUE"""),"Acetanilide")</f>
        <v>Acetanilide</v>
      </c>
      <c r="B168" t="str">
        <f ca="1">IFERROR(__xludf.DUMMYFUNCTION("""COMPUTED_VALUE"""),"RF-00000229-VET")</f>
        <v>RF-00000229-VET</v>
      </c>
    </row>
    <row r="169" spans="1:2" ht="12.5" x14ac:dyDescent="0.25">
      <c r="A169" t="str">
        <f ca="1">IFERROR(__xludf.DUMMYFUNCTION("""COMPUTED_VALUE"""),"Acetic acid")</f>
        <v>Acetic acid</v>
      </c>
      <c r="B169" t="str">
        <f ca="1">IFERROR(__xludf.DUMMYFUNCTION("""COMPUTED_VALUE"""),"RF-00000019-ADD")</f>
        <v>RF-00000019-ADD</v>
      </c>
    </row>
    <row r="170" spans="1:2" ht="12.5" x14ac:dyDescent="0.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x14ac:dyDescent="0.25">
      <c r="A171" t="str">
        <f ca="1">IFERROR(__xludf.DUMMYFUNCTION("""COMPUTED_VALUE"""),"Acetochlor")</f>
        <v>Acetochlor</v>
      </c>
      <c r="B171" t="str">
        <f ca="1">IFERROR(__xludf.DUMMYFUNCTION("""COMPUTED_VALUE"""),"RF-0015-001-PPP")</f>
        <v>RF-0015-001-PPP</v>
      </c>
    </row>
    <row r="172" spans="1:2" ht="12.5" x14ac:dyDescent="0.25">
      <c r="A172" t="str">
        <f ca="1">IFERROR(__xludf.DUMMYFUNCTION("""COMPUTED_VALUE"""),"Acetonide")</f>
        <v>Acetonide</v>
      </c>
      <c r="B172" t="str">
        <f ca="1">IFERROR(__xludf.DUMMYFUNCTION("""COMPUTED_VALUE"""),"RF-00000247-VET")</f>
        <v>RF-00000247-VET</v>
      </c>
    </row>
    <row r="173" spans="1:2" ht="12.5" x14ac:dyDescent="0.25">
      <c r="A173" t="str">
        <f ca="1">IFERROR(__xludf.DUMMYFUNCTION("""COMPUTED_VALUE"""),"Acetopromazine")</f>
        <v>Acetopromazine</v>
      </c>
      <c r="B173" t="str">
        <f ca="1">IFERROR(__xludf.DUMMYFUNCTION("""COMPUTED_VALUE"""),"RF-00000172-VET")</f>
        <v>RF-00000172-VET</v>
      </c>
    </row>
    <row r="174" spans="1:2" ht="12.5" x14ac:dyDescent="0.25">
      <c r="A174" t="str">
        <f ca="1">IFERROR(__xludf.DUMMYFUNCTION("""COMPUTED_VALUE"""),"Acetylated distarch adipate")</f>
        <v>Acetylated distarch adipate</v>
      </c>
      <c r="B174" t="str">
        <f ca="1">IFERROR(__xludf.DUMMYFUNCTION("""COMPUTED_VALUE"""),"RF-00000021-ADD")</f>
        <v>RF-00000021-ADD</v>
      </c>
    </row>
    <row r="175" spans="1:2" ht="12.5" x14ac:dyDescent="0.25">
      <c r="A175" t="str">
        <f ca="1">IFERROR(__xludf.DUMMYFUNCTION("""COMPUTED_VALUE"""),"Acetylated distarch phosphate")</f>
        <v>Acetylated distarch phosphate</v>
      </c>
      <c r="B175" t="str">
        <f ca="1">IFERROR(__xludf.DUMMYFUNCTION("""COMPUTED_VALUE"""),"RF-00000022-ADD")</f>
        <v>RF-00000022-ADD</v>
      </c>
    </row>
    <row r="176" spans="1:2" ht="12.5" x14ac:dyDescent="0.25">
      <c r="A176" t="str">
        <f ca="1">IFERROR(__xludf.DUMMYFUNCTION("""COMPUTED_VALUE"""),"Acetylated oxidised starch")</f>
        <v>Acetylated oxidised starch</v>
      </c>
      <c r="B176" t="str">
        <f ca="1">IFERROR(__xludf.DUMMYFUNCTION("""COMPUTED_VALUE"""),"RF-00000023-ADD")</f>
        <v>RF-00000023-ADD</v>
      </c>
    </row>
    <row r="177" spans="1:2" ht="12.5" x14ac:dyDescent="0.25">
      <c r="A177" t="str">
        <f ca="1">IFERROR(__xludf.DUMMYFUNCTION("""COMPUTED_VALUE"""),"Acetylated starch")</f>
        <v>Acetylated starch</v>
      </c>
      <c r="B177" t="str">
        <f ca="1">IFERROR(__xludf.DUMMYFUNCTION("""COMPUTED_VALUE"""),"RF-00000024-ADD")</f>
        <v>RF-00000024-ADD</v>
      </c>
    </row>
    <row r="178" spans="1:2" ht="12.5" x14ac:dyDescent="0.25">
      <c r="A178" t="str">
        <f ca="1">IFERROR(__xludf.DUMMYFUNCTION("""COMPUTED_VALUE"""),"Acetylechimidine")</f>
        <v>Acetylechimidine</v>
      </c>
      <c r="B178" t="str">
        <f ca="1">IFERROR(__xludf.DUMMYFUNCTION("""COMPUTED_VALUE"""),"RF-00000351-TOX")</f>
        <v>RF-00000351-TOX</v>
      </c>
    </row>
    <row r="179" spans="1:2" ht="12.5" x14ac:dyDescent="0.25">
      <c r="A179" t="str">
        <f ca="1">IFERROR(__xludf.DUMMYFUNCTION("""COMPUTED_VALUE"""),"Acetylechimidine-N-oxide")</f>
        <v>Acetylechimidine-N-oxide</v>
      </c>
      <c r="B179" t="str">
        <f ca="1">IFERROR(__xludf.DUMMYFUNCTION("""COMPUTED_VALUE"""),"RF-00000352-TOX")</f>
        <v>RF-00000352-TOX</v>
      </c>
    </row>
    <row r="180" spans="1:2" ht="12.5" x14ac:dyDescent="0.25">
      <c r="A180" t="str">
        <f ca="1">IFERROR(__xludf.DUMMYFUNCTION("""COMPUTED_VALUE"""),"Acetylerucifoline")</f>
        <v>Acetylerucifoline</v>
      </c>
      <c r="B180" t="str">
        <f ca="1">IFERROR(__xludf.DUMMYFUNCTION("""COMPUTED_VALUE"""),"RF-00000268-TOX")</f>
        <v>RF-00000268-TOX</v>
      </c>
    </row>
    <row r="181" spans="1:2" ht="12.5" x14ac:dyDescent="0.25">
      <c r="A181" t="str">
        <f ca="1">IFERROR(__xludf.DUMMYFUNCTION("""COMPUTED_VALUE"""),"Acetylerucifoline-N-oxide")</f>
        <v>Acetylerucifoline-N-oxide</v>
      </c>
      <c r="B181" t="str">
        <f ca="1">IFERROR(__xludf.DUMMYFUNCTION("""COMPUTED_VALUE"""),"RF-00000425-TOX")</f>
        <v>RF-00000425-TOX</v>
      </c>
    </row>
    <row r="182" spans="1:2" ht="12.5" x14ac:dyDescent="0.25">
      <c r="A182" t="str">
        <f ca="1">IFERROR(__xludf.DUMMYFUNCTION("""COMPUTED_VALUE"""),"Acetylisovaleryltylosin")</f>
        <v>Acetylisovaleryltylosin</v>
      </c>
      <c r="B182" t="str">
        <f ca="1">IFERROR(__xludf.DUMMYFUNCTION("""COMPUTED_VALUE"""),"RF-00000639-VET")</f>
        <v>RF-00000639-VET</v>
      </c>
    </row>
    <row r="183" spans="1:2" ht="12.5" x14ac:dyDescent="0.25">
      <c r="A183" t="str">
        <f ca="1">IFERROR(__xludf.DUMMYFUNCTION("""COMPUTED_VALUE"""),"Acetyllaburnine")</f>
        <v>Acetyllaburnine</v>
      </c>
      <c r="B183" t="str">
        <f ca="1">IFERROR(__xludf.DUMMYFUNCTION("""COMPUTED_VALUE"""),"RF-00000269-TOX")</f>
        <v>RF-00000269-TOX</v>
      </c>
    </row>
    <row r="184" spans="1:2" ht="12.5" x14ac:dyDescent="0.25">
      <c r="A184" t="str">
        <f ca="1">IFERROR(__xludf.DUMMYFUNCTION("""COMPUTED_VALUE"""),"Acetyllycopsamine-N-oxide")</f>
        <v>Acetyllycopsamine-N-oxide</v>
      </c>
      <c r="B184" t="str">
        <f ca="1">IFERROR(__xludf.DUMMYFUNCTION("""COMPUTED_VALUE"""),"RF-00000417-TOX")</f>
        <v>RF-00000417-TOX</v>
      </c>
    </row>
    <row r="185" spans="1:2" ht="12.5" x14ac:dyDescent="0.25">
      <c r="A185" t="str">
        <f ca="1">IFERROR(__xludf.DUMMYFUNCTION("""COMPUTED_VALUE"""),"Acetylsalicylic acid")</f>
        <v>Acetylsalicylic acid</v>
      </c>
      <c r="B185" t="str">
        <f ca="1">IFERROR(__xludf.DUMMYFUNCTION("""COMPUTED_VALUE"""),"RF-00000209-VET")</f>
        <v>RF-00000209-VET</v>
      </c>
    </row>
    <row r="186" spans="1:2" ht="12.5" x14ac:dyDescent="0.25">
      <c r="A186" t="str">
        <f ca="1">IFERROR(__xludf.DUMMYFUNCTION("""COMPUTED_VALUE"""),"Acetylseneciphylline")</f>
        <v>Acetylseneciphylline</v>
      </c>
      <c r="B186" t="str">
        <f ca="1">IFERROR(__xludf.DUMMYFUNCTION("""COMPUTED_VALUE"""),"RF-00000418-TOX")</f>
        <v>RF-00000418-TOX</v>
      </c>
    </row>
    <row r="187" spans="1:2" ht="12.5" x14ac:dyDescent="0.25">
      <c r="A187" t="str">
        <f ca="1">IFERROR(__xludf.DUMMYFUNCTION("""COMPUTED_VALUE"""),"Acetylseneciphylline-N-oxide")</f>
        <v>Acetylseneciphylline-N-oxide</v>
      </c>
      <c r="B187" t="str">
        <f ca="1">IFERROR(__xludf.DUMMYFUNCTION("""COMPUTED_VALUE"""),"RF-00000419-TOX")</f>
        <v>RF-00000419-TOX</v>
      </c>
    </row>
    <row r="188" spans="1:2" ht="12.5" x14ac:dyDescent="0.25">
      <c r="A188" t="str">
        <f ca="1">IFERROR(__xludf.DUMMYFUNCTION("""COMPUTED_VALUE"""),"Acibenzolar acid (CGA 210007)")</f>
        <v>Acibenzolar acid (CGA 210007)</v>
      </c>
      <c r="B188" t="str">
        <f ca="1">IFERROR(__xludf.DUMMYFUNCTION("""COMPUTED_VALUE"""),"RF-0016-003-PPP")</f>
        <v>RF-0016-003-PPP</v>
      </c>
    </row>
    <row r="189" spans="1:2" ht="12.5" x14ac:dyDescent="0.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x14ac:dyDescent="0.25">
      <c r="A190" t="str">
        <f ca="1">IFERROR(__xludf.DUMMYFUNCTION("""COMPUTED_VALUE"""),"Acid solubility in silique reversible")</f>
        <v>Acid solubility in silique reversible</v>
      </c>
      <c r="B190" t="str">
        <f ca="1">IFERROR(__xludf.DUMMYFUNCTION("""COMPUTED_VALUE"""),"RF-00000079-CHE")</f>
        <v>RF-00000079-CHE</v>
      </c>
    </row>
    <row r="191" spans="1:2" ht="12.5" x14ac:dyDescent="0.25">
      <c r="A191" t="str">
        <f ca="1">IFERROR(__xludf.DUMMYFUNCTION("""COMPUTED_VALUE"""),"Acifluorfen")</f>
        <v>Acifluorfen</v>
      </c>
      <c r="B191" t="str">
        <f ca="1">IFERROR(__xludf.DUMMYFUNCTION("""COMPUTED_VALUE"""),"RF-0461-001-PPP")</f>
        <v>RF-0461-001-PPP</v>
      </c>
    </row>
    <row r="192" spans="1:2" ht="12.5" x14ac:dyDescent="0.25">
      <c r="A192" t="str">
        <f ca="1">IFERROR(__xludf.DUMMYFUNCTION("""COMPUTED_VALUE"""),"Aclonifen")</f>
        <v>Aclonifen</v>
      </c>
      <c r="B192" t="str">
        <f ca="1">IFERROR(__xludf.DUMMYFUNCTION("""COMPUTED_VALUE"""),"RF-0017-001-PPP")</f>
        <v>RF-0017-001-PPP</v>
      </c>
    </row>
    <row r="193" spans="1:2" ht="12.5" x14ac:dyDescent="0.25">
      <c r="A193" t="str">
        <f ca="1">IFERROR(__xludf.DUMMYFUNCTION("""COMPUTED_VALUE"""),"Acrinathrin")</f>
        <v>Acrinathrin</v>
      </c>
      <c r="B193" t="str">
        <f ca="1">IFERROR(__xludf.DUMMYFUNCTION("""COMPUTED_VALUE"""),"RF-00000123-VET")</f>
        <v>RF-00000123-VET</v>
      </c>
    </row>
    <row r="194" spans="1:2" ht="12.5" x14ac:dyDescent="0.25">
      <c r="A194" t="str">
        <f ca="1">IFERROR(__xludf.DUMMYFUNCTION("""COMPUTED_VALUE"""),"Acrinathrin")</f>
        <v>Acrinathrin</v>
      </c>
      <c r="B194" t="str">
        <f ca="1">IFERROR(__xludf.DUMMYFUNCTION("""COMPUTED_VALUE"""),"RF-0018-001-PPP")</f>
        <v>RF-0018-001-PPP</v>
      </c>
    </row>
    <row r="195" spans="1:2" ht="12.5" x14ac:dyDescent="0.25">
      <c r="A195" t="str">
        <f ca="1">IFERROR(__xludf.DUMMYFUNCTION("""COMPUTED_VALUE"""),"Acrylamide")</f>
        <v>Acrylamide</v>
      </c>
      <c r="B195" t="str">
        <f ca="1">IFERROR(__xludf.DUMMYFUNCTION("""COMPUTED_VALUE"""),"RF-00000410-ORG")</f>
        <v>RF-00000410-ORG</v>
      </c>
    </row>
    <row r="196" spans="1:2" ht="12.5" x14ac:dyDescent="0.25">
      <c r="A196" t="str">
        <f ca="1">IFERROR(__xludf.DUMMYFUNCTION("""COMPUTED_VALUE"""),"ACT")</f>
        <v>ACT</v>
      </c>
      <c r="B196" t="str">
        <f ca="1">IFERROR(__xludf.DUMMYFUNCTION("""COMPUTED_VALUE"""),"RF-00000719-PAR")</f>
        <v>RF-00000719-PAR</v>
      </c>
    </row>
    <row r="197" spans="1:2" ht="12.5" x14ac:dyDescent="0.25">
      <c r="A197" t="str">
        <f ca="1">IFERROR(__xludf.DUMMYFUNCTION("""COMPUTED_VALUE"""),"ACT-1")</f>
        <v>ACT-1</v>
      </c>
      <c r="B197" t="str">
        <f ca="1">IFERROR(__xludf.DUMMYFUNCTION("""COMPUTED_VALUE"""),"RF-00000720-PAR")</f>
        <v>RF-00000720-PAR</v>
      </c>
    </row>
    <row r="198" spans="1:2" ht="12.5" x14ac:dyDescent="0.25">
      <c r="A198" t="str">
        <f ca="1">IFERROR(__xludf.DUMMYFUNCTION("""COMPUTED_VALUE"""),"ACT-10")</f>
        <v>ACT-10</v>
      </c>
      <c r="B198" t="str">
        <f ca="1">IFERROR(__xludf.DUMMYFUNCTION("""COMPUTED_VALUE"""),"RF-00000729-PAR")</f>
        <v>RF-00000729-PAR</v>
      </c>
    </row>
    <row r="199" spans="1:2" ht="12.5" x14ac:dyDescent="0.25">
      <c r="A199" t="str">
        <f ca="1">IFERROR(__xludf.DUMMYFUNCTION("""COMPUTED_VALUE"""),"ACT-11")</f>
        <v>ACT-11</v>
      </c>
      <c r="B199" t="str">
        <f ca="1">IFERROR(__xludf.DUMMYFUNCTION("""COMPUTED_VALUE"""),"RF-00000730-PAR")</f>
        <v>RF-00000730-PAR</v>
      </c>
    </row>
    <row r="200" spans="1:2" ht="12.5" x14ac:dyDescent="0.25">
      <c r="A200" t="str">
        <f ca="1">IFERROR(__xludf.DUMMYFUNCTION("""COMPUTED_VALUE"""),"ACT-12")</f>
        <v>ACT-12</v>
      </c>
      <c r="B200" t="str">
        <f ca="1">IFERROR(__xludf.DUMMYFUNCTION("""COMPUTED_VALUE"""),"RF-00000731-PAR")</f>
        <v>RF-00000731-PAR</v>
      </c>
    </row>
    <row r="201" spans="1:2" ht="12.5" x14ac:dyDescent="0.25">
      <c r="A201" t="str">
        <f ca="1">IFERROR(__xludf.DUMMYFUNCTION("""COMPUTED_VALUE"""),"ACT-13")</f>
        <v>ACT-13</v>
      </c>
      <c r="B201" t="str">
        <f ca="1">IFERROR(__xludf.DUMMYFUNCTION("""COMPUTED_VALUE"""),"RF-00000732-PAR")</f>
        <v>RF-00000732-PAR</v>
      </c>
    </row>
    <row r="202" spans="1:2" ht="12.5" x14ac:dyDescent="0.25">
      <c r="A202" t="str">
        <f ca="1">IFERROR(__xludf.DUMMYFUNCTION("""COMPUTED_VALUE"""),"ACT-14")</f>
        <v>ACT-14</v>
      </c>
      <c r="B202" t="str">
        <f ca="1">IFERROR(__xludf.DUMMYFUNCTION("""COMPUTED_VALUE"""),"RF-00000733-PAR")</f>
        <v>RF-00000733-PAR</v>
      </c>
    </row>
    <row r="203" spans="1:2" ht="12.5" x14ac:dyDescent="0.25">
      <c r="A203" t="str">
        <f ca="1">IFERROR(__xludf.DUMMYFUNCTION("""COMPUTED_VALUE"""),"ACT-15")</f>
        <v>ACT-15</v>
      </c>
      <c r="B203" t="str">
        <f ca="1">IFERROR(__xludf.DUMMYFUNCTION("""COMPUTED_VALUE"""),"RF-00000734-PAR")</f>
        <v>RF-00000734-PAR</v>
      </c>
    </row>
    <row r="204" spans="1:2" ht="12.5" x14ac:dyDescent="0.25">
      <c r="A204" t="str">
        <f ca="1">IFERROR(__xludf.DUMMYFUNCTION("""COMPUTED_VALUE"""),"ACT-16")</f>
        <v>ACT-16</v>
      </c>
      <c r="B204" t="str">
        <f ca="1">IFERROR(__xludf.DUMMYFUNCTION("""COMPUTED_VALUE"""),"RF-00000735-PAR")</f>
        <v>RF-00000735-PAR</v>
      </c>
    </row>
    <row r="205" spans="1:2" ht="12.5" x14ac:dyDescent="0.25">
      <c r="A205" t="str">
        <f ca="1">IFERROR(__xludf.DUMMYFUNCTION("""COMPUTED_VALUE"""),"ACT-17")</f>
        <v>ACT-17</v>
      </c>
      <c r="B205" t="str">
        <f ca="1">IFERROR(__xludf.DUMMYFUNCTION("""COMPUTED_VALUE"""),"RF-00000736-PAR")</f>
        <v>RF-00000736-PAR</v>
      </c>
    </row>
    <row r="206" spans="1:2" ht="12.5" x14ac:dyDescent="0.25">
      <c r="A206" t="str">
        <f ca="1">IFERROR(__xludf.DUMMYFUNCTION("""COMPUTED_VALUE"""),"ACT-18")</f>
        <v>ACT-18</v>
      </c>
      <c r="B206" t="str">
        <f ca="1">IFERROR(__xludf.DUMMYFUNCTION("""COMPUTED_VALUE"""),"RF-00000737-PAR")</f>
        <v>RF-00000737-PAR</v>
      </c>
    </row>
    <row r="207" spans="1:2" ht="12.5" x14ac:dyDescent="0.25">
      <c r="A207" t="str">
        <f ca="1">IFERROR(__xludf.DUMMYFUNCTION("""COMPUTED_VALUE"""),"ACT-19")</f>
        <v>ACT-19</v>
      </c>
      <c r="B207" t="str">
        <f ca="1">IFERROR(__xludf.DUMMYFUNCTION("""COMPUTED_VALUE"""),"RF-00000738-PAR")</f>
        <v>RF-00000738-PAR</v>
      </c>
    </row>
    <row r="208" spans="1:2" ht="12.5" x14ac:dyDescent="0.25">
      <c r="A208" t="str">
        <f ca="1">IFERROR(__xludf.DUMMYFUNCTION("""COMPUTED_VALUE"""),"ACT-2")</f>
        <v>ACT-2</v>
      </c>
      <c r="B208" t="str">
        <f ca="1">IFERROR(__xludf.DUMMYFUNCTION("""COMPUTED_VALUE"""),"RF-00000721-PAR")</f>
        <v>RF-00000721-PAR</v>
      </c>
    </row>
    <row r="209" spans="1:2" ht="12.5" x14ac:dyDescent="0.25">
      <c r="A209" t="str">
        <f ca="1">IFERROR(__xludf.DUMMYFUNCTION("""COMPUTED_VALUE"""),"ACT-3")</f>
        <v>ACT-3</v>
      </c>
      <c r="B209" t="str">
        <f ca="1">IFERROR(__xludf.DUMMYFUNCTION("""COMPUTED_VALUE"""),"RF-00000722-PAR")</f>
        <v>RF-00000722-PAR</v>
      </c>
    </row>
    <row r="210" spans="1:2" ht="12.5" x14ac:dyDescent="0.25">
      <c r="A210" t="str">
        <f ca="1">IFERROR(__xludf.DUMMYFUNCTION("""COMPUTED_VALUE"""),"ACT-4")</f>
        <v>ACT-4</v>
      </c>
      <c r="B210" t="str">
        <f ca="1">IFERROR(__xludf.DUMMYFUNCTION("""COMPUTED_VALUE"""),"RF-00000723-PAR")</f>
        <v>RF-00000723-PAR</v>
      </c>
    </row>
    <row r="211" spans="1:2" ht="12.5" x14ac:dyDescent="0.25">
      <c r="A211" t="str">
        <f ca="1">IFERROR(__xludf.DUMMYFUNCTION("""COMPUTED_VALUE"""),"ACT-5")</f>
        <v>ACT-5</v>
      </c>
      <c r="B211" t="str">
        <f ca="1">IFERROR(__xludf.DUMMYFUNCTION("""COMPUTED_VALUE"""),"RF-00000724-PAR")</f>
        <v>RF-00000724-PAR</v>
      </c>
    </row>
    <row r="212" spans="1:2" ht="12.5" x14ac:dyDescent="0.25">
      <c r="A212" t="str">
        <f ca="1">IFERROR(__xludf.DUMMYFUNCTION("""COMPUTED_VALUE"""),"ACT-6")</f>
        <v>ACT-6</v>
      </c>
      <c r="B212" t="str">
        <f ca="1">IFERROR(__xludf.DUMMYFUNCTION("""COMPUTED_VALUE"""),"RF-00000725-PAR")</f>
        <v>RF-00000725-PAR</v>
      </c>
    </row>
    <row r="213" spans="1:2" ht="12.5" x14ac:dyDescent="0.25">
      <c r="A213" t="str">
        <f ca="1">IFERROR(__xludf.DUMMYFUNCTION("""COMPUTED_VALUE"""),"ACT-7")</f>
        <v>ACT-7</v>
      </c>
      <c r="B213" t="str">
        <f ca="1">IFERROR(__xludf.DUMMYFUNCTION("""COMPUTED_VALUE"""),"RF-00000726-PAR")</f>
        <v>RF-00000726-PAR</v>
      </c>
    </row>
    <row r="214" spans="1:2" ht="12.5" x14ac:dyDescent="0.25">
      <c r="A214" t="str">
        <f ca="1">IFERROR(__xludf.DUMMYFUNCTION("""COMPUTED_VALUE"""),"ACT-8")</f>
        <v>ACT-8</v>
      </c>
      <c r="B214" t="str">
        <f ca="1">IFERROR(__xludf.DUMMYFUNCTION("""COMPUTED_VALUE"""),"RF-00000727-PAR")</f>
        <v>RF-00000727-PAR</v>
      </c>
    </row>
    <row r="215" spans="1:2" ht="12.5" x14ac:dyDescent="0.25">
      <c r="A215" t="str">
        <f ca="1">IFERROR(__xludf.DUMMYFUNCTION("""COMPUTED_VALUE"""),"ACT-9")</f>
        <v>ACT-9</v>
      </c>
      <c r="B215" t="str">
        <f ca="1">IFERROR(__xludf.DUMMYFUNCTION("""COMPUTED_VALUE"""),"RF-00000728-PAR")</f>
        <v>RF-00000728-PAR</v>
      </c>
    </row>
    <row r="216" spans="1:2" ht="12.5" x14ac:dyDescent="0.25">
      <c r="A216" t="str">
        <f ca="1">IFERROR(__xludf.DUMMYFUNCTION("""COMPUTED_VALUE"""),"Actinides")</f>
        <v>Actinides</v>
      </c>
      <c r="B216" t="str">
        <f ca="1">IFERROR(__xludf.DUMMYFUNCTION("""COMPUTED_VALUE"""),"RF-00000002-RAD")</f>
        <v>RF-00000002-RAD</v>
      </c>
    </row>
    <row r="217" spans="1:2" ht="12.5" x14ac:dyDescent="0.25">
      <c r="A217" t="str">
        <f ca="1">IFERROR(__xludf.DUMMYFUNCTION("""COMPUTED_VALUE"""),"Acybenzolar-S-methyl")</f>
        <v>Acybenzolar-S-methyl</v>
      </c>
      <c r="B217" t="str">
        <f ca="1">IFERROR(__xludf.DUMMYFUNCTION("""COMPUTED_VALUE"""),"RF-0016-002-PPP")</f>
        <v>RF-0016-002-PPP</v>
      </c>
    </row>
    <row r="218" spans="1:2" ht="12.5" x14ac:dyDescent="0.25">
      <c r="A218" t="str">
        <f ca="1">IFERROR(__xludf.DUMMYFUNCTION("""COMPUTED_VALUE"""),"Acylated forms of OA, DTX1 and DTX2 (DTX3)")</f>
        <v>Acylated forms of OA, DTX1 and DTX2 (DTX3)</v>
      </c>
      <c r="B218" t="str">
        <f ca="1">IFERROR(__xludf.DUMMYFUNCTION("""COMPUTED_VALUE"""),"RF-00000068-TOX")</f>
        <v>RF-00000068-TOX</v>
      </c>
    </row>
    <row r="219" spans="1:2" ht="12.5" x14ac:dyDescent="0.25">
      <c r="A219" t="str">
        <f ca="1">IFERROR(__xludf.DUMMYFUNCTION("""COMPUTED_VALUE"""),"Adenovirus")</f>
        <v>Adenovirus</v>
      </c>
      <c r="B219" t="str">
        <f ca="1">IFERROR(__xludf.DUMMYFUNCTION("""COMPUTED_VALUE"""),"RF-00000220-MCG")</f>
        <v>RF-00000220-MCG</v>
      </c>
    </row>
    <row r="220" spans="1:2" ht="12.5" x14ac:dyDescent="0.25">
      <c r="A220" t="str">
        <f ca="1">IFERROR(__xludf.DUMMYFUNCTION("""COMPUTED_VALUE"""),"Adipic acid")</f>
        <v>Adipic acid</v>
      </c>
      <c r="B220" t="str">
        <f ca="1">IFERROR(__xludf.DUMMYFUNCTION("""COMPUTED_VALUE"""),"RF-00000025-ADD")</f>
        <v>RF-00000025-ADD</v>
      </c>
    </row>
    <row r="221" spans="1:2" ht="12.5" x14ac:dyDescent="0.25">
      <c r="A221" t="str">
        <f ca="1">IFERROR(__xludf.DUMMYFUNCTION("""COMPUTED_VALUE"""),"Aeromonas")</f>
        <v>Aeromonas</v>
      </c>
      <c r="B221" t="str">
        <f ca="1">IFERROR(__xludf.DUMMYFUNCTION("""COMPUTED_VALUE"""),"RF-00002557-MCG")</f>
        <v>RF-00002557-MCG</v>
      </c>
    </row>
    <row r="222" spans="1:2" ht="12.5" x14ac:dyDescent="0.25">
      <c r="A222" t="str">
        <f ca="1">IFERROR(__xludf.DUMMYFUNCTION("""COMPUTED_VALUE"""),"Aeromonas caviae")</f>
        <v>Aeromonas caviae</v>
      </c>
      <c r="B222" t="str">
        <f ca="1">IFERROR(__xludf.DUMMYFUNCTION("""COMPUTED_VALUE"""),"RF-00002560-MCG")</f>
        <v>RF-00002560-MCG</v>
      </c>
    </row>
    <row r="223" spans="1:2" ht="12.5" x14ac:dyDescent="0.25">
      <c r="A223" t="str">
        <f ca="1">IFERROR(__xludf.DUMMYFUNCTION("""COMPUTED_VALUE"""),"Aeromonas hydrophila")</f>
        <v>Aeromonas hydrophila</v>
      </c>
      <c r="B223" t="str">
        <f ca="1">IFERROR(__xludf.DUMMYFUNCTION("""COMPUTED_VALUE"""),"RF-00002558-MCG")</f>
        <v>RF-00002558-MCG</v>
      </c>
    </row>
    <row r="224" spans="1:2" ht="12.5" x14ac:dyDescent="0.25">
      <c r="A224" t="str">
        <f ca="1">IFERROR(__xludf.DUMMYFUNCTION("""COMPUTED_VALUE"""),"Aeromonas spp., unspecified")</f>
        <v>Aeromonas spp., unspecified</v>
      </c>
      <c r="B224" t="str">
        <f ca="1">IFERROR(__xludf.DUMMYFUNCTION("""COMPUTED_VALUE"""),"RF-00002559-MCG")</f>
        <v>RF-00002559-MCG</v>
      </c>
    </row>
    <row r="225" spans="1:2" ht="12.5" x14ac:dyDescent="0.25">
      <c r="A225" t="str">
        <f ca="1">IFERROR(__xludf.DUMMYFUNCTION("""COMPUTED_VALUE"""),"Aeromonas veronii")</f>
        <v>Aeromonas veronii</v>
      </c>
      <c r="B225" t="str">
        <f ca="1">IFERROR(__xludf.DUMMYFUNCTION("""COMPUTED_VALUE"""),"RF-00002561-MCG")</f>
        <v>RF-00002561-MCG</v>
      </c>
    </row>
    <row r="226" spans="1:2" ht="12.5" x14ac:dyDescent="0.25">
      <c r="A226" t="str">
        <f ca="1">IFERROR(__xludf.DUMMYFUNCTION("""COMPUTED_VALUE"""),"Afipia")</f>
        <v>Afipia</v>
      </c>
      <c r="B226" t="str">
        <f ca="1">IFERROR(__xludf.DUMMYFUNCTION("""COMPUTED_VALUE"""),"RF-00002562-MCG")</f>
        <v>RF-00002562-MCG</v>
      </c>
    </row>
    <row r="227" spans="1:2" ht="12.5" x14ac:dyDescent="0.25">
      <c r="A227" t="str">
        <f ca="1">IFERROR(__xludf.DUMMYFUNCTION("""COMPUTED_VALUE"""),"Afipia felis")</f>
        <v>Afipia felis</v>
      </c>
      <c r="B227" t="str">
        <f ca="1">IFERROR(__xludf.DUMMYFUNCTION("""COMPUTED_VALUE"""),"RF-00002563-MCG")</f>
        <v>RF-00002563-MCG</v>
      </c>
    </row>
    <row r="228" spans="1:2" ht="12.5" x14ac:dyDescent="0.25">
      <c r="A228" t="str">
        <f ca="1">IFERROR(__xludf.DUMMYFUNCTION("""COMPUTED_VALUE"""),"Aflatoxin (sum of B1, B2, G1, G2)")</f>
        <v>Aflatoxin (sum of B1, B2, G1, G2)</v>
      </c>
      <c r="B228" t="str">
        <f ca="1">IFERROR(__xludf.DUMMYFUNCTION("""COMPUTED_VALUE"""),"RF-00000435-TOX")</f>
        <v>RF-00000435-TOX</v>
      </c>
    </row>
    <row r="229" spans="1:2" ht="12.5" x14ac:dyDescent="0.25">
      <c r="A229" t="str">
        <f ca="1">IFERROR(__xludf.DUMMYFUNCTION("""COMPUTED_VALUE"""),"Aflatoxin B1")</f>
        <v>Aflatoxin B1</v>
      </c>
      <c r="B229" t="str">
        <f ca="1">IFERROR(__xludf.DUMMYFUNCTION("""COMPUTED_VALUE"""),"RF-00000150-TOX")</f>
        <v>RF-00000150-TOX</v>
      </c>
    </row>
    <row r="230" spans="1:2" ht="12.5" x14ac:dyDescent="0.25">
      <c r="A230" t="str">
        <f ca="1">IFERROR(__xludf.DUMMYFUNCTION("""COMPUTED_VALUE"""),"Aflatoxin B2")</f>
        <v>Aflatoxin B2</v>
      </c>
      <c r="B230" t="str">
        <f ca="1">IFERROR(__xludf.DUMMYFUNCTION("""COMPUTED_VALUE"""),"RF-00000151-TOX")</f>
        <v>RF-00000151-TOX</v>
      </c>
    </row>
    <row r="231" spans="1:2" ht="12.5" x14ac:dyDescent="0.25">
      <c r="A231" t="str">
        <f ca="1">IFERROR(__xludf.DUMMYFUNCTION("""COMPUTED_VALUE"""),"Aflatoxin G1")</f>
        <v>Aflatoxin G1</v>
      </c>
      <c r="B231" t="str">
        <f ca="1">IFERROR(__xludf.DUMMYFUNCTION("""COMPUTED_VALUE"""),"RF-00000152-TOX")</f>
        <v>RF-00000152-TOX</v>
      </c>
    </row>
    <row r="232" spans="1:2" ht="12.5" x14ac:dyDescent="0.25">
      <c r="A232" t="str">
        <f ca="1">IFERROR(__xludf.DUMMYFUNCTION("""COMPUTED_VALUE"""),"Aflatoxin G2")</f>
        <v>Aflatoxin G2</v>
      </c>
      <c r="B232" t="str">
        <f ca="1">IFERROR(__xludf.DUMMYFUNCTION("""COMPUTED_VALUE"""),"RF-00000153-TOX")</f>
        <v>RF-00000153-TOX</v>
      </c>
    </row>
    <row r="233" spans="1:2" ht="12.5" x14ac:dyDescent="0.25">
      <c r="A233" t="str">
        <f ca="1">IFERROR(__xludf.DUMMYFUNCTION("""COMPUTED_VALUE"""),"Aflatoxin G5")</f>
        <v>Aflatoxin G5</v>
      </c>
      <c r="B233" t="str">
        <f ca="1">IFERROR(__xludf.DUMMYFUNCTION("""COMPUTED_VALUE"""),"RF-00000154-TOX")</f>
        <v>RF-00000154-TOX</v>
      </c>
    </row>
    <row r="234" spans="1:2" ht="12.5" x14ac:dyDescent="0.25">
      <c r="A234" t="str">
        <f ca="1">IFERROR(__xludf.DUMMYFUNCTION("""COMPUTED_VALUE"""),"Aflatoxin M1")</f>
        <v>Aflatoxin M1</v>
      </c>
      <c r="B234" t="str">
        <f ca="1">IFERROR(__xludf.DUMMYFUNCTION("""COMPUTED_VALUE"""),"RF-00000155-TOX")</f>
        <v>RF-00000155-TOX</v>
      </c>
    </row>
    <row r="235" spans="1:2" ht="12.5" x14ac:dyDescent="0.25">
      <c r="A235" t="str">
        <f ca="1">IFERROR(__xludf.DUMMYFUNCTION("""COMPUTED_VALUE"""),"Aflatoxin M2")</f>
        <v>Aflatoxin M2</v>
      </c>
      <c r="B235" t="str">
        <f ca="1">IFERROR(__xludf.DUMMYFUNCTION("""COMPUTED_VALUE"""),"RF-00000156-TOX")</f>
        <v>RF-00000156-TOX</v>
      </c>
    </row>
    <row r="236" spans="1:2" ht="12.5" x14ac:dyDescent="0.25">
      <c r="A236" t="str">
        <f ca="1">IFERROR(__xludf.DUMMYFUNCTION("""COMPUTED_VALUE"""),"Aflatoxins")</f>
        <v>Aflatoxins</v>
      </c>
      <c r="B236" t="str">
        <f ca="1">IFERROR(__xludf.DUMMYFUNCTION("""COMPUTED_VALUE"""),"RF-00000149-TOX")</f>
        <v>RF-00000149-TOX</v>
      </c>
    </row>
    <row r="237" spans="1:2" ht="12.5" x14ac:dyDescent="0.25">
      <c r="A237" t="str">
        <f ca="1">IFERROR(__xludf.DUMMYFUNCTION("""COMPUTED_VALUE"""),"Agar")</f>
        <v>Agar</v>
      </c>
      <c r="B237" t="str">
        <f ca="1">IFERROR(__xludf.DUMMYFUNCTION("""COMPUTED_VALUE"""),"RF-00000026-ADD")</f>
        <v>RF-00000026-ADD</v>
      </c>
    </row>
    <row r="238" spans="1:2" ht="12.5" x14ac:dyDescent="0.25">
      <c r="A238" t="str">
        <f ca="1">IFERROR(__xludf.DUMMYFUNCTION("""COMPUTED_VALUE"""),"Agmatine")</f>
        <v>Agmatine</v>
      </c>
      <c r="B238" t="str">
        <f ca="1">IFERROR(__xludf.DUMMYFUNCTION("""COMPUTED_VALUE"""),"RF-00000473-ORG")</f>
        <v>RF-00000473-ORG</v>
      </c>
    </row>
    <row r="239" spans="1:2" ht="12.5" x14ac:dyDescent="0.25">
      <c r="A239" t="str">
        <f ca="1">IFERROR(__xludf.DUMMYFUNCTION("""COMPUTED_VALUE"""),"Agroclavin")</f>
        <v>Agroclavin</v>
      </c>
      <c r="B239" t="str">
        <f ca="1">IFERROR(__xludf.DUMMYFUNCTION("""COMPUTED_VALUE"""),"RF-00000380-TOX")</f>
        <v>RF-00000380-TOX</v>
      </c>
    </row>
    <row r="240" spans="1:2" ht="12.5" x14ac:dyDescent="0.25">
      <c r="A240" t="str">
        <f ca="1">IFERROR(__xludf.DUMMYFUNCTION("""COMPUTED_VALUE"""),"AHD (1-aminohydantoin)")</f>
        <v>AHD (1-aminohydantoin)</v>
      </c>
      <c r="B240" t="str">
        <f ca="1">IFERROR(__xludf.DUMMYFUNCTION("""COMPUTED_VALUE"""),"RF-00000524-VET")</f>
        <v>RF-00000524-VET</v>
      </c>
    </row>
    <row r="241" spans="1:2" ht="12.5" x14ac:dyDescent="0.25">
      <c r="A241" t="str">
        <f ca="1">IFERROR(__xludf.DUMMYFUNCTION("""COMPUTED_VALUE"""),"Aichi virus")</f>
        <v>Aichi virus</v>
      </c>
      <c r="B241" t="str">
        <f ca="1">IFERROR(__xludf.DUMMYFUNCTION("""COMPUTED_VALUE"""),"RF-00002565-MCG")</f>
        <v>RF-00002565-MCG</v>
      </c>
    </row>
    <row r="242" spans="1:2" ht="12.5" x14ac:dyDescent="0.25">
      <c r="A242" t="str">
        <f ca="1">IFERROR(__xludf.DUMMYFUNCTION("""COMPUTED_VALUE"""),"Alachlor")</f>
        <v>Alachlor</v>
      </c>
      <c r="B242" t="str">
        <f ca="1">IFERROR(__xludf.DUMMYFUNCTION("""COMPUTED_VALUE"""),"RF-0019-001-PPP")</f>
        <v>RF-0019-001-PPP</v>
      </c>
    </row>
    <row r="243" spans="1:2" ht="12.5" x14ac:dyDescent="0.25">
      <c r="A243" t="str">
        <f ca="1">IFERROR(__xludf.DUMMYFUNCTION("""COMPUTED_VALUE"""),"alanine")</f>
        <v>alanine</v>
      </c>
      <c r="B243" t="str">
        <f ca="1">IFERROR(__xludf.DUMMYFUNCTION("""COMPUTED_VALUE"""),"RF-00000005-NTR")</f>
        <v>RF-00000005-NTR</v>
      </c>
    </row>
    <row r="244" spans="1:2" ht="12.5" x14ac:dyDescent="0.25">
      <c r="A244" t="str">
        <f ca="1">IFERROR(__xludf.DUMMYFUNCTION("""COMPUTED_VALUE"""),"Alanycarb")</f>
        <v>Alanycarb</v>
      </c>
      <c r="B244" t="str">
        <f ca="1">IFERROR(__xludf.DUMMYFUNCTION("""COMPUTED_VALUE"""),"RF-0462-001-PPP")</f>
        <v>RF-0462-001-PPP</v>
      </c>
    </row>
    <row r="245" spans="1:2" ht="12.5" x14ac:dyDescent="0.25">
      <c r="A245" t="str">
        <f ca="1">IFERROR(__xludf.DUMMYFUNCTION("""COMPUTED_VALUE"""),"Albendazol")</f>
        <v>Albendazol</v>
      </c>
      <c r="B245" t="str">
        <f ca="1">IFERROR(__xludf.DUMMYFUNCTION("""COMPUTED_VALUE"""),"RF-00000055-VET")</f>
        <v>RF-00000055-VET</v>
      </c>
    </row>
    <row r="246" spans="1:2" ht="12.5" x14ac:dyDescent="0.25">
      <c r="A246" t="str">
        <f ca="1">IFERROR(__xludf.DUMMYFUNCTION("""COMPUTED_VALUE"""),"Albendazol-2-aminosulfon")</f>
        <v>Albendazol-2-aminosulfon</v>
      </c>
      <c r="B246" t="str">
        <f ca="1">IFERROR(__xludf.DUMMYFUNCTION("""COMPUTED_VALUE"""),"RF-00000045-VET")</f>
        <v>RF-00000045-VET</v>
      </c>
    </row>
    <row r="247" spans="1:2" ht="12.5" x14ac:dyDescent="0.25">
      <c r="A247" t="str">
        <f ca="1">IFERROR(__xludf.DUMMYFUNCTION("""COMPUTED_VALUE"""),"Albendazolsulfon")</f>
        <v>Albendazolsulfon</v>
      </c>
      <c r="B247" t="str">
        <f ca="1">IFERROR(__xludf.DUMMYFUNCTION("""COMPUTED_VALUE"""),"RF-00000041-VET")</f>
        <v>RF-00000041-VET</v>
      </c>
    </row>
    <row r="248" spans="1:2" ht="12.5" x14ac:dyDescent="0.25">
      <c r="A248" t="str">
        <f ca="1">IFERROR(__xludf.DUMMYFUNCTION("""COMPUTED_VALUE"""),"Albendazolsulfoxide")</f>
        <v>Albendazolsulfoxide</v>
      </c>
      <c r="B248" t="str">
        <f ca="1">IFERROR(__xludf.DUMMYFUNCTION("""COMPUTED_VALUE"""),"RF-00000040-VET")</f>
        <v>RF-00000040-VET</v>
      </c>
    </row>
    <row r="249" spans="1:2" ht="12.5" x14ac:dyDescent="0.25">
      <c r="A249" t="str">
        <f ca="1">IFERROR(__xludf.DUMMYFUNCTION("""COMPUTED_VALUE"""),"albumin")</f>
        <v>albumin</v>
      </c>
      <c r="B249" t="str">
        <f ca="1">IFERROR(__xludf.DUMMYFUNCTION("""COMPUTED_VALUE"""),"RF-00000006-NTR")</f>
        <v>RF-00000006-NTR</v>
      </c>
    </row>
    <row r="250" spans="1:2" ht="12.5" x14ac:dyDescent="0.25">
      <c r="A250" t="str">
        <f ca="1">IFERROR(__xludf.DUMMYFUNCTION("""COMPUTED_VALUE"""),"alcohol (ethanol)")</f>
        <v>alcohol (ethanol)</v>
      </c>
      <c r="B250" t="str">
        <f ca="1">IFERROR(__xludf.DUMMYFUNCTION("""COMPUTED_VALUE"""),"RF-00000007-NTR")</f>
        <v>RF-00000007-NTR</v>
      </c>
    </row>
    <row r="251" spans="1:2" ht="12.5" x14ac:dyDescent="0.25">
      <c r="A251" t="str">
        <f ca="1">IFERROR(__xludf.DUMMYFUNCTION("""COMPUTED_VALUE"""),"Aldicarb")</f>
        <v>Aldicarb</v>
      </c>
      <c r="B251" t="str">
        <f ca="1">IFERROR(__xludf.DUMMYFUNCTION("""COMPUTED_VALUE"""),"RF-00000121-VET")</f>
        <v>RF-00000121-VET</v>
      </c>
    </row>
    <row r="252" spans="1:2" ht="12.5" x14ac:dyDescent="0.25">
      <c r="A252" t="str">
        <f ca="1">IFERROR(__xludf.DUMMYFUNCTION("""COMPUTED_VALUE"""),"Aldicarb")</f>
        <v>Aldicarb</v>
      </c>
      <c r="B252" t="str">
        <f ca="1">IFERROR(__xludf.DUMMYFUNCTION("""COMPUTED_VALUE"""),"RF-0020-002-PPP")</f>
        <v>RF-0020-002-PPP</v>
      </c>
    </row>
    <row r="253" spans="1:2" ht="12.5" x14ac:dyDescent="0.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x14ac:dyDescent="0.25">
      <c r="A254" t="str">
        <f ca="1">IFERROR(__xludf.DUMMYFUNCTION("""COMPUTED_VALUE"""),"Aldicarb-sulfone")</f>
        <v>Aldicarb-sulfone</v>
      </c>
      <c r="B254" t="str">
        <f ca="1">IFERROR(__xludf.DUMMYFUNCTION("""COMPUTED_VALUE"""),"RF-00000116-VET")</f>
        <v>RF-00000116-VET</v>
      </c>
    </row>
    <row r="255" spans="1:2" ht="12.5" x14ac:dyDescent="0.25">
      <c r="A255" t="str">
        <f ca="1">IFERROR(__xludf.DUMMYFUNCTION("""COMPUTED_VALUE"""),"Aldicarb-Sulfone")</f>
        <v>Aldicarb-Sulfone</v>
      </c>
      <c r="B255" t="str">
        <f ca="1">IFERROR(__xludf.DUMMYFUNCTION("""COMPUTED_VALUE"""),"RF-0020-004-PPP")</f>
        <v>RF-0020-004-PPP</v>
      </c>
    </row>
    <row r="256" spans="1:2" ht="12.5" x14ac:dyDescent="0.25">
      <c r="A256" t="str">
        <f ca="1">IFERROR(__xludf.DUMMYFUNCTION("""COMPUTED_VALUE"""),"Aldicarb-sulfoxide")</f>
        <v>Aldicarb-sulfoxide</v>
      </c>
      <c r="B256" t="str">
        <f ca="1">IFERROR(__xludf.DUMMYFUNCTION("""COMPUTED_VALUE"""),"RF-00000105-VET")</f>
        <v>RF-00000105-VET</v>
      </c>
    </row>
    <row r="257" spans="1:2" ht="12.5" x14ac:dyDescent="0.25">
      <c r="A257" t="str">
        <f ca="1">IFERROR(__xludf.DUMMYFUNCTION("""COMPUTED_VALUE"""),"Aldicarb-Sulfoxide")</f>
        <v>Aldicarb-Sulfoxide</v>
      </c>
      <c r="B257" t="str">
        <f ca="1">IFERROR(__xludf.DUMMYFUNCTION("""COMPUTED_VALUE"""),"RF-0020-003-PPP")</f>
        <v>RF-0020-003-PPP</v>
      </c>
    </row>
    <row r="258" spans="1:2" ht="12.5" x14ac:dyDescent="0.25">
      <c r="A258" t="str">
        <f ca="1">IFERROR(__xludf.DUMMYFUNCTION("""COMPUTED_VALUE"""),"Aldimorph")</f>
        <v>Aldimorph</v>
      </c>
      <c r="B258" t="str">
        <f ca="1">IFERROR(__xludf.DUMMYFUNCTION("""COMPUTED_VALUE"""),"RF-0463-001-PPP")</f>
        <v>RF-0463-001-PPP</v>
      </c>
    </row>
    <row r="259" spans="1:2" ht="12.5" x14ac:dyDescent="0.25">
      <c r="A259" t="str">
        <f ca="1">IFERROR(__xludf.DUMMYFUNCTION("""COMPUTED_VALUE"""),"Aldrin")</f>
        <v>Aldrin</v>
      </c>
      <c r="B259" t="str">
        <f ca="1">IFERROR(__xludf.DUMMYFUNCTION("""COMPUTED_VALUE"""),"RF-0021-002-PPP")</f>
        <v>RF-0021-002-PPP</v>
      </c>
    </row>
    <row r="260" spans="1:2" ht="12.5" x14ac:dyDescent="0.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x14ac:dyDescent="0.25">
      <c r="A261" t="str">
        <f ca="1">IFERROR(__xludf.DUMMYFUNCTION("""COMPUTED_VALUE"""),"Alfa activity")</f>
        <v>Alfa activity</v>
      </c>
      <c r="B261" t="str">
        <f ca="1">IFERROR(__xludf.DUMMYFUNCTION("""COMPUTED_VALUE"""),"RF-00000003-RAD")</f>
        <v>RF-00000003-RAD</v>
      </c>
    </row>
    <row r="262" spans="1:2" ht="12.5" x14ac:dyDescent="0.25">
      <c r="A262" t="str">
        <f ca="1">IFERROR(__xludf.DUMMYFUNCTION("""COMPUTED_VALUE"""),"Alginic acid")</f>
        <v>Alginic acid</v>
      </c>
      <c r="B262" t="str">
        <f ca="1">IFERROR(__xludf.DUMMYFUNCTION("""COMPUTED_VALUE"""),"RF-00000027-ADD")</f>
        <v>RF-00000027-ADD</v>
      </c>
    </row>
    <row r="263" spans="1:2" ht="12.5" x14ac:dyDescent="0.25">
      <c r="A263" t="str">
        <f ca="1">IFERROR(__xludf.DUMMYFUNCTION("""COMPUTED_VALUE"""),"Alkyl phthalates")</f>
        <v>Alkyl phthalates</v>
      </c>
      <c r="B263" t="str">
        <f ca="1">IFERROR(__xludf.DUMMYFUNCTION("""COMPUTED_VALUE"""),"RF-00000002-ORG")</f>
        <v>RF-00000002-ORG</v>
      </c>
    </row>
    <row r="264" spans="1:2" ht="12.5" x14ac:dyDescent="0.25">
      <c r="A264" t="str">
        <f ca="1">IFERROR(__xludf.DUMMYFUNCTION("""COMPUTED_VALUE"""),"all-trans retinol")</f>
        <v>all-trans retinol</v>
      </c>
      <c r="B264" t="str">
        <f ca="1">IFERROR(__xludf.DUMMYFUNCTION("""COMPUTED_VALUE"""),"RF-00000008-NTR")</f>
        <v>RF-00000008-NTR</v>
      </c>
    </row>
    <row r="265" spans="1:2" ht="12.5" x14ac:dyDescent="0.25">
      <c r="A265" t="str">
        <f ca="1">IFERROR(__xludf.DUMMYFUNCTION("""COMPUTED_VALUE"""),"all-trans retinol equivalents")</f>
        <v>all-trans retinol equivalents</v>
      </c>
      <c r="B265" t="str">
        <f ca="1">IFERROR(__xludf.DUMMYFUNCTION("""COMPUTED_VALUE"""),"RF-00000009-NTR")</f>
        <v>RF-00000009-NTR</v>
      </c>
    </row>
    <row r="266" spans="1:2" ht="12.5" x14ac:dyDescent="0.25">
      <c r="A266" t="str">
        <f ca="1">IFERROR(__xludf.DUMMYFUNCTION("""COMPUTED_VALUE"""),"Allethrin")</f>
        <v>Allethrin</v>
      </c>
      <c r="B266" t="str">
        <f ca="1">IFERROR(__xludf.DUMMYFUNCTION("""COMPUTED_VALUE"""),"RF-00000110-VET")</f>
        <v>RF-00000110-VET</v>
      </c>
    </row>
    <row r="267" spans="1:2" ht="12.5" x14ac:dyDescent="0.25">
      <c r="A267" t="str">
        <f ca="1">IFERROR(__xludf.DUMMYFUNCTION("""COMPUTED_VALUE"""),"Allethrin")</f>
        <v>Allethrin</v>
      </c>
      <c r="B267" t="str">
        <f ca="1">IFERROR(__xludf.DUMMYFUNCTION("""COMPUTED_VALUE"""),"RF-0464-001-PPP")</f>
        <v>RF-0464-001-PPP</v>
      </c>
    </row>
    <row r="268" spans="1:2" ht="12.5" x14ac:dyDescent="0.25">
      <c r="A268" t="str">
        <f ca="1">IFERROR(__xludf.DUMMYFUNCTION("""COMPUTED_VALUE"""),"Allidochlor")</f>
        <v>Allidochlor</v>
      </c>
      <c r="B268" t="str">
        <f ca="1">IFERROR(__xludf.DUMMYFUNCTION("""COMPUTED_VALUE"""),"RF-1023-001-PPP")</f>
        <v>RF-1023-001-PPP</v>
      </c>
    </row>
    <row r="269" spans="1:2" ht="12.5" x14ac:dyDescent="0.25">
      <c r="A269" t="str">
        <f ca="1">IFERROR(__xludf.DUMMYFUNCTION("""COMPUTED_VALUE"""),"Alloxydim")</f>
        <v>Alloxydim</v>
      </c>
      <c r="B269" t="str">
        <f ca="1">IFERROR(__xludf.DUMMYFUNCTION("""COMPUTED_VALUE"""),"RF-0465-001-PPP")</f>
        <v>RF-0465-001-PPP</v>
      </c>
    </row>
    <row r="270" spans="1:2" ht="12.5" x14ac:dyDescent="0.25">
      <c r="A270" t="str">
        <f ca="1">IFERROR(__xludf.DUMMYFUNCTION("""COMPUTED_VALUE"""),"Allura Red AC")</f>
        <v>Allura Red AC</v>
      </c>
      <c r="B270" t="str">
        <f ca="1">IFERROR(__xludf.DUMMYFUNCTION("""COMPUTED_VALUE"""),"RF-00000028-ADD")</f>
        <v>RF-00000028-ADD</v>
      </c>
    </row>
    <row r="271" spans="1:2" ht="12.5" x14ac:dyDescent="0.25">
      <c r="A271" t="str">
        <f ca="1">IFERROR(__xludf.DUMMYFUNCTION("""COMPUTED_VALUE"""),"Allyl isothiocyanate")</f>
        <v>Allyl isothiocyanate</v>
      </c>
      <c r="B271" t="str">
        <f ca="1">IFERROR(__xludf.DUMMYFUNCTION("""COMPUTED_VALUE"""),"RF-00000024-CHE")</f>
        <v>RF-00000024-CHE</v>
      </c>
    </row>
    <row r="272" spans="1:2" ht="12.5" x14ac:dyDescent="0.25">
      <c r="A272" t="str">
        <f ca="1">IFERROR(__xludf.DUMMYFUNCTION("""COMPUTED_VALUE"""),"Allyltrenbolone (Altrenogest)")</f>
        <v>Allyltrenbolone (Altrenogest)</v>
      </c>
      <c r="B272" t="str">
        <f ca="1">IFERROR(__xludf.DUMMYFUNCTION("""COMPUTED_VALUE"""),"RF-00000310-VET")</f>
        <v>RF-00000310-VET</v>
      </c>
    </row>
    <row r="273" spans="1:2" ht="12.5" x14ac:dyDescent="0.25">
      <c r="A273" t="str">
        <f ca="1">IFERROR(__xludf.DUMMYFUNCTION("""COMPUTED_VALUE"""),"alpha galactosides")</f>
        <v>alpha galactosides</v>
      </c>
      <c r="B273" t="str">
        <f ca="1">IFERROR(__xludf.DUMMYFUNCTION("""COMPUTED_VALUE"""),"RF-00000010-NTR")</f>
        <v>RF-00000010-NTR</v>
      </c>
    </row>
    <row r="274" spans="1:2" ht="12.5" x14ac:dyDescent="0.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x14ac:dyDescent="0.25">
      <c r="A275" t="str">
        <f ca="1">IFERROR(__xludf.DUMMYFUNCTION("""COMPUTED_VALUE"""),"alpha-carotene")</f>
        <v>alpha-carotene</v>
      </c>
      <c r="B275" t="str">
        <f ca="1">IFERROR(__xludf.DUMMYFUNCTION("""COMPUTED_VALUE"""),"RF-00000011-NTR")</f>
        <v>RF-00000011-NTR</v>
      </c>
    </row>
    <row r="276" spans="1:2" ht="12.5" x14ac:dyDescent="0.25">
      <c r="A276" t="str">
        <f ca="1">IFERROR(__xludf.DUMMYFUNCTION("""COMPUTED_VALUE"""),"alpha-cryptoxanthin")</f>
        <v>alpha-cryptoxanthin</v>
      </c>
      <c r="B276" t="str">
        <f ca="1">IFERROR(__xludf.DUMMYFUNCTION("""COMPUTED_VALUE"""),"RF-00000012-NTR")</f>
        <v>RF-00000012-NTR</v>
      </c>
    </row>
    <row r="277" spans="1:2" ht="12.5" x14ac:dyDescent="0.25">
      <c r="A277" t="str">
        <f ca="1">IFERROR(__xludf.DUMMYFUNCTION("""COMPUTED_VALUE"""),"alpha-Ergocryptine")</f>
        <v>alpha-Ergocryptine</v>
      </c>
      <c r="B277" t="str">
        <f ca="1">IFERROR(__xludf.DUMMYFUNCTION("""COMPUTED_VALUE"""),"RF-00000138-TOX")</f>
        <v>RF-00000138-TOX</v>
      </c>
    </row>
    <row r="278" spans="1:2" ht="12.5" x14ac:dyDescent="0.25">
      <c r="A278" t="str">
        <f ca="1">IFERROR(__xludf.DUMMYFUNCTION("""COMPUTED_VALUE"""),"alpha-Ergocryptinine")</f>
        <v>alpha-Ergocryptinine</v>
      </c>
      <c r="B278" t="str">
        <f ca="1">IFERROR(__xludf.DUMMYFUNCTION("""COMPUTED_VALUE"""),"RF-00000145-TOX")</f>
        <v>RF-00000145-TOX</v>
      </c>
    </row>
    <row r="279" spans="1:2" ht="12.5" x14ac:dyDescent="0.25">
      <c r="A279" t="str">
        <f ca="1">IFERROR(__xludf.DUMMYFUNCTION("""COMPUTED_VALUE"""),"Alpha-tocopherol")</f>
        <v>Alpha-tocopherol</v>
      </c>
      <c r="B279" t="str">
        <f ca="1">IFERROR(__xludf.DUMMYFUNCTION("""COMPUTED_VALUE"""),"RF-00000029-ADD")</f>
        <v>RF-00000029-ADD</v>
      </c>
    </row>
    <row r="280" spans="1:2" ht="12.5" x14ac:dyDescent="0.25">
      <c r="A280" t="str">
        <f ca="1">IFERROR(__xludf.DUMMYFUNCTION("""COMPUTED_VALUE"""),"alpha-tocotrienol")</f>
        <v>alpha-tocotrienol</v>
      </c>
      <c r="B280" t="str">
        <f ca="1">IFERROR(__xludf.DUMMYFUNCTION("""COMPUTED_VALUE"""),"RF-00000013-NTR")</f>
        <v>RF-00000013-NTR</v>
      </c>
    </row>
    <row r="281" spans="1:2" ht="12.5" x14ac:dyDescent="0.25">
      <c r="A281" t="str">
        <f ca="1">IFERROR(__xludf.DUMMYFUNCTION("""COMPUTED_VALUE"""),"Alpha-Zearalanol (Zeranol)")</f>
        <v>Alpha-Zearalanol (Zeranol)</v>
      </c>
      <c r="B281" t="str">
        <f ca="1">IFERROR(__xludf.DUMMYFUNCTION("""COMPUTED_VALUE"""),"RF-00000449-VET")</f>
        <v>RF-00000449-VET</v>
      </c>
    </row>
    <row r="282" spans="1:2" ht="12.5" x14ac:dyDescent="0.25">
      <c r="A282" t="str">
        <f ca="1">IFERROR(__xludf.DUMMYFUNCTION("""COMPUTED_VALUE"""),"Alphamethrin")</f>
        <v>Alphamethrin</v>
      </c>
      <c r="B282" t="str">
        <f ca="1">IFERROR(__xludf.DUMMYFUNCTION("""COMPUTED_VALUE"""),"RF-0112-002-PPP")</f>
        <v>RF-0112-002-PPP</v>
      </c>
    </row>
    <row r="283" spans="1:2" ht="12.5" x14ac:dyDescent="0.25">
      <c r="A283" t="str">
        <f ca="1">IFERROR(__xludf.DUMMYFUNCTION("""COMPUTED_VALUE"""),"Alphavirus")</f>
        <v>Alphavirus</v>
      </c>
      <c r="B283" t="str">
        <f ca="1">IFERROR(__xludf.DUMMYFUNCTION("""COMPUTED_VALUE"""),"RF-00002644-MCG")</f>
        <v>RF-00002644-MCG</v>
      </c>
    </row>
    <row r="284" spans="1:2" ht="12.5" x14ac:dyDescent="0.25">
      <c r="A284" t="str">
        <f ca="1">IFERROR(__xludf.DUMMYFUNCTION("""COMPUTED_VALUE"""),"Alphavirus Chickungunya virus")</f>
        <v>Alphavirus Chickungunya virus</v>
      </c>
      <c r="B284" t="str">
        <f ca="1">IFERROR(__xludf.DUMMYFUNCTION("""COMPUTED_VALUE"""),"RF-00002646-MCG")</f>
        <v>RF-00002646-MCG</v>
      </c>
    </row>
    <row r="285" spans="1:2" ht="12.5" x14ac:dyDescent="0.25">
      <c r="A285" t="str">
        <f ca="1">IFERROR(__xludf.DUMMYFUNCTION("""COMPUTED_VALUE"""),"Alphavirus Eastern equine encephalitis virus")</f>
        <v>Alphavirus Eastern equine encephalitis virus</v>
      </c>
      <c r="B285" t="str">
        <f ca="1">IFERROR(__xludf.DUMMYFUNCTION("""COMPUTED_VALUE"""),"RF-00002648-MCG")</f>
        <v>RF-00002648-MCG</v>
      </c>
    </row>
    <row r="286" spans="1:2" ht="12.5" x14ac:dyDescent="0.25">
      <c r="A286" t="str">
        <f ca="1">IFERROR(__xludf.DUMMYFUNCTION("""COMPUTED_VALUE"""),"Alphavirus Sindbis virus (ockelbo)")</f>
        <v>Alphavirus Sindbis virus (ockelbo)</v>
      </c>
      <c r="B286" t="str">
        <f ca="1">IFERROR(__xludf.DUMMYFUNCTION("""COMPUTED_VALUE"""),"RF-00002647-MCG")</f>
        <v>RF-00002647-MCG</v>
      </c>
    </row>
    <row r="287" spans="1:2" ht="12.5" x14ac:dyDescent="0.25">
      <c r="A287" t="str">
        <f ca="1">IFERROR(__xludf.DUMMYFUNCTION("""COMPUTED_VALUE"""),"Alphavirus spp., unidentified")</f>
        <v>Alphavirus spp., unidentified</v>
      </c>
      <c r="B287" t="str">
        <f ca="1">IFERROR(__xludf.DUMMYFUNCTION("""COMPUTED_VALUE"""),"RF-00002645-MCG")</f>
        <v>RF-00002645-MCG</v>
      </c>
    </row>
    <row r="288" spans="1:2" ht="12.5" x14ac:dyDescent="0.25">
      <c r="A288" t="str">
        <f ca="1">IFERROR(__xludf.DUMMYFUNCTION("""COMPUTED_VALUE"""),"Alphavirus Western equine encephalitis virus")</f>
        <v>Alphavirus Western equine encephalitis virus</v>
      </c>
      <c r="B288" t="str">
        <f ca="1">IFERROR(__xludf.DUMMYFUNCTION("""COMPUTED_VALUE"""),"RF-00002649-MCG")</f>
        <v>RF-00002649-MCG</v>
      </c>
    </row>
    <row r="289" spans="1:2" ht="12.5" x14ac:dyDescent="0.25">
      <c r="A289" t="str">
        <f ca="1">IFERROR(__xludf.DUMMYFUNCTION("""COMPUTED_VALUE"""),"Alprazolam")</f>
        <v>Alprazolam</v>
      </c>
      <c r="B289" t="str">
        <f ca="1">IFERROR(__xludf.DUMMYFUNCTION("""COMPUTED_VALUE"""),"RF-00000173-VET")</f>
        <v>RF-00000173-VET</v>
      </c>
    </row>
    <row r="290" spans="1:2" ht="12.5" x14ac:dyDescent="0.25">
      <c r="A290" t="str">
        <f ca="1">IFERROR(__xludf.DUMMYFUNCTION("""COMPUTED_VALUE"""),"Altenuene")</f>
        <v>Altenuene</v>
      </c>
      <c r="B290" t="str">
        <f ca="1">IFERROR(__xludf.DUMMYFUNCTION("""COMPUTED_VALUE"""),"RF-00000193-TOX")</f>
        <v>RF-00000193-TOX</v>
      </c>
    </row>
    <row r="291" spans="1:2" ht="12.5" x14ac:dyDescent="0.25">
      <c r="A291" t="str">
        <f ca="1">IFERROR(__xludf.DUMMYFUNCTION("""COMPUTED_VALUE"""),"Altenuisol")</f>
        <v>Altenuisol</v>
      </c>
      <c r="B291" t="str">
        <f ca="1">IFERROR(__xludf.DUMMYFUNCTION("""COMPUTED_VALUE"""),"RF-00000200-TOX")</f>
        <v>RF-00000200-TOX</v>
      </c>
    </row>
    <row r="292" spans="1:2" ht="12.5" x14ac:dyDescent="0.25">
      <c r="A292" t="str">
        <f ca="1">IFERROR(__xludf.DUMMYFUNCTION("""COMPUTED_VALUE"""),"Alternaria alternata f. sp. lycopersici toxins")</f>
        <v>Alternaria alternata f. sp. lycopersici toxins</v>
      </c>
      <c r="B292" t="str">
        <f ca="1">IFERROR(__xludf.DUMMYFUNCTION("""COMPUTED_VALUE"""),"RF-00000206-TOX")</f>
        <v>RF-00000206-TOX</v>
      </c>
    </row>
    <row r="293" spans="1:2" ht="12.5" x14ac:dyDescent="0.25">
      <c r="A293" t="str">
        <f ca="1">IFERROR(__xludf.DUMMYFUNCTION("""COMPUTED_VALUE"""),"Alternaria toxins")</f>
        <v>Alternaria toxins</v>
      </c>
      <c r="B293" t="str">
        <f ca="1">IFERROR(__xludf.DUMMYFUNCTION("""COMPUTED_VALUE"""),"RF-00000190-TOX")</f>
        <v>RF-00000190-TOX</v>
      </c>
    </row>
    <row r="294" spans="1:2" ht="12.5" x14ac:dyDescent="0.25">
      <c r="A294" t="str">
        <f ca="1">IFERROR(__xludf.DUMMYFUNCTION("""COMPUTED_VALUE"""),"Alternariol")</f>
        <v>Alternariol</v>
      </c>
      <c r="B294" t="str">
        <f ca="1">IFERROR(__xludf.DUMMYFUNCTION("""COMPUTED_VALUE"""),"RF-00000191-TOX")</f>
        <v>RF-00000191-TOX</v>
      </c>
    </row>
    <row r="295" spans="1:2" ht="12.5" x14ac:dyDescent="0.25">
      <c r="A295" t="str">
        <f ca="1">IFERROR(__xludf.DUMMYFUNCTION("""COMPUTED_VALUE"""),"Alternariol monomethyl ether")</f>
        <v>Alternariol monomethyl ether</v>
      </c>
      <c r="B295" t="str">
        <f ca="1">IFERROR(__xludf.DUMMYFUNCTION("""COMPUTED_VALUE"""),"RF-00000192-TOX")</f>
        <v>RF-00000192-TOX</v>
      </c>
    </row>
    <row r="296" spans="1:2" ht="12.5" x14ac:dyDescent="0.25">
      <c r="A296" t="str">
        <f ca="1">IFERROR(__xludf.DUMMYFUNCTION("""COMPUTED_VALUE"""),"Altertoxin I")</f>
        <v>Altertoxin I</v>
      </c>
      <c r="B296" t="str">
        <f ca="1">IFERROR(__xludf.DUMMYFUNCTION("""COMPUTED_VALUE"""),"RF-00000202-TOX")</f>
        <v>RF-00000202-TOX</v>
      </c>
    </row>
    <row r="297" spans="1:2" ht="12.5" x14ac:dyDescent="0.25">
      <c r="A297" t="str">
        <f ca="1">IFERROR(__xludf.DUMMYFUNCTION("""COMPUTED_VALUE"""),"Altertoxin II")</f>
        <v>Altertoxin II</v>
      </c>
      <c r="B297" t="str">
        <f ca="1">IFERROR(__xludf.DUMMYFUNCTION("""COMPUTED_VALUE"""),"RF-00000203-TOX")</f>
        <v>RF-00000203-TOX</v>
      </c>
    </row>
    <row r="298" spans="1:2" ht="12.5" x14ac:dyDescent="0.25">
      <c r="A298" t="str">
        <f ca="1">IFERROR(__xludf.DUMMYFUNCTION("""COMPUTED_VALUE"""),"Altertoxin III")</f>
        <v>Altertoxin III</v>
      </c>
      <c r="B298" t="str">
        <f ca="1">IFERROR(__xludf.DUMMYFUNCTION("""COMPUTED_VALUE"""),"RF-00000204-TOX")</f>
        <v>RF-00000204-TOX</v>
      </c>
    </row>
    <row r="299" spans="1:2" ht="12.5" x14ac:dyDescent="0.25">
      <c r="A299" t="str">
        <f ca="1">IFERROR(__xludf.DUMMYFUNCTION("""COMPUTED_VALUE"""),"Altertoxins")</f>
        <v>Altertoxins</v>
      </c>
      <c r="B299" t="str">
        <f ca="1">IFERROR(__xludf.DUMMYFUNCTION("""COMPUTED_VALUE"""),"RF-00000201-TOX")</f>
        <v>RF-00000201-TOX</v>
      </c>
    </row>
    <row r="300" spans="1:2" ht="12.5" x14ac:dyDescent="0.25">
      <c r="A300" t="str">
        <f ca="1">IFERROR(__xludf.DUMMYFUNCTION("""COMPUTED_VALUE"""),"Aluminium")</f>
        <v>Aluminium</v>
      </c>
      <c r="B300" t="str">
        <f ca="1">IFERROR(__xludf.DUMMYFUNCTION("""COMPUTED_VALUE"""),"RF-00000030-ADD")</f>
        <v>RF-00000030-ADD</v>
      </c>
    </row>
    <row r="301" spans="1:2" ht="12.5" x14ac:dyDescent="0.25">
      <c r="A301" t="str">
        <f ca="1">IFERROR(__xludf.DUMMYFUNCTION("""COMPUTED_VALUE"""),"Aluminium ammonium sulphate")</f>
        <v>Aluminium ammonium sulphate</v>
      </c>
      <c r="B301" t="str">
        <f ca="1">IFERROR(__xludf.DUMMYFUNCTION("""COMPUTED_VALUE"""),"RF-00000031-ADD")</f>
        <v>RF-00000031-ADD</v>
      </c>
    </row>
    <row r="302" spans="1:2" ht="12.5" x14ac:dyDescent="0.25">
      <c r="A302" t="str">
        <f ca="1">IFERROR(__xludf.DUMMYFUNCTION("""COMPUTED_VALUE"""),"Aluminium potassium sulphate")</f>
        <v>Aluminium potassium sulphate</v>
      </c>
      <c r="B302" t="str">
        <f ca="1">IFERROR(__xludf.DUMMYFUNCTION("""COMPUTED_VALUE"""),"RF-00000032-ADD")</f>
        <v>RF-00000032-ADD</v>
      </c>
    </row>
    <row r="303" spans="1:2" ht="12.5" x14ac:dyDescent="0.25">
      <c r="A303" t="str">
        <f ca="1">IFERROR(__xludf.DUMMYFUNCTION("""COMPUTED_VALUE"""),"Aluminium silicate (Kaolin)")</f>
        <v>Aluminium silicate (Kaolin)</v>
      </c>
      <c r="B303" t="str">
        <f ca="1">IFERROR(__xludf.DUMMYFUNCTION("""COMPUTED_VALUE"""),"RF-00000033-ADD")</f>
        <v>RF-00000033-ADD</v>
      </c>
    </row>
    <row r="304" spans="1:2" ht="12.5" x14ac:dyDescent="0.25">
      <c r="A304" t="str">
        <f ca="1">IFERROR(__xludf.DUMMYFUNCTION("""COMPUTED_VALUE"""),"Aluminium sodium sulphate")</f>
        <v>Aluminium sodium sulphate</v>
      </c>
      <c r="B304" t="str">
        <f ca="1">IFERROR(__xludf.DUMMYFUNCTION("""COMPUTED_VALUE"""),"RF-00000034-ADD")</f>
        <v>RF-00000034-ADD</v>
      </c>
    </row>
    <row r="305" spans="1:2" ht="12.5" x14ac:dyDescent="0.25">
      <c r="A305" t="str">
        <f ca="1">IFERROR(__xludf.DUMMYFUNCTION("""COMPUTED_VALUE"""),"Aluminium sulphate")</f>
        <v>Aluminium sulphate</v>
      </c>
      <c r="B305" t="str">
        <f ca="1">IFERROR(__xludf.DUMMYFUNCTION("""COMPUTED_VALUE"""),"RF-00000035-ADD")</f>
        <v>RF-00000035-ADD</v>
      </c>
    </row>
    <row r="306" spans="1:2" ht="12.5" x14ac:dyDescent="0.25">
      <c r="A306" t="str">
        <f ca="1">IFERROR(__xludf.DUMMYFUNCTION("""COMPUTED_VALUE"""),"Aluminum (Al)")</f>
        <v>Aluminum (Al)</v>
      </c>
      <c r="B306" t="str">
        <f ca="1">IFERROR(__xludf.DUMMYFUNCTION("""COMPUTED_VALUE"""),"RF-00000124-CHE")</f>
        <v>RF-00000124-CHE</v>
      </c>
    </row>
    <row r="307" spans="1:2" ht="12.5" x14ac:dyDescent="0.25">
      <c r="A307" t="str">
        <f ca="1">IFERROR(__xludf.DUMMYFUNCTION("""COMPUTED_VALUE"""),"Aluminum and derivatives")</f>
        <v>Aluminum and derivatives</v>
      </c>
      <c r="B307" t="str">
        <f ca="1">IFERROR(__xludf.DUMMYFUNCTION("""COMPUTED_VALUE"""),"RF-00000123-CHE")</f>
        <v>RF-00000123-CHE</v>
      </c>
    </row>
    <row r="308" spans="1:2" ht="12.5" x14ac:dyDescent="0.25">
      <c r="A308" t="str">
        <f ca="1">IFERROR(__xludf.DUMMYFUNCTION("""COMPUTED_VALUE"""),"Amabiline")</f>
        <v>Amabiline</v>
      </c>
      <c r="B308" t="str">
        <f ca="1">IFERROR(__xludf.DUMMYFUNCTION("""COMPUTED_VALUE"""),"RF-00000270-TOX")</f>
        <v>RF-00000270-TOX</v>
      </c>
    </row>
    <row r="309" spans="1:2" ht="12.5" x14ac:dyDescent="0.25">
      <c r="A309" t="str">
        <f ca="1">IFERROR(__xludf.DUMMYFUNCTION("""COMPUTED_VALUE"""),"Amaranth")</f>
        <v>Amaranth</v>
      </c>
      <c r="B309" t="str">
        <f ca="1">IFERROR(__xludf.DUMMYFUNCTION("""COMPUTED_VALUE"""),"RF-00000036-ADD")</f>
        <v>RF-00000036-ADD</v>
      </c>
    </row>
    <row r="310" spans="1:2" ht="12.5" x14ac:dyDescent="0.25">
      <c r="A310" t="str">
        <f ca="1">IFERROR(__xludf.DUMMYFUNCTION("""COMPUTED_VALUE"""),"Ametoctradin")</f>
        <v>Ametoctradin</v>
      </c>
      <c r="B310" t="str">
        <f ca="1">IFERROR(__xludf.DUMMYFUNCTION("""COMPUTED_VALUE"""),"RF-1055-001-PPP")</f>
        <v>RF-1055-001-PPP</v>
      </c>
    </row>
    <row r="311" spans="1:2" ht="12.5" x14ac:dyDescent="0.25">
      <c r="A311" t="str">
        <f ca="1">IFERROR(__xludf.DUMMYFUNCTION("""COMPUTED_VALUE"""),"Ametryn")</f>
        <v>Ametryn</v>
      </c>
      <c r="B311" t="str">
        <f ca="1">IFERROR(__xludf.DUMMYFUNCTION("""COMPUTED_VALUE"""),"RF-0467-001-PPP")</f>
        <v>RF-0467-001-PPP</v>
      </c>
    </row>
    <row r="312" spans="1:2" ht="12.5" x14ac:dyDescent="0.25">
      <c r="A312" t="str">
        <f ca="1">IFERROR(__xludf.DUMMYFUNCTION("""COMPUTED_VALUE"""),"Amfenac Sodium (Fenamate)")</f>
        <v>Amfenac Sodium (Fenamate)</v>
      </c>
      <c r="B312" t="str">
        <f ca="1">IFERROR(__xludf.DUMMYFUNCTION("""COMPUTED_VALUE"""),"RF-00000205-VET")</f>
        <v>RF-00000205-VET</v>
      </c>
    </row>
    <row r="313" spans="1:2" ht="12.5" x14ac:dyDescent="0.25">
      <c r="A313" t="str">
        <f ca="1">IFERROR(__xludf.DUMMYFUNCTION("""COMPUTED_VALUE"""),"Amidithion")</f>
        <v>Amidithion</v>
      </c>
      <c r="B313" t="str">
        <f ca="1">IFERROR(__xludf.DUMMYFUNCTION("""COMPUTED_VALUE"""),"RF-0468-001-PPP")</f>
        <v>RF-0468-001-PPP</v>
      </c>
    </row>
    <row r="314" spans="1:2" ht="12.5" x14ac:dyDescent="0.25">
      <c r="A314" t="str">
        <f ca="1">IFERROR(__xludf.DUMMYFUNCTION("""COMPUTED_VALUE"""),"Amidosulfuron")</f>
        <v>Amidosulfuron</v>
      </c>
      <c r="B314" t="str">
        <f ca="1">IFERROR(__xludf.DUMMYFUNCTION("""COMPUTED_VALUE"""),"RF-0022-001-PPP")</f>
        <v>RF-0022-001-PPP</v>
      </c>
    </row>
    <row r="315" spans="1:2" ht="12.5" x14ac:dyDescent="0.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x14ac:dyDescent="0.25">
      <c r="A316" t="str">
        <f ca="1">IFERROR(__xludf.DUMMYFUNCTION("""COMPUTED_VALUE"""),"Amikacin")</f>
        <v>Amikacin</v>
      </c>
      <c r="B316" t="str">
        <f ca="1">IFERROR(__xludf.DUMMYFUNCTION("""COMPUTED_VALUE"""),"RF-00000702-VET")</f>
        <v>RF-00000702-VET</v>
      </c>
    </row>
    <row r="317" spans="1:2" ht="12.5" x14ac:dyDescent="0.25">
      <c r="A317" t="str">
        <f ca="1">IFERROR(__xludf.DUMMYFUNCTION("""COMPUTED_VALUE"""),"Amine compounds")</f>
        <v>Amine compounds</v>
      </c>
      <c r="B317" t="str">
        <f ca="1">IFERROR(__xludf.DUMMYFUNCTION("""COMPUTED_VALUE"""),"RF-00000479-ORG")</f>
        <v>RF-00000479-ORG</v>
      </c>
    </row>
    <row r="318" spans="1:2" ht="12.5" x14ac:dyDescent="0.25">
      <c r="A318" t="str">
        <f ca="1">IFERROR(__xludf.DUMMYFUNCTION("""COMPUTED_VALUE"""),"Amino acids")</f>
        <v>Amino acids</v>
      </c>
      <c r="B318" t="str">
        <f ca="1">IFERROR(__xludf.DUMMYFUNCTION("""COMPUTED_VALUE"""),"RF-00000014-NTR")</f>
        <v>RF-00000014-NTR</v>
      </c>
    </row>
    <row r="319" spans="1:2" ht="12.5" x14ac:dyDescent="0.25">
      <c r="A319" t="str">
        <f ca="1">IFERROR(__xludf.DUMMYFUNCTION("""COMPUTED_VALUE"""),"amino acids, total aromatic")</f>
        <v>amino acids, total aromatic</v>
      </c>
      <c r="B319" t="str">
        <f ca="1">IFERROR(__xludf.DUMMYFUNCTION("""COMPUTED_VALUE"""),"RF-00000015-NTR")</f>
        <v>RF-00000015-NTR</v>
      </c>
    </row>
    <row r="320" spans="1:2" ht="12.5" x14ac:dyDescent="0.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x14ac:dyDescent="0.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x14ac:dyDescent="0.25">
      <c r="A322" t="str">
        <f ca="1">IFERROR(__xludf.DUMMYFUNCTION("""COMPUTED_VALUE"""),"amino acids, total sulphur-containing")</f>
        <v>amino acids, total sulphur-containing</v>
      </c>
      <c r="B322" t="str">
        <f ca="1">IFERROR(__xludf.DUMMYFUNCTION("""COMPUTED_VALUE"""),"RF-00000018-NTR")</f>
        <v>RF-00000018-NTR</v>
      </c>
    </row>
    <row r="323" spans="1:2" ht="12.5" x14ac:dyDescent="0.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x14ac:dyDescent="0.25">
      <c r="A324" t="str">
        <f ca="1">IFERROR(__xludf.DUMMYFUNCTION("""COMPUTED_VALUE"""),"Aminocarb")</f>
        <v>Aminocarb</v>
      </c>
      <c r="B324" t="str">
        <f ca="1">IFERROR(__xludf.DUMMYFUNCTION("""COMPUTED_VALUE"""),"RF-00000100-VET")</f>
        <v>RF-00000100-VET</v>
      </c>
    </row>
    <row r="325" spans="1:2" ht="12.5" x14ac:dyDescent="0.25">
      <c r="A325" t="str">
        <f ca="1">IFERROR(__xludf.DUMMYFUNCTION("""COMPUTED_VALUE"""),"Aminocarb")</f>
        <v>Aminocarb</v>
      </c>
      <c r="B325" t="str">
        <f ca="1">IFERROR(__xludf.DUMMYFUNCTION("""COMPUTED_VALUE"""),"RF-0469-001-PPP")</f>
        <v>RF-0469-001-PPP</v>
      </c>
    </row>
    <row r="326" spans="1:2" ht="12.5" x14ac:dyDescent="0.25">
      <c r="A326" t="str">
        <f ca="1">IFERROR(__xludf.DUMMYFUNCTION("""COMPUTED_VALUE"""),"Aminoglycosides")</f>
        <v>Aminoglycosides</v>
      </c>
      <c r="B326" t="str">
        <f ca="1">IFERROR(__xludf.DUMMYFUNCTION("""COMPUTED_VALUE"""),"RF-00000656-VET")</f>
        <v>RF-00000656-VET</v>
      </c>
    </row>
    <row r="327" spans="1:2" ht="12.5" x14ac:dyDescent="0.25">
      <c r="A327" t="str">
        <f ca="1">IFERROR(__xludf.DUMMYFUNCTION("""COMPUTED_VALUE"""),"Aminomebendazole")</f>
        <v>Aminomebendazole</v>
      </c>
      <c r="B327" t="str">
        <f ca="1">IFERROR(__xludf.DUMMYFUNCTION("""COMPUTED_VALUE"""),"RF-00000049-VET")</f>
        <v>RF-00000049-VET</v>
      </c>
    </row>
    <row r="328" spans="1:2" ht="12.5" x14ac:dyDescent="0.25">
      <c r="A328" t="str">
        <f ca="1">IFERROR(__xludf.DUMMYFUNCTION("""COMPUTED_VALUE"""),"Aminopropylon")</f>
        <v>Aminopropylon</v>
      </c>
      <c r="B328" t="str">
        <f ca="1">IFERROR(__xludf.DUMMYFUNCTION("""COMPUTED_VALUE"""),"RF-00000201-VET")</f>
        <v>RF-00000201-VET</v>
      </c>
    </row>
    <row r="329" spans="1:2" ht="12.5" x14ac:dyDescent="0.25">
      <c r="A329" t="str">
        <f ca="1">IFERROR(__xludf.DUMMYFUNCTION("""COMPUTED_VALUE"""),"Aminopyralid")</f>
        <v>Aminopyralid</v>
      </c>
      <c r="B329" t="str">
        <f ca="1">IFERROR(__xludf.DUMMYFUNCTION("""COMPUTED_VALUE"""),"RF-0023-001-PPP")</f>
        <v>RF-0023-001-PPP</v>
      </c>
    </row>
    <row r="330" spans="1:2" ht="12.5" x14ac:dyDescent="0.25">
      <c r="A330" t="str">
        <f ca="1">IFERROR(__xludf.DUMMYFUNCTION("""COMPUTED_VALUE"""),"Aminopyrin")</f>
        <v>Aminopyrin</v>
      </c>
      <c r="B330" t="str">
        <f ca="1">IFERROR(__xludf.DUMMYFUNCTION("""COMPUTED_VALUE"""),"RF-00000217-VET")</f>
        <v>RF-00000217-VET</v>
      </c>
    </row>
    <row r="331" spans="1:2" ht="12.5" x14ac:dyDescent="0.25">
      <c r="A331" t="str">
        <f ca="1">IFERROR(__xludf.DUMMYFUNCTION("""COMPUTED_VALUE"""),"Aminosidin (Paromycin, Paromomycin)")</f>
        <v>Aminosidin (Paromycin, Paromomycin)</v>
      </c>
      <c r="B331" t="str">
        <f ca="1">IFERROR(__xludf.DUMMYFUNCTION("""COMPUTED_VALUE"""),"RF-00000623-VET")</f>
        <v>RF-00000623-VET</v>
      </c>
    </row>
    <row r="332" spans="1:2" ht="12.5" x14ac:dyDescent="0.25">
      <c r="A332" t="str">
        <f ca="1">IFERROR(__xludf.DUMMYFUNCTION("""COMPUTED_VALUE"""),"Amisulbrom")</f>
        <v>Amisulbrom</v>
      </c>
      <c r="B332" t="str">
        <f ca="1">IFERROR(__xludf.DUMMYFUNCTION("""COMPUTED_VALUE"""),"RF-0470-001-PPP")</f>
        <v>RF-0470-001-PPP</v>
      </c>
    </row>
    <row r="333" spans="1:2" ht="12.5" x14ac:dyDescent="0.25">
      <c r="A333" t="str">
        <f ca="1">IFERROR(__xludf.DUMMYFUNCTION("""COMPUTED_VALUE"""),"Amitraz")</f>
        <v>Amitraz</v>
      </c>
      <c r="B333" t="str">
        <f ca="1">IFERROR(__xludf.DUMMYFUNCTION("""COMPUTED_VALUE"""),"RF-0024-002-PPP")</f>
        <v>RF-0024-002-PPP</v>
      </c>
    </row>
    <row r="334" spans="1:2" ht="12.5" x14ac:dyDescent="0.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x14ac:dyDescent="0.25">
      <c r="A335" t="str">
        <f ca="1">IFERROR(__xludf.DUMMYFUNCTION("""COMPUTED_VALUE"""),"Amitraz (Formamidine)")</f>
        <v>Amitraz (Formamidine)</v>
      </c>
      <c r="B335" t="str">
        <f ca="1">IFERROR(__xludf.DUMMYFUNCTION("""COMPUTED_VALUE"""),"RF-00000274-VET")</f>
        <v>RF-00000274-VET</v>
      </c>
    </row>
    <row r="336" spans="1:2" ht="12.5" x14ac:dyDescent="0.25">
      <c r="A336" t="str">
        <f ca="1">IFERROR(__xludf.DUMMYFUNCTION("""COMPUTED_VALUE"""),"Amitrole")</f>
        <v>Amitrole</v>
      </c>
      <c r="B336" t="str">
        <f ca="1">IFERROR(__xludf.DUMMYFUNCTION("""COMPUTED_VALUE"""),"RF-0025-001-PPP")</f>
        <v>RF-0025-001-PPP</v>
      </c>
    </row>
    <row r="337" spans="1:2" ht="12.5" x14ac:dyDescent="0.25">
      <c r="A337" t="str">
        <f ca="1">IFERROR(__xludf.DUMMYFUNCTION("""COMPUTED_VALUE"""),"Ammelide")</f>
        <v>Ammelide</v>
      </c>
      <c r="B337" t="str">
        <f ca="1">IFERROR(__xludf.DUMMYFUNCTION("""COMPUTED_VALUE"""),"RF-00000212-CHE")</f>
        <v>RF-00000212-CHE</v>
      </c>
    </row>
    <row r="338" spans="1:2" ht="12.5" x14ac:dyDescent="0.25">
      <c r="A338" t="str">
        <f ca="1">IFERROR(__xludf.DUMMYFUNCTION("""COMPUTED_VALUE"""),"Ammeline")</f>
        <v>Ammeline</v>
      </c>
      <c r="B338" t="str">
        <f ca="1">IFERROR(__xludf.DUMMYFUNCTION("""COMPUTED_VALUE"""),"RF-00000213-CHE")</f>
        <v>RF-00000213-CHE</v>
      </c>
    </row>
    <row r="339" spans="1:2" ht="12.5" x14ac:dyDescent="0.25">
      <c r="A339" t="str">
        <f ca="1">IFERROR(__xludf.DUMMYFUNCTION("""COMPUTED_VALUE"""),"ammonia")</f>
        <v>ammonia</v>
      </c>
      <c r="B339" t="str">
        <f ca="1">IFERROR(__xludf.DUMMYFUNCTION("""COMPUTED_VALUE"""),"RF-00000020-NTR")</f>
        <v>RF-00000020-NTR</v>
      </c>
    </row>
    <row r="340" spans="1:2" ht="12.5" x14ac:dyDescent="0.25">
      <c r="A340" t="str">
        <f ca="1">IFERROR(__xludf.DUMMYFUNCTION("""COMPUTED_VALUE"""),"Ammonia caramel")</f>
        <v>Ammonia caramel</v>
      </c>
      <c r="B340" t="str">
        <f ca="1">IFERROR(__xludf.DUMMYFUNCTION("""COMPUTED_VALUE"""),"RF-00000037-ADD")</f>
        <v>RF-00000037-ADD</v>
      </c>
    </row>
    <row r="341" spans="1:2" ht="12.5" x14ac:dyDescent="0.25">
      <c r="A341" t="str">
        <f ca="1">IFERROR(__xludf.DUMMYFUNCTION("""COMPUTED_VALUE"""),"Ammonia Nitrogen")</f>
        <v>Ammonia Nitrogen</v>
      </c>
      <c r="B341" t="str">
        <f ca="1">IFERROR(__xludf.DUMMYFUNCTION("""COMPUTED_VALUE"""),"RF-00000082-CHE")</f>
        <v>RF-00000082-CHE</v>
      </c>
    </row>
    <row r="342" spans="1:2" ht="12.5" x14ac:dyDescent="0.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x14ac:dyDescent="0.25">
      <c r="A343" t="str">
        <f ca="1">IFERROR(__xludf.DUMMYFUNCTION("""COMPUTED_VALUE"""),"Ammonium")</f>
        <v>Ammonium</v>
      </c>
      <c r="B343" t="str">
        <f ca="1">IFERROR(__xludf.DUMMYFUNCTION("""COMPUTED_VALUE"""),"RF-00000084-CHE")</f>
        <v>RF-00000084-CHE</v>
      </c>
    </row>
    <row r="344" spans="1:2" ht="12.5" x14ac:dyDescent="0.25">
      <c r="A344" t="str">
        <f ca="1">IFERROR(__xludf.DUMMYFUNCTION("""COMPUTED_VALUE"""),"Ammonium alginate")</f>
        <v>Ammonium alginate</v>
      </c>
      <c r="B344" t="str">
        <f ca="1">IFERROR(__xludf.DUMMYFUNCTION("""COMPUTED_VALUE"""),"RF-00000038-ADD")</f>
        <v>RF-00000038-ADD</v>
      </c>
    </row>
    <row r="345" spans="1:2" ht="12.5" x14ac:dyDescent="0.25">
      <c r="A345" t="str">
        <f ca="1">IFERROR(__xludf.DUMMYFUNCTION("""COMPUTED_VALUE"""),"Ammonium carbonates")</f>
        <v>Ammonium carbonates</v>
      </c>
      <c r="B345" t="str">
        <f ca="1">IFERROR(__xludf.DUMMYFUNCTION("""COMPUTED_VALUE"""),"RF-00000039-ADD")</f>
        <v>RF-00000039-ADD</v>
      </c>
    </row>
    <row r="346" spans="1:2" ht="12.5" x14ac:dyDescent="0.25">
      <c r="A346" t="str">
        <f ca="1">IFERROR(__xludf.DUMMYFUNCTION("""COMPUTED_VALUE"""),"Ammonium hydroxide")</f>
        <v>Ammonium hydroxide</v>
      </c>
      <c r="B346" t="str">
        <f ca="1">IFERROR(__xludf.DUMMYFUNCTION("""COMPUTED_VALUE"""),"RF-00000040-ADD")</f>
        <v>RF-00000040-ADD</v>
      </c>
    </row>
    <row r="347" spans="1:2" ht="12.5" x14ac:dyDescent="0.25">
      <c r="A347" t="str">
        <f ca="1">IFERROR(__xludf.DUMMYFUNCTION("""COMPUTED_VALUE"""),"Ammonium phosphatides")</f>
        <v>Ammonium phosphatides</v>
      </c>
      <c r="B347" t="str">
        <f ca="1">IFERROR(__xludf.DUMMYFUNCTION("""COMPUTED_VALUE"""),"RF-00000041-ADD")</f>
        <v>RF-00000041-ADD</v>
      </c>
    </row>
    <row r="348" spans="1:2" ht="12.5" x14ac:dyDescent="0.25">
      <c r="A348" t="str">
        <f ca="1">IFERROR(__xludf.DUMMYFUNCTION("""COMPUTED_VALUE"""),"Ammonium sulphate")</f>
        <v>Ammonium sulphate</v>
      </c>
      <c r="B348" t="str">
        <f ca="1">IFERROR(__xludf.DUMMYFUNCTION("""COMPUTED_VALUE"""),"RF-00000042-ADD")</f>
        <v>RF-00000042-ADD</v>
      </c>
    </row>
    <row r="349" spans="1:2" ht="12.5" x14ac:dyDescent="0.25">
      <c r="A349" t="str">
        <f ca="1">IFERROR(__xludf.DUMMYFUNCTION("""COMPUTED_VALUE"""),"Amoxicillin - Clavulanic acid")</f>
        <v>Amoxicillin - Clavulanic acid</v>
      </c>
      <c r="B349" t="str">
        <f ca="1">IFERROR(__xludf.DUMMYFUNCTION("""COMPUTED_VALUE"""),"RF-00000760-VET")</f>
        <v>RF-00000760-VET</v>
      </c>
    </row>
    <row r="350" spans="1:2" ht="12.5" x14ac:dyDescent="0.25">
      <c r="A350" t="str">
        <f ca="1">IFERROR(__xludf.DUMMYFUNCTION("""COMPUTED_VALUE"""),"Amoxycillin")</f>
        <v>Amoxycillin</v>
      </c>
      <c r="B350" t="str">
        <f ca="1">IFERROR(__xludf.DUMMYFUNCTION("""COMPUTED_VALUE"""),"RF-00000684-VET")</f>
        <v>RF-00000684-VET</v>
      </c>
    </row>
    <row r="351" spans="1:2" ht="12.5" x14ac:dyDescent="0.25">
      <c r="A351" t="str">
        <f ca="1">IFERROR(__xludf.DUMMYFUNCTION("""COMPUTED_VALUE"""),"AMOZ (5-methylmorpholino-3-amino-2-oxazolidone)")</f>
        <v>AMOZ (5-methylmorpholino-3-amino-2-oxazolidone)</v>
      </c>
      <c r="B351" t="str">
        <f ca="1">IFERROR(__xludf.DUMMYFUNCTION("""COMPUTED_VALUE"""),"RF-00000508-VET")</f>
        <v>RF-00000508-VET</v>
      </c>
    </row>
    <row r="352" spans="1:2" ht="12.5" x14ac:dyDescent="0.25">
      <c r="A352" t="str">
        <f ca="1">IFERROR(__xludf.DUMMYFUNCTION("""COMPUTED_VALUE"""),"AMPA")</f>
        <v>AMPA</v>
      </c>
      <c r="B352" t="str">
        <f ca="1">IFERROR(__xludf.DUMMYFUNCTION("""COMPUTED_VALUE"""),"RF-0471-001-PPP")</f>
        <v>RF-0471-001-PPP</v>
      </c>
    </row>
    <row r="353" spans="1:2" ht="12.5" x14ac:dyDescent="0.25">
      <c r="A353" t="str">
        <f ca="1">IFERROR(__xludf.DUMMYFUNCTION("""COMPUTED_VALUE"""),"AMPC phenotype")</f>
        <v>AMPC phenotype</v>
      </c>
      <c r="B353" t="str">
        <f ca="1">IFERROR(__xludf.DUMMYFUNCTION("""COMPUTED_VALUE"""),"RF-00000157-PAR")</f>
        <v>RF-00000157-PAR</v>
      </c>
    </row>
    <row r="354" spans="1:2" ht="12.5" x14ac:dyDescent="0.25">
      <c r="A354" t="str">
        <f ca="1">IFERROR(__xludf.DUMMYFUNCTION("""COMPUTED_VALUE"""),"Amperozid")</f>
        <v>Amperozid</v>
      </c>
      <c r="B354" t="str">
        <f ca="1">IFERROR(__xludf.DUMMYFUNCTION("""COMPUTED_VALUE"""),"RF-00000179-VET")</f>
        <v>RF-00000179-VET</v>
      </c>
    </row>
    <row r="355" spans="1:2" ht="12.5" x14ac:dyDescent="0.25">
      <c r="A355" t="str">
        <f ca="1">IFERROR(__xludf.DUMMYFUNCTION("""COMPUTED_VALUE"""),"Amphenicols")</f>
        <v>Amphenicols</v>
      </c>
      <c r="B355" t="str">
        <f ca="1">IFERROR(__xludf.DUMMYFUNCTION("""COMPUTED_VALUE"""),"RF-00000705-VET")</f>
        <v>RF-00000705-VET</v>
      </c>
    </row>
    <row r="356" spans="1:2" ht="12.5" x14ac:dyDescent="0.25">
      <c r="A356" t="str">
        <f ca="1">IFERROR(__xludf.DUMMYFUNCTION("""COMPUTED_VALUE"""),"Ampicillin")</f>
        <v>Ampicillin</v>
      </c>
      <c r="B356" t="str">
        <f ca="1">IFERROR(__xludf.DUMMYFUNCTION("""COMPUTED_VALUE"""),"RF-00000688-VET")</f>
        <v>RF-00000688-VET</v>
      </c>
    </row>
    <row r="357" spans="1:2" ht="12.5" x14ac:dyDescent="0.25">
      <c r="A357" t="str">
        <f ca="1">IFERROR(__xludf.DUMMYFUNCTION("""COMPUTED_VALUE"""),"Ampicillin - Sulbactum")</f>
        <v>Ampicillin - Sulbactum</v>
      </c>
      <c r="B357" t="str">
        <f ca="1">IFERROR(__xludf.DUMMYFUNCTION("""COMPUTED_VALUE"""),"RF-00000761-VET")</f>
        <v>RF-00000761-VET</v>
      </c>
    </row>
    <row r="358" spans="1:2" ht="12.5" x14ac:dyDescent="0.25">
      <c r="A358" t="str">
        <f ca="1">IFERROR(__xludf.DUMMYFUNCTION("""COMPUTED_VALUE"""),"Amprolium")</f>
        <v>Amprolium</v>
      </c>
      <c r="B358" t="str">
        <f ca="1">IFERROR(__xludf.DUMMYFUNCTION("""COMPUTED_VALUE"""),"RF-00000089-VET")</f>
        <v>RF-00000089-VET</v>
      </c>
    </row>
    <row r="359" spans="1:2" ht="12.5" x14ac:dyDescent="0.25">
      <c r="A359" t="str">
        <f ca="1">IFERROR(__xludf.DUMMYFUNCTION("""COMPUTED_VALUE"""),"Ampropylfos")</f>
        <v>Ampropylfos</v>
      </c>
      <c r="B359" t="str">
        <f ca="1">IFERROR(__xludf.DUMMYFUNCTION("""COMPUTED_VALUE"""),"RF-0472-001-PPP")</f>
        <v>RF-0472-001-PPP</v>
      </c>
    </row>
    <row r="360" spans="1:2" ht="12.5" x14ac:dyDescent="0.25">
      <c r="A360" t="str">
        <f ca="1">IFERROR(__xludf.DUMMYFUNCTION("""COMPUTED_VALUE"""),"amylopectin")</f>
        <v>amylopectin</v>
      </c>
      <c r="B360" t="str">
        <f ca="1">IFERROR(__xludf.DUMMYFUNCTION("""COMPUTED_VALUE"""),"RF-00000021-NTR")</f>
        <v>RF-00000021-NTR</v>
      </c>
    </row>
    <row r="361" spans="1:2" ht="12.5" x14ac:dyDescent="0.25">
      <c r="A361" t="str">
        <f ca="1">IFERROR(__xludf.DUMMYFUNCTION("""COMPUTED_VALUE"""),"amylose")</f>
        <v>amylose</v>
      </c>
      <c r="B361" t="str">
        <f ca="1">IFERROR(__xludf.DUMMYFUNCTION("""COMPUTED_VALUE"""),"RF-00000022-NTR")</f>
        <v>RF-00000022-NTR</v>
      </c>
    </row>
    <row r="362" spans="1:2" ht="12.5" x14ac:dyDescent="0.25">
      <c r="A362" t="str">
        <f ca="1">IFERROR(__xludf.DUMMYFUNCTION("""COMPUTED_VALUE"""),"Anaplasma")</f>
        <v>Anaplasma</v>
      </c>
      <c r="B362" t="str">
        <f ca="1">IFERROR(__xludf.DUMMYFUNCTION("""COMPUTED_VALUE"""),"RF-00002666-MCG")</f>
        <v>RF-00002666-MCG</v>
      </c>
    </row>
    <row r="363" spans="1:2" ht="12.5" x14ac:dyDescent="0.25">
      <c r="A363" t="str">
        <f ca="1">IFERROR(__xludf.DUMMYFUNCTION("""COMPUTED_VALUE"""),"Anaplasma bovis")</f>
        <v>Anaplasma bovis</v>
      </c>
      <c r="B363" t="str">
        <f ca="1">IFERROR(__xludf.DUMMYFUNCTION("""COMPUTED_VALUE"""),"RF-00002668-MCG")</f>
        <v>RF-00002668-MCG</v>
      </c>
    </row>
    <row r="364" spans="1:2" ht="12.5" x14ac:dyDescent="0.25">
      <c r="A364" t="str">
        <f ca="1">IFERROR(__xludf.DUMMYFUNCTION("""COMPUTED_VALUE"""),"Anaplasma caudatum")</f>
        <v>Anaplasma caudatum</v>
      </c>
      <c r="B364" t="str">
        <f ca="1">IFERROR(__xludf.DUMMYFUNCTION("""COMPUTED_VALUE"""),"RF-00002669-MCG")</f>
        <v>RF-00002669-MCG</v>
      </c>
    </row>
    <row r="365" spans="1:2" ht="12.5" x14ac:dyDescent="0.25">
      <c r="A365" t="str">
        <f ca="1">IFERROR(__xludf.DUMMYFUNCTION("""COMPUTED_VALUE"""),"Anaplasma centrale")</f>
        <v>Anaplasma centrale</v>
      </c>
      <c r="B365" t="str">
        <f ca="1">IFERROR(__xludf.DUMMYFUNCTION("""COMPUTED_VALUE"""),"RF-00002670-MCG")</f>
        <v>RF-00002670-MCG</v>
      </c>
    </row>
    <row r="366" spans="1:2" ht="12.5" x14ac:dyDescent="0.25">
      <c r="A366" t="str">
        <f ca="1">IFERROR(__xludf.DUMMYFUNCTION("""COMPUTED_VALUE"""),"Anaplasma marginale")</f>
        <v>Anaplasma marginale</v>
      </c>
      <c r="B366" t="str">
        <f ca="1">IFERROR(__xludf.DUMMYFUNCTION("""COMPUTED_VALUE"""),"RF-00002671-MCG")</f>
        <v>RF-00002671-MCG</v>
      </c>
    </row>
    <row r="367" spans="1:2" ht="12.5" x14ac:dyDescent="0.25">
      <c r="A367" t="str">
        <f ca="1">IFERROR(__xludf.DUMMYFUNCTION("""COMPUTED_VALUE"""),"Anaplasma ovis")</f>
        <v>Anaplasma ovis</v>
      </c>
      <c r="B367" t="str">
        <f ca="1">IFERROR(__xludf.DUMMYFUNCTION("""COMPUTED_VALUE"""),"RF-00002672-MCG")</f>
        <v>RF-00002672-MCG</v>
      </c>
    </row>
    <row r="368" spans="1:2" ht="12.5" x14ac:dyDescent="0.25">
      <c r="A368" t="str">
        <f ca="1">IFERROR(__xludf.DUMMYFUNCTION("""COMPUTED_VALUE"""),"Anaplasma phagocytophilum")</f>
        <v>Anaplasma phagocytophilum</v>
      </c>
      <c r="B368" t="str">
        <f ca="1">IFERROR(__xludf.DUMMYFUNCTION("""COMPUTED_VALUE"""),"RF-00002673-MCG")</f>
        <v>RF-00002673-MCG</v>
      </c>
    </row>
    <row r="369" spans="1:2" ht="12.5" x14ac:dyDescent="0.25">
      <c r="A369" t="str">
        <f ca="1">IFERROR(__xludf.DUMMYFUNCTION("""COMPUTED_VALUE"""),"Anaplasma platys")</f>
        <v>Anaplasma platys</v>
      </c>
      <c r="B369" t="str">
        <f ca="1">IFERROR(__xludf.DUMMYFUNCTION("""COMPUTED_VALUE"""),"RF-00002674-MCG")</f>
        <v>RF-00002674-MCG</v>
      </c>
    </row>
    <row r="370" spans="1:2" ht="12.5" x14ac:dyDescent="0.25">
      <c r="A370" t="str">
        <f ca="1">IFERROR(__xludf.DUMMYFUNCTION("""COMPUTED_VALUE"""),"Anaplasma spp., unidentified")</f>
        <v>Anaplasma spp., unidentified</v>
      </c>
      <c r="B370" t="str">
        <f ca="1">IFERROR(__xludf.DUMMYFUNCTION("""COMPUTED_VALUE"""),"RF-00002667-MCG")</f>
        <v>RF-00002667-MCG</v>
      </c>
    </row>
    <row r="371" spans="1:2" ht="12.5" x14ac:dyDescent="0.25">
      <c r="A371" t="str">
        <f ca="1">IFERROR(__xludf.DUMMYFUNCTION("""COMPUTED_VALUE"""),"Ancymidol")</f>
        <v>Ancymidol</v>
      </c>
      <c r="B371" t="str">
        <f ca="1">IFERROR(__xludf.DUMMYFUNCTION("""COMPUTED_VALUE"""),"RF-0473-001-PPP")</f>
        <v>RF-0473-001-PPP</v>
      </c>
    </row>
    <row r="372" spans="1:2" ht="12.5" x14ac:dyDescent="0.25">
      <c r="A372" t="str">
        <f ca="1">IFERROR(__xludf.DUMMYFUNCTION("""COMPUTED_VALUE"""),"Androst-5-Alpha-16-En-3-One")</f>
        <v>Androst-5-Alpha-16-En-3-One</v>
      </c>
      <c r="B372" t="str">
        <f ca="1">IFERROR(__xludf.DUMMYFUNCTION("""COMPUTED_VALUE"""),"RF-00000339-VET")</f>
        <v>RF-00000339-VET</v>
      </c>
    </row>
    <row r="373" spans="1:2" ht="12.5" x14ac:dyDescent="0.25">
      <c r="A373" t="str">
        <f ca="1">IFERROR(__xludf.DUMMYFUNCTION("""COMPUTED_VALUE"""),"Androstane")</f>
        <v>Androstane</v>
      </c>
      <c r="B373" t="str">
        <f ca="1">IFERROR(__xludf.DUMMYFUNCTION("""COMPUTED_VALUE"""),"RF-00000328-VET")</f>
        <v>RF-00000328-VET</v>
      </c>
    </row>
    <row r="374" spans="1:2" ht="12.5" x14ac:dyDescent="0.25">
      <c r="A374" t="str">
        <f ca="1">IFERROR(__xludf.DUMMYFUNCTION("""COMPUTED_VALUE"""),"Androstane-5-Alpha-3-Alpha,17-Beta-Diol")</f>
        <v>Androstane-5-Alpha-3-Alpha,17-Beta-Diol</v>
      </c>
      <c r="B374" t="str">
        <f ca="1">IFERROR(__xludf.DUMMYFUNCTION("""COMPUTED_VALUE"""),"RF-00000330-VET")</f>
        <v>RF-00000330-VET</v>
      </c>
    </row>
    <row r="375" spans="1:2" ht="12.5" x14ac:dyDescent="0.25">
      <c r="A375" t="str">
        <f ca="1">IFERROR(__xludf.DUMMYFUNCTION("""COMPUTED_VALUE"""),"Androstane-5-alpha-3-Beta (Androstanolon, Stanolone)")</f>
        <v>Androstane-5-alpha-3-Beta (Androstanolon, Stanolone)</v>
      </c>
      <c r="B375" t="str">
        <f ca="1">IFERROR(__xludf.DUMMYFUNCTION("""COMPUTED_VALUE"""),"RF-00000346-VET")</f>
        <v>RF-00000346-VET</v>
      </c>
    </row>
    <row r="376" spans="1:2" ht="12.5" x14ac:dyDescent="0.25">
      <c r="A376" t="str">
        <f ca="1">IFERROR(__xludf.DUMMYFUNCTION("""COMPUTED_VALUE"""),"Androstane-5-Beta-17-Alpha-Methyl-3-Alpha")</f>
        <v>Androstane-5-Beta-17-Alpha-Methyl-3-Alpha</v>
      </c>
      <c r="B376" t="str">
        <f ca="1">IFERROR(__xludf.DUMMYFUNCTION("""COMPUTED_VALUE"""),"RF-00000333-VET")</f>
        <v>RF-00000333-VET</v>
      </c>
    </row>
    <row r="377" spans="1:2" ht="12.5" x14ac:dyDescent="0.25">
      <c r="A377" t="str">
        <f ca="1">IFERROR(__xludf.DUMMYFUNCTION("""COMPUTED_VALUE"""),"Androsten-4-Chloro-4-Ene-3,17-Dione")</f>
        <v>Androsten-4-Chloro-4-Ene-3,17-Dione</v>
      </c>
      <c r="B377" t="str">
        <f ca="1">IFERROR(__xludf.DUMMYFUNCTION("""COMPUTED_VALUE"""),"RF-00000334-VET")</f>
        <v>RF-00000334-VET</v>
      </c>
    </row>
    <row r="378" spans="1:2" ht="12.5" x14ac:dyDescent="0.25">
      <c r="A378" t="str">
        <f ca="1">IFERROR(__xludf.DUMMYFUNCTION("""COMPUTED_VALUE"""),"Androstendione")</f>
        <v>Androstendione</v>
      </c>
      <c r="B378" t="str">
        <f ca="1">IFERROR(__xludf.DUMMYFUNCTION("""COMPUTED_VALUE"""),"RF-00000347-VET")</f>
        <v>RF-00000347-VET</v>
      </c>
    </row>
    <row r="379" spans="1:2" ht="12.5" x14ac:dyDescent="0.25">
      <c r="A379" t="str">
        <f ca="1">IFERROR(__xludf.DUMMYFUNCTION("""COMPUTED_VALUE"""),"Androstene-5-3-Beta")</f>
        <v>Androstene-5-3-Beta</v>
      </c>
      <c r="B379" t="str">
        <f ca="1">IFERROR(__xludf.DUMMYFUNCTION("""COMPUTED_VALUE"""),"RF-00000327-VET")</f>
        <v>RF-00000327-VET</v>
      </c>
    </row>
    <row r="380" spans="1:2" ht="12.5" x14ac:dyDescent="0.25">
      <c r="A380" t="str">
        <f ca="1">IFERROR(__xludf.DUMMYFUNCTION("""COMPUTED_VALUE"""),"Androstenediol (Eticholan-Alpha)")</f>
        <v>Androstenediol (Eticholan-Alpha)</v>
      </c>
      <c r="B380" t="str">
        <f ca="1">IFERROR(__xludf.DUMMYFUNCTION("""COMPUTED_VALUE"""),"RF-00000340-VET")</f>
        <v>RF-00000340-VET</v>
      </c>
    </row>
    <row r="381" spans="1:2" ht="12.5" x14ac:dyDescent="0.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x14ac:dyDescent="0.25">
      <c r="A382" t="str">
        <f ca="1">IFERROR(__xludf.DUMMYFUNCTION("""COMPUTED_VALUE"""),"Androsterone")</f>
        <v>Androsterone</v>
      </c>
      <c r="B382" t="str">
        <f ca="1">IFERROR(__xludf.DUMMYFUNCTION("""COMPUTED_VALUE"""),"RF-00000343-VET")</f>
        <v>RF-00000343-VET</v>
      </c>
    </row>
    <row r="383" spans="1:2" ht="12.5" x14ac:dyDescent="0.25">
      <c r="A383" t="str">
        <f ca="1">IFERROR(__xludf.DUMMYFUNCTION("""COMPUTED_VALUE"""),"Anilazine")</f>
        <v>Anilazine</v>
      </c>
      <c r="B383" t="str">
        <f ca="1">IFERROR(__xludf.DUMMYFUNCTION("""COMPUTED_VALUE"""),"RF-0026-001-PPP")</f>
        <v>RF-0026-001-PPP</v>
      </c>
    </row>
    <row r="384" spans="1:2" ht="12.5" x14ac:dyDescent="0.25">
      <c r="A384" t="str">
        <f ca="1">IFERROR(__xludf.DUMMYFUNCTION("""COMPUTED_VALUE"""),"Anilofos")</f>
        <v>Anilofos</v>
      </c>
      <c r="B384" t="str">
        <f ca="1">IFERROR(__xludf.DUMMYFUNCTION("""COMPUTED_VALUE"""),"RF-0474-001-PPP")</f>
        <v>RF-0474-001-PPP</v>
      </c>
    </row>
    <row r="385" spans="1:2" ht="12.5" x14ac:dyDescent="0.25">
      <c r="A385" t="str">
        <f ca="1">IFERROR(__xludf.DUMMYFUNCTION("""COMPUTED_VALUE"""),"Anisakis")</f>
        <v>Anisakis</v>
      </c>
      <c r="B385" t="str">
        <f ca="1">IFERROR(__xludf.DUMMYFUNCTION("""COMPUTED_VALUE"""),"RF-00002566-MCG")</f>
        <v>RF-00002566-MCG</v>
      </c>
    </row>
    <row r="386" spans="1:2" ht="12.5" x14ac:dyDescent="0.25">
      <c r="A386" t="str">
        <f ca="1">IFERROR(__xludf.DUMMYFUNCTION("""COMPUTED_VALUE"""),"Anisakis simplex")</f>
        <v>Anisakis simplex</v>
      </c>
      <c r="B386" t="str">
        <f ca="1">IFERROR(__xludf.DUMMYFUNCTION("""COMPUTED_VALUE"""),"RF-00002567-MCG")</f>
        <v>RF-00002567-MCG</v>
      </c>
    </row>
    <row r="387" spans="1:2" ht="12.5" x14ac:dyDescent="0.25">
      <c r="A387" t="str">
        <f ca="1">IFERROR(__xludf.DUMMYFUNCTION("""COMPUTED_VALUE"""),"Anisakis spp.,  unspecified")</f>
        <v>Anisakis spp.,  unspecified</v>
      </c>
      <c r="B387" t="str">
        <f ca="1">IFERROR(__xludf.DUMMYFUNCTION("""COMPUTED_VALUE"""),"RF-00002568-MCG")</f>
        <v>RF-00002568-MCG</v>
      </c>
    </row>
    <row r="388" spans="1:2" ht="12.5" x14ac:dyDescent="0.25">
      <c r="A388" t="str">
        <f ca="1">IFERROR(__xludf.DUMMYFUNCTION("""COMPUTED_VALUE"""),"Annatto, Bixin, Norbixin")</f>
        <v>Annatto, Bixin, Norbixin</v>
      </c>
      <c r="B388" t="str">
        <f ca="1">IFERROR(__xludf.DUMMYFUNCTION("""COMPUTED_VALUE"""),"RF-00000043-ADD")</f>
        <v>RF-00000043-ADD</v>
      </c>
    </row>
    <row r="389" spans="1:2" ht="12.5" x14ac:dyDescent="0.25">
      <c r="A389" t="str">
        <f ca="1">IFERROR(__xludf.DUMMYFUNCTION("""COMPUTED_VALUE"""),"Ansamycine")</f>
        <v>Ansamycine</v>
      </c>
      <c r="B389" t="str">
        <f ca="1">IFERROR(__xludf.DUMMYFUNCTION("""COMPUTED_VALUE"""),"RF-00000694-VET")</f>
        <v>RF-00000694-VET</v>
      </c>
    </row>
    <row r="390" spans="1:2" ht="12.5" x14ac:dyDescent="0.25">
      <c r="A390" t="str">
        <f ca="1">IFERROR(__xludf.DUMMYFUNCTION("""COMPUTED_VALUE"""),"Anthanthrene")</f>
        <v>Anthanthrene</v>
      </c>
      <c r="B390" t="str">
        <f ca="1">IFERROR(__xludf.DUMMYFUNCTION("""COMPUTED_VALUE"""),"RF-00000446-ORG")</f>
        <v>RF-00000446-ORG</v>
      </c>
    </row>
    <row r="391" spans="1:2" ht="12.5" x14ac:dyDescent="0.25">
      <c r="A391" t="str">
        <f ca="1">IFERROR(__xludf.DUMMYFUNCTION("""COMPUTED_VALUE"""),"Anthelminthics")</f>
        <v>Anthelminthics</v>
      </c>
      <c r="B391" t="str">
        <f ca="1">IFERROR(__xludf.DUMMYFUNCTION("""COMPUTED_VALUE"""),"RF-00000002-VET")</f>
        <v>RF-00000002-VET</v>
      </c>
    </row>
    <row r="392" spans="1:2" ht="12.5" x14ac:dyDescent="0.25">
      <c r="A392" t="str">
        <f ca="1">IFERROR(__xludf.DUMMYFUNCTION("""COMPUTED_VALUE"""),"Anthocyanins")</f>
        <v>Anthocyanins</v>
      </c>
      <c r="B392" t="str">
        <f ca="1">IFERROR(__xludf.DUMMYFUNCTION("""COMPUTED_VALUE"""),"RF-00000044-ADD")</f>
        <v>RF-00000044-ADD</v>
      </c>
    </row>
    <row r="393" spans="1:2" ht="12.5" x14ac:dyDescent="0.25">
      <c r="A393" t="str">
        <f ca="1">IFERROR(__xludf.DUMMYFUNCTION("""COMPUTED_VALUE"""),"Anthracene")</f>
        <v>Anthracene</v>
      </c>
      <c r="B393" t="str">
        <f ca="1">IFERROR(__xludf.DUMMYFUNCTION("""COMPUTED_VALUE"""),"RF-00000044-ORG")</f>
        <v>RF-00000044-ORG</v>
      </c>
    </row>
    <row r="394" spans="1:2" ht="12.5" x14ac:dyDescent="0.25">
      <c r="A394" t="str">
        <f ca="1">IFERROR(__xludf.DUMMYFUNCTION("""COMPUTED_VALUE"""),"Anthraquinone")</f>
        <v>Anthraquinone</v>
      </c>
      <c r="B394" t="str">
        <f ca="1">IFERROR(__xludf.DUMMYFUNCTION("""COMPUTED_VALUE"""),"RF-0475-001-PPP")</f>
        <v>RF-0475-001-PPP</v>
      </c>
    </row>
    <row r="395" spans="1:2" ht="12.5" x14ac:dyDescent="0.25">
      <c r="A395" t="str">
        <f ca="1">IFERROR(__xludf.DUMMYFUNCTION("""COMPUTED_VALUE"""),"Antibacterial substances")</f>
        <v>Antibacterial substances</v>
      </c>
      <c r="B395" t="str">
        <f ca="1">IFERROR(__xludf.DUMMYFUNCTION("""COMPUTED_VALUE"""),"RF-00000526-VET")</f>
        <v>RF-00000526-VET</v>
      </c>
    </row>
    <row r="396" spans="1:2" ht="12.5" x14ac:dyDescent="0.25">
      <c r="A396" t="str">
        <f ca="1">IFERROR(__xludf.DUMMYFUNCTION("""COMPUTED_VALUE"""),"Antibacterials")</f>
        <v>Antibacterials</v>
      </c>
      <c r="B396" t="str">
        <f ca="1">IFERROR(__xludf.DUMMYFUNCTION("""COMPUTED_VALUE"""),"RF-00000697-VET")</f>
        <v>RF-00000697-VET</v>
      </c>
    </row>
    <row r="397" spans="1:2" ht="12.5" x14ac:dyDescent="0.25">
      <c r="A397" t="str">
        <f ca="1">IFERROR(__xludf.DUMMYFUNCTION("""COMPUTED_VALUE"""),"Anticoccidials")</f>
        <v>Anticoccidials</v>
      </c>
      <c r="B397" t="str">
        <f ca="1">IFERROR(__xludf.DUMMYFUNCTION("""COMPUTED_VALUE"""),"RF-00000056-VET")</f>
        <v>RF-00000056-VET</v>
      </c>
    </row>
    <row r="398" spans="1:2" ht="12.5" x14ac:dyDescent="0.25">
      <c r="A398" t="str">
        <f ca="1">IFERROR(__xludf.DUMMYFUNCTION("""COMPUTED_VALUE"""),"Antimony (Sb)")</f>
        <v>Antimony (Sb)</v>
      </c>
      <c r="B398" t="str">
        <f ca="1">IFERROR(__xludf.DUMMYFUNCTION("""COMPUTED_VALUE"""),"RF-00000126-CHE")</f>
        <v>RF-00000126-CHE</v>
      </c>
    </row>
    <row r="399" spans="1:2" ht="12.5" x14ac:dyDescent="0.25">
      <c r="A399" t="str">
        <f ca="1">IFERROR(__xludf.DUMMYFUNCTION("""COMPUTED_VALUE"""),"Antimony and derivatives")</f>
        <v>Antimony and derivatives</v>
      </c>
      <c r="B399" t="str">
        <f ca="1">IFERROR(__xludf.DUMMYFUNCTION("""COMPUTED_VALUE"""),"RF-00000125-CHE")</f>
        <v>RF-00000125-CHE</v>
      </c>
    </row>
    <row r="400" spans="1:2" ht="12.5" x14ac:dyDescent="0.25">
      <c r="A400" t="str">
        <f ca="1">IFERROR(__xludf.DUMMYFUNCTION("""COMPUTED_VALUE"""),"Antimycobacterial drugs")</f>
        <v>Antimycobacterial drugs</v>
      </c>
      <c r="B400" t="str">
        <f ca="1">IFERROR(__xludf.DUMMYFUNCTION("""COMPUTED_VALUE"""),"RF-00000801-VET")</f>
        <v>RF-00000801-VET</v>
      </c>
    </row>
    <row r="401" spans="1:2" ht="12.5" x14ac:dyDescent="0.25">
      <c r="A401" t="str">
        <f ca="1">IFERROR(__xludf.DUMMYFUNCTION("""COMPUTED_VALUE"""),"Antipyrin-4-Acetylamino")</f>
        <v>Antipyrin-4-Acetylamino</v>
      </c>
      <c r="B401" t="str">
        <f ca="1">IFERROR(__xludf.DUMMYFUNCTION("""COMPUTED_VALUE"""),"RF-00000197-VET")</f>
        <v>RF-00000197-VET</v>
      </c>
    </row>
    <row r="402" spans="1:2" ht="12.5" x14ac:dyDescent="0.25">
      <c r="A402" t="str">
        <f ca="1">IFERROR(__xludf.DUMMYFUNCTION("""COMPUTED_VALUE"""),"Antipyrin-4-Amino")</f>
        <v>Antipyrin-4-Amino</v>
      </c>
      <c r="B402" t="str">
        <f ca="1">IFERROR(__xludf.DUMMYFUNCTION("""COMPUTED_VALUE"""),"RF-00000199-VET")</f>
        <v>RF-00000199-VET</v>
      </c>
    </row>
    <row r="403" spans="1:2" ht="12.5" x14ac:dyDescent="0.25">
      <c r="A403" t="str">
        <f ca="1">IFERROR(__xludf.DUMMYFUNCTION("""COMPUTED_VALUE"""),"Antipyrin-4-Formylamino")</f>
        <v>Antipyrin-4-Formylamino</v>
      </c>
      <c r="B403" t="str">
        <f ca="1">IFERROR(__xludf.DUMMYFUNCTION("""COMPUTED_VALUE"""),"RF-00000207-VET")</f>
        <v>RF-00000207-VET</v>
      </c>
    </row>
    <row r="404" spans="1:2" ht="12.5" x14ac:dyDescent="0.25">
      <c r="A404" t="str">
        <f ca="1">IFERROR(__xludf.DUMMYFUNCTION("""COMPUTED_VALUE"""),"Antipyrin-4-Hydroxy")</f>
        <v>Antipyrin-4-Hydroxy</v>
      </c>
      <c r="B404" t="str">
        <f ca="1">IFERROR(__xludf.DUMMYFUNCTION("""COMPUTED_VALUE"""),"RF-00000200-VET")</f>
        <v>RF-00000200-VET</v>
      </c>
    </row>
    <row r="405" spans="1:2" ht="12.5" x14ac:dyDescent="0.25">
      <c r="A405" t="str">
        <f ca="1">IFERROR(__xludf.DUMMYFUNCTION("""COMPUTED_VALUE"""),"Antipyrin-4-Methylamino")</f>
        <v>Antipyrin-4-Methylamino</v>
      </c>
      <c r="B405" t="str">
        <f ca="1">IFERROR(__xludf.DUMMYFUNCTION("""COMPUTED_VALUE"""),"RF-00000202-VET")</f>
        <v>RF-00000202-VET</v>
      </c>
    </row>
    <row r="406" spans="1:2" ht="12.5" x14ac:dyDescent="0.25">
      <c r="A406" t="str">
        <f ca="1">IFERROR(__xludf.DUMMYFUNCTION("""COMPUTED_VALUE"""),"Antithyroid agents")</f>
        <v>Antithyroid agents</v>
      </c>
      <c r="B406" t="str">
        <f ca="1">IFERROR(__xludf.DUMMYFUNCTION("""COMPUTED_VALUE"""),"RF-00000293-VET")</f>
        <v>RF-00000293-VET</v>
      </c>
    </row>
    <row r="407" spans="1:2" ht="12.5" x14ac:dyDescent="0.25">
      <c r="A407" t="str">
        <f ca="1">IFERROR(__xludf.DUMMYFUNCTION("""COMPUTED_VALUE"""),"AOZ (3-amino-2-oxazolidone)")</f>
        <v>AOZ (3-amino-2-oxazolidone)</v>
      </c>
      <c r="B407" t="str">
        <f ca="1">IFERROR(__xludf.DUMMYFUNCTION("""COMPUTED_VALUE"""),"RF-00000516-VET")</f>
        <v>RF-00000516-VET</v>
      </c>
    </row>
    <row r="408" spans="1:2" ht="12.5" x14ac:dyDescent="0.25">
      <c r="A408" t="str">
        <f ca="1">IFERROR(__xludf.DUMMYFUNCTION("""COMPUTED_VALUE"""),"Apalcillin")</f>
        <v>Apalcillin</v>
      </c>
      <c r="B408" t="str">
        <f ca="1">IFERROR(__xludf.DUMMYFUNCTION("""COMPUTED_VALUE"""),"RF-00000665-VET")</f>
        <v>RF-00000665-VET</v>
      </c>
    </row>
    <row r="409" spans="1:2" ht="12.5" x14ac:dyDescent="0.25">
      <c r="A409" t="str">
        <f ca="1">IFERROR(__xludf.DUMMYFUNCTION("""COMPUTED_VALUE"""),"apigenin")</f>
        <v>apigenin</v>
      </c>
      <c r="B409" t="str">
        <f ca="1">IFERROR(__xludf.DUMMYFUNCTION("""COMPUTED_VALUE"""),"RF-00000023-NTR")</f>
        <v>RF-00000023-NTR</v>
      </c>
    </row>
    <row r="410" spans="1:2" ht="12.5" x14ac:dyDescent="0.25">
      <c r="A410" t="str">
        <f ca="1">IFERROR(__xludf.DUMMYFUNCTION("""COMPUTED_VALUE"""),"Apramycin")</f>
        <v>Apramycin</v>
      </c>
      <c r="B410" t="str">
        <f ca="1">IFERROR(__xludf.DUMMYFUNCTION("""COMPUTED_VALUE"""),"RF-00000655-VET")</f>
        <v>RF-00000655-VET</v>
      </c>
    </row>
    <row r="411" spans="1:2" ht="12.5" x14ac:dyDescent="0.25">
      <c r="A411" t="str">
        <f ca="1">IFERROR(__xludf.DUMMYFUNCTION("""COMPUTED_VALUE"""),"arabinose")</f>
        <v>arabinose</v>
      </c>
      <c r="B411" t="str">
        <f ca="1">IFERROR(__xludf.DUMMYFUNCTION("""COMPUTED_VALUE"""),"RF-00000024-NTR")</f>
        <v>RF-00000024-NTR</v>
      </c>
    </row>
    <row r="412" spans="1:2" ht="12.5" x14ac:dyDescent="0.25">
      <c r="A412" t="str">
        <f ca="1">IFERROR(__xludf.DUMMYFUNCTION("""COMPUTED_VALUE"""),"Aramite")</f>
        <v>Aramite</v>
      </c>
      <c r="B412" t="str">
        <f ca="1">IFERROR(__xludf.DUMMYFUNCTION("""COMPUTED_VALUE"""),"RF-0027-001-PPP")</f>
        <v>RF-0027-001-PPP</v>
      </c>
    </row>
    <row r="413" spans="1:2" ht="12.5" x14ac:dyDescent="0.25">
      <c r="A413" t="str">
        <f ca="1">IFERROR(__xludf.DUMMYFUNCTION("""COMPUTED_VALUE"""),"Ardacin")</f>
        <v>Ardacin</v>
      </c>
      <c r="B413" t="str">
        <f ca="1">IFERROR(__xludf.DUMMYFUNCTION("""COMPUTED_VALUE"""),"RF-00000742-VET")</f>
        <v>RF-00000742-VET</v>
      </c>
    </row>
    <row r="414" spans="1:2" ht="12.5" x14ac:dyDescent="0.25">
      <c r="A414" t="str">
        <f ca="1">IFERROR(__xludf.DUMMYFUNCTION("""COMPUTED_VALUE"""),"arginine")</f>
        <v>arginine</v>
      </c>
      <c r="B414" t="str">
        <f ca="1">IFERROR(__xludf.DUMMYFUNCTION("""COMPUTED_VALUE"""),"RF-00000025-NTR")</f>
        <v>RF-00000025-NTR</v>
      </c>
    </row>
    <row r="415" spans="1:2" ht="12.5" x14ac:dyDescent="0.25">
      <c r="A415" t="str">
        <f ca="1">IFERROR(__xludf.DUMMYFUNCTION("""COMPUTED_VALUE"""),"Argon")</f>
        <v>Argon</v>
      </c>
      <c r="B415" t="str">
        <f ca="1">IFERROR(__xludf.DUMMYFUNCTION("""COMPUTED_VALUE"""),"RF-00000045-ADD")</f>
        <v>RF-00000045-ADD</v>
      </c>
    </row>
    <row r="416" spans="1:2" ht="12.5" x14ac:dyDescent="0.25">
      <c r="A416" t="str">
        <f ca="1">IFERROR(__xludf.DUMMYFUNCTION("""COMPUTED_VALUE"""),"Aristolochia")</f>
        <v>Aristolochia</v>
      </c>
      <c r="B416" t="str">
        <f ca="1">IFERROR(__xludf.DUMMYFUNCTION("""COMPUTED_VALUE"""),"RF-00000498-VET")</f>
        <v>RF-00000498-VET</v>
      </c>
    </row>
    <row r="417" spans="1:2" ht="12.5" x14ac:dyDescent="0.25">
      <c r="A417" t="str">
        <f ca="1">IFERROR(__xludf.DUMMYFUNCTION("""COMPUTED_VALUE"""),"Aromatic Hydrocarbons")</f>
        <v>Aromatic Hydrocarbons</v>
      </c>
      <c r="B417" t="str">
        <f ca="1">IFERROR(__xludf.DUMMYFUNCTION("""COMPUTED_VALUE"""),"RF-00000070-ORG")</f>
        <v>RF-00000070-ORG</v>
      </c>
    </row>
    <row r="418" spans="1:2" ht="12.5" x14ac:dyDescent="0.25">
      <c r="A418" t="str">
        <f ca="1">IFERROR(__xludf.DUMMYFUNCTION("""COMPUTED_VALUE"""),"Arprinocid")</f>
        <v>Arprinocid</v>
      </c>
      <c r="B418" t="str">
        <f ca="1">IFERROR(__xludf.DUMMYFUNCTION("""COMPUTED_VALUE"""),"RF-00000087-VET")</f>
        <v>RF-00000087-VET</v>
      </c>
    </row>
    <row r="419" spans="1:2" ht="12.5" x14ac:dyDescent="0.25">
      <c r="A419" t="str">
        <f ca="1">IFERROR(__xludf.DUMMYFUNCTION("""COMPUTED_VALUE"""),"Arsenate - As(V)")</f>
        <v>Arsenate - As(V)</v>
      </c>
      <c r="B419" t="str">
        <f ca="1">IFERROR(__xludf.DUMMYFUNCTION("""COMPUTED_VALUE"""),"RF-00000138-CHE")</f>
        <v>RF-00000138-CHE</v>
      </c>
    </row>
    <row r="420" spans="1:2" ht="12.5" x14ac:dyDescent="0.25">
      <c r="A420" t="str">
        <f ca="1">IFERROR(__xludf.DUMMYFUNCTION("""COMPUTED_VALUE"""),"Arsenic (As)")</f>
        <v>Arsenic (As)</v>
      </c>
      <c r="B420" t="str">
        <f ca="1">IFERROR(__xludf.DUMMYFUNCTION("""COMPUTED_VALUE"""),"RF-00000128-CHE")</f>
        <v>RF-00000128-CHE</v>
      </c>
    </row>
    <row r="421" spans="1:2" ht="12.5" x14ac:dyDescent="0.25">
      <c r="A421" t="str">
        <f ca="1">IFERROR(__xludf.DUMMYFUNCTION("""COMPUTED_VALUE"""),"Arsenic and derivatives")</f>
        <v>Arsenic and derivatives</v>
      </c>
      <c r="B421" t="str">
        <f ca="1">IFERROR(__xludf.DUMMYFUNCTION("""COMPUTED_VALUE"""),"RF-00000127-CHE")</f>
        <v>RF-00000127-CHE</v>
      </c>
    </row>
    <row r="422" spans="1:2" ht="12.5" x14ac:dyDescent="0.25">
      <c r="A422" t="str">
        <f ca="1">IFERROR(__xludf.DUMMYFUNCTION("""COMPUTED_VALUE"""),"Arsenite - As(III)")</f>
        <v>Arsenite - As(III)</v>
      </c>
      <c r="B422" t="str">
        <f ca="1">IFERROR(__xludf.DUMMYFUNCTION("""COMPUTED_VALUE"""),"RF-00000139-CHE")</f>
        <v>RF-00000139-CHE</v>
      </c>
    </row>
    <row r="423" spans="1:2" ht="12.5" x14ac:dyDescent="0.25">
      <c r="A423" t="str">
        <f ca="1">IFERROR(__xludf.DUMMYFUNCTION("""COMPUTED_VALUE"""),"Arsenobetaine")</f>
        <v>Arsenobetaine</v>
      </c>
      <c r="B423" t="str">
        <f ca="1">IFERROR(__xludf.DUMMYFUNCTION("""COMPUTED_VALUE"""),"RF-00000140-CHE")</f>
        <v>RF-00000140-CHE</v>
      </c>
    </row>
    <row r="424" spans="1:2" ht="12.5" x14ac:dyDescent="0.25">
      <c r="A424" t="str">
        <f ca="1">IFERROR(__xludf.DUMMYFUNCTION("""COMPUTED_VALUE"""),"Arsenocholine")</f>
        <v>Arsenocholine</v>
      </c>
      <c r="B424" t="str">
        <f ca="1">IFERROR(__xludf.DUMMYFUNCTION("""COMPUTED_VALUE"""),"RF-00000141-CHE")</f>
        <v>RF-00000141-CHE</v>
      </c>
    </row>
    <row r="425" spans="1:2" ht="12.5" x14ac:dyDescent="0.25">
      <c r="A425" t="str">
        <f ca="1">IFERROR(__xludf.DUMMYFUNCTION("""COMPUTED_VALUE"""),"Ascorbic acid")</f>
        <v>Ascorbic acid</v>
      </c>
      <c r="B425" t="str">
        <f ca="1">IFERROR(__xludf.DUMMYFUNCTION("""COMPUTED_VALUE"""),"RF-00000046-ADD")</f>
        <v>RF-00000046-ADD</v>
      </c>
    </row>
    <row r="426" spans="1:2" ht="12.5" x14ac:dyDescent="0.25">
      <c r="A426" t="str">
        <f ca="1">IFERROR(__xludf.DUMMYFUNCTION("""COMPUTED_VALUE"""),"Ascorbyl palmitate")</f>
        <v>Ascorbyl palmitate</v>
      </c>
      <c r="B426" t="str">
        <f ca="1">IFERROR(__xludf.DUMMYFUNCTION("""COMPUTED_VALUE"""),"RF-00001298-PAR")</f>
        <v>RF-00001298-PAR</v>
      </c>
    </row>
    <row r="427" spans="1:2" ht="12.5" x14ac:dyDescent="0.25">
      <c r="A427" t="str">
        <f ca="1">IFERROR(__xludf.DUMMYFUNCTION("""COMPUTED_VALUE"""),"Ascorbyl stearate")</f>
        <v>Ascorbyl stearate</v>
      </c>
      <c r="B427" t="str">
        <f ca="1">IFERROR(__xludf.DUMMYFUNCTION("""COMPUTED_VALUE"""),"RF-00001299-PAR")</f>
        <v>RF-00001299-PAR</v>
      </c>
    </row>
    <row r="428" spans="1:2" ht="12.5" x14ac:dyDescent="0.25">
      <c r="A428" t="str">
        <f ca="1">IFERROR(__xludf.DUMMYFUNCTION("""COMPUTED_VALUE"""),"Asfivirus")</f>
        <v>Asfivirus</v>
      </c>
      <c r="B428" t="str">
        <f ca="1">IFERROR(__xludf.DUMMYFUNCTION("""COMPUTED_VALUE"""),"RF-00002655-MCG")</f>
        <v>RF-00002655-MCG</v>
      </c>
    </row>
    <row r="429" spans="1:2" ht="12.5" x14ac:dyDescent="0.25">
      <c r="A429" t="str">
        <f ca="1">IFERROR(__xludf.DUMMYFUNCTION("""COMPUTED_VALUE"""),"Asfivirus African swine fever virus")</f>
        <v>Asfivirus African swine fever virus</v>
      </c>
      <c r="B429" t="str">
        <f ca="1">IFERROR(__xludf.DUMMYFUNCTION("""COMPUTED_VALUE"""),"RF-00002657-MCG")</f>
        <v>RF-00002657-MCG</v>
      </c>
    </row>
    <row r="430" spans="1:2" ht="12.5" x14ac:dyDescent="0.25">
      <c r="A430" t="str">
        <f ca="1">IFERROR(__xludf.DUMMYFUNCTION("""COMPUTED_VALUE"""),"Asfivirus spp., unidentified")</f>
        <v>Asfivirus spp., unidentified</v>
      </c>
      <c r="B430" t="str">
        <f ca="1">IFERROR(__xludf.DUMMYFUNCTION("""COMPUTED_VALUE"""),"RF-00002656-MCG")</f>
        <v>RF-00002656-MCG</v>
      </c>
    </row>
    <row r="431" spans="1:2" ht="12.5" x14ac:dyDescent="0.25">
      <c r="A431" t="str">
        <f ca="1">IFERROR(__xludf.DUMMYFUNCTION("""COMPUTED_VALUE"""),"ash (minerals)")</f>
        <v>ash (minerals)</v>
      </c>
      <c r="B431" t="str">
        <f ca="1">IFERROR(__xludf.DUMMYFUNCTION("""COMPUTED_VALUE"""),"RF-00000026-NTR")</f>
        <v>RF-00000026-NTR</v>
      </c>
    </row>
    <row r="432" spans="1:2" ht="12.5" x14ac:dyDescent="0.25">
      <c r="A432" t="str">
        <f ca="1">IFERROR(__xludf.DUMMYFUNCTION("""COMPUTED_VALUE"""),"asparagine")</f>
        <v>asparagine</v>
      </c>
      <c r="B432" t="str">
        <f ca="1">IFERROR(__xludf.DUMMYFUNCTION("""COMPUTED_VALUE"""),"RF-00000027-NTR")</f>
        <v>RF-00000027-NTR</v>
      </c>
    </row>
    <row r="433" spans="1:2" ht="12.5" x14ac:dyDescent="0.25">
      <c r="A433" t="str">
        <f ca="1">IFERROR(__xludf.DUMMYFUNCTION("""COMPUTED_VALUE"""),"Aspartame")</f>
        <v>Aspartame</v>
      </c>
      <c r="B433" t="str">
        <f ca="1">IFERROR(__xludf.DUMMYFUNCTION("""COMPUTED_VALUE"""),"RF-00000004-ADD")</f>
        <v>RF-00000004-ADD</v>
      </c>
    </row>
    <row r="434" spans="1:2" ht="12.5" x14ac:dyDescent="0.25">
      <c r="A434" t="str">
        <f ca="1">IFERROR(__xludf.DUMMYFUNCTION("""COMPUTED_VALUE"""),"aspartic acid")</f>
        <v>aspartic acid</v>
      </c>
      <c r="B434" t="str">
        <f ca="1">IFERROR(__xludf.DUMMYFUNCTION("""COMPUTED_VALUE"""),"RF-00000028-NTR")</f>
        <v>RF-00000028-NTR</v>
      </c>
    </row>
    <row r="435" spans="1:2" ht="12.5" x14ac:dyDescent="0.25">
      <c r="A435" t="str">
        <f ca="1">IFERROR(__xludf.DUMMYFUNCTION("""COMPUTED_VALUE"""),"Aspertoxin")</f>
        <v>Aspertoxin</v>
      </c>
      <c r="B435" t="str">
        <f ca="1">IFERROR(__xludf.DUMMYFUNCTION("""COMPUTED_VALUE"""),"RF-00000199-TOX")</f>
        <v>RF-00000199-TOX</v>
      </c>
    </row>
    <row r="436" spans="1:2" ht="12.5" x14ac:dyDescent="0.25">
      <c r="A436" t="str">
        <f ca="1">IFERROR(__xludf.DUMMYFUNCTION("""COMPUTED_VALUE"""),"Asperumine")</f>
        <v>Asperumine</v>
      </c>
      <c r="B436" t="str">
        <f ca="1">IFERROR(__xludf.DUMMYFUNCTION("""COMPUTED_VALUE"""),"RF-00000242-TOX")</f>
        <v>RF-00000242-TOX</v>
      </c>
    </row>
    <row r="437" spans="1:2" ht="12.5" x14ac:dyDescent="0.25">
      <c r="A437" t="str">
        <f ca="1">IFERROR(__xludf.DUMMYFUNCTION("""COMPUTED_VALUE"""),"Aspon")</f>
        <v>Aspon</v>
      </c>
      <c r="B437" t="str">
        <f ca="1">IFERROR(__xludf.DUMMYFUNCTION("""COMPUTED_VALUE"""),"RF-0476-001-PPP")</f>
        <v>RF-0476-001-PPP</v>
      </c>
    </row>
    <row r="438" spans="1:2" ht="12.5" x14ac:dyDescent="0.25">
      <c r="A438" t="str">
        <f ca="1">IFERROR(__xludf.DUMMYFUNCTION("""COMPUTED_VALUE"""),"Astrovirus")</f>
        <v>Astrovirus</v>
      </c>
      <c r="B438" t="str">
        <f ca="1">IFERROR(__xludf.DUMMYFUNCTION("""COMPUTED_VALUE"""),"RF-00000002-MCG")</f>
        <v>RF-00000002-MCG</v>
      </c>
    </row>
    <row r="439" spans="1:2" ht="12.5" x14ac:dyDescent="0.25">
      <c r="A439" t="str">
        <f ca="1">IFERROR(__xludf.DUMMYFUNCTION("""COMPUTED_VALUE"""),"Asulam")</f>
        <v>Asulam</v>
      </c>
      <c r="B439" t="str">
        <f ca="1">IFERROR(__xludf.DUMMYFUNCTION("""COMPUTED_VALUE"""),"RF-00000108-VET")</f>
        <v>RF-00000108-VET</v>
      </c>
    </row>
    <row r="440" spans="1:2" ht="12.5" x14ac:dyDescent="0.25">
      <c r="A440" t="str">
        <f ca="1">IFERROR(__xludf.DUMMYFUNCTION("""COMPUTED_VALUE"""),"Asulam")</f>
        <v>Asulam</v>
      </c>
      <c r="B440" t="str">
        <f ca="1">IFERROR(__xludf.DUMMYFUNCTION("""COMPUTED_VALUE"""),"RF-0028-001-PPP")</f>
        <v>RF-0028-001-PPP</v>
      </c>
    </row>
    <row r="441" spans="1:2" ht="12.5" x14ac:dyDescent="0.25">
      <c r="A441" t="str">
        <f ca="1">IFERROR(__xludf.DUMMYFUNCTION("""COMPUTED_VALUE"""),"Atraton")</f>
        <v>Atraton</v>
      </c>
      <c r="B441" t="str">
        <f ca="1">IFERROR(__xludf.DUMMYFUNCTION("""COMPUTED_VALUE"""),"RF-1024-001-PPP")</f>
        <v>RF-1024-001-PPP</v>
      </c>
    </row>
    <row r="442" spans="1:2" ht="12.5" x14ac:dyDescent="0.25">
      <c r="A442" t="str">
        <f ca="1">IFERROR(__xludf.DUMMYFUNCTION("""COMPUTED_VALUE"""),"Atrazine")</f>
        <v>Atrazine</v>
      </c>
      <c r="B442" t="str">
        <f ca="1">IFERROR(__xludf.DUMMYFUNCTION("""COMPUTED_VALUE"""),"RF-0029-001-PPP")</f>
        <v>RF-0029-001-PPP</v>
      </c>
    </row>
    <row r="443" spans="1:2" ht="12.5" x14ac:dyDescent="0.25">
      <c r="A443" t="str">
        <f ca="1">IFERROR(__xludf.DUMMYFUNCTION("""COMPUTED_VALUE"""),"Atrazine, 2-Hydroxy-")</f>
        <v>Atrazine, 2-Hydroxy-</v>
      </c>
      <c r="B443" t="str">
        <f ca="1">IFERROR(__xludf.DUMMYFUNCTION("""COMPUTED_VALUE"""),"RF-0477-001-PPP")</f>
        <v>RF-0477-001-PPP</v>
      </c>
    </row>
    <row r="444" spans="1:2" ht="12.5" x14ac:dyDescent="0.25">
      <c r="A444" t="str">
        <f ca="1">IFERROR(__xludf.DUMMYFUNCTION("""COMPUTED_VALUE"""),"Atrazine, Desethyl-2-Hydroxy-")</f>
        <v>Atrazine, Desethyl-2-Hydroxy-</v>
      </c>
      <c r="B444" t="str">
        <f ca="1">IFERROR(__xludf.DUMMYFUNCTION("""COMPUTED_VALUE"""),"RF-0479-001-PPP")</f>
        <v>RF-0479-001-PPP</v>
      </c>
    </row>
    <row r="445" spans="1:2" ht="12.5" x14ac:dyDescent="0.25">
      <c r="A445" t="str">
        <f ca="1">IFERROR(__xludf.DUMMYFUNCTION("""COMPUTED_VALUE"""),"Atrazine, Desethyl-Desisopropyl-")</f>
        <v>Atrazine, Desethyl-Desisopropyl-</v>
      </c>
      <c r="B445" t="str">
        <f ca="1">IFERROR(__xludf.DUMMYFUNCTION("""COMPUTED_VALUE"""),"RF-0480-001-PPP")</f>
        <v>RF-0480-001-PPP</v>
      </c>
    </row>
    <row r="446" spans="1:2" ht="12.5" x14ac:dyDescent="0.25">
      <c r="A446" t="str">
        <f ca="1">IFERROR(__xludf.DUMMYFUNCTION("""COMPUTED_VALUE"""),"Atrazine, Desisopropyl-")</f>
        <v>Atrazine, Desisopropyl-</v>
      </c>
      <c r="B446" t="str">
        <f ca="1">IFERROR(__xludf.DUMMYFUNCTION("""COMPUTED_VALUE"""),"RF-0481-001-PPP")</f>
        <v>RF-0481-001-PPP</v>
      </c>
    </row>
    <row r="447" spans="1:2" ht="12.5" x14ac:dyDescent="0.25">
      <c r="A447" t="str">
        <f ca="1">IFERROR(__xludf.DUMMYFUNCTION("""COMPUTED_VALUE"""),"Atropine")</f>
        <v>Atropine</v>
      </c>
      <c r="B447" t="str">
        <f ca="1">IFERROR(__xludf.DUMMYFUNCTION("""COMPUTED_VALUE"""),"RF-00000246-TOX")</f>
        <v>RF-00000246-TOX</v>
      </c>
    </row>
    <row r="448" spans="1:2" ht="12.5" x14ac:dyDescent="0.25">
      <c r="A448" t="str">
        <f ca="1">IFERROR(__xludf.DUMMYFUNCTION("""COMPUTED_VALUE"""),"Avastrovirus")</f>
        <v>Avastrovirus</v>
      </c>
      <c r="B448" t="str">
        <f ca="1">IFERROR(__xludf.DUMMYFUNCTION("""COMPUTED_VALUE"""),"RF-00000003-MCG")</f>
        <v>RF-00000003-MCG</v>
      </c>
    </row>
    <row r="449" spans="1:2" ht="12.5" x14ac:dyDescent="0.25">
      <c r="A449" t="str">
        <f ca="1">IFERROR(__xludf.DUMMYFUNCTION("""COMPUTED_VALUE"""),"avenasterol, total")</f>
        <v>avenasterol, total</v>
      </c>
      <c r="B449" t="str">
        <f ca="1">IFERROR(__xludf.DUMMYFUNCTION("""COMPUTED_VALUE"""),"RF-00000029-NTR")</f>
        <v>RF-00000029-NTR</v>
      </c>
    </row>
    <row r="450" spans="1:2" ht="12.5" x14ac:dyDescent="0.25">
      <c r="A450" t="str">
        <f ca="1">IFERROR(__xludf.DUMMYFUNCTION("""COMPUTED_VALUE"""),"Avermectin B1a")</f>
        <v>Avermectin B1a</v>
      </c>
      <c r="B450" t="str">
        <f ca="1">IFERROR(__xludf.DUMMYFUNCTION("""COMPUTED_VALUE"""),"RF-00000042-VET")</f>
        <v>RF-00000042-VET</v>
      </c>
    </row>
    <row r="451" spans="1:2" ht="12.5" x14ac:dyDescent="0.25">
      <c r="A451" t="str">
        <f ca="1">IFERROR(__xludf.DUMMYFUNCTION("""COMPUTED_VALUE"""),"Avermectin B1a")</f>
        <v>Avermectin B1a</v>
      </c>
      <c r="B451" t="str">
        <f ca="1">IFERROR(__xludf.DUMMYFUNCTION("""COMPUTED_VALUE"""),"RF-0011-003-PPP")</f>
        <v>RF-0011-003-PPP</v>
      </c>
    </row>
    <row r="452" spans="1:2" ht="12.5" x14ac:dyDescent="0.25">
      <c r="A452" t="str">
        <f ca="1">IFERROR(__xludf.DUMMYFUNCTION("""COMPUTED_VALUE"""),"Avermectin B1a-22-23-Dihydro")</f>
        <v>Avermectin B1a-22-23-Dihydro</v>
      </c>
      <c r="B452" t="str">
        <f ca="1">IFERROR(__xludf.DUMMYFUNCTION("""COMPUTED_VALUE"""),"RF-00000030-VET")</f>
        <v>RF-00000030-VET</v>
      </c>
    </row>
    <row r="453" spans="1:2" ht="12.5" x14ac:dyDescent="0.25">
      <c r="A453" t="str">
        <f ca="1">IFERROR(__xludf.DUMMYFUNCTION("""COMPUTED_VALUE"""),"Avermectin B1a, delta-8,9 isomer")</f>
        <v>Avermectin B1a, delta-8,9 isomer</v>
      </c>
      <c r="B453" t="str">
        <f ca="1">IFERROR(__xludf.DUMMYFUNCTION("""COMPUTED_VALUE"""),"RF-0011-002-PPP")</f>
        <v>RF-0011-002-PPP</v>
      </c>
    </row>
    <row r="454" spans="1:2" ht="12.5" x14ac:dyDescent="0.25">
      <c r="A454" t="str">
        <f ca="1">IFERROR(__xludf.DUMMYFUNCTION("""COMPUTED_VALUE"""),"Avermectin B1b")</f>
        <v>Avermectin B1b</v>
      </c>
      <c r="B454" t="str">
        <f ca="1">IFERROR(__xludf.DUMMYFUNCTION("""COMPUTED_VALUE"""),"RF-00000004-VET")</f>
        <v>RF-00000004-VET</v>
      </c>
    </row>
    <row r="455" spans="1:2" ht="12.5" x14ac:dyDescent="0.25">
      <c r="A455" t="str">
        <f ca="1">IFERROR(__xludf.DUMMYFUNCTION("""COMPUTED_VALUE"""),"Avermectin B1b")</f>
        <v>Avermectin B1b</v>
      </c>
      <c r="B455" t="str">
        <f ca="1">IFERROR(__xludf.DUMMYFUNCTION("""COMPUTED_VALUE"""),"RF-0011-004-PPP")</f>
        <v>RF-0011-004-PPP</v>
      </c>
    </row>
    <row r="456" spans="1:2" ht="12.5" x14ac:dyDescent="0.25">
      <c r="A456" t="str">
        <f ca="1">IFERROR(__xludf.DUMMYFUNCTION("""COMPUTED_VALUE"""),"Avilamycin")</f>
        <v>Avilamycin</v>
      </c>
      <c r="B456" t="str">
        <f ca="1">IFERROR(__xludf.DUMMYFUNCTION("""COMPUTED_VALUE"""),"RF-00000591-VET")</f>
        <v>RF-00000591-VET</v>
      </c>
    </row>
    <row r="457" spans="1:2" ht="12.5" x14ac:dyDescent="0.25">
      <c r="A457" t="str">
        <f ca="1">IFERROR(__xludf.DUMMYFUNCTION("""COMPUTED_VALUE"""),"Avilamycin A")</f>
        <v>Avilamycin A</v>
      </c>
      <c r="B457" t="str">
        <f ca="1">IFERROR(__xludf.DUMMYFUNCTION("""COMPUTED_VALUE"""),"RF-00000669-VET")</f>
        <v>RF-00000669-VET</v>
      </c>
    </row>
    <row r="458" spans="1:2" ht="12.5" x14ac:dyDescent="0.25">
      <c r="A458" t="str">
        <f ca="1">IFERROR(__xludf.DUMMYFUNCTION("""COMPUTED_VALUE"""),"Avilamycin B")</f>
        <v>Avilamycin B</v>
      </c>
      <c r="B458" t="str">
        <f ca="1">IFERROR(__xludf.DUMMYFUNCTION("""COMPUTED_VALUE"""),"RF-00000618-VET")</f>
        <v>RF-00000618-VET</v>
      </c>
    </row>
    <row r="459" spans="1:2" ht="12.5" x14ac:dyDescent="0.25">
      <c r="A459" t="str">
        <f ca="1">IFERROR(__xludf.DUMMYFUNCTION("""COMPUTED_VALUE"""),"Avoparcin")</f>
        <v>Avoparcin</v>
      </c>
      <c r="B459" t="str">
        <f ca="1">IFERROR(__xludf.DUMMYFUNCTION("""COMPUTED_VALUE"""),"RF-00000083-VET")</f>
        <v>RF-00000083-VET</v>
      </c>
    </row>
    <row r="460" spans="1:2" ht="12.5" x14ac:dyDescent="0.25">
      <c r="A460" t="str">
        <f ca="1">IFERROR(__xludf.DUMMYFUNCTION("""COMPUTED_VALUE"""),"Azaconazole")</f>
        <v>Azaconazole</v>
      </c>
      <c r="B460" t="str">
        <f ca="1">IFERROR(__xludf.DUMMYFUNCTION("""COMPUTED_VALUE"""),"RF-0482-001-PPP")</f>
        <v>RF-0482-001-PPP</v>
      </c>
    </row>
    <row r="461" spans="1:2" ht="12.5" x14ac:dyDescent="0.25">
      <c r="A461" t="str">
        <f ca="1">IFERROR(__xludf.DUMMYFUNCTION("""COMPUTED_VALUE"""),"Azadirachtin")</f>
        <v>Azadirachtin</v>
      </c>
      <c r="B461" t="str">
        <f ca="1">IFERROR(__xludf.DUMMYFUNCTION("""COMPUTED_VALUE"""),"RF-0030-001-PPP")</f>
        <v>RF-0030-001-PPP</v>
      </c>
    </row>
    <row r="462" spans="1:2" ht="12.5" x14ac:dyDescent="0.25">
      <c r="A462" t="str">
        <f ca="1">IFERROR(__xludf.DUMMYFUNCTION("""COMPUTED_VALUE"""),"Azafenidin")</f>
        <v>Azafenidin</v>
      </c>
      <c r="B462" t="str">
        <f ca="1">IFERROR(__xludf.DUMMYFUNCTION("""COMPUTED_VALUE"""),"RF-0483-001-PPP")</f>
        <v>RF-0483-001-PPP</v>
      </c>
    </row>
    <row r="463" spans="1:2" ht="12.5" x14ac:dyDescent="0.25">
      <c r="A463" t="str">
        <f ca="1">IFERROR(__xludf.DUMMYFUNCTION("""COMPUTED_VALUE"""),"Azamethiphos")</f>
        <v>Azamethiphos</v>
      </c>
      <c r="B463" t="str">
        <f ca="1">IFERROR(__xludf.DUMMYFUNCTION("""COMPUTED_VALUE"""),"RF-0484-001-PPP")</f>
        <v>RF-0484-001-PPP</v>
      </c>
    </row>
    <row r="464" spans="1:2" ht="12.5" x14ac:dyDescent="0.25">
      <c r="A464" t="str">
        <f ca="1">IFERROR(__xludf.DUMMYFUNCTION("""COMPUTED_VALUE"""),"Azaperol")</f>
        <v>Azaperol</v>
      </c>
      <c r="B464" t="str">
        <f ca="1">IFERROR(__xludf.DUMMYFUNCTION("""COMPUTED_VALUE"""),"RF-00000166-VET")</f>
        <v>RF-00000166-VET</v>
      </c>
    </row>
    <row r="465" spans="1:2" ht="12.5" x14ac:dyDescent="0.25">
      <c r="A465" t="str">
        <f ca="1">IFERROR(__xludf.DUMMYFUNCTION("""COMPUTED_VALUE"""),"Azaperone")</f>
        <v>Azaperone</v>
      </c>
      <c r="B465" t="str">
        <f ca="1">IFERROR(__xludf.DUMMYFUNCTION("""COMPUTED_VALUE"""),"RF-00000178-VET")</f>
        <v>RF-00000178-VET</v>
      </c>
    </row>
    <row r="466" spans="1:2" ht="12.5" x14ac:dyDescent="0.25">
      <c r="A466" t="str">
        <f ca="1">IFERROR(__xludf.DUMMYFUNCTION("""COMPUTED_VALUE"""),"Azaspiracid")</f>
        <v>Azaspiracid</v>
      </c>
      <c r="B466" t="str">
        <f ca="1">IFERROR(__xludf.DUMMYFUNCTION("""COMPUTED_VALUE"""),"RF-00000011-TOX")</f>
        <v>RF-00000011-TOX</v>
      </c>
    </row>
    <row r="467" spans="1:2" ht="12.5" x14ac:dyDescent="0.25">
      <c r="A467" t="str">
        <f ca="1">IFERROR(__xludf.DUMMYFUNCTION("""COMPUTED_VALUE"""),"Azaspiracid-1-methyl ester")</f>
        <v>Azaspiracid-1-methyl ester</v>
      </c>
      <c r="B467" t="str">
        <f ca="1">IFERROR(__xludf.DUMMYFUNCTION("""COMPUTED_VALUE"""),"RF-00000040-TOX")</f>
        <v>RF-00000040-TOX</v>
      </c>
    </row>
    <row r="468" spans="1:2" ht="12.5" x14ac:dyDescent="0.25">
      <c r="A468" t="str">
        <f ca="1">IFERROR(__xludf.DUMMYFUNCTION("""COMPUTED_VALUE"""),"Azaspiracid-group toxins")</f>
        <v>Azaspiracid-group toxins</v>
      </c>
      <c r="B468" t="str">
        <f ca="1">IFERROR(__xludf.DUMMYFUNCTION("""COMPUTED_VALUE"""),"RF-00000010-TOX")</f>
        <v>RF-00000010-TOX</v>
      </c>
    </row>
    <row r="469" spans="1:2" ht="12.5" x14ac:dyDescent="0.25">
      <c r="A469" t="str">
        <f ca="1">IFERROR(__xludf.DUMMYFUNCTION("""COMPUTED_VALUE"""),"Azimsulfuron")</f>
        <v>Azimsulfuron</v>
      </c>
      <c r="B469" t="str">
        <f ca="1">IFERROR(__xludf.DUMMYFUNCTION("""COMPUTED_VALUE"""),"RF-0031-001-PPP")</f>
        <v>RF-0031-001-PPP</v>
      </c>
    </row>
    <row r="470" spans="1:2" ht="12.5" x14ac:dyDescent="0.25">
      <c r="A470" t="str">
        <f ca="1">IFERROR(__xludf.DUMMYFUNCTION("""COMPUTED_VALUE"""),"Azinphos-ethyl")</f>
        <v>Azinphos-ethyl</v>
      </c>
      <c r="B470" t="str">
        <f ca="1">IFERROR(__xludf.DUMMYFUNCTION("""COMPUTED_VALUE"""),"RF-0032-001-PPP")</f>
        <v>RF-0032-001-PPP</v>
      </c>
    </row>
    <row r="471" spans="1:2" ht="12.5" x14ac:dyDescent="0.25">
      <c r="A471" t="str">
        <f ca="1">IFERROR(__xludf.DUMMYFUNCTION("""COMPUTED_VALUE"""),"Azinphos-methyl")</f>
        <v>Azinphos-methyl</v>
      </c>
      <c r="B471" t="str">
        <f ca="1">IFERROR(__xludf.DUMMYFUNCTION("""COMPUTED_VALUE"""),"RF-0033-001-PPP")</f>
        <v>RF-0033-001-PPP</v>
      </c>
    </row>
    <row r="472" spans="1:2" ht="12.5" x14ac:dyDescent="0.25">
      <c r="A472" t="str">
        <f ca="1">IFERROR(__xludf.DUMMYFUNCTION("""COMPUTED_VALUE"""),"Aziprotryne")</f>
        <v>Aziprotryne</v>
      </c>
      <c r="B472" t="str">
        <f ca="1">IFERROR(__xludf.DUMMYFUNCTION("""COMPUTED_VALUE"""),"RF-0485-001-PPP")</f>
        <v>RF-0485-001-PPP</v>
      </c>
    </row>
    <row r="473" spans="1:2" ht="12.5" x14ac:dyDescent="0.25">
      <c r="A473" t="str">
        <f ca="1">IFERROR(__xludf.DUMMYFUNCTION("""COMPUTED_VALUE"""),"Azithromycin")</f>
        <v>Azithromycin</v>
      </c>
      <c r="B473" t="str">
        <f ca="1">IFERROR(__xludf.DUMMYFUNCTION("""COMPUTED_VALUE"""),"RF-00000541-VET")</f>
        <v>RF-00000541-VET</v>
      </c>
    </row>
    <row r="474" spans="1:2" ht="12.5" x14ac:dyDescent="0.25">
      <c r="A474" t="str">
        <f ca="1">IFERROR(__xludf.DUMMYFUNCTION("""COMPUTED_VALUE"""),"Azocyclotin")</f>
        <v>Azocyclotin</v>
      </c>
      <c r="B474" t="str">
        <f ca="1">IFERROR(__xludf.DUMMYFUNCTION("""COMPUTED_VALUE"""),"RF-0034-003-PPP")</f>
        <v>RF-0034-003-PPP</v>
      </c>
    </row>
    <row r="475" spans="1:2" ht="12.5" x14ac:dyDescent="0.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x14ac:dyDescent="0.25">
      <c r="A476" t="str">
        <f ca="1">IFERROR(__xludf.DUMMYFUNCTION("""COMPUTED_VALUE"""),"Azorubine, Carmoisine")</f>
        <v>Azorubine, Carmoisine</v>
      </c>
      <c r="B476" t="str">
        <f ca="1">IFERROR(__xludf.DUMMYFUNCTION("""COMPUTED_VALUE"""),"RF-00000047-ADD")</f>
        <v>RF-00000047-ADD</v>
      </c>
    </row>
    <row r="477" spans="1:2" ht="12.5" x14ac:dyDescent="0.25">
      <c r="A477" t="str">
        <f ca="1">IFERROR(__xludf.DUMMYFUNCTION("""COMPUTED_VALUE"""),"Azoxybenzene")</f>
        <v>Azoxybenzene</v>
      </c>
      <c r="B477" t="str">
        <f ca="1">IFERROR(__xludf.DUMMYFUNCTION("""COMPUTED_VALUE"""),"RF-1031-001-PPP")</f>
        <v>RF-1031-001-PPP</v>
      </c>
    </row>
    <row r="478" spans="1:2" ht="12.5" x14ac:dyDescent="0.25">
      <c r="A478" t="str">
        <f ca="1">IFERROR(__xludf.DUMMYFUNCTION("""COMPUTED_VALUE"""),"Azoxystrobin")</f>
        <v>Azoxystrobin</v>
      </c>
      <c r="B478" t="str">
        <f ca="1">IFERROR(__xludf.DUMMYFUNCTION("""COMPUTED_VALUE"""),"RF-0035-001-PPP")</f>
        <v>RF-0035-001-PPP</v>
      </c>
    </row>
    <row r="479" spans="1:2" ht="12.5" x14ac:dyDescent="0.25">
      <c r="A479" t="str">
        <f ca="1">IFERROR(__xludf.DUMMYFUNCTION("""COMPUTED_VALUE"""),"Aztreonam")</f>
        <v>Aztreonam</v>
      </c>
      <c r="B479" t="str">
        <f ca="1">IFERROR(__xludf.DUMMYFUNCTION("""COMPUTED_VALUE"""),"RF-00000749-VET")</f>
        <v>RF-00000749-VET</v>
      </c>
    </row>
    <row r="480" spans="1:2" ht="12.5" x14ac:dyDescent="0.25">
      <c r="A480" t="str">
        <f ca="1">IFERROR(__xludf.DUMMYFUNCTION("""COMPUTED_VALUE"""),"B. cereus enterotoxins")</f>
        <v>B. cereus enterotoxins</v>
      </c>
      <c r="B480" t="str">
        <f ca="1">IFERROR(__xludf.DUMMYFUNCTION("""COMPUTED_VALUE"""),"RF-00000455-TOX")</f>
        <v>RF-00000455-TOX</v>
      </c>
    </row>
    <row r="481" spans="1:2" ht="12.5" x14ac:dyDescent="0.25">
      <c r="A481" t="str">
        <f ca="1">IFERROR(__xludf.DUMMYFUNCTION("""COMPUTED_VALUE"""),"Babesia")</f>
        <v>Babesia</v>
      </c>
      <c r="B481" t="str">
        <f ca="1">IFERROR(__xludf.DUMMYFUNCTION("""COMPUTED_VALUE"""),"RF-00002675-MCG")</f>
        <v>RF-00002675-MCG</v>
      </c>
    </row>
    <row r="482" spans="1:2" ht="12.5" x14ac:dyDescent="0.25">
      <c r="A482" t="str">
        <f ca="1">IFERROR(__xludf.DUMMYFUNCTION("""COMPUTED_VALUE"""),"Babesia bigemina")</f>
        <v>Babesia bigemina</v>
      </c>
      <c r="B482" t="str">
        <f ca="1">IFERROR(__xludf.DUMMYFUNCTION("""COMPUTED_VALUE"""),"RF-00002677-MCG")</f>
        <v>RF-00002677-MCG</v>
      </c>
    </row>
    <row r="483" spans="1:2" ht="12.5" x14ac:dyDescent="0.25">
      <c r="A483" t="str">
        <f ca="1">IFERROR(__xludf.DUMMYFUNCTION("""COMPUTED_VALUE"""),"Babesia bovis")</f>
        <v>Babesia bovis</v>
      </c>
      <c r="B483" t="str">
        <f ca="1">IFERROR(__xludf.DUMMYFUNCTION("""COMPUTED_VALUE"""),"RF-00002678-MCG")</f>
        <v>RF-00002678-MCG</v>
      </c>
    </row>
    <row r="484" spans="1:2" ht="12.5" x14ac:dyDescent="0.25">
      <c r="A484" t="str">
        <f ca="1">IFERROR(__xludf.DUMMYFUNCTION("""COMPUTED_VALUE"""),"Babesia caballi")</f>
        <v>Babesia caballi</v>
      </c>
      <c r="B484" t="str">
        <f ca="1">IFERROR(__xludf.DUMMYFUNCTION("""COMPUTED_VALUE"""),"RF-00002679-MCG")</f>
        <v>RF-00002679-MCG</v>
      </c>
    </row>
    <row r="485" spans="1:2" ht="12.5" x14ac:dyDescent="0.25">
      <c r="A485" t="str">
        <f ca="1">IFERROR(__xludf.DUMMYFUNCTION("""COMPUTED_VALUE"""),"Babesia canis")</f>
        <v>Babesia canis</v>
      </c>
      <c r="B485" t="str">
        <f ca="1">IFERROR(__xludf.DUMMYFUNCTION("""COMPUTED_VALUE"""),"RF-00002680-MCG")</f>
        <v>RF-00002680-MCG</v>
      </c>
    </row>
    <row r="486" spans="1:2" ht="12.5" x14ac:dyDescent="0.25">
      <c r="A486" t="str">
        <f ca="1">IFERROR(__xludf.DUMMYFUNCTION("""COMPUTED_VALUE"""),"Babesia capreoli")</f>
        <v>Babesia capreoli</v>
      </c>
      <c r="B486" t="str">
        <f ca="1">IFERROR(__xludf.DUMMYFUNCTION("""COMPUTED_VALUE"""),"RF-00002681-MCG")</f>
        <v>RF-00002681-MCG</v>
      </c>
    </row>
    <row r="487" spans="1:2" ht="12.5" x14ac:dyDescent="0.25">
      <c r="A487" t="str">
        <f ca="1">IFERROR(__xludf.DUMMYFUNCTION("""COMPUTED_VALUE"""),"Babesia colchica")</f>
        <v>Babesia colchica</v>
      </c>
      <c r="B487" t="str">
        <f ca="1">IFERROR(__xludf.DUMMYFUNCTION("""COMPUTED_VALUE"""),"RF-00002682-MCG")</f>
        <v>RF-00002682-MCG</v>
      </c>
    </row>
    <row r="488" spans="1:2" ht="12.5" x14ac:dyDescent="0.25">
      <c r="A488" t="str">
        <f ca="1">IFERROR(__xludf.DUMMYFUNCTION("""COMPUTED_VALUE"""),"Babesia divergens")</f>
        <v>Babesia divergens</v>
      </c>
      <c r="B488" t="str">
        <f ca="1">IFERROR(__xludf.DUMMYFUNCTION("""COMPUTED_VALUE"""),"RF-00002683-MCG")</f>
        <v>RF-00002683-MCG</v>
      </c>
    </row>
    <row r="489" spans="1:2" ht="12.5" x14ac:dyDescent="0.25">
      <c r="A489" t="str">
        <f ca="1">IFERROR(__xludf.DUMMYFUNCTION("""COMPUTED_VALUE"""),"Babesia equi")</f>
        <v>Babesia equi</v>
      </c>
      <c r="B489" t="str">
        <f ca="1">IFERROR(__xludf.DUMMYFUNCTION("""COMPUTED_VALUE"""),"RF-00002684-MCG")</f>
        <v>RF-00002684-MCG</v>
      </c>
    </row>
    <row r="490" spans="1:2" ht="12.5" x14ac:dyDescent="0.25">
      <c r="A490" t="str">
        <f ca="1">IFERROR(__xludf.DUMMYFUNCTION("""COMPUTED_VALUE"""),"Babesia EU1")</f>
        <v>Babesia EU1</v>
      </c>
      <c r="B490" t="str">
        <f ca="1">IFERROR(__xludf.DUMMYFUNCTION("""COMPUTED_VALUE"""),"RF-00003925-MCG")</f>
        <v>RF-00003925-MCG</v>
      </c>
    </row>
    <row r="491" spans="1:2" ht="12.5" x14ac:dyDescent="0.25">
      <c r="A491" t="str">
        <f ca="1">IFERROR(__xludf.DUMMYFUNCTION("""COMPUTED_VALUE"""),"Babesia gibsoni")</f>
        <v>Babesia gibsoni</v>
      </c>
      <c r="B491" t="str">
        <f ca="1">IFERROR(__xludf.DUMMYFUNCTION("""COMPUTED_VALUE"""),"RF-00002685-MCG")</f>
        <v>RF-00002685-MCG</v>
      </c>
    </row>
    <row r="492" spans="1:2" ht="12.5" x14ac:dyDescent="0.25">
      <c r="A492" t="str">
        <f ca="1">IFERROR(__xludf.DUMMYFUNCTION("""COMPUTED_VALUE"""),"Babesia hylomysci")</f>
        <v>Babesia hylomysci</v>
      </c>
      <c r="B492" t="str">
        <f ca="1">IFERROR(__xludf.DUMMYFUNCTION("""COMPUTED_VALUE"""),"RF-00002686-MCG")</f>
        <v>RF-00002686-MCG</v>
      </c>
    </row>
    <row r="493" spans="1:2" ht="12.5" x14ac:dyDescent="0.25">
      <c r="A493" t="str">
        <f ca="1">IFERROR(__xludf.DUMMYFUNCTION("""COMPUTED_VALUE"""),"Babesia major")</f>
        <v>Babesia major</v>
      </c>
      <c r="B493" t="str">
        <f ca="1">IFERROR(__xludf.DUMMYFUNCTION("""COMPUTED_VALUE"""),"RF-00002687-MCG")</f>
        <v>RF-00002687-MCG</v>
      </c>
    </row>
    <row r="494" spans="1:2" ht="12.5" x14ac:dyDescent="0.25">
      <c r="A494" t="str">
        <f ca="1">IFERROR(__xludf.DUMMYFUNCTION("""COMPUTED_VALUE"""),"Babesia microti")</f>
        <v>Babesia microti</v>
      </c>
      <c r="B494" t="str">
        <f ca="1">IFERROR(__xludf.DUMMYFUNCTION("""COMPUTED_VALUE"""),"RF-00002688-MCG")</f>
        <v>RF-00002688-MCG</v>
      </c>
    </row>
    <row r="495" spans="1:2" ht="12.5" x14ac:dyDescent="0.25">
      <c r="A495" t="str">
        <f ca="1">IFERROR(__xludf.DUMMYFUNCTION("""COMPUTED_VALUE"""),"Babesia motasi")</f>
        <v>Babesia motasi</v>
      </c>
      <c r="B495" t="str">
        <f ca="1">IFERROR(__xludf.DUMMYFUNCTION("""COMPUTED_VALUE"""),"RF-00002689-MCG")</f>
        <v>RF-00002689-MCG</v>
      </c>
    </row>
    <row r="496" spans="1:2" ht="12.5" x14ac:dyDescent="0.25">
      <c r="A496" t="str">
        <f ca="1">IFERROR(__xludf.DUMMYFUNCTION("""COMPUTED_VALUE"""),"Babesia ovata")</f>
        <v>Babesia ovata</v>
      </c>
      <c r="B496" t="str">
        <f ca="1">IFERROR(__xludf.DUMMYFUNCTION("""COMPUTED_VALUE"""),"RF-00002690-MCG")</f>
        <v>RF-00002690-MCG</v>
      </c>
    </row>
    <row r="497" spans="1:2" ht="12.5" x14ac:dyDescent="0.25">
      <c r="A497" t="str">
        <f ca="1">IFERROR(__xludf.DUMMYFUNCTION("""COMPUTED_VALUE"""),"Babesia ovis")</f>
        <v>Babesia ovis</v>
      </c>
      <c r="B497" t="str">
        <f ca="1">IFERROR(__xludf.DUMMYFUNCTION("""COMPUTED_VALUE"""),"RF-00002691-MCG")</f>
        <v>RF-00002691-MCG</v>
      </c>
    </row>
    <row r="498" spans="1:2" ht="12.5" x14ac:dyDescent="0.25">
      <c r="A498" t="str">
        <f ca="1">IFERROR(__xludf.DUMMYFUNCTION("""COMPUTED_VALUE"""),"Babesia rodhaini")</f>
        <v>Babesia rodhaini</v>
      </c>
      <c r="B498" t="str">
        <f ca="1">IFERROR(__xludf.DUMMYFUNCTION("""COMPUTED_VALUE"""),"RF-00002692-MCG")</f>
        <v>RF-00002692-MCG</v>
      </c>
    </row>
    <row r="499" spans="1:2" ht="12.5" x14ac:dyDescent="0.25">
      <c r="A499" t="str">
        <f ca="1">IFERROR(__xludf.DUMMYFUNCTION("""COMPUTED_VALUE"""),"Babesia spp., unidentified")</f>
        <v>Babesia spp., unidentified</v>
      </c>
      <c r="B499" t="str">
        <f ca="1">IFERROR(__xludf.DUMMYFUNCTION("""COMPUTED_VALUE"""),"RF-00002676-MCG")</f>
        <v>RF-00002676-MCG</v>
      </c>
    </row>
    <row r="500" spans="1:2" ht="12.5" x14ac:dyDescent="0.25">
      <c r="A500" t="str">
        <f ca="1">IFERROR(__xludf.DUMMYFUNCTION("""COMPUTED_VALUE"""),"Babesia trautmanni")</f>
        <v>Babesia trautmanni</v>
      </c>
      <c r="B500" t="str">
        <f ca="1">IFERROR(__xludf.DUMMYFUNCTION("""COMPUTED_VALUE"""),"RF-00002693-MCG")</f>
        <v>RF-00002693-MCG</v>
      </c>
    </row>
    <row r="501" spans="1:2" ht="12.5" x14ac:dyDescent="0.25">
      <c r="A501" t="str">
        <f ca="1">IFERROR(__xludf.DUMMYFUNCTION("""COMPUTED_VALUE"""),"BAC 10")</f>
        <v>BAC 10</v>
      </c>
      <c r="B501" t="str">
        <f ca="1">IFERROR(__xludf.DUMMYFUNCTION("""COMPUTED_VALUE"""),"RF-1078-003-PPP")</f>
        <v>RF-1078-003-PPP</v>
      </c>
    </row>
    <row r="502" spans="1:2" ht="12.5" x14ac:dyDescent="0.25">
      <c r="A502" t="str">
        <f ca="1">IFERROR(__xludf.DUMMYFUNCTION("""COMPUTED_VALUE"""),"BAC 12")</f>
        <v>BAC 12</v>
      </c>
      <c r="B502" t="str">
        <f ca="1">IFERROR(__xludf.DUMMYFUNCTION("""COMPUTED_VALUE"""),"RF-1078-004-PPP")</f>
        <v>RF-1078-004-PPP</v>
      </c>
    </row>
    <row r="503" spans="1:2" ht="12.5" x14ac:dyDescent="0.25">
      <c r="A503" t="str">
        <f ca="1">IFERROR(__xludf.DUMMYFUNCTION("""COMPUTED_VALUE"""),"BAC 14")</f>
        <v>BAC 14</v>
      </c>
      <c r="B503" t="str">
        <f ca="1">IFERROR(__xludf.DUMMYFUNCTION("""COMPUTED_VALUE"""),"RF-1078-005-PPP")</f>
        <v>RF-1078-005-PPP</v>
      </c>
    </row>
    <row r="504" spans="1:2" ht="12.5" x14ac:dyDescent="0.25">
      <c r="A504" t="str">
        <f ca="1">IFERROR(__xludf.DUMMYFUNCTION("""COMPUTED_VALUE"""),"BAC 16")</f>
        <v>BAC 16</v>
      </c>
      <c r="B504" t="str">
        <f ca="1">IFERROR(__xludf.DUMMYFUNCTION("""COMPUTED_VALUE"""),"RF-1078-006-PPP")</f>
        <v>RF-1078-006-PPP</v>
      </c>
    </row>
    <row r="505" spans="1:2" ht="12.5" x14ac:dyDescent="0.25">
      <c r="A505" t="str">
        <f ca="1">IFERROR(__xludf.DUMMYFUNCTION("""COMPUTED_VALUE"""),"BAC 18")</f>
        <v>BAC 18</v>
      </c>
      <c r="B505" t="str">
        <f ca="1">IFERROR(__xludf.DUMMYFUNCTION("""COMPUTED_VALUE"""),"RF-1078-007-PPP")</f>
        <v>RF-1078-007-PPP</v>
      </c>
    </row>
    <row r="506" spans="1:2" ht="12.5" x14ac:dyDescent="0.25">
      <c r="A506" t="str">
        <f ca="1">IFERROR(__xludf.DUMMYFUNCTION("""COMPUTED_VALUE"""),"Bacillus")</f>
        <v>Bacillus</v>
      </c>
      <c r="B506" t="str">
        <f ca="1">IFERROR(__xludf.DUMMYFUNCTION("""COMPUTED_VALUE"""),"RF-00000004-MCG")</f>
        <v>RF-00000004-MCG</v>
      </c>
    </row>
    <row r="507" spans="1:2" ht="12.5" x14ac:dyDescent="0.25">
      <c r="A507" t="str">
        <f ca="1">IFERROR(__xludf.DUMMYFUNCTION("""COMPUTED_VALUE"""),"Bacillus anthracis")</f>
        <v>Bacillus anthracis</v>
      </c>
      <c r="B507" t="str">
        <f ca="1">IFERROR(__xludf.DUMMYFUNCTION("""COMPUTED_VALUE"""),"RF-00000005-MCG")</f>
        <v>RF-00000005-MCG</v>
      </c>
    </row>
    <row r="508" spans="1:2" ht="12.5" x14ac:dyDescent="0.25">
      <c r="A508" t="str">
        <f ca="1">IFERROR(__xludf.DUMMYFUNCTION("""COMPUTED_VALUE"""),"Bacillus cereus")</f>
        <v>Bacillus cereus</v>
      </c>
      <c r="B508" t="str">
        <f ca="1">IFERROR(__xludf.DUMMYFUNCTION("""COMPUTED_VALUE"""),"RF-00000006-MCG")</f>
        <v>RF-00000006-MCG</v>
      </c>
    </row>
    <row r="509" spans="1:2" ht="12.5" x14ac:dyDescent="0.25">
      <c r="A509" t="str">
        <f ca="1">IFERROR(__xludf.DUMMYFUNCTION("""COMPUTED_VALUE"""),"Bacillus cereus toxins")</f>
        <v>Bacillus cereus toxins</v>
      </c>
      <c r="B509" t="str">
        <f ca="1">IFERROR(__xludf.DUMMYFUNCTION("""COMPUTED_VALUE"""),"RF-00000003-TOX")</f>
        <v>RF-00000003-TOX</v>
      </c>
    </row>
    <row r="510" spans="1:2" ht="12.5" x14ac:dyDescent="0.25">
      <c r="A510" t="str">
        <f ca="1">IFERROR(__xludf.DUMMYFUNCTION("""COMPUTED_VALUE"""),"Bacillus licheniformis")</f>
        <v>Bacillus licheniformis</v>
      </c>
      <c r="B510" t="str">
        <f ca="1">IFERROR(__xludf.DUMMYFUNCTION("""COMPUTED_VALUE"""),"RF-00000008-MCG")</f>
        <v>RF-00000008-MCG</v>
      </c>
    </row>
    <row r="511" spans="1:2" ht="12.5" x14ac:dyDescent="0.25">
      <c r="A511" t="str">
        <f ca="1">IFERROR(__xludf.DUMMYFUNCTION("""COMPUTED_VALUE"""),"Bacillus pumilis")</f>
        <v>Bacillus pumilis</v>
      </c>
      <c r="B511" t="str">
        <f ca="1">IFERROR(__xludf.DUMMYFUNCTION("""COMPUTED_VALUE"""),"RF-00000010-MCG")</f>
        <v>RF-00000010-MCG</v>
      </c>
    </row>
    <row r="512" spans="1:2" ht="12.5" x14ac:dyDescent="0.25">
      <c r="A512" t="str">
        <f ca="1">IFERROR(__xludf.DUMMYFUNCTION("""COMPUTED_VALUE"""),"Bacillus spp.,  unspecified")</f>
        <v>Bacillus spp.,  unspecified</v>
      </c>
      <c r="B512" t="str">
        <f ca="1">IFERROR(__xludf.DUMMYFUNCTION("""COMPUTED_VALUE"""),"RF-00000007-MCG")</f>
        <v>RF-00000007-MCG</v>
      </c>
    </row>
    <row r="513" spans="1:2" ht="12.5" x14ac:dyDescent="0.25">
      <c r="A513" t="str">
        <f ca="1">IFERROR(__xludf.DUMMYFUNCTION("""COMPUTED_VALUE"""),"Bacillus subtilis")</f>
        <v>Bacillus subtilis</v>
      </c>
      <c r="B513" t="str">
        <f ca="1">IFERROR(__xludf.DUMMYFUNCTION("""COMPUTED_VALUE"""),"RF-00000009-MCG")</f>
        <v>RF-00000009-MCG</v>
      </c>
    </row>
    <row r="514" spans="1:2" ht="12.5" x14ac:dyDescent="0.25">
      <c r="A514" t="str">
        <f ca="1">IFERROR(__xludf.DUMMYFUNCTION("""COMPUTED_VALUE"""),"Bacitracin")</f>
        <v>Bacitracin</v>
      </c>
      <c r="B514" t="str">
        <f ca="1">IFERROR(__xludf.DUMMYFUNCTION("""COMPUTED_VALUE"""),"RF-00000554-VET")</f>
        <v>RF-00000554-VET</v>
      </c>
    </row>
    <row r="515" spans="1:2" ht="12.5" x14ac:dyDescent="0.25">
      <c r="A515" t="str">
        <f ca="1">IFERROR(__xludf.DUMMYFUNCTION("""COMPUTED_VALUE"""),"Bacteria")</f>
        <v>Bacteria</v>
      </c>
      <c r="B515" t="str">
        <f ca="1">IFERROR(__xludf.DUMMYFUNCTION("""COMPUTED_VALUE"""),"RF-00002793-MCG")</f>
        <v>RF-00002793-MCG</v>
      </c>
    </row>
    <row r="516" spans="1:2" ht="12.5" x14ac:dyDescent="0.25">
      <c r="A516" t="str">
        <f ca="1">IFERROR(__xludf.DUMMYFUNCTION("""COMPUTED_VALUE"""),"Bacterial toxins")</f>
        <v>Bacterial toxins</v>
      </c>
      <c r="B516" t="str">
        <f ca="1">IFERROR(__xludf.DUMMYFUNCTION("""COMPUTED_VALUE"""),"RF-00000002-TOX")</f>
        <v>RF-00000002-TOX</v>
      </c>
    </row>
    <row r="517" spans="1:2" ht="12.5" x14ac:dyDescent="0.25">
      <c r="A517" t="str">
        <f ca="1">IFERROR(__xludf.DUMMYFUNCTION("""COMPUTED_VALUE"""),"Balantidium")</f>
        <v>Balantidium</v>
      </c>
      <c r="B517" t="str">
        <f ca="1">IFERROR(__xludf.DUMMYFUNCTION("""COMPUTED_VALUE"""),"RF-00000011-MCG")</f>
        <v>RF-00000011-MCG</v>
      </c>
    </row>
    <row r="518" spans="1:2" ht="12.5" x14ac:dyDescent="0.25">
      <c r="A518" t="str">
        <f ca="1">IFERROR(__xludf.DUMMYFUNCTION("""COMPUTED_VALUE"""),"Balantidium coli")</f>
        <v>Balantidium coli</v>
      </c>
      <c r="B518" t="str">
        <f ca="1">IFERROR(__xludf.DUMMYFUNCTION("""COMPUTED_VALUE"""),"RF-00000012-MCG")</f>
        <v>RF-00000012-MCG</v>
      </c>
    </row>
    <row r="519" spans="1:2" ht="12.5" x14ac:dyDescent="0.25">
      <c r="A519" t="str">
        <f ca="1">IFERROR(__xludf.DUMMYFUNCTION("""COMPUTED_VALUE"""),"Balantidium spp., unspecified")</f>
        <v>Balantidium spp., unspecified</v>
      </c>
      <c r="B519" t="str">
        <f ca="1">IFERROR(__xludf.DUMMYFUNCTION("""COMPUTED_VALUE"""),"RF-00000013-MCG")</f>
        <v>RF-00000013-MCG</v>
      </c>
    </row>
    <row r="520" spans="1:2" ht="12.5" x14ac:dyDescent="0.25">
      <c r="A520" t="str">
        <f ca="1">IFERROR(__xludf.DUMMYFUNCTION("""COMPUTED_VALUE"""),"Bambermycin")</f>
        <v>Bambermycin</v>
      </c>
      <c r="B520" t="str">
        <f ca="1">IFERROR(__xludf.DUMMYFUNCTION("""COMPUTED_VALUE"""),"RF-00000740-VET")</f>
        <v>RF-00000740-VET</v>
      </c>
    </row>
    <row r="521" spans="1:2" ht="12.5" x14ac:dyDescent="0.25">
      <c r="A521" t="str">
        <f ca="1">IFERROR(__xludf.DUMMYFUNCTION("""COMPUTED_VALUE"""),"Bamethan")</f>
        <v>Bamethan</v>
      </c>
      <c r="B521" t="str">
        <f ca="1">IFERROR(__xludf.DUMMYFUNCTION("""COMPUTED_VALUE"""),"RF-00000462-VET")</f>
        <v>RF-00000462-VET</v>
      </c>
    </row>
    <row r="522" spans="1:2" ht="12.5" x14ac:dyDescent="0.25">
      <c r="A522" t="str">
        <f ca="1">IFERROR(__xludf.DUMMYFUNCTION("""COMPUTED_VALUE"""),"Baquiloprim")</f>
        <v>Baquiloprim</v>
      </c>
      <c r="B522" t="str">
        <f ca="1">IFERROR(__xludf.DUMMYFUNCTION("""COMPUTED_VALUE"""),"RF-00000535-VET")</f>
        <v>RF-00000535-VET</v>
      </c>
    </row>
    <row r="523" spans="1:2" ht="12.5" x14ac:dyDescent="0.25">
      <c r="A523" t="str">
        <f ca="1">IFERROR(__xludf.DUMMYFUNCTION("""COMPUTED_VALUE"""),"Barban")</f>
        <v>Barban</v>
      </c>
      <c r="B523" t="str">
        <f ca="1">IFERROR(__xludf.DUMMYFUNCTION("""COMPUTED_VALUE"""),"RF-0036-001-PPP")</f>
        <v>RF-0036-001-PPP</v>
      </c>
    </row>
    <row r="524" spans="1:2" ht="12.5" x14ac:dyDescent="0.25">
      <c r="A524" t="str">
        <f ca="1">IFERROR(__xludf.DUMMYFUNCTION("""COMPUTED_VALUE"""),"Barium (Ba)")</f>
        <v>Barium (Ba)</v>
      </c>
      <c r="B524" t="str">
        <f ca="1">IFERROR(__xludf.DUMMYFUNCTION("""COMPUTED_VALUE"""),"RF-00000143-CHE")</f>
        <v>RF-00000143-CHE</v>
      </c>
    </row>
    <row r="525" spans="1:2" ht="12.5" x14ac:dyDescent="0.25">
      <c r="A525" t="str">
        <f ca="1">IFERROR(__xludf.DUMMYFUNCTION("""COMPUTED_VALUE"""),"Barium and derivatives")</f>
        <v>Barium and derivatives</v>
      </c>
      <c r="B525" t="str">
        <f ca="1">IFERROR(__xludf.DUMMYFUNCTION("""COMPUTED_VALUE"""),"RF-00000142-CHE")</f>
        <v>RF-00000142-CHE</v>
      </c>
    </row>
    <row r="526" spans="1:2" ht="12.5" x14ac:dyDescent="0.25">
      <c r="A526" t="str">
        <f ca="1">IFERROR(__xludf.DUMMYFUNCTION("""COMPUTED_VALUE"""),"Bartonella")</f>
        <v>Bartonella</v>
      </c>
      <c r="B526" t="str">
        <f ca="1">IFERROR(__xludf.DUMMYFUNCTION("""COMPUTED_VALUE"""),"RF-00000014-MCG")</f>
        <v>RF-00000014-MCG</v>
      </c>
    </row>
    <row r="527" spans="1:2" ht="12.5" x14ac:dyDescent="0.25">
      <c r="A527" t="str">
        <f ca="1">IFERROR(__xludf.DUMMYFUNCTION("""COMPUTED_VALUE"""),"Bartonella alsatica")</f>
        <v>Bartonella alsatica</v>
      </c>
      <c r="B527" t="str">
        <f ca="1">IFERROR(__xludf.DUMMYFUNCTION("""COMPUTED_VALUE"""),"RF-00002725-MCG")</f>
        <v>RF-00002725-MCG</v>
      </c>
    </row>
    <row r="528" spans="1:2" ht="12.5" x14ac:dyDescent="0.25">
      <c r="A528" t="str">
        <f ca="1">IFERROR(__xludf.DUMMYFUNCTION("""COMPUTED_VALUE"""),"Bartonella bacilliformis")</f>
        <v>Bartonella bacilliformis</v>
      </c>
      <c r="B528" t="str">
        <f ca="1">IFERROR(__xludf.DUMMYFUNCTION("""COMPUTED_VALUE"""),"RF-00002726-MCG")</f>
        <v>RF-00002726-MCG</v>
      </c>
    </row>
    <row r="529" spans="1:2" ht="12.5" x14ac:dyDescent="0.25">
      <c r="A529" t="str">
        <f ca="1">IFERROR(__xludf.DUMMYFUNCTION("""COMPUTED_VALUE"""),"Bartonella birtlesii")</f>
        <v>Bartonella birtlesii</v>
      </c>
      <c r="B529" t="str">
        <f ca="1">IFERROR(__xludf.DUMMYFUNCTION("""COMPUTED_VALUE"""),"RF-00002727-MCG")</f>
        <v>RF-00002727-MCG</v>
      </c>
    </row>
    <row r="530" spans="1:2" ht="12.5" x14ac:dyDescent="0.25">
      <c r="A530" t="str">
        <f ca="1">IFERROR(__xludf.DUMMYFUNCTION("""COMPUTED_VALUE"""),"Bartonella bovis")</f>
        <v>Bartonella bovis</v>
      </c>
      <c r="B530" t="str">
        <f ca="1">IFERROR(__xludf.DUMMYFUNCTION("""COMPUTED_VALUE"""),"RF-00002728-MCG")</f>
        <v>RF-00002728-MCG</v>
      </c>
    </row>
    <row r="531" spans="1:2" ht="12.5" x14ac:dyDescent="0.25">
      <c r="A531" t="str">
        <f ca="1">IFERROR(__xludf.DUMMYFUNCTION("""COMPUTED_VALUE"""),"Bartonella capreoli")</f>
        <v>Bartonella capreoli</v>
      </c>
      <c r="B531" t="str">
        <f ca="1">IFERROR(__xludf.DUMMYFUNCTION("""COMPUTED_VALUE"""),"RF-00002729-MCG")</f>
        <v>RF-00002729-MCG</v>
      </c>
    </row>
    <row r="532" spans="1:2" ht="12.5" x14ac:dyDescent="0.25">
      <c r="A532" t="str">
        <f ca="1">IFERROR(__xludf.DUMMYFUNCTION("""COMPUTED_VALUE"""),"Bartonella chomelii")</f>
        <v>Bartonella chomelii</v>
      </c>
      <c r="B532" t="str">
        <f ca="1">IFERROR(__xludf.DUMMYFUNCTION("""COMPUTED_VALUE"""),"RF-00002730-MCG")</f>
        <v>RF-00002730-MCG</v>
      </c>
    </row>
    <row r="533" spans="1:2" ht="12.5" x14ac:dyDescent="0.25">
      <c r="A533" t="str">
        <f ca="1">IFERROR(__xludf.DUMMYFUNCTION("""COMPUTED_VALUE"""),"Bartonella clarridgeiae")</f>
        <v>Bartonella clarridgeiae</v>
      </c>
      <c r="B533" t="str">
        <f ca="1">IFERROR(__xludf.DUMMYFUNCTION("""COMPUTED_VALUE"""),"RF-00002731-MCG")</f>
        <v>RF-00002731-MCG</v>
      </c>
    </row>
    <row r="534" spans="1:2" ht="12.5" x14ac:dyDescent="0.25">
      <c r="A534" t="str">
        <f ca="1">IFERROR(__xludf.DUMMYFUNCTION("""COMPUTED_VALUE"""),"Bartonella doshiae")</f>
        <v>Bartonella doshiae</v>
      </c>
      <c r="B534" t="str">
        <f ca="1">IFERROR(__xludf.DUMMYFUNCTION("""COMPUTED_VALUE"""),"RF-00002732-MCG")</f>
        <v>RF-00002732-MCG</v>
      </c>
    </row>
    <row r="535" spans="1:2" ht="12.5" x14ac:dyDescent="0.25">
      <c r="A535" t="str">
        <f ca="1">IFERROR(__xludf.DUMMYFUNCTION("""COMPUTED_VALUE"""),"Bartonella elizabethae")</f>
        <v>Bartonella elizabethae</v>
      </c>
      <c r="B535" t="str">
        <f ca="1">IFERROR(__xludf.DUMMYFUNCTION("""COMPUTED_VALUE"""),"RF-00002733-MCG")</f>
        <v>RF-00002733-MCG</v>
      </c>
    </row>
    <row r="536" spans="1:2" ht="12.5" x14ac:dyDescent="0.25">
      <c r="A536" t="str">
        <f ca="1">IFERROR(__xludf.DUMMYFUNCTION("""COMPUTED_VALUE"""),"Bartonella grahamii")</f>
        <v>Bartonella grahamii</v>
      </c>
      <c r="B536" t="str">
        <f ca="1">IFERROR(__xludf.DUMMYFUNCTION("""COMPUTED_VALUE"""),"RF-00002734-MCG")</f>
        <v>RF-00002734-MCG</v>
      </c>
    </row>
    <row r="537" spans="1:2" ht="12.5" x14ac:dyDescent="0.25">
      <c r="A537" t="str">
        <f ca="1">IFERROR(__xludf.DUMMYFUNCTION("""COMPUTED_VALUE"""),"Bartonella henselae")</f>
        <v>Bartonella henselae</v>
      </c>
      <c r="B537" t="str">
        <f ca="1">IFERROR(__xludf.DUMMYFUNCTION("""COMPUTED_VALUE"""),"RF-00000015-MCG")</f>
        <v>RF-00000015-MCG</v>
      </c>
    </row>
    <row r="538" spans="1:2" ht="12.5" x14ac:dyDescent="0.25">
      <c r="A538" t="str">
        <f ca="1">IFERROR(__xludf.DUMMYFUNCTION("""COMPUTED_VALUE"""),"Bartonella koehlerae")</f>
        <v>Bartonella koehlerae</v>
      </c>
      <c r="B538" t="str">
        <f ca="1">IFERROR(__xludf.DUMMYFUNCTION("""COMPUTED_VALUE"""),"RF-00002735-MCG")</f>
        <v>RF-00002735-MCG</v>
      </c>
    </row>
    <row r="539" spans="1:2" ht="12.5" x14ac:dyDescent="0.25">
      <c r="A539" t="str">
        <f ca="1">IFERROR(__xludf.DUMMYFUNCTION("""COMPUTED_VALUE"""),"Bartonella peromysci")</f>
        <v>Bartonella peromysci</v>
      </c>
      <c r="B539" t="str">
        <f ca="1">IFERROR(__xludf.DUMMYFUNCTION("""COMPUTED_VALUE"""),"RF-00002736-MCG")</f>
        <v>RF-00002736-MCG</v>
      </c>
    </row>
    <row r="540" spans="1:2" ht="12.5" x14ac:dyDescent="0.25">
      <c r="A540" t="str">
        <f ca="1">IFERROR(__xludf.DUMMYFUNCTION("""COMPUTED_VALUE"""),"Bartonella quintana")</f>
        <v>Bartonella quintana</v>
      </c>
      <c r="B540" t="str">
        <f ca="1">IFERROR(__xludf.DUMMYFUNCTION("""COMPUTED_VALUE"""),"RF-00002737-MCG")</f>
        <v>RF-00002737-MCG</v>
      </c>
    </row>
    <row r="541" spans="1:2" ht="12.5" x14ac:dyDescent="0.25">
      <c r="A541" t="str">
        <f ca="1">IFERROR(__xludf.DUMMYFUNCTION("""COMPUTED_VALUE"""),"Bartonella schoenbuchensis")</f>
        <v>Bartonella schoenbuchensis</v>
      </c>
      <c r="B541" t="str">
        <f ca="1">IFERROR(__xludf.DUMMYFUNCTION("""COMPUTED_VALUE"""),"RF-00002738-MCG")</f>
        <v>RF-00002738-MCG</v>
      </c>
    </row>
    <row r="542" spans="1:2" ht="12.5" x14ac:dyDescent="0.25">
      <c r="A542" t="str">
        <f ca="1">IFERROR(__xludf.DUMMYFUNCTION("""COMPUTED_VALUE"""),"Bartonella spp., unspecified")</f>
        <v>Bartonella spp., unspecified</v>
      </c>
      <c r="B542" t="str">
        <f ca="1">IFERROR(__xludf.DUMMYFUNCTION("""COMPUTED_VALUE"""),"RF-00000016-MCG")</f>
        <v>RF-00000016-MCG</v>
      </c>
    </row>
    <row r="543" spans="1:2" ht="12.5" x14ac:dyDescent="0.25">
      <c r="A543" t="str">
        <f ca="1">IFERROR(__xludf.DUMMYFUNCTION("""COMPUTED_VALUE"""),"Bartonella talpae")</f>
        <v>Bartonella talpae</v>
      </c>
      <c r="B543" t="str">
        <f ca="1">IFERROR(__xludf.DUMMYFUNCTION("""COMPUTED_VALUE"""),"RF-00002739-MCG")</f>
        <v>RF-00002739-MCG</v>
      </c>
    </row>
    <row r="544" spans="1:2" ht="12.5" x14ac:dyDescent="0.25">
      <c r="A544" t="str">
        <f ca="1">IFERROR(__xludf.DUMMYFUNCTION("""COMPUTED_VALUE"""),"Bartonella taylorii")</f>
        <v>Bartonella taylorii</v>
      </c>
      <c r="B544" t="str">
        <f ca="1">IFERROR(__xludf.DUMMYFUNCTION("""COMPUTED_VALUE"""),"RF-00002740-MCG")</f>
        <v>RF-00002740-MCG</v>
      </c>
    </row>
    <row r="545" spans="1:2" ht="12.5" x14ac:dyDescent="0.25">
      <c r="A545" t="str">
        <f ca="1">IFERROR(__xludf.DUMMYFUNCTION("""COMPUTED_VALUE"""),"Bartonella tribocorum")</f>
        <v>Bartonella tribocorum</v>
      </c>
      <c r="B545" t="str">
        <f ca="1">IFERROR(__xludf.DUMMYFUNCTION("""COMPUTED_VALUE"""),"RF-00002741-MCG")</f>
        <v>RF-00002741-MCG</v>
      </c>
    </row>
    <row r="546" spans="1:2" ht="12.5" x14ac:dyDescent="0.25">
      <c r="A546" t="str">
        <f ca="1">IFERROR(__xludf.DUMMYFUNCTION("""COMPUTED_VALUE"""),"Bartonella vinsonii")</f>
        <v>Bartonella vinsonii</v>
      </c>
      <c r="B546" t="str">
        <f ca="1">IFERROR(__xludf.DUMMYFUNCTION("""COMPUTED_VALUE"""),"RF-00002742-MCG")</f>
        <v>RF-00002742-MCG</v>
      </c>
    </row>
    <row r="547" spans="1:2" ht="12.5" x14ac:dyDescent="0.25">
      <c r="A547" t="str">
        <f ca="1">IFERROR(__xludf.DUMMYFUNCTION("""COMPUTED_VALUE"""),"Basic methacrylate copolymer")</f>
        <v>Basic methacrylate copolymer</v>
      </c>
      <c r="B547" t="str">
        <f ca="1">IFERROR(__xludf.DUMMYFUNCTION("""COMPUTED_VALUE"""),"RF-00000048-ADD")</f>
        <v>RF-00000048-ADD</v>
      </c>
    </row>
    <row r="548" spans="1:2" ht="12.5" x14ac:dyDescent="0.25">
      <c r="A548" t="str">
        <f ca="1">IFERROR(__xludf.DUMMYFUNCTION("""COMPUTED_VALUE"""),"BB-101")</f>
        <v>BB-101</v>
      </c>
      <c r="B548" t="str">
        <f ca="1">IFERROR(__xludf.DUMMYFUNCTION("""COMPUTED_VALUE"""),"RF-00000388-ORG")</f>
        <v>RF-00000388-ORG</v>
      </c>
    </row>
    <row r="549" spans="1:2" ht="12.5" x14ac:dyDescent="0.25">
      <c r="A549" t="str">
        <f ca="1">IFERROR(__xludf.DUMMYFUNCTION("""COMPUTED_VALUE"""),"BB-103")</f>
        <v>BB-103</v>
      </c>
      <c r="B549" t="str">
        <f ca="1">IFERROR(__xludf.DUMMYFUNCTION("""COMPUTED_VALUE"""),"RF-00000090-ORG")</f>
        <v>RF-00000090-ORG</v>
      </c>
    </row>
    <row r="550" spans="1:2" ht="12.5" x14ac:dyDescent="0.25">
      <c r="A550" t="str">
        <f ca="1">IFERROR(__xludf.DUMMYFUNCTION("""COMPUTED_VALUE"""),"BB-126")</f>
        <v>BB-126</v>
      </c>
      <c r="B550" t="str">
        <f ca="1">IFERROR(__xludf.DUMMYFUNCTION("""COMPUTED_VALUE"""),"RF-00000384-ORG")</f>
        <v>RF-00000384-ORG</v>
      </c>
    </row>
    <row r="551" spans="1:2" ht="12.5" x14ac:dyDescent="0.25">
      <c r="A551" t="str">
        <f ca="1">IFERROR(__xludf.DUMMYFUNCTION("""COMPUTED_VALUE"""),"BB-15")</f>
        <v>BB-15</v>
      </c>
      <c r="B551" t="str">
        <f ca="1">IFERROR(__xludf.DUMMYFUNCTION("""COMPUTED_VALUE"""),"RF-00000087-ORG")</f>
        <v>RF-00000087-ORG</v>
      </c>
    </row>
    <row r="552" spans="1:2" ht="12.5" x14ac:dyDescent="0.25">
      <c r="A552" t="str">
        <f ca="1">IFERROR(__xludf.DUMMYFUNCTION("""COMPUTED_VALUE"""),"BB-153")</f>
        <v>BB-153</v>
      </c>
      <c r="B552" t="str">
        <f ca="1">IFERROR(__xludf.DUMMYFUNCTION("""COMPUTED_VALUE"""),"RF-00000091-ORG")</f>
        <v>RF-00000091-ORG</v>
      </c>
    </row>
    <row r="553" spans="1:2" ht="12.5" x14ac:dyDescent="0.25">
      <c r="A553" t="str">
        <f ca="1">IFERROR(__xludf.DUMMYFUNCTION("""COMPUTED_VALUE"""),"BB-169")</f>
        <v>BB-169</v>
      </c>
      <c r="B553" t="str">
        <f ca="1">IFERROR(__xludf.DUMMYFUNCTION("""COMPUTED_VALUE"""),"RF-00000385-ORG")</f>
        <v>RF-00000385-ORG</v>
      </c>
    </row>
    <row r="554" spans="1:2" ht="12.5" x14ac:dyDescent="0.25">
      <c r="A554" t="str">
        <f ca="1">IFERROR(__xludf.DUMMYFUNCTION("""COMPUTED_VALUE"""),"BB-180")</f>
        <v>BB-180</v>
      </c>
      <c r="B554" t="str">
        <f ca="1">IFERROR(__xludf.DUMMYFUNCTION("""COMPUTED_VALUE"""),"RF-00000092-ORG")</f>
        <v>RF-00000092-ORG</v>
      </c>
    </row>
    <row r="555" spans="1:2" ht="12.5" x14ac:dyDescent="0.25">
      <c r="A555" t="str">
        <f ca="1">IFERROR(__xludf.DUMMYFUNCTION("""COMPUTED_VALUE"""),"BB-194")</f>
        <v>BB-194</v>
      </c>
      <c r="B555" t="str">
        <f ca="1">IFERROR(__xludf.DUMMYFUNCTION("""COMPUTED_VALUE"""),"RF-00000093-ORG")</f>
        <v>RF-00000093-ORG</v>
      </c>
    </row>
    <row r="556" spans="1:2" ht="12.5" x14ac:dyDescent="0.25">
      <c r="A556" t="str">
        <f ca="1">IFERROR(__xludf.DUMMYFUNCTION("""COMPUTED_VALUE"""),"BB-206")</f>
        <v>BB-206</v>
      </c>
      <c r="B556" t="str">
        <f ca="1">IFERROR(__xludf.DUMMYFUNCTION("""COMPUTED_VALUE"""),"RF-00000094-ORG")</f>
        <v>RF-00000094-ORG</v>
      </c>
    </row>
    <row r="557" spans="1:2" ht="12.5" x14ac:dyDescent="0.25">
      <c r="A557" t="str">
        <f ca="1">IFERROR(__xludf.DUMMYFUNCTION("""COMPUTED_VALUE"""),"BB-209")</f>
        <v>BB-209</v>
      </c>
      <c r="B557" t="str">
        <f ca="1">IFERROR(__xludf.DUMMYFUNCTION("""COMPUTED_VALUE"""),"RF-00000389-ORG")</f>
        <v>RF-00000389-ORG</v>
      </c>
    </row>
    <row r="558" spans="1:2" ht="12.5" x14ac:dyDescent="0.25">
      <c r="A558" t="str">
        <f ca="1">IFERROR(__xludf.DUMMYFUNCTION("""COMPUTED_VALUE"""),"BB-210F")</f>
        <v>BB-210F</v>
      </c>
      <c r="B558" t="str">
        <f ca="1">IFERROR(__xludf.DUMMYFUNCTION("""COMPUTED_VALUE"""),"RF-00000095-ORG")</f>
        <v>RF-00000095-ORG</v>
      </c>
    </row>
    <row r="559" spans="1:2" ht="12.5" x14ac:dyDescent="0.25">
      <c r="A559" t="str">
        <f ca="1">IFERROR(__xludf.DUMMYFUNCTION("""COMPUTED_VALUE"""),"BB-29")</f>
        <v>BB-29</v>
      </c>
      <c r="B559" t="str">
        <f ca="1">IFERROR(__xludf.DUMMYFUNCTION("""COMPUTED_VALUE"""),"RF-00000088-ORG")</f>
        <v>RF-00000088-ORG</v>
      </c>
    </row>
    <row r="560" spans="1:2" ht="12.5" x14ac:dyDescent="0.25">
      <c r="A560" t="str">
        <f ca="1">IFERROR(__xludf.DUMMYFUNCTION("""COMPUTED_VALUE"""),"BB-3")</f>
        <v>BB-3</v>
      </c>
      <c r="B560" t="str">
        <f ca="1">IFERROR(__xludf.DUMMYFUNCTION("""COMPUTED_VALUE"""),"RF-00000086-ORG")</f>
        <v>RF-00000086-ORG</v>
      </c>
    </row>
    <row r="561" spans="1:2" ht="12.5" x14ac:dyDescent="0.25">
      <c r="A561" t="str">
        <f ca="1">IFERROR(__xludf.DUMMYFUNCTION("""COMPUTED_VALUE"""),"BB-49")</f>
        <v>BB-49</v>
      </c>
      <c r="B561" t="str">
        <f ca="1">IFERROR(__xludf.DUMMYFUNCTION("""COMPUTED_VALUE"""),"RF-00000089-ORG")</f>
        <v>RF-00000089-ORG</v>
      </c>
    </row>
    <row r="562" spans="1:2" ht="12.5" x14ac:dyDescent="0.25">
      <c r="A562" t="str">
        <f ca="1">IFERROR(__xludf.DUMMYFUNCTION("""COMPUTED_VALUE"""),"BB-52")</f>
        <v>BB-52</v>
      </c>
      <c r="B562" t="str">
        <f ca="1">IFERROR(__xludf.DUMMYFUNCTION("""COMPUTED_VALUE"""),"RF-00000390-ORG")</f>
        <v>RF-00000390-ORG</v>
      </c>
    </row>
    <row r="563" spans="1:2" ht="12.5" x14ac:dyDescent="0.25">
      <c r="A563" t="str">
        <f ca="1">IFERROR(__xludf.DUMMYFUNCTION("""COMPUTED_VALUE"""),"BB-77")</f>
        <v>BB-77</v>
      </c>
      <c r="B563" t="str">
        <f ca="1">IFERROR(__xludf.DUMMYFUNCTION("""COMPUTED_VALUE"""),"RF-00000387-ORG")</f>
        <v>RF-00000387-ORG</v>
      </c>
    </row>
    <row r="564" spans="1:2" ht="12.5" x14ac:dyDescent="0.25">
      <c r="A564" t="str">
        <f ca="1">IFERROR(__xludf.DUMMYFUNCTION("""COMPUTED_VALUE"""),"BB-80")</f>
        <v>BB-80</v>
      </c>
      <c r="B564" t="str">
        <f ca="1">IFERROR(__xludf.DUMMYFUNCTION("""COMPUTED_VALUE"""),"RF-00000391-ORG")</f>
        <v>RF-00000391-ORG</v>
      </c>
    </row>
    <row r="565" spans="1:2" ht="12.5" x14ac:dyDescent="0.25">
      <c r="A565" t="str">
        <f ca="1">IFERROR(__xludf.DUMMYFUNCTION("""COMPUTED_VALUE"""),"BDE-100")</f>
        <v>BDE-100</v>
      </c>
      <c r="B565" t="str">
        <f ca="1">IFERROR(__xludf.DUMMYFUNCTION("""COMPUTED_VALUE"""),"RF-00000099-ORG")</f>
        <v>RF-00000099-ORG</v>
      </c>
    </row>
    <row r="566" spans="1:2" ht="12.5" x14ac:dyDescent="0.25">
      <c r="A566" t="str">
        <f ca="1">IFERROR(__xludf.DUMMYFUNCTION("""COMPUTED_VALUE"""),"BDE-119")</f>
        <v>BDE-119</v>
      </c>
      <c r="B566" t="str">
        <f ca="1">IFERROR(__xludf.DUMMYFUNCTION("""COMPUTED_VALUE"""),"RF-00000105-ORG")</f>
        <v>RF-00000105-ORG</v>
      </c>
    </row>
    <row r="567" spans="1:2" ht="12.5" x14ac:dyDescent="0.25">
      <c r="A567" t="str">
        <f ca="1">IFERROR(__xludf.DUMMYFUNCTION("""COMPUTED_VALUE"""),"BDE-126")</f>
        <v>BDE-126</v>
      </c>
      <c r="B567" t="str">
        <f ca="1">IFERROR(__xludf.DUMMYFUNCTION("""COMPUTED_VALUE"""),"RF-00000106-ORG")</f>
        <v>RF-00000106-ORG</v>
      </c>
    </row>
    <row r="568" spans="1:2" ht="12.5" x14ac:dyDescent="0.25">
      <c r="A568" t="str">
        <f ca="1">IFERROR(__xludf.DUMMYFUNCTION("""COMPUTED_VALUE"""),"BDE-126")</f>
        <v>BDE-126</v>
      </c>
      <c r="B568" t="str">
        <f ca="1">IFERROR(__xludf.DUMMYFUNCTION("""COMPUTED_VALUE"""),"RF-00000392-ORG")</f>
        <v>RF-00000392-ORG</v>
      </c>
    </row>
    <row r="569" spans="1:2" ht="12.5" x14ac:dyDescent="0.25">
      <c r="A569" t="str">
        <f ca="1">IFERROR(__xludf.DUMMYFUNCTION("""COMPUTED_VALUE"""),"BDE-138")</f>
        <v>BDE-138</v>
      </c>
      <c r="B569" t="str">
        <f ca="1">IFERROR(__xludf.DUMMYFUNCTION("""COMPUTED_VALUE"""),"RF-00000107-ORG")</f>
        <v>RF-00000107-ORG</v>
      </c>
    </row>
    <row r="570" spans="1:2" ht="12.5" x14ac:dyDescent="0.25">
      <c r="A570" t="str">
        <f ca="1">IFERROR(__xludf.DUMMYFUNCTION("""COMPUTED_VALUE"""),"BDE-153")</f>
        <v>BDE-153</v>
      </c>
      <c r="B570" t="str">
        <f ca="1">IFERROR(__xludf.DUMMYFUNCTION("""COMPUTED_VALUE"""),"RF-00000102-ORG")</f>
        <v>RF-00000102-ORG</v>
      </c>
    </row>
    <row r="571" spans="1:2" ht="12.5" x14ac:dyDescent="0.25">
      <c r="A571" t="str">
        <f ca="1">IFERROR(__xludf.DUMMYFUNCTION("""COMPUTED_VALUE"""),"BDE-154")</f>
        <v>BDE-154</v>
      </c>
      <c r="B571" t="str">
        <f ca="1">IFERROR(__xludf.DUMMYFUNCTION("""COMPUTED_VALUE"""),"RF-00000101-ORG")</f>
        <v>RF-00000101-ORG</v>
      </c>
    </row>
    <row r="572" spans="1:2" ht="12.5" x14ac:dyDescent="0.25">
      <c r="A572" t="str">
        <f ca="1">IFERROR(__xludf.DUMMYFUNCTION("""COMPUTED_VALUE"""),"BDE-17")</f>
        <v>BDE-17</v>
      </c>
      <c r="B572" t="str">
        <f ca="1">IFERROR(__xludf.DUMMYFUNCTION("""COMPUTED_VALUE"""),"RF-00000393-ORG")</f>
        <v>RF-00000393-ORG</v>
      </c>
    </row>
    <row r="573" spans="1:2" ht="12.5" x14ac:dyDescent="0.25">
      <c r="A573" t="str">
        <f ca="1">IFERROR(__xludf.DUMMYFUNCTION("""COMPUTED_VALUE"""),"BDE-183")</f>
        <v>BDE-183</v>
      </c>
      <c r="B573" t="str">
        <f ca="1">IFERROR(__xludf.DUMMYFUNCTION("""COMPUTED_VALUE"""),"RF-00000103-ORG")</f>
        <v>RF-00000103-ORG</v>
      </c>
    </row>
    <row r="574" spans="1:2" ht="12.5" x14ac:dyDescent="0.25">
      <c r="A574" t="str">
        <f ca="1">IFERROR(__xludf.DUMMYFUNCTION("""COMPUTED_VALUE"""),"BDE-209")</f>
        <v>BDE-209</v>
      </c>
      <c r="B574" t="str">
        <f ca="1">IFERROR(__xludf.DUMMYFUNCTION("""COMPUTED_VALUE"""),"RF-00000104-ORG")</f>
        <v>RF-00000104-ORG</v>
      </c>
    </row>
    <row r="575" spans="1:2" ht="12.5" x14ac:dyDescent="0.25">
      <c r="A575" t="str">
        <f ca="1">IFERROR(__xludf.DUMMYFUNCTION("""COMPUTED_VALUE"""),"BDE-28")</f>
        <v>BDE-28</v>
      </c>
      <c r="B575" t="str">
        <f ca="1">IFERROR(__xludf.DUMMYFUNCTION("""COMPUTED_VALUE"""),"RF-00000097-ORG")</f>
        <v>RF-00000097-ORG</v>
      </c>
    </row>
    <row r="576" spans="1:2" ht="12.5" x14ac:dyDescent="0.25">
      <c r="A576" t="str">
        <f ca="1">IFERROR(__xludf.DUMMYFUNCTION("""COMPUTED_VALUE"""),"BDE-47")</f>
        <v>BDE-47</v>
      </c>
      <c r="B576" t="str">
        <f ca="1">IFERROR(__xludf.DUMMYFUNCTION("""COMPUTED_VALUE"""),"RF-00000098-ORG")</f>
        <v>RF-00000098-ORG</v>
      </c>
    </row>
    <row r="577" spans="1:2" ht="12.5" x14ac:dyDescent="0.25">
      <c r="A577" t="str">
        <f ca="1">IFERROR(__xludf.DUMMYFUNCTION("""COMPUTED_VALUE"""),"BDE-49")</f>
        <v>BDE-49</v>
      </c>
      <c r="B577" t="str">
        <f ca="1">IFERROR(__xludf.DUMMYFUNCTION("""COMPUTED_VALUE"""),"RF-00000108-ORG")</f>
        <v>RF-00000108-ORG</v>
      </c>
    </row>
    <row r="578" spans="1:2" ht="12.5" x14ac:dyDescent="0.25">
      <c r="A578" t="str">
        <f ca="1">IFERROR(__xludf.DUMMYFUNCTION("""COMPUTED_VALUE"""),"BDE-66")</f>
        <v>BDE-66</v>
      </c>
      <c r="B578" t="str">
        <f ca="1">IFERROR(__xludf.DUMMYFUNCTION("""COMPUTED_VALUE"""),"RF-00000109-ORG")</f>
        <v>RF-00000109-ORG</v>
      </c>
    </row>
    <row r="579" spans="1:2" ht="12.5" x14ac:dyDescent="0.25">
      <c r="A579" t="str">
        <f ca="1">IFERROR(__xludf.DUMMYFUNCTION("""COMPUTED_VALUE"""),"BDE-70")</f>
        <v>BDE-70</v>
      </c>
      <c r="B579" t="str">
        <f ca="1">IFERROR(__xludf.DUMMYFUNCTION("""COMPUTED_VALUE"""),"RF-00000394-ORG")</f>
        <v>RF-00000394-ORG</v>
      </c>
    </row>
    <row r="580" spans="1:2" ht="12.5" x14ac:dyDescent="0.25">
      <c r="A580" t="str">
        <f ca="1">IFERROR(__xludf.DUMMYFUNCTION("""COMPUTED_VALUE"""),"BDE-71")</f>
        <v>BDE-71</v>
      </c>
      <c r="B580" t="str">
        <f ca="1">IFERROR(__xludf.DUMMYFUNCTION("""COMPUTED_VALUE"""),"RF-00000110-ORG")</f>
        <v>RF-00000110-ORG</v>
      </c>
    </row>
    <row r="581" spans="1:2" ht="12.5" x14ac:dyDescent="0.25">
      <c r="A581" t="str">
        <f ca="1">IFERROR(__xludf.DUMMYFUNCTION("""COMPUTED_VALUE"""),"BDE-75")</f>
        <v>BDE-75</v>
      </c>
      <c r="B581" t="str">
        <f ca="1">IFERROR(__xludf.DUMMYFUNCTION("""COMPUTED_VALUE"""),"RF-00000113-ORG")</f>
        <v>RF-00000113-ORG</v>
      </c>
    </row>
    <row r="582" spans="1:2" ht="12.5" x14ac:dyDescent="0.25">
      <c r="A582" t="str">
        <f ca="1">IFERROR(__xludf.DUMMYFUNCTION("""COMPUTED_VALUE"""),"BDE-77")</f>
        <v>BDE-77</v>
      </c>
      <c r="B582" t="str">
        <f ca="1">IFERROR(__xludf.DUMMYFUNCTION("""COMPUTED_VALUE"""),"RF-00000111-ORG")</f>
        <v>RF-00000111-ORG</v>
      </c>
    </row>
    <row r="583" spans="1:2" ht="12.5" x14ac:dyDescent="0.25">
      <c r="A583" t="str">
        <f ca="1">IFERROR(__xludf.DUMMYFUNCTION("""COMPUTED_VALUE"""),"BDE-85")</f>
        <v>BDE-85</v>
      </c>
      <c r="B583" t="str">
        <f ca="1">IFERROR(__xludf.DUMMYFUNCTION("""COMPUTED_VALUE"""),"RF-00000112-ORG")</f>
        <v>RF-00000112-ORG</v>
      </c>
    </row>
    <row r="584" spans="1:2" ht="12.5" x14ac:dyDescent="0.25">
      <c r="A584" t="str">
        <f ca="1">IFERROR(__xludf.DUMMYFUNCTION("""COMPUTED_VALUE"""),"BDE-99")</f>
        <v>BDE-99</v>
      </c>
      <c r="B584" t="str">
        <f ca="1">IFERROR(__xludf.DUMMYFUNCTION("""COMPUTED_VALUE"""),"RF-00000100-ORG")</f>
        <v>RF-00000100-ORG</v>
      </c>
    </row>
    <row r="585" spans="1:2" ht="12.5" x14ac:dyDescent="0.25">
      <c r="A585" t="str">
        <f ca="1">IFERROR(__xludf.DUMMYFUNCTION("""COMPUTED_VALUE"""),"Beauvericin")</f>
        <v>Beauvericin</v>
      </c>
      <c r="B585" t="str">
        <f ca="1">IFERROR(__xludf.DUMMYFUNCTION("""COMPUTED_VALUE"""),"RF-00000208-TOX")</f>
        <v>RF-00000208-TOX</v>
      </c>
    </row>
    <row r="586" spans="1:2" ht="12.5" x14ac:dyDescent="0.25">
      <c r="A586" t="str">
        <f ca="1">IFERROR(__xludf.DUMMYFUNCTION("""COMPUTED_VALUE"""),"Beclomethasone")</f>
        <v>Beclomethasone</v>
      </c>
      <c r="B586" t="str">
        <f ca="1">IFERROR(__xludf.DUMMYFUNCTION("""COMPUTED_VALUE"""),"RF-00000439-VET")</f>
        <v>RF-00000439-VET</v>
      </c>
    </row>
    <row r="587" spans="1:2" ht="12.5" x14ac:dyDescent="0.25">
      <c r="A587" t="str">
        <f ca="1">IFERROR(__xludf.DUMMYFUNCTION("""COMPUTED_VALUE"""),"Beclomethasone dipropionate")</f>
        <v>Beclomethasone dipropionate</v>
      </c>
      <c r="B587" t="str">
        <f ca="1">IFERROR(__xludf.DUMMYFUNCTION("""COMPUTED_VALUE"""),"RF-00000248-VET")</f>
        <v>RF-00000248-VET</v>
      </c>
    </row>
    <row r="588" spans="1:2" ht="12.5" x14ac:dyDescent="0.25">
      <c r="A588" t="str">
        <f ca="1">IFERROR(__xludf.DUMMYFUNCTION("""COMPUTED_VALUE"""),"Beeswax, white and yellow")</f>
        <v>Beeswax, white and yellow</v>
      </c>
      <c r="B588" t="str">
        <f ca="1">IFERROR(__xludf.DUMMYFUNCTION("""COMPUTED_VALUE"""),"RF-00000049-ADD")</f>
        <v>RF-00000049-ADD</v>
      </c>
    </row>
    <row r="589" spans="1:2" ht="12.5" x14ac:dyDescent="0.25">
      <c r="A589" t="str">
        <f ca="1">IFERROR(__xludf.DUMMYFUNCTION("""COMPUTED_VALUE"""),"Beetroot Red, betanin")</f>
        <v>Beetroot Red, betanin</v>
      </c>
      <c r="B589" t="str">
        <f ca="1">IFERROR(__xludf.DUMMYFUNCTION("""COMPUTED_VALUE"""),"RF-00000050-ADD")</f>
        <v>RF-00000050-ADD</v>
      </c>
    </row>
    <row r="590" spans="1:2" ht="12.5" x14ac:dyDescent="0.25">
      <c r="A590" t="str">
        <f ca="1">IFERROR(__xludf.DUMMYFUNCTION("""COMPUTED_VALUE"""),"Beflubutamid")</f>
        <v>Beflubutamid</v>
      </c>
      <c r="B590" t="str">
        <f ca="1">IFERROR(__xludf.DUMMYFUNCTION("""COMPUTED_VALUE"""),"RF-0037-001-PPP")</f>
        <v>RF-0037-001-PPP</v>
      </c>
    </row>
    <row r="591" spans="1:2" ht="12.5" x14ac:dyDescent="0.25">
      <c r="A591" t="str">
        <f ca="1">IFERROR(__xludf.DUMMYFUNCTION("""COMPUTED_VALUE"""),"Benalaxyl")</f>
        <v>Benalaxyl</v>
      </c>
      <c r="B591" t="str">
        <f ca="1">IFERROR(__xludf.DUMMYFUNCTION("""COMPUTED_VALUE"""),"RF-0038-002-PPP")</f>
        <v>RF-0038-002-PPP</v>
      </c>
    </row>
    <row r="592" spans="1:2" ht="12.5" x14ac:dyDescent="0.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x14ac:dyDescent="0.25">
      <c r="A593" t="str">
        <f ca="1">IFERROR(__xludf.DUMMYFUNCTION("""COMPUTED_VALUE"""),"Benalaxyl-M")</f>
        <v>Benalaxyl-M</v>
      </c>
      <c r="B593" t="str">
        <f ca="1">IFERROR(__xludf.DUMMYFUNCTION("""COMPUTED_VALUE"""),"RF-0038-003-PPP")</f>
        <v>RF-0038-003-PPP</v>
      </c>
    </row>
    <row r="594" spans="1:2" ht="12.5" x14ac:dyDescent="0.25">
      <c r="A594" t="str">
        <f ca="1">IFERROR(__xludf.DUMMYFUNCTION("""COMPUTED_VALUE"""),"Benazolin")</f>
        <v>Benazolin</v>
      </c>
      <c r="B594" t="str">
        <f ca="1">IFERROR(__xludf.DUMMYFUNCTION("""COMPUTED_VALUE"""),"RF-0487-001-PPP")</f>
        <v>RF-0487-001-PPP</v>
      </c>
    </row>
    <row r="595" spans="1:2" ht="12.5" x14ac:dyDescent="0.25">
      <c r="A595" t="str">
        <f ca="1">IFERROR(__xludf.DUMMYFUNCTION("""COMPUTED_VALUE"""),"Benazolin-Ethyl")</f>
        <v>Benazolin-Ethyl</v>
      </c>
      <c r="B595" t="str">
        <f ca="1">IFERROR(__xludf.DUMMYFUNCTION("""COMPUTED_VALUE"""),"RF-0488-001-PPP")</f>
        <v>RF-0488-001-PPP</v>
      </c>
    </row>
    <row r="596" spans="1:2" ht="12.5" x14ac:dyDescent="0.25">
      <c r="A596" t="str">
        <f ca="1">IFERROR(__xludf.DUMMYFUNCTION("""COMPUTED_VALUE"""),"Bendiocarb")</f>
        <v>Bendiocarb</v>
      </c>
      <c r="B596" t="str">
        <f ca="1">IFERROR(__xludf.DUMMYFUNCTION("""COMPUTED_VALUE"""),"RF-00000115-VET")</f>
        <v>RF-00000115-VET</v>
      </c>
    </row>
    <row r="597" spans="1:2" ht="12.5" x14ac:dyDescent="0.25">
      <c r="A597" t="str">
        <f ca="1">IFERROR(__xludf.DUMMYFUNCTION("""COMPUTED_VALUE"""),"Bendiocarb")</f>
        <v>Bendiocarb</v>
      </c>
      <c r="B597" t="str">
        <f ca="1">IFERROR(__xludf.DUMMYFUNCTION("""COMPUTED_VALUE"""),"RF-0489-001-PPP")</f>
        <v>RF-0489-001-PPP</v>
      </c>
    </row>
    <row r="598" spans="1:2" ht="12.5" x14ac:dyDescent="0.25">
      <c r="A598" t="str">
        <f ca="1">IFERROR(__xludf.DUMMYFUNCTION("""COMPUTED_VALUE"""),"Benethamine-Penicillin")</f>
        <v>Benethamine-Penicillin</v>
      </c>
      <c r="B598" t="str">
        <f ca="1">IFERROR(__xludf.DUMMYFUNCTION("""COMPUTED_VALUE"""),"RF-00000583-VET")</f>
        <v>RF-00000583-VET</v>
      </c>
    </row>
    <row r="599" spans="1:2" ht="12.5" x14ac:dyDescent="0.25">
      <c r="A599" t="str">
        <f ca="1">IFERROR(__xludf.DUMMYFUNCTION("""COMPUTED_VALUE"""),"Benfluralin")</f>
        <v>Benfluralin</v>
      </c>
      <c r="B599" t="str">
        <f ca="1">IFERROR(__xludf.DUMMYFUNCTION("""COMPUTED_VALUE"""),"RF-0039-001-PPP")</f>
        <v>RF-0039-001-PPP</v>
      </c>
    </row>
    <row r="600" spans="1:2" ht="12.5" x14ac:dyDescent="0.25">
      <c r="A600" t="str">
        <f ca="1">IFERROR(__xludf.DUMMYFUNCTION("""COMPUTED_VALUE"""),"Benfuracarb")</f>
        <v>Benfuracarb</v>
      </c>
      <c r="B600" t="str">
        <f ca="1">IFERROR(__xludf.DUMMYFUNCTION("""COMPUTED_VALUE"""),"RF-00000114-VET")</f>
        <v>RF-00000114-VET</v>
      </c>
    </row>
    <row r="601" spans="1:2" ht="12.5" x14ac:dyDescent="0.25">
      <c r="A601" t="str">
        <f ca="1">IFERROR(__xludf.DUMMYFUNCTION("""COMPUTED_VALUE"""),"Benfuracarb")</f>
        <v>Benfuracarb</v>
      </c>
      <c r="B601" t="str">
        <f ca="1">IFERROR(__xludf.DUMMYFUNCTION("""COMPUTED_VALUE"""),"RF-0040-001-PPP")</f>
        <v>RF-0040-001-PPP</v>
      </c>
    </row>
    <row r="602" spans="1:2" ht="12.5" x14ac:dyDescent="0.25">
      <c r="A602" t="str">
        <f ca="1">IFERROR(__xludf.DUMMYFUNCTION("""COMPUTED_VALUE"""),"Benfuresate")</f>
        <v>Benfuresate</v>
      </c>
      <c r="B602" t="str">
        <f ca="1">IFERROR(__xludf.DUMMYFUNCTION("""COMPUTED_VALUE"""),"RF-0490-001-PPP")</f>
        <v>RF-0490-001-PPP</v>
      </c>
    </row>
    <row r="603" spans="1:2" ht="12.5" x14ac:dyDescent="0.25">
      <c r="A603" t="str">
        <f ca="1">IFERROR(__xludf.DUMMYFUNCTION("""COMPUTED_VALUE"""),"Benodanil")</f>
        <v>Benodanil</v>
      </c>
      <c r="B603" t="str">
        <f ca="1">IFERROR(__xludf.DUMMYFUNCTION("""COMPUTED_VALUE"""),"RF-0491-001-PPP")</f>
        <v>RF-0491-001-PPP</v>
      </c>
    </row>
    <row r="604" spans="1:2" ht="12.5" x14ac:dyDescent="0.25">
      <c r="A604" t="str">
        <f ca="1">IFERROR(__xludf.DUMMYFUNCTION("""COMPUTED_VALUE"""),"Benomyl")</f>
        <v>Benomyl</v>
      </c>
      <c r="B604" t="str">
        <f ca="1">IFERROR(__xludf.DUMMYFUNCTION("""COMPUTED_VALUE"""),"RF-0041-003-PPP")</f>
        <v>RF-0041-003-PPP</v>
      </c>
    </row>
    <row r="605" spans="1:2" ht="12.5" x14ac:dyDescent="0.25">
      <c r="A605" t="str">
        <f ca="1">IFERROR(__xludf.DUMMYFUNCTION("""COMPUTED_VALUE"""),"Benoxacor")</f>
        <v>Benoxacor</v>
      </c>
      <c r="B605" t="str">
        <f ca="1">IFERROR(__xludf.DUMMYFUNCTION("""COMPUTED_VALUE"""),"RF-0492-001-PPP")</f>
        <v>RF-0492-001-PPP</v>
      </c>
    </row>
    <row r="606" spans="1:2" ht="12.5" x14ac:dyDescent="0.25">
      <c r="A606" t="str">
        <f ca="1">IFERROR(__xludf.DUMMYFUNCTION("""COMPUTED_VALUE"""),"Bensulfuron")</f>
        <v>Bensulfuron</v>
      </c>
      <c r="B606" t="str">
        <f ca="1">IFERROR(__xludf.DUMMYFUNCTION("""COMPUTED_VALUE"""),"RF-0493-001-PPP")</f>
        <v>RF-0493-001-PPP</v>
      </c>
    </row>
    <row r="607" spans="1:2" ht="12.5" x14ac:dyDescent="0.25">
      <c r="A607" t="str">
        <f ca="1">IFERROR(__xludf.DUMMYFUNCTION("""COMPUTED_VALUE"""),"Bensulfuron-Methyl")</f>
        <v>Bensulfuron-Methyl</v>
      </c>
      <c r="B607" t="str">
        <f ca="1">IFERROR(__xludf.DUMMYFUNCTION("""COMPUTED_VALUE"""),"RF-0494-001-PPP")</f>
        <v>RF-0494-001-PPP</v>
      </c>
    </row>
    <row r="608" spans="1:2" ht="12.5" x14ac:dyDescent="0.25">
      <c r="A608" t="str">
        <f ca="1">IFERROR(__xludf.DUMMYFUNCTION("""COMPUTED_VALUE"""),"Bensulide")</f>
        <v>Bensulide</v>
      </c>
      <c r="B608" t="str">
        <f ca="1">IFERROR(__xludf.DUMMYFUNCTION("""COMPUTED_VALUE"""),"RF-0495-001-PPP")</f>
        <v>RF-0495-001-PPP</v>
      </c>
    </row>
    <row r="609" spans="1:2" ht="12.5" x14ac:dyDescent="0.25">
      <c r="A609" t="str">
        <f ca="1">IFERROR(__xludf.DUMMYFUNCTION("""COMPUTED_VALUE"""),"Bensultap")</f>
        <v>Bensultap</v>
      </c>
      <c r="B609" t="str">
        <f ca="1">IFERROR(__xludf.DUMMYFUNCTION("""COMPUTED_VALUE"""),"RF-0496-001-PPP")</f>
        <v>RF-0496-001-PPP</v>
      </c>
    </row>
    <row r="610" spans="1:2" ht="12.5" x14ac:dyDescent="0.25">
      <c r="A610" t="str">
        <f ca="1">IFERROR(__xludf.DUMMYFUNCTION("""COMPUTED_VALUE"""),"Bentaluron")</f>
        <v>Bentaluron</v>
      </c>
      <c r="B610" t="str">
        <f ca="1">IFERROR(__xludf.DUMMYFUNCTION("""COMPUTED_VALUE"""),"RF-0497-001-PPP")</f>
        <v>RF-0497-001-PPP</v>
      </c>
    </row>
    <row r="611" spans="1:2" ht="12.5" x14ac:dyDescent="0.25">
      <c r="A611" t="str">
        <f ca="1">IFERROR(__xludf.DUMMYFUNCTION("""COMPUTED_VALUE"""),"Bentazone")</f>
        <v>Bentazone</v>
      </c>
      <c r="B611" t="str">
        <f ca="1">IFERROR(__xludf.DUMMYFUNCTION("""COMPUTED_VALUE"""),"RF-0042-002-PPP")</f>
        <v>RF-0042-002-PPP</v>
      </c>
    </row>
    <row r="612" spans="1:2" ht="12.5" x14ac:dyDescent="0.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x14ac:dyDescent="0.25">
      <c r="A613" t="str">
        <f ca="1">IFERROR(__xludf.DUMMYFUNCTION("""COMPUTED_VALUE"""),"Bentazone methyl")</f>
        <v>Bentazone methyl</v>
      </c>
      <c r="B613" t="str">
        <f ca="1">IFERROR(__xludf.DUMMYFUNCTION("""COMPUTED_VALUE"""),"RF-00000009-PAR")</f>
        <v>RF-00000009-PAR</v>
      </c>
    </row>
    <row r="614" spans="1:2" ht="12.5" x14ac:dyDescent="0.25">
      <c r="A614" t="str">
        <f ca="1">IFERROR(__xludf.DUMMYFUNCTION("""COMPUTED_VALUE"""),"Bentazone-6-hydroxy")</f>
        <v>Bentazone-6-hydroxy</v>
      </c>
      <c r="B614" t="str">
        <f ca="1">IFERROR(__xludf.DUMMYFUNCTION("""COMPUTED_VALUE"""),"RF-0042-004-PPP")</f>
        <v>RF-0042-004-PPP</v>
      </c>
    </row>
    <row r="615" spans="1:2" ht="12.5" x14ac:dyDescent="0.25">
      <c r="A615" t="str">
        <f ca="1">IFERROR(__xludf.DUMMYFUNCTION("""COMPUTED_VALUE"""),"Bentazone-8-hydroxy")</f>
        <v>Bentazone-8-hydroxy</v>
      </c>
      <c r="B615" t="str">
        <f ca="1">IFERROR(__xludf.DUMMYFUNCTION("""COMPUTED_VALUE"""),"RF-0042-003-PPP")</f>
        <v>RF-0042-003-PPP</v>
      </c>
    </row>
    <row r="616" spans="1:2" ht="12.5" x14ac:dyDescent="0.25">
      <c r="A616" t="str">
        <f ca="1">IFERROR(__xludf.DUMMYFUNCTION("""COMPUTED_VALUE"""),"Benthiavalicarb")</f>
        <v>Benthiavalicarb</v>
      </c>
      <c r="B616" t="str">
        <f ca="1">IFERROR(__xludf.DUMMYFUNCTION("""COMPUTED_VALUE"""),"RF-0043-002-PPP")</f>
        <v>RF-0043-002-PPP</v>
      </c>
    </row>
    <row r="617" spans="1:2" ht="12.5" x14ac:dyDescent="0.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x14ac:dyDescent="0.25">
      <c r="A618" t="str">
        <f ca="1">IFERROR(__xludf.DUMMYFUNCTION("""COMPUTED_VALUE"""),"Benthiavalicarb isopropyl")</f>
        <v>Benthiavalicarb isopropyl</v>
      </c>
      <c r="B618" t="str">
        <f ca="1">IFERROR(__xludf.DUMMYFUNCTION("""COMPUTED_VALUE"""),"RF-0043-003-PPP")</f>
        <v>RF-0043-003-PPP</v>
      </c>
    </row>
    <row r="619" spans="1:2" ht="12.5" x14ac:dyDescent="0.25">
      <c r="A619" t="str">
        <f ca="1">IFERROR(__xludf.DUMMYFUNCTION("""COMPUTED_VALUE"""),"Bentonite")</f>
        <v>Bentonite</v>
      </c>
      <c r="B619" t="str">
        <f ca="1">IFERROR(__xludf.DUMMYFUNCTION("""COMPUTED_VALUE"""),"RF-00000051-ADD")</f>
        <v>RF-00000051-ADD</v>
      </c>
    </row>
    <row r="620" spans="1:2" ht="12.5" x14ac:dyDescent="0.25">
      <c r="A620" t="str">
        <f ca="1">IFERROR(__xludf.DUMMYFUNCTION("""COMPUTED_VALUE"""),"Benzathine-Benzylpenicillin")</f>
        <v>Benzathine-Benzylpenicillin</v>
      </c>
      <c r="B620" t="str">
        <f ca="1">IFERROR(__xludf.DUMMYFUNCTION("""COMPUTED_VALUE"""),"RF-00000592-VET")</f>
        <v>RF-00000592-VET</v>
      </c>
    </row>
    <row r="621" spans="1:2" ht="12.5" x14ac:dyDescent="0.25">
      <c r="A621" t="str">
        <f ca="1">IFERROR(__xludf.DUMMYFUNCTION("""COMPUTED_VALUE"""),"Benzene")</f>
        <v>Benzene</v>
      </c>
      <c r="B621" t="str">
        <f ca="1">IFERROR(__xludf.DUMMYFUNCTION("""COMPUTED_VALUE"""),"RF-00000071-ORG")</f>
        <v>RF-00000071-ORG</v>
      </c>
    </row>
    <row r="622" spans="1:2" ht="12.5" x14ac:dyDescent="0.25">
      <c r="A622" t="str">
        <f ca="1">IFERROR(__xludf.DUMMYFUNCTION("""COMPUTED_VALUE"""),"Benzestrol")</f>
        <v>Benzestrol</v>
      </c>
      <c r="B622" t="str">
        <f ca="1">IFERROR(__xludf.DUMMYFUNCTION("""COMPUTED_VALUE"""),"RF-00000286-VET")</f>
        <v>RF-00000286-VET</v>
      </c>
    </row>
    <row r="623" spans="1:2" ht="12.5" x14ac:dyDescent="0.25">
      <c r="A623" t="str">
        <f ca="1">IFERROR(__xludf.DUMMYFUNCTION("""COMPUTED_VALUE"""),"Benzimidazole")</f>
        <v>Benzimidazole</v>
      </c>
      <c r="B623" t="str">
        <f ca="1">IFERROR(__xludf.DUMMYFUNCTION("""COMPUTED_VALUE"""),"RF-0498-001-PPP")</f>
        <v>RF-0498-001-PPP</v>
      </c>
    </row>
    <row r="624" spans="1:2" ht="12.5" x14ac:dyDescent="0.25">
      <c r="A624" t="str">
        <f ca="1">IFERROR(__xludf.DUMMYFUNCTION("""COMPUTED_VALUE"""),"Benzo-a-anthracene")</f>
        <v>Benzo-a-anthracene</v>
      </c>
      <c r="B624" t="str">
        <f ca="1">IFERROR(__xludf.DUMMYFUNCTION("""COMPUTED_VALUE"""),"RF-00000045-ORG")</f>
        <v>RF-00000045-ORG</v>
      </c>
    </row>
    <row r="625" spans="1:2" ht="12.5" x14ac:dyDescent="0.25">
      <c r="A625" t="str">
        <f ca="1">IFERROR(__xludf.DUMMYFUNCTION("""COMPUTED_VALUE"""),"Benzo-a-pyrene")</f>
        <v>Benzo-a-pyrene</v>
      </c>
      <c r="B625" t="str">
        <f ca="1">IFERROR(__xludf.DUMMYFUNCTION("""COMPUTED_VALUE"""),"RF-00000046-ORG")</f>
        <v>RF-00000046-ORG</v>
      </c>
    </row>
    <row r="626" spans="1:2" ht="12.5" x14ac:dyDescent="0.25">
      <c r="A626" t="str">
        <f ca="1">IFERROR(__xludf.DUMMYFUNCTION("""COMPUTED_VALUE"""),"Benzo-b-fluoranthene")</f>
        <v>Benzo-b-fluoranthene</v>
      </c>
      <c r="B626" t="str">
        <f ca="1">IFERROR(__xludf.DUMMYFUNCTION("""COMPUTED_VALUE"""),"RF-00000047-ORG")</f>
        <v>RF-00000047-ORG</v>
      </c>
    </row>
    <row r="627" spans="1:2" ht="12.5" x14ac:dyDescent="0.25">
      <c r="A627" t="str">
        <f ca="1">IFERROR(__xludf.DUMMYFUNCTION("""COMPUTED_VALUE"""),"Benzo-b+j-fluoranthene")</f>
        <v>Benzo-b+j-fluoranthene</v>
      </c>
      <c r="B627" t="str">
        <f ca="1">IFERROR(__xludf.DUMMYFUNCTION("""COMPUTED_VALUE"""),"RF-00000065-ORG")</f>
        <v>RF-00000065-ORG</v>
      </c>
    </row>
    <row r="628" spans="1:2" ht="12.5" x14ac:dyDescent="0.25">
      <c r="A628" t="str">
        <f ca="1">IFERROR(__xludf.DUMMYFUNCTION("""COMPUTED_VALUE"""),"Benzo-b+j+k-fluoranthene")</f>
        <v>Benzo-b+j+k-fluoranthene</v>
      </c>
      <c r="B628" t="str">
        <f ca="1">IFERROR(__xludf.DUMMYFUNCTION("""COMPUTED_VALUE"""),"RF-00000436-ORG")</f>
        <v>RF-00000436-ORG</v>
      </c>
    </row>
    <row r="629" spans="1:2" ht="12.5" x14ac:dyDescent="0.25">
      <c r="A629" t="str">
        <f ca="1">IFERROR(__xludf.DUMMYFUNCTION("""COMPUTED_VALUE"""),"Benzo-c-fluorene")</f>
        <v>Benzo-c-fluorene</v>
      </c>
      <c r="B629" t="str">
        <f ca="1">IFERROR(__xludf.DUMMYFUNCTION("""COMPUTED_VALUE"""),"RF-00000048-ORG")</f>
        <v>RF-00000048-ORG</v>
      </c>
    </row>
    <row r="630" spans="1:2" ht="12.5" x14ac:dyDescent="0.25">
      <c r="A630" t="str">
        <f ca="1">IFERROR(__xludf.DUMMYFUNCTION("""COMPUTED_VALUE"""),"Benzo-e-pyrene")</f>
        <v>Benzo-e-pyrene</v>
      </c>
      <c r="B630" t="str">
        <f ca="1">IFERROR(__xludf.DUMMYFUNCTION("""COMPUTED_VALUE"""),"RF-00000049-ORG")</f>
        <v>RF-00000049-ORG</v>
      </c>
    </row>
    <row r="631" spans="1:2" ht="12.5" x14ac:dyDescent="0.25">
      <c r="A631" t="str">
        <f ca="1">IFERROR(__xludf.DUMMYFUNCTION("""COMPUTED_VALUE"""),"Benzo-g,h,i-perylene")</f>
        <v>Benzo-g,h,i-perylene</v>
      </c>
      <c r="B631" t="str">
        <f ca="1">IFERROR(__xludf.DUMMYFUNCTION("""COMPUTED_VALUE"""),"RF-00000050-ORG")</f>
        <v>RF-00000050-ORG</v>
      </c>
    </row>
    <row r="632" spans="1:2" ht="12.5" x14ac:dyDescent="0.25">
      <c r="A632" t="str">
        <f ca="1">IFERROR(__xludf.DUMMYFUNCTION("""COMPUTED_VALUE"""),"Benzo-j-fluoranthene")</f>
        <v>Benzo-j-fluoranthene</v>
      </c>
      <c r="B632" t="str">
        <f ca="1">IFERROR(__xludf.DUMMYFUNCTION("""COMPUTED_VALUE"""),"RF-00000051-ORG")</f>
        <v>RF-00000051-ORG</v>
      </c>
    </row>
    <row r="633" spans="1:2" ht="12.5" x14ac:dyDescent="0.25">
      <c r="A633" t="str">
        <f ca="1">IFERROR(__xludf.DUMMYFUNCTION("""COMPUTED_VALUE"""),"Benzo-j+k-fluoranthene")</f>
        <v>Benzo-j+k-fluoranthene</v>
      </c>
      <c r="B633" t="str">
        <f ca="1">IFERROR(__xludf.DUMMYFUNCTION("""COMPUTED_VALUE"""),"RF-00000437-ORG")</f>
        <v>RF-00000437-ORG</v>
      </c>
    </row>
    <row r="634" spans="1:2" ht="12.5" x14ac:dyDescent="0.25">
      <c r="A634" t="str">
        <f ca="1">IFERROR(__xludf.DUMMYFUNCTION("""COMPUTED_VALUE"""),"Benzo-k-fluoranthene")</f>
        <v>Benzo-k-fluoranthene</v>
      </c>
      <c r="B634" t="str">
        <f ca="1">IFERROR(__xludf.DUMMYFUNCTION("""COMPUTED_VALUE"""),"RF-00000052-ORG")</f>
        <v>RF-00000052-ORG</v>
      </c>
    </row>
    <row r="635" spans="1:2" ht="12.5" x14ac:dyDescent="0.25">
      <c r="A635" t="str">
        <f ca="1">IFERROR(__xludf.DUMMYFUNCTION("""COMPUTED_VALUE"""),"Benzobicyclon")</f>
        <v>Benzobicyclon</v>
      </c>
      <c r="B635" t="str">
        <f ca="1">IFERROR(__xludf.DUMMYFUNCTION("""COMPUTED_VALUE"""),"RF-0499-001-PPP")</f>
        <v>RF-0499-001-PPP</v>
      </c>
    </row>
    <row r="636" spans="1:2" ht="12.5" x14ac:dyDescent="0.25">
      <c r="A636" t="str">
        <f ca="1">IFERROR(__xludf.DUMMYFUNCTION("""COMPUTED_VALUE"""),"Benzodiazepins")</f>
        <v>Benzodiazepins</v>
      </c>
      <c r="B636" t="str">
        <f ca="1">IFERROR(__xludf.DUMMYFUNCTION("""COMPUTED_VALUE"""),"RF-00000192-VET")</f>
        <v>RF-00000192-VET</v>
      </c>
    </row>
    <row r="637" spans="1:2" ht="12.5" x14ac:dyDescent="0.25">
      <c r="A637" t="str">
        <f ca="1">IFERROR(__xludf.DUMMYFUNCTION("""COMPUTED_VALUE"""),"Benzoic acid")</f>
        <v>Benzoic acid</v>
      </c>
      <c r="B637" t="str">
        <f ca="1">IFERROR(__xludf.DUMMYFUNCTION("""COMPUTED_VALUE"""),"RF-00000052-ADD")</f>
        <v>RF-00000052-ADD</v>
      </c>
    </row>
    <row r="638" spans="1:2" ht="12.5" x14ac:dyDescent="0.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x14ac:dyDescent="0.25">
      <c r="A639" t="str">
        <f ca="1">IFERROR(__xludf.DUMMYFUNCTION("""COMPUTED_VALUE"""),"Benzosulfonamide")</f>
        <v>Benzosulfonamide</v>
      </c>
      <c r="B639" t="str">
        <f ca="1">IFERROR(__xludf.DUMMYFUNCTION("""COMPUTED_VALUE"""),"RF-00000593-VET")</f>
        <v>RF-00000593-VET</v>
      </c>
    </row>
    <row r="640" spans="1:2" ht="12.5" x14ac:dyDescent="0.25">
      <c r="A640" t="str">
        <f ca="1">IFERROR(__xludf.DUMMYFUNCTION("""COMPUTED_VALUE"""),"Benzoximate")</f>
        <v>Benzoximate</v>
      </c>
      <c r="B640" t="str">
        <f ca="1">IFERROR(__xludf.DUMMYFUNCTION("""COMPUTED_VALUE"""),"RF-0500-001-PPP")</f>
        <v>RF-0500-001-PPP</v>
      </c>
    </row>
    <row r="641" spans="1:2" ht="12.5" x14ac:dyDescent="0.25">
      <c r="A641" t="str">
        <f ca="1">IFERROR(__xludf.DUMMYFUNCTION("""COMPUTED_VALUE"""),"Benzoylecgonine")</f>
        <v>Benzoylecgonine</v>
      </c>
      <c r="B641" t="str">
        <f ca="1">IFERROR(__xludf.DUMMYFUNCTION("""COMPUTED_VALUE"""),"RF-00000456-TOX")</f>
        <v>RF-00000456-TOX</v>
      </c>
    </row>
    <row r="642" spans="1:2" ht="12.5" x14ac:dyDescent="0.25">
      <c r="A642" t="str">
        <f ca="1">IFERROR(__xludf.DUMMYFUNCTION("""COMPUTED_VALUE"""),"Benzoylprop")</f>
        <v>Benzoylprop</v>
      </c>
      <c r="B642" t="str">
        <f ca="1">IFERROR(__xludf.DUMMYFUNCTION("""COMPUTED_VALUE"""),"RF-0501-001-PPP")</f>
        <v>RF-0501-001-PPP</v>
      </c>
    </row>
    <row r="643" spans="1:2" ht="12.5" x14ac:dyDescent="0.25">
      <c r="A643" t="str">
        <f ca="1">IFERROR(__xludf.DUMMYFUNCTION("""COMPUTED_VALUE"""),"Benzoylprop-Ethyl")</f>
        <v>Benzoylprop-Ethyl</v>
      </c>
      <c r="B643" t="str">
        <f ca="1">IFERROR(__xludf.DUMMYFUNCTION("""COMPUTED_VALUE"""),"RF-0502-001-PPP")</f>
        <v>RF-0502-001-PPP</v>
      </c>
    </row>
    <row r="644" spans="1:2" ht="12.5" x14ac:dyDescent="0.25">
      <c r="A644" t="str">
        <f ca="1">IFERROR(__xludf.DUMMYFUNCTION("""COMPUTED_VALUE"""),"Benzthiazuron")</f>
        <v>Benzthiazuron</v>
      </c>
      <c r="B644" t="str">
        <f ca="1">IFERROR(__xludf.DUMMYFUNCTION("""COMPUTED_VALUE"""),"RF-0503-001-PPP")</f>
        <v>RF-0503-001-PPP</v>
      </c>
    </row>
    <row r="645" spans="1:2" ht="12.5" x14ac:dyDescent="0.25">
      <c r="A645" t="str">
        <f ca="1">IFERROR(__xludf.DUMMYFUNCTION("""COMPUTED_VALUE"""),"Benzyl alcohol")</f>
        <v>Benzyl alcohol</v>
      </c>
      <c r="B645" t="str">
        <f ca="1">IFERROR(__xludf.DUMMYFUNCTION("""COMPUTED_VALUE"""),"RF-00000053-ADD")</f>
        <v>RF-00000053-ADD</v>
      </c>
    </row>
    <row r="646" spans="1:2" ht="12.5" x14ac:dyDescent="0.25">
      <c r="A646" t="str">
        <f ca="1">IFERROR(__xludf.DUMMYFUNCTION("""COMPUTED_VALUE"""),"Benzylpenicillin (Penicillin G)")</f>
        <v>Benzylpenicillin (Penicillin G)</v>
      </c>
      <c r="B646" t="str">
        <f ca="1">IFERROR(__xludf.DUMMYFUNCTION("""COMPUTED_VALUE"""),"RF-00000596-VET")</f>
        <v>RF-00000596-VET</v>
      </c>
    </row>
    <row r="647" spans="1:2" ht="12.5" x14ac:dyDescent="0.25">
      <c r="A647" t="str">
        <f ca="1">IFERROR(__xludf.DUMMYFUNCTION("""COMPUTED_VALUE"""),"Benzylthiouracil")</f>
        <v>Benzylthiouracil</v>
      </c>
      <c r="B647" t="str">
        <f ca="1">IFERROR(__xludf.DUMMYFUNCTION("""COMPUTED_VALUE"""),"RF-00000300-VET")</f>
        <v>RF-00000300-VET</v>
      </c>
    </row>
    <row r="648" spans="1:2" ht="12.5" x14ac:dyDescent="0.25">
      <c r="A648" t="str">
        <f ca="1">IFERROR(__xludf.DUMMYFUNCTION("""COMPUTED_VALUE"""),"Beryllium (Be)")</f>
        <v>Beryllium (Be)</v>
      </c>
      <c r="B648" t="str">
        <f ca="1">IFERROR(__xludf.DUMMYFUNCTION("""COMPUTED_VALUE"""),"RF-00000145-CHE")</f>
        <v>RF-00000145-CHE</v>
      </c>
    </row>
    <row r="649" spans="1:2" ht="12.5" x14ac:dyDescent="0.25">
      <c r="A649" t="str">
        <f ca="1">IFERROR(__xludf.DUMMYFUNCTION("""COMPUTED_VALUE"""),"Beryllium and derivatives")</f>
        <v>Beryllium and derivatives</v>
      </c>
      <c r="B649" t="str">
        <f ca="1">IFERROR(__xludf.DUMMYFUNCTION("""COMPUTED_VALUE"""),"RF-00000144-CHE")</f>
        <v>RF-00000144-CHE</v>
      </c>
    </row>
    <row r="650" spans="1:2" ht="12.5" x14ac:dyDescent="0.25">
      <c r="A650" t="str">
        <f ca="1">IFERROR(__xludf.DUMMYFUNCTION("""COMPUTED_VALUE"""),"Beta activity")</f>
        <v>Beta activity</v>
      </c>
      <c r="B650" t="str">
        <f ca="1">IFERROR(__xludf.DUMMYFUNCTION("""COMPUTED_VALUE"""),"RF-00000010-RAD")</f>
        <v>RF-00000010-RAD</v>
      </c>
    </row>
    <row r="651" spans="1:2" ht="12.5" x14ac:dyDescent="0.25">
      <c r="A651" t="str">
        <f ca="1">IFERROR(__xludf.DUMMYFUNCTION("""COMPUTED_VALUE"""),"Beta Zearalanol (Taleranol)")</f>
        <v>Beta Zearalanol (Taleranol)</v>
      </c>
      <c r="B651" t="str">
        <f ca="1">IFERROR(__xludf.DUMMYFUNCTION("""COMPUTED_VALUE"""),"RF-00000448-VET")</f>
        <v>RF-00000448-VET</v>
      </c>
    </row>
    <row r="652" spans="1:2" ht="12.5" x14ac:dyDescent="0.25">
      <c r="A652" t="str">
        <f ca="1">IFERROR(__xludf.DUMMYFUNCTION("""COMPUTED_VALUE"""),"Beta-agonists")</f>
        <v>Beta-agonists</v>
      </c>
      <c r="B652" t="str">
        <f ca="1">IFERROR(__xludf.DUMMYFUNCTION("""COMPUTED_VALUE"""),"RF-00000451-VET")</f>
        <v>RF-00000451-VET</v>
      </c>
    </row>
    <row r="653" spans="1:2" ht="12.5" x14ac:dyDescent="0.25">
      <c r="A653" t="str">
        <f ca="1">IFERROR(__xludf.DUMMYFUNCTION("""COMPUTED_VALUE"""),"Beta-agonists (screening multisubstances)")</f>
        <v>Beta-agonists (screening multisubstances)</v>
      </c>
      <c r="B653" t="str">
        <f ca="1">IFERROR(__xludf.DUMMYFUNCTION("""COMPUTED_VALUE"""),"RF-00000452-VET")</f>
        <v>RF-00000452-VET</v>
      </c>
    </row>
    <row r="654" spans="1:2" ht="12.5" x14ac:dyDescent="0.25">
      <c r="A654" t="str">
        <f ca="1">IFERROR(__xludf.DUMMYFUNCTION("""COMPUTED_VALUE"""),"Beta-apo-8'-carotenal (C 30)")</f>
        <v>Beta-apo-8'-carotenal (C 30)</v>
      </c>
      <c r="B654" t="str">
        <f ca="1">IFERROR(__xludf.DUMMYFUNCTION("""COMPUTED_VALUE"""),"RF-00000054-ADD")</f>
        <v>RF-00000054-ADD</v>
      </c>
    </row>
    <row r="655" spans="1:2" ht="12.5" x14ac:dyDescent="0.25">
      <c r="A655" t="str">
        <f ca="1">IFERROR(__xludf.DUMMYFUNCTION("""COMPUTED_VALUE"""),"beta-carotene")</f>
        <v>beta-carotene</v>
      </c>
      <c r="B655" t="str">
        <f ca="1">IFERROR(__xludf.DUMMYFUNCTION("""COMPUTED_VALUE"""),"RF-00000030-NTR")</f>
        <v>RF-00000030-NTR</v>
      </c>
    </row>
    <row r="656" spans="1:2" ht="12.5" x14ac:dyDescent="0.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x14ac:dyDescent="0.25">
      <c r="A657" t="str">
        <f ca="1">IFERROR(__xludf.DUMMYFUNCTION("""COMPUTED_VALUE"""),"beta-cryptoxanthin")</f>
        <v>beta-cryptoxanthin</v>
      </c>
      <c r="B657" t="str">
        <f ca="1">IFERROR(__xludf.DUMMYFUNCTION("""COMPUTED_VALUE"""),"RF-00000032-NTR")</f>
        <v>RF-00000032-NTR</v>
      </c>
    </row>
    <row r="658" spans="1:2" ht="12.5" x14ac:dyDescent="0.25">
      <c r="A658" t="str">
        <f ca="1">IFERROR(__xludf.DUMMYFUNCTION("""COMPUTED_VALUE"""),"Beta-cyclodextrin")</f>
        <v>Beta-cyclodextrin</v>
      </c>
      <c r="B658" t="str">
        <f ca="1">IFERROR(__xludf.DUMMYFUNCTION("""COMPUTED_VALUE"""),"RF-00000055-ADD")</f>
        <v>RF-00000055-ADD</v>
      </c>
    </row>
    <row r="659" spans="1:2" ht="12.5" x14ac:dyDescent="0.25">
      <c r="A659" t="str">
        <f ca="1">IFERROR(__xludf.DUMMYFUNCTION("""COMPUTED_VALUE"""),"Beta-cypermethrin")</f>
        <v>Beta-cypermethrin</v>
      </c>
      <c r="B659" t="str">
        <f ca="1">IFERROR(__xludf.DUMMYFUNCTION("""COMPUTED_VALUE"""),"RF-0112-003-PPP")</f>
        <v>RF-0112-003-PPP</v>
      </c>
    </row>
    <row r="660" spans="1:2" ht="12.5" x14ac:dyDescent="0.25">
      <c r="A660" t="str">
        <f ca="1">IFERROR(__xludf.DUMMYFUNCTION("""COMPUTED_VALUE"""),"beta-Ergocryptine")</f>
        <v>beta-Ergocryptine</v>
      </c>
      <c r="B660" t="str">
        <f ca="1">IFERROR(__xludf.DUMMYFUNCTION("""COMPUTED_VALUE"""),"RF-00000139-TOX")</f>
        <v>RF-00000139-TOX</v>
      </c>
    </row>
    <row r="661" spans="1:2" ht="12.5" x14ac:dyDescent="0.25">
      <c r="A661" t="str">
        <f ca="1">IFERROR(__xludf.DUMMYFUNCTION("""COMPUTED_VALUE"""),"beta-Ergocryptinine")</f>
        <v>beta-Ergocryptinine</v>
      </c>
      <c r="B661" t="str">
        <f ca="1">IFERROR(__xludf.DUMMYFUNCTION("""COMPUTED_VALUE"""),"RF-00000146-TOX")</f>
        <v>RF-00000146-TOX</v>
      </c>
    </row>
    <row r="662" spans="1:2" ht="12.5" x14ac:dyDescent="0.25">
      <c r="A662" t="str">
        <f ca="1">IFERROR(__xludf.DUMMYFUNCTION("""COMPUTED_VALUE"""),"Beta-lactams")</f>
        <v>Beta-lactams</v>
      </c>
      <c r="B662" t="str">
        <f ca="1">IFERROR(__xludf.DUMMYFUNCTION("""COMPUTED_VALUE"""),"RF-00000568-VET")</f>
        <v>RF-00000568-VET</v>
      </c>
    </row>
    <row r="663" spans="1:2" ht="12.5" x14ac:dyDescent="0.25">
      <c r="A663" t="str">
        <f ca="1">IFERROR(__xludf.DUMMYFUNCTION("""COMPUTED_VALUE"""),"beta-tocopherol")</f>
        <v>beta-tocopherol</v>
      </c>
      <c r="B663" t="str">
        <f ca="1">IFERROR(__xludf.DUMMYFUNCTION("""COMPUTED_VALUE"""),"RF-00000033-NTR")</f>
        <v>RF-00000033-NTR</v>
      </c>
    </row>
    <row r="664" spans="1:2" ht="12.5" x14ac:dyDescent="0.25">
      <c r="A664" t="str">
        <f ca="1">IFERROR(__xludf.DUMMYFUNCTION("""COMPUTED_VALUE"""),"beta-tocotrienol")</f>
        <v>beta-tocotrienol</v>
      </c>
      <c r="B664" t="str">
        <f ca="1">IFERROR(__xludf.DUMMYFUNCTION("""COMPUTED_VALUE"""),"RF-00000034-NTR")</f>
        <v>RF-00000034-NTR</v>
      </c>
    </row>
    <row r="665" spans="1:2" ht="12.5" x14ac:dyDescent="0.25">
      <c r="A665" t="str">
        <f ca="1">IFERROR(__xludf.DUMMYFUNCTION("""COMPUTED_VALUE"""),"Betamethasone")</f>
        <v>Betamethasone</v>
      </c>
      <c r="B665" t="str">
        <f ca="1">IFERROR(__xludf.DUMMYFUNCTION("""COMPUTED_VALUE"""),"RF-00000273-VET")</f>
        <v>RF-00000273-VET</v>
      </c>
    </row>
    <row r="666" spans="1:2" ht="12.5" x14ac:dyDescent="0.25">
      <c r="A666" t="str">
        <f ca="1">IFERROR(__xludf.DUMMYFUNCTION("""COMPUTED_VALUE"""),"Betamethasone")</f>
        <v>Betamethasone</v>
      </c>
      <c r="B666" t="str">
        <f ca="1">IFERROR(__xludf.DUMMYFUNCTION("""COMPUTED_VALUE"""),"RF-00000358-VET")</f>
        <v>RF-00000358-VET</v>
      </c>
    </row>
    <row r="667" spans="1:2" ht="12.5" x14ac:dyDescent="0.25">
      <c r="A667" t="str">
        <f ca="1">IFERROR(__xludf.DUMMYFUNCTION("""COMPUTED_VALUE"""),"Bifenazate")</f>
        <v>Bifenazate</v>
      </c>
      <c r="B667" t="str">
        <f ca="1">IFERROR(__xludf.DUMMYFUNCTION("""COMPUTED_VALUE"""),"RF-0044-001-PPP")</f>
        <v>RF-0044-001-PPP</v>
      </c>
    </row>
    <row r="668" spans="1:2" ht="12.5" x14ac:dyDescent="0.25">
      <c r="A668" t="str">
        <f ca="1">IFERROR(__xludf.DUMMYFUNCTION("""COMPUTED_VALUE"""),"Bifenox")</f>
        <v>Bifenox</v>
      </c>
      <c r="B668" t="str">
        <f ca="1">IFERROR(__xludf.DUMMYFUNCTION("""COMPUTED_VALUE"""),"RF-0045-001-PPP")</f>
        <v>RF-0045-001-PPP</v>
      </c>
    </row>
    <row r="669" spans="1:2" ht="12.5" x14ac:dyDescent="0.25">
      <c r="A669" t="str">
        <f ca="1">IFERROR(__xludf.DUMMYFUNCTION("""COMPUTED_VALUE"""),"Bifenthrin")</f>
        <v>Bifenthrin</v>
      </c>
      <c r="B669" t="str">
        <f ca="1">IFERROR(__xludf.DUMMYFUNCTION("""COMPUTED_VALUE"""),"RF-00000103-VET")</f>
        <v>RF-00000103-VET</v>
      </c>
    </row>
    <row r="670" spans="1:2" ht="12.5" x14ac:dyDescent="0.25">
      <c r="A670" t="str">
        <f ca="1">IFERROR(__xludf.DUMMYFUNCTION("""COMPUTED_VALUE"""),"Bifenthrin")</f>
        <v>Bifenthrin</v>
      </c>
      <c r="B670" t="str">
        <f ca="1">IFERROR(__xludf.DUMMYFUNCTION("""COMPUTED_VALUE"""),"RF-0046-001-PPP")</f>
        <v>RF-0046-001-PPP</v>
      </c>
    </row>
    <row r="671" spans="1:2" ht="12.5" x14ac:dyDescent="0.25">
      <c r="A671" t="str">
        <f ca="1">IFERROR(__xludf.DUMMYFUNCTION("""COMPUTED_VALUE"""),"Binapacryl")</f>
        <v>Binapacryl</v>
      </c>
      <c r="B671" t="str">
        <f ca="1">IFERROR(__xludf.DUMMYFUNCTION("""COMPUTED_VALUE"""),"RF-0047-001-PPP")</f>
        <v>RF-0047-001-PPP</v>
      </c>
    </row>
    <row r="672" spans="1:2" ht="12.5" x14ac:dyDescent="0.25">
      <c r="A672" t="str">
        <f ca="1">IFERROR(__xludf.DUMMYFUNCTION("""COMPUTED_VALUE"""),"Bioallethrin")</f>
        <v>Bioallethrin</v>
      </c>
      <c r="B672" t="str">
        <f ca="1">IFERROR(__xludf.DUMMYFUNCTION("""COMPUTED_VALUE"""),"RF-0504-001-PPP")</f>
        <v>RF-0504-001-PPP</v>
      </c>
    </row>
    <row r="673" spans="1:2" ht="12.5" x14ac:dyDescent="0.25">
      <c r="A673" t="str">
        <f ca="1">IFERROR(__xludf.DUMMYFUNCTION("""COMPUTED_VALUE"""),"biochanin A")</f>
        <v>biochanin A</v>
      </c>
      <c r="B673" t="str">
        <f ca="1">IFERROR(__xludf.DUMMYFUNCTION("""COMPUTED_VALUE"""),"RF-00000035-NTR")</f>
        <v>RF-00000035-NTR</v>
      </c>
    </row>
    <row r="674" spans="1:2" ht="12.5" x14ac:dyDescent="0.25">
      <c r="A674" t="str">
        <f ca="1">IFERROR(__xludf.DUMMYFUNCTION("""COMPUTED_VALUE"""),"Biogenic amines")</f>
        <v>Biogenic amines</v>
      </c>
      <c r="B674" t="str">
        <f ca="1">IFERROR(__xludf.DUMMYFUNCTION("""COMPUTED_VALUE"""),"RF-00000001-BGA")</f>
        <v>RF-00000001-BGA</v>
      </c>
    </row>
    <row r="675" spans="1:2" ht="12.5" x14ac:dyDescent="0.25">
      <c r="A675" t="str">
        <f ca="1">IFERROR(__xludf.DUMMYFUNCTION("""COMPUTED_VALUE"""),"Bioresmethrin")</f>
        <v>Bioresmethrin</v>
      </c>
      <c r="B675" t="str">
        <f ca="1">IFERROR(__xludf.DUMMYFUNCTION("""COMPUTED_VALUE"""),"RF-0505-001-PPP")</f>
        <v>RF-0505-001-PPP</v>
      </c>
    </row>
    <row r="676" spans="1:2" ht="12.5" x14ac:dyDescent="0.25">
      <c r="A676" t="str">
        <f ca="1">IFERROR(__xludf.DUMMYFUNCTION("""COMPUTED_VALUE"""),"biotin")</f>
        <v>biotin</v>
      </c>
      <c r="B676" t="str">
        <f ca="1">IFERROR(__xludf.DUMMYFUNCTION("""COMPUTED_VALUE"""),"RF-00000036-NTR")</f>
        <v>RF-00000036-NTR</v>
      </c>
    </row>
    <row r="677" spans="1:2" ht="12.5" x14ac:dyDescent="0.25">
      <c r="A677" t="str">
        <f ca="1">IFERROR(__xludf.DUMMYFUNCTION("""COMPUTED_VALUE"""),"Biphenyl")</f>
        <v>Biphenyl</v>
      </c>
      <c r="B677" t="str">
        <f ca="1">IFERROR(__xludf.DUMMYFUNCTION("""COMPUTED_VALUE"""),"RF-0506-001-PPP")</f>
        <v>RF-0506-001-PPP</v>
      </c>
    </row>
    <row r="678" spans="1:2" ht="12.5" x14ac:dyDescent="0.25">
      <c r="A678" t="str">
        <f ca="1">IFERROR(__xludf.DUMMYFUNCTION("""COMPUTED_VALUE"""),"Bis (2,4,6-tribromophenoxy)ethane")</f>
        <v>Bis (2,4,6-tribromophenoxy)ethane</v>
      </c>
      <c r="B678" t="str">
        <f ca="1">IFERROR(__xludf.DUMMYFUNCTION("""COMPUTED_VALUE"""),"RF-00000082-ORG")</f>
        <v>RF-00000082-ORG</v>
      </c>
    </row>
    <row r="679" spans="1:2" ht="12.5" x14ac:dyDescent="0.25">
      <c r="A679" t="str">
        <f ca="1">IFERROR(__xludf.DUMMYFUNCTION("""COMPUTED_VALUE"""),"Bishomopalytoxin")</f>
        <v>Bishomopalytoxin</v>
      </c>
      <c r="B679" t="str">
        <f ca="1">IFERROR(__xludf.DUMMYFUNCTION("""COMPUTED_VALUE"""),"RF-00000076-TOX")</f>
        <v>RF-00000076-TOX</v>
      </c>
    </row>
    <row r="680" spans="1:2" ht="12.5" x14ac:dyDescent="0.25">
      <c r="A680" t="str">
        <f ca="1">IFERROR(__xludf.DUMMYFUNCTION("""COMPUTED_VALUE"""),"Bisphenol Chlorinated")</f>
        <v>Bisphenol Chlorinated</v>
      </c>
      <c r="B680" t="str">
        <f ca="1">IFERROR(__xludf.DUMMYFUNCTION("""COMPUTED_VALUE"""),"RF-00001239-PAR")</f>
        <v>RF-00001239-PAR</v>
      </c>
    </row>
    <row r="681" spans="1:2" ht="12.5" x14ac:dyDescent="0.25">
      <c r="A681" t="str">
        <f ca="1">IFERROR(__xludf.DUMMYFUNCTION("""COMPUTED_VALUE"""),"Bisphenol compounds")</f>
        <v>Bisphenol compounds</v>
      </c>
      <c r="B681" t="str">
        <f ca="1">IFERROR(__xludf.DUMMYFUNCTION("""COMPUTED_VALUE"""),"RF-00001240-PAR")</f>
        <v>RF-00001240-PAR</v>
      </c>
    </row>
    <row r="682" spans="1:2" ht="12.5" x14ac:dyDescent="0.25">
      <c r="A682" t="str">
        <f ca="1">IFERROR(__xludf.DUMMYFUNCTION("""COMPUTED_VALUE"""),"Bisphenol conjugated")</f>
        <v>Bisphenol conjugated</v>
      </c>
      <c r="B682" t="str">
        <f ca="1">IFERROR(__xludf.DUMMYFUNCTION("""COMPUTED_VALUE"""),"RF-00001237-PAR")</f>
        <v>RF-00001237-PAR</v>
      </c>
    </row>
    <row r="683" spans="1:2" ht="12.5" x14ac:dyDescent="0.25">
      <c r="A683" t="str">
        <f ca="1">IFERROR(__xludf.DUMMYFUNCTION("""COMPUTED_VALUE"""),"Bisphenol unconjugated")</f>
        <v>Bisphenol unconjugated</v>
      </c>
      <c r="B683" t="str">
        <f ca="1">IFERROR(__xludf.DUMMYFUNCTION("""COMPUTED_VALUE"""),"RF-00001238-PAR")</f>
        <v>RF-00001238-PAR</v>
      </c>
    </row>
    <row r="684" spans="1:2" ht="12.5" x14ac:dyDescent="0.25">
      <c r="A684" t="str">
        <f ca="1">IFERROR(__xludf.DUMMYFUNCTION("""COMPUTED_VALUE"""),"Bisphenol-A (Total)")</f>
        <v>Bisphenol-A (Total)</v>
      </c>
      <c r="B684" t="str">
        <f ca="1">IFERROR(__xludf.DUMMYFUNCTION("""COMPUTED_VALUE"""),"RF-00000482-ORG")</f>
        <v>RF-00000482-ORG</v>
      </c>
    </row>
    <row r="685" spans="1:2" ht="12.5" x14ac:dyDescent="0.25">
      <c r="A685" t="str">
        <f ca="1">IFERROR(__xludf.DUMMYFUNCTION("""COMPUTED_VALUE"""),"Bispyribac")</f>
        <v>Bispyribac</v>
      </c>
      <c r="B685" t="str">
        <f ca="1">IFERROR(__xludf.DUMMYFUNCTION("""COMPUTED_VALUE"""),"RF-0507-001-PPP")</f>
        <v>RF-0507-001-PPP</v>
      </c>
    </row>
    <row r="686" spans="1:2" ht="12.5" x14ac:dyDescent="0.25">
      <c r="A686" t="str">
        <f ca="1">IFERROR(__xludf.DUMMYFUNCTION("""COMPUTED_VALUE"""),"Bitertanol")</f>
        <v>Bitertanol</v>
      </c>
      <c r="B686" t="str">
        <f ca="1">IFERROR(__xludf.DUMMYFUNCTION("""COMPUTED_VALUE"""),"RF-0048-001-PPP")</f>
        <v>RF-0048-001-PPP</v>
      </c>
    </row>
    <row r="687" spans="1:2" ht="12.5" x14ac:dyDescent="0.25">
      <c r="A687" t="str">
        <f ca="1">IFERROR(__xludf.DUMMYFUNCTION("""COMPUTED_VALUE"""),"Biuret")</f>
        <v>Biuret</v>
      </c>
      <c r="B687" t="str">
        <f ca="1">IFERROR(__xludf.DUMMYFUNCTION("""COMPUTED_VALUE"""),"RF-00000105-CHE")</f>
        <v>RF-00000105-CHE</v>
      </c>
    </row>
    <row r="688" spans="1:2" ht="12.5" x14ac:dyDescent="0.25">
      <c r="A688" t="str">
        <f ca="1">IFERROR(__xludf.DUMMYFUNCTION("""COMPUTED_VALUE"""),"Bixafen")</f>
        <v>Bixafen</v>
      </c>
      <c r="B688" t="str">
        <f ca="1">IFERROR(__xludf.DUMMYFUNCTION("""COMPUTED_VALUE"""),"RF-1056-001-PPP")</f>
        <v>RF-1056-001-PPP</v>
      </c>
    </row>
    <row r="689" spans="1:2" ht="12.5" x14ac:dyDescent="0.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x14ac:dyDescent="0.25">
      <c r="A690" t="str">
        <f ca="1">IFERROR(__xludf.DUMMYFUNCTION("""COMPUTED_VALUE"""),"Blasticidin-S")</f>
        <v>Blasticidin-S</v>
      </c>
      <c r="B690" t="str">
        <f ca="1">IFERROR(__xludf.DUMMYFUNCTION("""COMPUTED_VALUE"""),"RF-0508-001-PPP")</f>
        <v>RF-0508-001-PPP</v>
      </c>
    </row>
    <row r="691" spans="1:2" ht="12.5" x14ac:dyDescent="0.25">
      <c r="A691" t="str">
        <f ca="1">IFERROR(__xludf.DUMMYFUNCTION("""COMPUTED_VALUE"""),"Bokeloh Bat Lyssavirus")</f>
        <v>Bokeloh Bat Lyssavirus</v>
      </c>
      <c r="B691" t="str">
        <f ca="1">IFERROR(__xludf.DUMMYFUNCTION("""COMPUTED_VALUE"""),"RF-00001300-PAR")</f>
        <v>RF-00001300-PAR</v>
      </c>
    </row>
    <row r="692" spans="1:2" ht="12.5" x14ac:dyDescent="0.25">
      <c r="A692" t="str">
        <f ca="1">IFERROR(__xludf.DUMMYFUNCTION("""COMPUTED_VALUE"""),"Bolandiol")</f>
        <v>Bolandiol</v>
      </c>
      <c r="B692" t="str">
        <f ca="1">IFERROR(__xludf.DUMMYFUNCTION("""COMPUTED_VALUE"""),"RF-00000391-VET")</f>
        <v>RF-00000391-VET</v>
      </c>
    </row>
    <row r="693" spans="1:2" ht="12.5" x14ac:dyDescent="0.25">
      <c r="A693" t="str">
        <f ca="1">IFERROR(__xludf.DUMMYFUNCTION("""COMPUTED_VALUE"""),"Bolandiol dipropionate")</f>
        <v>Bolandiol dipropionate</v>
      </c>
      <c r="B693" t="str">
        <f ca="1">IFERROR(__xludf.DUMMYFUNCTION("""COMPUTED_VALUE"""),"RF-00000390-VET")</f>
        <v>RF-00000390-VET</v>
      </c>
    </row>
    <row r="694" spans="1:2" ht="12.5" x14ac:dyDescent="0.25">
      <c r="A694" t="str">
        <f ca="1">IFERROR(__xludf.DUMMYFUNCTION("""COMPUTED_VALUE"""),"Bolasterol")</f>
        <v>Bolasterol</v>
      </c>
      <c r="B694" t="str">
        <f ca="1">IFERROR(__xludf.DUMMYFUNCTION("""COMPUTED_VALUE"""),"RF-00000389-VET")</f>
        <v>RF-00000389-VET</v>
      </c>
    </row>
    <row r="695" spans="1:2" ht="12.5" x14ac:dyDescent="0.25">
      <c r="A695" t="str">
        <f ca="1">IFERROR(__xludf.DUMMYFUNCTION("""COMPUTED_VALUE"""),"Bolasterone")</f>
        <v>Bolasterone</v>
      </c>
      <c r="B695" t="str">
        <f ca="1">IFERROR(__xludf.DUMMYFUNCTION("""COMPUTED_VALUE"""),"RF-00000374-VET")</f>
        <v>RF-00000374-VET</v>
      </c>
    </row>
    <row r="696" spans="1:2" ht="12.5" x14ac:dyDescent="0.25">
      <c r="A696" t="str">
        <f ca="1">IFERROR(__xludf.DUMMYFUNCTION("""COMPUTED_VALUE"""),"Boldenone")</f>
        <v>Boldenone</v>
      </c>
      <c r="B696" t="str">
        <f ca="1">IFERROR(__xludf.DUMMYFUNCTION("""COMPUTED_VALUE"""),"RF-00000387-VET")</f>
        <v>RF-00000387-VET</v>
      </c>
    </row>
    <row r="697" spans="1:2" ht="12.5" x14ac:dyDescent="0.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x14ac:dyDescent="0.25">
      <c r="A698" t="str">
        <f ca="1">IFERROR(__xludf.DUMMYFUNCTION("""COMPUTED_VALUE"""),"Boldenone undecanoate")</f>
        <v>Boldenone undecanoate</v>
      </c>
      <c r="B698" t="str">
        <f ca="1">IFERROR(__xludf.DUMMYFUNCTION("""COMPUTED_VALUE"""),"RF-00000385-VET")</f>
        <v>RF-00000385-VET</v>
      </c>
    </row>
    <row r="699" spans="1:2" ht="12.5" x14ac:dyDescent="0.25">
      <c r="A699" t="str">
        <f ca="1">IFERROR(__xludf.DUMMYFUNCTION("""COMPUTED_VALUE"""),"Boldenone-Alpha")</f>
        <v>Boldenone-Alpha</v>
      </c>
      <c r="B699" t="str">
        <f ca="1">IFERROR(__xludf.DUMMYFUNCTION("""COMPUTED_VALUE"""),"RF-00000383-VET")</f>
        <v>RF-00000383-VET</v>
      </c>
    </row>
    <row r="700" spans="1:2" ht="12.5" x14ac:dyDescent="0.25">
      <c r="A700" t="str">
        <f ca="1">IFERROR(__xludf.DUMMYFUNCTION("""COMPUTED_VALUE"""),"Boldione")</f>
        <v>Boldione</v>
      </c>
      <c r="B700" t="str">
        <f ca="1">IFERROR(__xludf.DUMMYFUNCTION("""COMPUTED_VALUE"""),"RF-00000382-VET")</f>
        <v>RF-00000382-VET</v>
      </c>
    </row>
    <row r="701" spans="1:2" ht="12.5" x14ac:dyDescent="0.25">
      <c r="A701" t="str">
        <f ca="1">IFERROR(__xludf.DUMMYFUNCTION("""COMPUTED_VALUE"""),"Bomyl")</f>
        <v>Bomyl</v>
      </c>
      <c r="B701" t="str">
        <f ca="1">IFERROR(__xludf.DUMMYFUNCTION("""COMPUTED_VALUE"""),"RF-0509-001-PPP")</f>
        <v>RF-0509-001-PPP</v>
      </c>
    </row>
    <row r="702" spans="1:2" ht="12.5" x14ac:dyDescent="0.25">
      <c r="A702" t="str">
        <f ca="1">IFERROR(__xludf.DUMMYFUNCTION("""COMPUTED_VALUE"""),"Boric acid")</f>
        <v>Boric acid</v>
      </c>
      <c r="B702" t="str">
        <f ca="1">IFERROR(__xludf.DUMMYFUNCTION("""COMPUTED_VALUE"""),"RF-00000056-ADD")</f>
        <v>RF-00000056-ADD</v>
      </c>
    </row>
    <row r="703" spans="1:2" ht="12.5" x14ac:dyDescent="0.25">
      <c r="A703" t="str">
        <f ca="1">IFERROR(__xludf.DUMMYFUNCTION("""COMPUTED_VALUE"""),"Boron (B)")</f>
        <v>Boron (B)</v>
      </c>
      <c r="B703" t="str">
        <f ca="1">IFERROR(__xludf.DUMMYFUNCTION("""COMPUTED_VALUE"""),"RF-00000147-CHE")</f>
        <v>RF-00000147-CHE</v>
      </c>
    </row>
    <row r="704" spans="1:2" ht="12.5" x14ac:dyDescent="0.25">
      <c r="A704" t="str">
        <f ca="1">IFERROR(__xludf.DUMMYFUNCTION("""COMPUTED_VALUE"""),"Boron and derivatives")</f>
        <v>Boron and derivatives</v>
      </c>
      <c r="B704" t="str">
        <f ca="1">IFERROR(__xludf.DUMMYFUNCTION("""COMPUTED_VALUE"""),"RF-00000146-CHE")</f>
        <v>RF-00000146-CHE</v>
      </c>
    </row>
    <row r="705" spans="1:2" ht="12.5" x14ac:dyDescent="0.25">
      <c r="A705" t="str">
        <f ca="1">IFERROR(__xludf.DUMMYFUNCTION("""COMPUTED_VALUE"""),"Borrelia")</f>
        <v>Borrelia</v>
      </c>
      <c r="B705" t="str">
        <f ca="1">IFERROR(__xludf.DUMMYFUNCTION("""COMPUTED_VALUE"""),"RF-00000017-MCG")</f>
        <v>RF-00000017-MCG</v>
      </c>
    </row>
    <row r="706" spans="1:2" ht="12.5" x14ac:dyDescent="0.25">
      <c r="A706" t="str">
        <f ca="1">IFERROR(__xludf.DUMMYFUNCTION("""COMPUTED_VALUE"""),"Borrelia abortus")</f>
        <v>Borrelia abortus</v>
      </c>
      <c r="B706" t="str">
        <f ca="1">IFERROR(__xludf.DUMMYFUNCTION("""COMPUTED_VALUE"""),"RF-00000037-MCG")</f>
        <v>RF-00000037-MCG</v>
      </c>
    </row>
    <row r="707" spans="1:2" ht="12.5" x14ac:dyDescent="0.25">
      <c r="A707" t="str">
        <f ca="1">IFERROR(__xludf.DUMMYFUNCTION("""COMPUTED_VALUE"""),"Borrelia afzelii")</f>
        <v>Borrelia afzelii</v>
      </c>
      <c r="B707" t="str">
        <f ca="1">IFERROR(__xludf.DUMMYFUNCTION("""COMPUTED_VALUE"""),"RF-00002694-MCG")</f>
        <v>RF-00002694-MCG</v>
      </c>
    </row>
    <row r="708" spans="1:2" ht="12.5" x14ac:dyDescent="0.25">
      <c r="A708" t="str">
        <f ca="1">IFERROR(__xludf.DUMMYFUNCTION("""COMPUTED_VALUE"""),"Borrelia anserina")</f>
        <v>Borrelia anserina</v>
      </c>
      <c r="B708" t="str">
        <f ca="1">IFERROR(__xludf.DUMMYFUNCTION("""COMPUTED_VALUE"""),"RF-00002695-MCG")</f>
        <v>RF-00002695-MCG</v>
      </c>
    </row>
    <row r="709" spans="1:2" ht="12.5" x14ac:dyDescent="0.25">
      <c r="A709" t="str">
        <f ca="1">IFERROR(__xludf.DUMMYFUNCTION("""COMPUTED_VALUE"""),"Borrelia baltazardii")</f>
        <v>Borrelia baltazardii</v>
      </c>
      <c r="B709" t="str">
        <f ca="1">IFERROR(__xludf.DUMMYFUNCTION("""COMPUTED_VALUE"""),"RF-00002696-MCG")</f>
        <v>RF-00002696-MCG</v>
      </c>
    </row>
    <row r="710" spans="1:2" ht="12.5" x14ac:dyDescent="0.25">
      <c r="A710" t="str">
        <f ca="1">IFERROR(__xludf.DUMMYFUNCTION("""COMPUTED_VALUE"""),"Borrelia brasiliensis")</f>
        <v>Borrelia brasiliensis</v>
      </c>
      <c r="B710" t="str">
        <f ca="1">IFERROR(__xludf.DUMMYFUNCTION("""COMPUTED_VALUE"""),"RF-00002697-MCG")</f>
        <v>RF-00002697-MCG</v>
      </c>
    </row>
    <row r="711" spans="1:2" ht="12.5" x14ac:dyDescent="0.25">
      <c r="A711" t="str">
        <f ca="1">IFERROR(__xludf.DUMMYFUNCTION("""COMPUTED_VALUE"""),"Borrelia burgdorferi")</f>
        <v>Borrelia burgdorferi</v>
      </c>
      <c r="B711" t="str">
        <f ca="1">IFERROR(__xludf.DUMMYFUNCTION("""COMPUTED_VALUE"""),"RF-00000035-MCG")</f>
        <v>RF-00000035-MCG</v>
      </c>
    </row>
    <row r="712" spans="1:2" ht="12.5" x14ac:dyDescent="0.25">
      <c r="A712" t="str">
        <f ca="1">IFERROR(__xludf.DUMMYFUNCTION("""COMPUTED_VALUE"""),"Borrelia canis")</f>
        <v>Borrelia canis</v>
      </c>
      <c r="B712" t="str">
        <f ca="1">IFERROR(__xludf.DUMMYFUNCTION("""COMPUTED_VALUE"""),"RF-00000029-MCG")</f>
        <v>RF-00000029-MCG</v>
      </c>
    </row>
    <row r="713" spans="1:2" ht="12.5" x14ac:dyDescent="0.25">
      <c r="A713" t="str">
        <f ca="1">IFERROR(__xludf.DUMMYFUNCTION("""COMPUTED_VALUE"""),"Borrelia caucasica")</f>
        <v>Borrelia caucasica</v>
      </c>
      <c r="B713" t="str">
        <f ca="1">IFERROR(__xludf.DUMMYFUNCTION("""COMPUTED_VALUE"""),"RF-00002698-MCG")</f>
        <v>RF-00002698-MCG</v>
      </c>
    </row>
    <row r="714" spans="1:2" ht="12.5" x14ac:dyDescent="0.25">
      <c r="A714" t="str">
        <f ca="1">IFERROR(__xludf.DUMMYFUNCTION("""COMPUTED_VALUE"""),"Borrelia coriaceae")</f>
        <v>Borrelia coriaceae</v>
      </c>
      <c r="B714" t="str">
        <f ca="1">IFERROR(__xludf.DUMMYFUNCTION("""COMPUTED_VALUE"""),"RF-00002699-MCG")</f>
        <v>RF-00002699-MCG</v>
      </c>
    </row>
    <row r="715" spans="1:2" ht="12.5" x14ac:dyDescent="0.25">
      <c r="A715" t="str">
        <f ca="1">IFERROR(__xludf.DUMMYFUNCTION("""COMPUTED_VALUE"""),"Borrelia crocidurae")</f>
        <v>Borrelia crocidurae</v>
      </c>
      <c r="B715" t="str">
        <f ca="1">IFERROR(__xludf.DUMMYFUNCTION("""COMPUTED_VALUE"""),"RF-00002700-MCG")</f>
        <v>RF-00002700-MCG</v>
      </c>
    </row>
    <row r="716" spans="1:2" ht="12.5" x14ac:dyDescent="0.25">
      <c r="A716" t="str">
        <f ca="1">IFERROR(__xludf.DUMMYFUNCTION("""COMPUTED_VALUE"""),"Borrelia dugesii")</f>
        <v>Borrelia dugesii</v>
      </c>
      <c r="B716" t="str">
        <f ca="1">IFERROR(__xludf.DUMMYFUNCTION("""COMPUTED_VALUE"""),"RF-00002701-MCG")</f>
        <v>RF-00002701-MCG</v>
      </c>
    </row>
    <row r="717" spans="1:2" ht="12.5" x14ac:dyDescent="0.25">
      <c r="A717" t="str">
        <f ca="1">IFERROR(__xludf.DUMMYFUNCTION("""COMPUTED_VALUE"""),"Borrelia duttonii")</f>
        <v>Borrelia duttonii</v>
      </c>
      <c r="B717" t="str">
        <f ca="1">IFERROR(__xludf.DUMMYFUNCTION("""COMPUTED_VALUE"""),"RF-00002702-MCG")</f>
        <v>RF-00002702-MCG</v>
      </c>
    </row>
    <row r="718" spans="1:2" ht="12.5" x14ac:dyDescent="0.25">
      <c r="A718" t="str">
        <f ca="1">IFERROR(__xludf.DUMMYFUNCTION("""COMPUTED_VALUE"""),"Borrelia garinii")</f>
        <v>Borrelia garinii</v>
      </c>
      <c r="B718" t="str">
        <f ca="1">IFERROR(__xludf.DUMMYFUNCTION("""COMPUTED_VALUE"""),"RF-00002703-MCG")</f>
        <v>RF-00002703-MCG</v>
      </c>
    </row>
    <row r="719" spans="1:2" ht="12.5" x14ac:dyDescent="0.25">
      <c r="A719" t="str">
        <f ca="1">IFERROR(__xludf.DUMMYFUNCTION("""COMPUTED_VALUE"""),"Borrelia graingeri")</f>
        <v>Borrelia graingeri</v>
      </c>
      <c r="B719" t="str">
        <f ca="1">IFERROR(__xludf.DUMMYFUNCTION("""COMPUTED_VALUE"""),"RF-00002704-MCG")</f>
        <v>RF-00002704-MCG</v>
      </c>
    </row>
    <row r="720" spans="1:2" ht="12.5" x14ac:dyDescent="0.25">
      <c r="A720" t="str">
        <f ca="1">IFERROR(__xludf.DUMMYFUNCTION("""COMPUTED_VALUE"""),"Borrelia harveyi")</f>
        <v>Borrelia harveyi</v>
      </c>
      <c r="B720" t="str">
        <f ca="1">IFERROR(__xludf.DUMMYFUNCTION("""COMPUTED_VALUE"""),"RF-00002705-MCG")</f>
        <v>RF-00002705-MCG</v>
      </c>
    </row>
    <row r="721" spans="1:2" ht="12.5" x14ac:dyDescent="0.25">
      <c r="A721" t="str">
        <f ca="1">IFERROR(__xludf.DUMMYFUNCTION("""COMPUTED_VALUE"""),"Borrelia hermsii")</f>
        <v>Borrelia hermsii</v>
      </c>
      <c r="B721" t="str">
        <f ca="1">IFERROR(__xludf.DUMMYFUNCTION("""COMPUTED_VALUE"""),"RF-00002706-MCG")</f>
        <v>RF-00002706-MCG</v>
      </c>
    </row>
    <row r="722" spans="1:2" ht="12.5" x14ac:dyDescent="0.25">
      <c r="A722" t="str">
        <f ca="1">IFERROR(__xludf.DUMMYFUNCTION("""COMPUTED_VALUE"""),"Borrelia hispanica")</f>
        <v>Borrelia hispanica</v>
      </c>
      <c r="B722" t="str">
        <f ca="1">IFERROR(__xludf.DUMMYFUNCTION("""COMPUTED_VALUE"""),"RF-00002707-MCG")</f>
        <v>RF-00002707-MCG</v>
      </c>
    </row>
    <row r="723" spans="1:2" ht="12.5" x14ac:dyDescent="0.25">
      <c r="A723" t="str">
        <f ca="1">IFERROR(__xludf.DUMMYFUNCTION("""COMPUTED_VALUE"""),"Borrelia japonica")</f>
        <v>Borrelia japonica</v>
      </c>
      <c r="B723" t="str">
        <f ca="1">IFERROR(__xludf.DUMMYFUNCTION("""COMPUTED_VALUE"""),"RF-00002708-MCG")</f>
        <v>RF-00002708-MCG</v>
      </c>
    </row>
    <row r="724" spans="1:2" ht="12.5" x14ac:dyDescent="0.25">
      <c r="A724" t="str">
        <f ca="1">IFERROR(__xludf.DUMMYFUNCTION("""COMPUTED_VALUE"""),"Borrelia latyschewii")</f>
        <v>Borrelia latyschewii</v>
      </c>
      <c r="B724" t="str">
        <f ca="1">IFERROR(__xludf.DUMMYFUNCTION("""COMPUTED_VALUE"""),"RF-00002709-MCG")</f>
        <v>RF-00002709-MCG</v>
      </c>
    </row>
    <row r="725" spans="1:2" ht="12.5" x14ac:dyDescent="0.25">
      <c r="A725" t="str">
        <f ca="1">IFERROR(__xludf.DUMMYFUNCTION("""COMPUTED_VALUE"""),"Borrelia lusitaniae")</f>
        <v>Borrelia lusitaniae</v>
      </c>
      <c r="B725" t="str">
        <f ca="1">IFERROR(__xludf.DUMMYFUNCTION("""COMPUTED_VALUE"""),"RF-00002710-MCG")</f>
        <v>RF-00002710-MCG</v>
      </c>
    </row>
    <row r="726" spans="1:2" ht="12.5" x14ac:dyDescent="0.25">
      <c r="A726" t="str">
        <f ca="1">IFERROR(__xludf.DUMMYFUNCTION("""COMPUTED_VALUE"""),"Borrelia mazzottii")</f>
        <v>Borrelia mazzottii</v>
      </c>
      <c r="B726" t="str">
        <f ca="1">IFERROR(__xludf.DUMMYFUNCTION("""COMPUTED_VALUE"""),"RF-00002711-MCG")</f>
        <v>RF-00002711-MCG</v>
      </c>
    </row>
    <row r="727" spans="1:2" ht="12.5" x14ac:dyDescent="0.25">
      <c r="A727" t="str">
        <f ca="1">IFERROR(__xludf.DUMMYFUNCTION("""COMPUTED_VALUE"""),"Borrelia melitensis")</f>
        <v>Borrelia melitensis</v>
      </c>
      <c r="B727" t="str">
        <f ca="1">IFERROR(__xludf.DUMMYFUNCTION("""COMPUTED_VALUE"""),"RF-00000032-MCG")</f>
        <v>RF-00000032-MCG</v>
      </c>
    </row>
    <row r="728" spans="1:2" ht="12.5" x14ac:dyDescent="0.25">
      <c r="A728" t="str">
        <f ca="1">IFERROR(__xludf.DUMMYFUNCTION("""COMPUTED_VALUE"""),"Borrelia miyamotoi")</f>
        <v>Borrelia miyamotoi</v>
      </c>
      <c r="B728" t="str">
        <f ca="1">IFERROR(__xludf.DUMMYFUNCTION("""COMPUTED_VALUE"""),"RF-00002712-MCG")</f>
        <v>RF-00002712-MCG</v>
      </c>
    </row>
    <row r="729" spans="1:2" ht="12.5" x14ac:dyDescent="0.25">
      <c r="A729" t="str">
        <f ca="1">IFERROR(__xludf.DUMMYFUNCTION("""COMPUTED_VALUE"""),"Borrelia noetomae")</f>
        <v>Borrelia noetomae</v>
      </c>
      <c r="B729" t="str">
        <f ca="1">IFERROR(__xludf.DUMMYFUNCTION("""COMPUTED_VALUE"""),"RF-00000031-MCG")</f>
        <v>RF-00000031-MCG</v>
      </c>
    </row>
    <row r="730" spans="1:2" ht="12.5" x14ac:dyDescent="0.25">
      <c r="A730" t="str">
        <f ca="1">IFERROR(__xludf.DUMMYFUNCTION("""COMPUTED_VALUE"""),"Borrelia ovis")</f>
        <v>Borrelia ovis</v>
      </c>
      <c r="B730" t="str">
        <f ca="1">IFERROR(__xludf.DUMMYFUNCTION("""COMPUTED_VALUE"""),"RF-00000033-MCG")</f>
        <v>RF-00000033-MCG</v>
      </c>
    </row>
    <row r="731" spans="1:2" ht="12.5" x14ac:dyDescent="0.25">
      <c r="A731" t="str">
        <f ca="1">IFERROR(__xludf.DUMMYFUNCTION("""COMPUTED_VALUE"""),"Borrelia parkeri")</f>
        <v>Borrelia parkeri</v>
      </c>
      <c r="B731" t="str">
        <f ca="1">IFERROR(__xludf.DUMMYFUNCTION("""COMPUTED_VALUE"""),"RF-00002713-MCG")</f>
        <v>RF-00002713-MCG</v>
      </c>
    </row>
    <row r="732" spans="1:2" ht="12.5" x14ac:dyDescent="0.25">
      <c r="A732" t="str">
        <f ca="1">IFERROR(__xludf.DUMMYFUNCTION("""COMPUTED_VALUE"""),"Borrelia persica")</f>
        <v>Borrelia persica</v>
      </c>
      <c r="B732" t="str">
        <f ca="1">IFERROR(__xludf.DUMMYFUNCTION("""COMPUTED_VALUE"""),"RF-00002714-MCG")</f>
        <v>RF-00002714-MCG</v>
      </c>
    </row>
    <row r="733" spans="1:2" ht="12.5" x14ac:dyDescent="0.25">
      <c r="A733" t="str">
        <f ca="1">IFERROR(__xludf.DUMMYFUNCTION("""COMPUTED_VALUE"""),"Borrelia recurrentis")</f>
        <v>Borrelia recurrentis</v>
      </c>
      <c r="B733" t="str">
        <f ca="1">IFERROR(__xludf.DUMMYFUNCTION("""COMPUTED_VALUE"""),"RF-00000034-MCG")</f>
        <v>RF-00000034-MCG</v>
      </c>
    </row>
    <row r="734" spans="1:2" ht="12.5" x14ac:dyDescent="0.25">
      <c r="A734" t="str">
        <f ca="1">IFERROR(__xludf.DUMMYFUNCTION("""COMPUTED_VALUE"""),"Borrelia sinica")</f>
        <v>Borrelia sinica</v>
      </c>
      <c r="B734" t="str">
        <f ca="1">IFERROR(__xludf.DUMMYFUNCTION("""COMPUTED_VALUE"""),"RF-00002715-MCG")</f>
        <v>RF-00002715-MCG</v>
      </c>
    </row>
    <row r="735" spans="1:2" ht="12.5" x14ac:dyDescent="0.25">
      <c r="A735" t="str">
        <f ca="1">IFERROR(__xludf.DUMMYFUNCTION("""COMPUTED_VALUE"""),"Borrelia spielmanii")</f>
        <v>Borrelia spielmanii</v>
      </c>
      <c r="B735" t="str">
        <f ca="1">IFERROR(__xludf.DUMMYFUNCTION("""COMPUTED_VALUE"""),"RF-00002716-MCG")</f>
        <v>RF-00002716-MCG</v>
      </c>
    </row>
    <row r="736" spans="1:2" ht="12.5" x14ac:dyDescent="0.25">
      <c r="A736" t="str">
        <f ca="1">IFERROR(__xludf.DUMMYFUNCTION("""COMPUTED_VALUE"""),"Borrelia spp., unspecified")</f>
        <v>Borrelia spp., unspecified</v>
      </c>
      <c r="B736" t="str">
        <f ca="1">IFERROR(__xludf.DUMMYFUNCTION("""COMPUTED_VALUE"""),"RF-00000038-MCG")</f>
        <v>RF-00000038-MCG</v>
      </c>
    </row>
    <row r="737" spans="1:2" ht="12.5" x14ac:dyDescent="0.25">
      <c r="A737" t="str">
        <f ca="1">IFERROR(__xludf.DUMMYFUNCTION("""COMPUTED_VALUE"""),"Borrelia suis")</f>
        <v>Borrelia suis</v>
      </c>
      <c r="B737" t="str">
        <f ca="1">IFERROR(__xludf.DUMMYFUNCTION("""COMPUTED_VALUE"""),"RF-00000030-MCG")</f>
        <v>RF-00000030-MCG</v>
      </c>
    </row>
    <row r="738" spans="1:2" ht="12.5" x14ac:dyDescent="0.25">
      <c r="A738" t="str">
        <f ca="1">IFERROR(__xludf.DUMMYFUNCTION("""COMPUTED_VALUE"""),"Borrelia tanukii")</f>
        <v>Borrelia tanukii</v>
      </c>
      <c r="B738" t="str">
        <f ca="1">IFERROR(__xludf.DUMMYFUNCTION("""COMPUTED_VALUE"""),"RF-00002717-MCG")</f>
        <v>RF-00002717-MCG</v>
      </c>
    </row>
    <row r="739" spans="1:2" ht="12.5" x14ac:dyDescent="0.25">
      <c r="A739" t="str">
        <f ca="1">IFERROR(__xludf.DUMMYFUNCTION("""COMPUTED_VALUE"""),"Borrelia theileri")</f>
        <v>Borrelia theileri</v>
      </c>
      <c r="B739" t="str">
        <f ca="1">IFERROR(__xludf.DUMMYFUNCTION("""COMPUTED_VALUE"""),"RF-00002718-MCG")</f>
        <v>RF-00002718-MCG</v>
      </c>
    </row>
    <row r="740" spans="1:2" ht="12.5" x14ac:dyDescent="0.25">
      <c r="A740" t="str">
        <f ca="1">IFERROR(__xludf.DUMMYFUNCTION("""COMPUTED_VALUE"""),"Borrelia tillae")</f>
        <v>Borrelia tillae</v>
      </c>
      <c r="B740" t="str">
        <f ca="1">IFERROR(__xludf.DUMMYFUNCTION("""COMPUTED_VALUE"""),"RF-00002719-MCG")</f>
        <v>RF-00002719-MCG</v>
      </c>
    </row>
    <row r="741" spans="1:2" ht="12.5" x14ac:dyDescent="0.25">
      <c r="A741" t="str">
        <f ca="1">IFERROR(__xludf.DUMMYFUNCTION("""COMPUTED_VALUE"""),"Borrelia turcica")</f>
        <v>Borrelia turcica</v>
      </c>
      <c r="B741" t="str">
        <f ca="1">IFERROR(__xludf.DUMMYFUNCTION("""COMPUTED_VALUE"""),"RF-00002720-MCG")</f>
        <v>RF-00002720-MCG</v>
      </c>
    </row>
    <row r="742" spans="1:2" ht="12.5" x14ac:dyDescent="0.25">
      <c r="A742" t="str">
        <f ca="1">IFERROR(__xludf.DUMMYFUNCTION("""COMPUTED_VALUE"""),"Borrelia turdi")</f>
        <v>Borrelia turdi</v>
      </c>
      <c r="B742" t="str">
        <f ca="1">IFERROR(__xludf.DUMMYFUNCTION("""COMPUTED_VALUE"""),"RF-00002721-MCG")</f>
        <v>RF-00002721-MCG</v>
      </c>
    </row>
    <row r="743" spans="1:2" ht="12.5" x14ac:dyDescent="0.25">
      <c r="A743" t="str">
        <f ca="1">IFERROR(__xludf.DUMMYFUNCTION("""COMPUTED_VALUE"""),"Borrelia turicatae")</f>
        <v>Borrelia turicatae</v>
      </c>
      <c r="B743" t="str">
        <f ca="1">IFERROR(__xludf.DUMMYFUNCTION("""COMPUTED_VALUE"""),"RF-00002722-MCG")</f>
        <v>RF-00002722-MCG</v>
      </c>
    </row>
    <row r="744" spans="1:2" ht="12.5" x14ac:dyDescent="0.25">
      <c r="A744" t="str">
        <f ca="1">IFERROR(__xludf.DUMMYFUNCTION("""COMPUTED_VALUE"""),"Borrelia valaisiana")</f>
        <v>Borrelia valaisiana</v>
      </c>
      <c r="B744" t="str">
        <f ca="1">IFERROR(__xludf.DUMMYFUNCTION("""COMPUTED_VALUE"""),"RF-00002723-MCG")</f>
        <v>RF-00002723-MCG</v>
      </c>
    </row>
    <row r="745" spans="1:2" ht="12.5" x14ac:dyDescent="0.25">
      <c r="A745" t="str">
        <f ca="1">IFERROR(__xludf.DUMMYFUNCTION("""COMPUTED_VALUE"""),"Borrelia venezuelensis")</f>
        <v>Borrelia venezuelensis</v>
      </c>
      <c r="B745" t="str">
        <f ca="1">IFERROR(__xludf.DUMMYFUNCTION("""COMPUTED_VALUE"""),"RF-00002724-MCG")</f>
        <v>RF-00002724-MCG</v>
      </c>
    </row>
    <row r="746" spans="1:2" ht="12.5" x14ac:dyDescent="0.25">
      <c r="A746" t="str">
        <f ca="1">IFERROR(__xludf.DUMMYFUNCTION("""COMPUTED_VALUE"""),"Boscalid")</f>
        <v>Boscalid</v>
      </c>
      <c r="B746" t="str">
        <f ca="1">IFERROR(__xludf.DUMMYFUNCTION("""COMPUTED_VALUE"""),"RF-0049-001-PPP")</f>
        <v>RF-0049-001-PPP</v>
      </c>
    </row>
    <row r="747" spans="1:2" ht="12.5" x14ac:dyDescent="0.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x14ac:dyDescent="0.25">
      <c r="A748" t="str">
        <f ca="1">IFERROR(__xludf.DUMMYFUNCTION("""COMPUTED_VALUE"""),"Bovine enterovirus")</f>
        <v>Bovine enterovirus</v>
      </c>
      <c r="B748" t="str">
        <f ca="1">IFERROR(__xludf.DUMMYFUNCTION("""COMPUTED_VALUE"""),"RF-00000121-MCG")</f>
        <v>RF-00000121-MCG</v>
      </c>
    </row>
    <row r="749" spans="1:2" ht="12.5" x14ac:dyDescent="0.25">
      <c r="A749" t="str">
        <f ca="1">IFERROR(__xludf.DUMMYFUNCTION("""COMPUTED_VALUE"""),"brassicasterol")</f>
        <v>brassicasterol</v>
      </c>
      <c r="B749" t="str">
        <f ca="1">IFERROR(__xludf.DUMMYFUNCTION("""COMPUTED_VALUE"""),"RF-00000037-NTR")</f>
        <v>RF-00000037-NTR</v>
      </c>
    </row>
    <row r="750" spans="1:2" ht="12.5" x14ac:dyDescent="0.25">
      <c r="A750" t="str">
        <f ca="1">IFERROR(__xludf.DUMMYFUNCTION("""COMPUTED_VALUE"""),"Brevetoxins")</f>
        <v>Brevetoxins</v>
      </c>
      <c r="B750" t="str">
        <f ca="1">IFERROR(__xludf.DUMMYFUNCTION("""COMPUTED_VALUE"""),"RF-00000129-TOX")</f>
        <v>RF-00000129-TOX</v>
      </c>
    </row>
    <row r="751" spans="1:2" ht="12.5" x14ac:dyDescent="0.25">
      <c r="A751" t="str">
        <f ca="1">IFERROR(__xludf.DUMMYFUNCTION("""COMPUTED_VALUE"""),"Brevetoxins A")</f>
        <v>Brevetoxins A</v>
      </c>
      <c r="B751" t="str">
        <f ca="1">IFERROR(__xludf.DUMMYFUNCTION("""COMPUTED_VALUE"""),"RF-00000130-TOX")</f>
        <v>RF-00000130-TOX</v>
      </c>
    </row>
    <row r="752" spans="1:2" ht="12.5" x14ac:dyDescent="0.25">
      <c r="A752" t="str">
        <f ca="1">IFERROR(__xludf.DUMMYFUNCTION("""COMPUTED_VALUE"""),"Brevetoxins B")</f>
        <v>Brevetoxins B</v>
      </c>
      <c r="B752" t="str">
        <f ca="1">IFERROR(__xludf.DUMMYFUNCTION("""COMPUTED_VALUE"""),"RF-00000131-TOX")</f>
        <v>RF-00000131-TOX</v>
      </c>
    </row>
    <row r="753" spans="1:2" ht="12.5" x14ac:dyDescent="0.25">
      <c r="A753" t="str">
        <f ca="1">IFERROR(__xludf.DUMMYFUNCTION("""COMPUTED_VALUE"""),"Brilliant Black BN, Black PN")</f>
        <v>Brilliant Black BN, Black PN</v>
      </c>
      <c r="B753" t="str">
        <f ca="1">IFERROR(__xludf.DUMMYFUNCTION("""COMPUTED_VALUE"""),"RF-00000057-ADD")</f>
        <v>RF-00000057-ADD</v>
      </c>
    </row>
    <row r="754" spans="1:2" ht="12.5" x14ac:dyDescent="0.25">
      <c r="A754" t="str">
        <f ca="1">IFERROR(__xludf.DUMMYFUNCTION("""COMPUTED_VALUE"""),"Brilliant Blue FCF")</f>
        <v>Brilliant Blue FCF</v>
      </c>
      <c r="B754" t="str">
        <f ca="1">IFERROR(__xludf.DUMMYFUNCTION("""COMPUTED_VALUE"""),"RF-00000058-ADD")</f>
        <v>RF-00000058-ADD</v>
      </c>
    </row>
    <row r="755" spans="1:2" ht="12.5" x14ac:dyDescent="0.25">
      <c r="A755" t="str">
        <f ca="1">IFERROR(__xludf.DUMMYFUNCTION("""COMPUTED_VALUE"""),"Brodifacoum")</f>
        <v>Brodifacoum</v>
      </c>
      <c r="B755" t="str">
        <f ca="1">IFERROR(__xludf.DUMMYFUNCTION("""COMPUTED_VALUE"""),"RF-0510-001-PPP")</f>
        <v>RF-0510-001-PPP</v>
      </c>
    </row>
    <row r="756" spans="1:2" ht="12.5" x14ac:dyDescent="0.25">
      <c r="A756" t="str">
        <f ca="1">IFERROR(__xludf.DUMMYFUNCTION("""COMPUTED_VALUE"""),"Bromacil")</f>
        <v>Bromacil</v>
      </c>
      <c r="B756" t="str">
        <f ca="1">IFERROR(__xludf.DUMMYFUNCTION("""COMPUTED_VALUE"""),"RF-0511-001-PPP")</f>
        <v>RF-0511-001-PPP</v>
      </c>
    </row>
    <row r="757" spans="1:2" ht="12.5" x14ac:dyDescent="0.25">
      <c r="A757" t="str">
        <f ca="1">IFERROR(__xludf.DUMMYFUNCTION("""COMPUTED_VALUE"""),"Bromate")</f>
        <v>Bromate</v>
      </c>
      <c r="B757" t="str">
        <f ca="1">IFERROR(__xludf.DUMMYFUNCTION("""COMPUTED_VALUE"""),"RF-00000004-CHE")</f>
        <v>RF-00000004-CHE</v>
      </c>
    </row>
    <row r="758" spans="1:2" ht="12.5" x14ac:dyDescent="0.25">
      <c r="A758" t="str">
        <f ca="1">IFERROR(__xludf.DUMMYFUNCTION("""COMPUTED_VALUE"""),"Brombuterol")</f>
        <v>Brombuterol</v>
      </c>
      <c r="B758" t="str">
        <f ca="1">IFERROR(__xludf.DUMMYFUNCTION("""COMPUTED_VALUE"""),"RF-00000455-VET")</f>
        <v>RF-00000455-VET</v>
      </c>
    </row>
    <row r="759" spans="1:2" ht="12.5" x14ac:dyDescent="0.25">
      <c r="A759" t="str">
        <f ca="1">IFERROR(__xludf.DUMMYFUNCTION("""COMPUTED_VALUE"""),"Bromethalin")</f>
        <v>Bromethalin</v>
      </c>
      <c r="B759" t="str">
        <f ca="1">IFERROR(__xludf.DUMMYFUNCTION("""COMPUTED_VALUE"""),"RF-0512-001-PPP")</f>
        <v>RF-0512-001-PPP</v>
      </c>
    </row>
    <row r="760" spans="1:2" ht="12.5" x14ac:dyDescent="0.25">
      <c r="A760" t="str">
        <f ca="1">IFERROR(__xludf.DUMMYFUNCTION("""COMPUTED_VALUE"""),"Bromfenvinfos")</f>
        <v>Bromfenvinfos</v>
      </c>
      <c r="B760" t="str">
        <f ca="1">IFERROR(__xludf.DUMMYFUNCTION("""COMPUTED_VALUE"""),"RF-0513-001-PPP")</f>
        <v>RF-0513-001-PPP</v>
      </c>
    </row>
    <row r="761" spans="1:2" ht="12.5" x14ac:dyDescent="0.25">
      <c r="A761" t="str">
        <f ca="1">IFERROR(__xludf.DUMMYFUNCTION("""COMPUTED_VALUE"""),"Bromfenvinfos-methyl")</f>
        <v>Bromfenvinfos-methyl</v>
      </c>
      <c r="B761" t="str">
        <f ca="1">IFERROR(__xludf.DUMMYFUNCTION("""COMPUTED_VALUE"""),"RF-0989-001-PPP")</f>
        <v>RF-0989-001-PPP</v>
      </c>
    </row>
    <row r="762" spans="1:2" ht="12.5" x14ac:dyDescent="0.25">
      <c r="A762" t="str">
        <f ca="1">IFERROR(__xludf.DUMMYFUNCTION("""COMPUTED_VALUE"""),"Bromide ion")</f>
        <v>Bromide ion</v>
      </c>
      <c r="B762" t="str">
        <f ca="1">IFERROR(__xludf.DUMMYFUNCTION("""COMPUTED_VALUE"""),"RF-0050-001-PPP")</f>
        <v>RF-0050-001-PPP</v>
      </c>
    </row>
    <row r="763" spans="1:2" ht="12.5" x14ac:dyDescent="0.25">
      <c r="A763" t="str">
        <f ca="1">IFERROR(__xludf.DUMMYFUNCTION("""COMPUTED_VALUE"""),"Bromides")</f>
        <v>Bromides</v>
      </c>
      <c r="B763" t="str">
        <f ca="1">IFERROR(__xludf.DUMMYFUNCTION("""COMPUTED_VALUE"""),"RF-00000005-CHE")</f>
        <v>RF-00000005-CHE</v>
      </c>
    </row>
    <row r="764" spans="1:2" ht="12.5" x14ac:dyDescent="0.25">
      <c r="A764" t="str">
        <f ca="1">IFERROR(__xludf.DUMMYFUNCTION("""COMPUTED_VALUE"""),"Brominated dibenzo-p-dioxins")</f>
        <v>Brominated dibenzo-p-dioxins</v>
      </c>
      <c r="B764" t="str">
        <f ca="1">IFERROR(__xludf.DUMMYFUNCTION("""COMPUTED_VALUE"""),"RF-00000434-ORG")</f>
        <v>RF-00000434-ORG</v>
      </c>
    </row>
    <row r="765" spans="1:2" ht="12.5" x14ac:dyDescent="0.25">
      <c r="A765" t="str">
        <f ca="1">IFERROR(__xludf.DUMMYFUNCTION("""COMPUTED_VALUE"""),"Brominated dibenzofurans")</f>
        <v>Brominated dibenzofurans</v>
      </c>
      <c r="B765" t="str">
        <f ca="1">IFERROR(__xludf.DUMMYFUNCTION("""COMPUTED_VALUE"""),"RF-00000433-ORG")</f>
        <v>RF-00000433-ORG</v>
      </c>
    </row>
    <row r="766" spans="1:2" ht="12.5" x14ac:dyDescent="0.25">
      <c r="A766" t="str">
        <f ca="1">IFERROR(__xludf.DUMMYFUNCTION("""COMPUTED_VALUE"""),"Brominated dioxins and furans")</f>
        <v>Brominated dioxins and furans</v>
      </c>
      <c r="B766" t="str">
        <f ca="1">IFERROR(__xludf.DUMMYFUNCTION("""COMPUTED_VALUE"""),"RF-00000435-ORG")</f>
        <v>RF-00000435-ORG</v>
      </c>
    </row>
    <row r="767" spans="1:2" ht="12.5" x14ac:dyDescent="0.25">
      <c r="A767" t="str">
        <f ca="1">IFERROR(__xludf.DUMMYFUNCTION("""COMPUTED_VALUE"""),"Brominated flame retardans")</f>
        <v>Brominated flame retardans</v>
      </c>
      <c r="B767" t="str">
        <f ca="1">IFERROR(__xludf.DUMMYFUNCTION("""COMPUTED_VALUE"""),"RF-00000074-ORG")</f>
        <v>RF-00000074-ORG</v>
      </c>
    </row>
    <row r="768" spans="1:2" ht="12.5" x14ac:dyDescent="0.25">
      <c r="A768" t="str">
        <f ca="1">IFERROR(__xludf.DUMMYFUNCTION("""COMPUTED_VALUE"""),"Bromine (Br)")</f>
        <v>Bromine (Br)</v>
      </c>
      <c r="B768" t="str">
        <f ca="1">IFERROR(__xludf.DUMMYFUNCTION("""COMPUTED_VALUE"""),"RF-00000003-CHE")</f>
        <v>RF-00000003-CHE</v>
      </c>
    </row>
    <row r="769" spans="1:2" ht="12.5" x14ac:dyDescent="0.25">
      <c r="A769" t="str">
        <f ca="1">IFERROR(__xludf.DUMMYFUNCTION("""COMPUTED_VALUE"""),"Bromine and derivatives")</f>
        <v>Bromine and derivatives</v>
      </c>
      <c r="B769" t="str">
        <f ca="1">IFERROR(__xludf.DUMMYFUNCTION("""COMPUTED_VALUE"""),"RF-00000002-CHE")</f>
        <v>RF-00000002-CHE</v>
      </c>
    </row>
    <row r="770" spans="1:2" ht="12.5" x14ac:dyDescent="0.25">
      <c r="A770" t="str">
        <f ca="1">IFERROR(__xludf.DUMMYFUNCTION("""COMPUTED_VALUE"""),"Bromobutide")</f>
        <v>Bromobutide</v>
      </c>
      <c r="B770" t="str">
        <f ca="1">IFERROR(__xludf.DUMMYFUNCTION("""COMPUTED_VALUE"""),"RF-0514-001-PPP")</f>
        <v>RF-0514-001-PPP</v>
      </c>
    </row>
    <row r="771" spans="1:2" ht="12.5" x14ac:dyDescent="0.25">
      <c r="A771" t="str">
        <f ca="1">IFERROR(__xludf.DUMMYFUNCTION("""COMPUTED_VALUE"""),"Bromocyclen")</f>
        <v>Bromocyclen</v>
      </c>
      <c r="B771" t="str">
        <f ca="1">IFERROR(__xludf.DUMMYFUNCTION("""COMPUTED_VALUE"""),"RF-0515-001-PPP")</f>
        <v>RF-0515-001-PPP</v>
      </c>
    </row>
    <row r="772" spans="1:2" ht="12.5" x14ac:dyDescent="0.25">
      <c r="A772" t="str">
        <f ca="1">IFERROR(__xludf.DUMMYFUNCTION("""COMPUTED_VALUE"""),"Bromofenoxim")</f>
        <v>Bromofenoxim</v>
      </c>
      <c r="B772" t="str">
        <f ca="1">IFERROR(__xludf.DUMMYFUNCTION("""COMPUTED_VALUE"""),"RF-0516-001-PPP")</f>
        <v>RF-0516-001-PPP</v>
      </c>
    </row>
    <row r="773" spans="1:2" ht="12.5" x14ac:dyDescent="0.25">
      <c r="A773" t="str">
        <f ca="1">IFERROR(__xludf.DUMMYFUNCTION("""COMPUTED_VALUE"""),"Bromoform")</f>
        <v>Bromoform</v>
      </c>
      <c r="B773" t="str">
        <f ca="1">IFERROR(__xludf.DUMMYFUNCTION("""COMPUTED_VALUE"""),"RF-00000037-ORG")</f>
        <v>RF-00000037-ORG</v>
      </c>
    </row>
    <row r="774" spans="1:2" ht="12.5" x14ac:dyDescent="0.25">
      <c r="A774" t="str">
        <f ca="1">IFERROR(__xludf.DUMMYFUNCTION("""COMPUTED_VALUE"""),"Bromophos")</f>
        <v>Bromophos</v>
      </c>
      <c r="B774" t="str">
        <f ca="1">IFERROR(__xludf.DUMMYFUNCTION("""COMPUTED_VALUE"""),"RF-0517-001-PPP")</f>
        <v>RF-0517-001-PPP</v>
      </c>
    </row>
    <row r="775" spans="1:2" ht="12.5" x14ac:dyDescent="0.25">
      <c r="A775" t="str">
        <f ca="1">IFERROR(__xludf.DUMMYFUNCTION("""COMPUTED_VALUE"""),"Bromophos-ethyl")</f>
        <v>Bromophos-ethyl</v>
      </c>
      <c r="B775" t="str">
        <f ca="1">IFERROR(__xludf.DUMMYFUNCTION("""COMPUTED_VALUE"""),"RF-0051-001-PPP")</f>
        <v>RF-0051-001-PPP</v>
      </c>
    </row>
    <row r="776" spans="1:2" ht="12.5" x14ac:dyDescent="0.25">
      <c r="A776" t="str">
        <f ca="1">IFERROR(__xludf.DUMMYFUNCTION("""COMPUTED_VALUE"""),"Bromophos-methyl")</f>
        <v>Bromophos-methyl</v>
      </c>
      <c r="B776" t="str">
        <f ca="1">IFERROR(__xludf.DUMMYFUNCTION("""COMPUTED_VALUE"""),"RF-0988-001-PPP")</f>
        <v>RF-0988-001-PPP</v>
      </c>
    </row>
    <row r="777" spans="1:2" ht="12.5" x14ac:dyDescent="0.25">
      <c r="A777" t="str">
        <f ca="1">IFERROR(__xludf.DUMMYFUNCTION("""COMPUTED_VALUE"""),"Bromopropylate")</f>
        <v>Bromopropylate</v>
      </c>
      <c r="B777" t="str">
        <f ca="1">IFERROR(__xludf.DUMMYFUNCTION("""COMPUTED_VALUE"""),"RF-0052-001-PPP")</f>
        <v>RF-0052-001-PPP</v>
      </c>
    </row>
    <row r="778" spans="1:2" ht="12.5" x14ac:dyDescent="0.25">
      <c r="A778" t="str">
        <f ca="1">IFERROR(__xludf.DUMMYFUNCTION("""COMPUTED_VALUE"""),"Bromoxynil")</f>
        <v>Bromoxynil</v>
      </c>
      <c r="B778" t="str">
        <f ca="1">IFERROR(__xludf.DUMMYFUNCTION("""COMPUTED_VALUE"""),"RF-0053-002-PPP")</f>
        <v>RF-0053-002-PPP</v>
      </c>
    </row>
    <row r="779" spans="1:2" ht="12.5" x14ac:dyDescent="0.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x14ac:dyDescent="0.25">
      <c r="A780" t="str">
        <f ca="1">IFERROR(__xludf.DUMMYFUNCTION("""COMPUTED_VALUE"""),"Bromoxynil octanoate")</f>
        <v>Bromoxynil octanoate</v>
      </c>
      <c r="B780" t="str">
        <f ca="1">IFERROR(__xludf.DUMMYFUNCTION("""COMPUTED_VALUE"""),"RF-0053-004-PPP")</f>
        <v>RF-0053-004-PPP</v>
      </c>
    </row>
    <row r="781" spans="1:2" ht="12.5" x14ac:dyDescent="0.25">
      <c r="A781" t="str">
        <f ca="1">IFERROR(__xludf.DUMMYFUNCTION("""COMPUTED_VALUE"""),"Bromoxynil-methyl ether")</f>
        <v>Bromoxynil-methyl ether</v>
      </c>
      <c r="B781" t="str">
        <f ca="1">IFERROR(__xludf.DUMMYFUNCTION("""COMPUTED_VALUE"""),"RF-0053-003-PPP")</f>
        <v>RF-0053-003-PPP</v>
      </c>
    </row>
    <row r="782" spans="1:2" ht="12.5" x14ac:dyDescent="0.25">
      <c r="A782" t="str">
        <f ca="1">IFERROR(__xludf.DUMMYFUNCTION("""COMPUTED_VALUE"""),"Brompyrazon")</f>
        <v>Brompyrazon</v>
      </c>
      <c r="B782" t="str">
        <f ca="1">IFERROR(__xludf.DUMMYFUNCTION("""COMPUTED_VALUE"""),"RF-0987-001-PPP")</f>
        <v>RF-0987-001-PPP</v>
      </c>
    </row>
    <row r="783" spans="1:2" ht="12.5" x14ac:dyDescent="0.25">
      <c r="A783" t="str">
        <f ca="1">IFERROR(__xludf.DUMMYFUNCTION("""COMPUTED_VALUE"""),"Bromuconazole (sum of diasteroisomers)")</f>
        <v>Bromuconazole (sum of diasteroisomers)</v>
      </c>
      <c r="B783" t="str">
        <f ca="1">IFERROR(__xludf.DUMMYFUNCTION("""COMPUTED_VALUE"""),"RF-0054-001-PPP")</f>
        <v>RF-0054-001-PPP</v>
      </c>
    </row>
    <row r="784" spans="1:2" ht="12.5" x14ac:dyDescent="0.25">
      <c r="A784" t="str">
        <f ca="1">IFERROR(__xludf.DUMMYFUNCTION("""COMPUTED_VALUE"""),"Bronopol")</f>
        <v>Bronopol</v>
      </c>
      <c r="B784" t="str">
        <f ca="1">IFERROR(__xludf.DUMMYFUNCTION("""COMPUTED_VALUE"""),"RF-0518-001-PPP")</f>
        <v>RF-0518-001-PPP</v>
      </c>
    </row>
    <row r="785" spans="1:2" ht="12.5" x14ac:dyDescent="0.25">
      <c r="A785" t="str">
        <f ca="1">IFERROR(__xludf.DUMMYFUNCTION("""COMPUTED_VALUE"""),"Brown HT")</f>
        <v>Brown HT</v>
      </c>
      <c r="B785" t="str">
        <f ca="1">IFERROR(__xludf.DUMMYFUNCTION("""COMPUTED_VALUE"""),"RF-00000059-ADD")</f>
        <v>RF-00000059-ADD</v>
      </c>
    </row>
    <row r="786" spans="1:2" ht="12.5" x14ac:dyDescent="0.25">
      <c r="A786" t="str">
        <f ca="1">IFERROR(__xludf.DUMMYFUNCTION("""COMPUTED_VALUE"""),"Brucella")</f>
        <v>Brucella</v>
      </c>
      <c r="B786" t="str">
        <f ca="1">IFERROR(__xludf.DUMMYFUNCTION("""COMPUTED_VALUE"""),"RF-00000028-MCG")</f>
        <v>RF-00000028-MCG</v>
      </c>
    </row>
    <row r="787" spans="1:2" ht="12.5" x14ac:dyDescent="0.25">
      <c r="A787" t="str">
        <f ca="1">IFERROR(__xludf.DUMMYFUNCTION("""COMPUTED_VALUE"""),"Brucella - B. abortus")</f>
        <v>Brucella - B. abortus</v>
      </c>
      <c r="B787" t="str">
        <f ca="1">IFERROR(__xludf.DUMMYFUNCTION("""COMPUTED_VALUE"""),"RF-00003007-MCG")</f>
        <v>RF-00003007-MCG</v>
      </c>
    </row>
    <row r="788" spans="1:2" ht="12.5" x14ac:dyDescent="0.25">
      <c r="A788" t="str">
        <f ca="1">IFERROR(__xludf.DUMMYFUNCTION("""COMPUTED_VALUE"""),"Brucella - B. abortus - biovar 1")</f>
        <v>Brucella - B. abortus - biovar 1</v>
      </c>
      <c r="B788" t="str">
        <f ca="1">IFERROR(__xludf.DUMMYFUNCTION("""COMPUTED_VALUE"""),"RF-00003015-MCG")</f>
        <v>RF-00003015-MCG</v>
      </c>
    </row>
    <row r="789" spans="1:2" ht="12.5" x14ac:dyDescent="0.25">
      <c r="A789" t="str">
        <f ca="1">IFERROR(__xludf.DUMMYFUNCTION("""COMPUTED_VALUE"""),"Brucella - B. abortus - biovar 2")</f>
        <v>Brucella - B. abortus - biovar 2</v>
      </c>
      <c r="B789" t="str">
        <f ca="1">IFERROR(__xludf.DUMMYFUNCTION("""COMPUTED_VALUE"""),"RF-00003016-MCG")</f>
        <v>RF-00003016-MCG</v>
      </c>
    </row>
    <row r="790" spans="1:2" ht="12.5" x14ac:dyDescent="0.25">
      <c r="A790" t="str">
        <f ca="1">IFERROR(__xludf.DUMMYFUNCTION("""COMPUTED_VALUE"""),"Brucella - B. abortus - biovar 3")</f>
        <v>Brucella - B. abortus - biovar 3</v>
      </c>
      <c r="B790" t="str">
        <f ca="1">IFERROR(__xludf.DUMMYFUNCTION("""COMPUTED_VALUE"""),"RF-00003017-MCG")</f>
        <v>RF-00003017-MCG</v>
      </c>
    </row>
    <row r="791" spans="1:2" ht="12.5" x14ac:dyDescent="0.25">
      <c r="A791" t="str">
        <f ca="1">IFERROR(__xludf.DUMMYFUNCTION("""COMPUTED_VALUE"""),"Brucella - B. abortus - biovar 4")</f>
        <v>Brucella - B. abortus - biovar 4</v>
      </c>
      <c r="B791" t="str">
        <f ca="1">IFERROR(__xludf.DUMMYFUNCTION("""COMPUTED_VALUE"""),"RF-00003018-MCG")</f>
        <v>RF-00003018-MCG</v>
      </c>
    </row>
    <row r="792" spans="1:2" ht="12.5" x14ac:dyDescent="0.25">
      <c r="A792" t="str">
        <f ca="1">IFERROR(__xludf.DUMMYFUNCTION("""COMPUTED_VALUE"""),"Brucella - B. abortus - biovar 5")</f>
        <v>Brucella - B. abortus - biovar 5</v>
      </c>
      <c r="B792" t="str">
        <f ca="1">IFERROR(__xludf.DUMMYFUNCTION("""COMPUTED_VALUE"""),"RF-00003019-MCG")</f>
        <v>RF-00003019-MCG</v>
      </c>
    </row>
    <row r="793" spans="1:2" ht="12.5" x14ac:dyDescent="0.25">
      <c r="A793" t="str">
        <f ca="1">IFERROR(__xludf.DUMMYFUNCTION("""COMPUTED_VALUE"""),"Brucella - B. abortus - biovar 6")</f>
        <v>Brucella - B. abortus - biovar 6</v>
      </c>
      <c r="B793" t="str">
        <f ca="1">IFERROR(__xludf.DUMMYFUNCTION("""COMPUTED_VALUE"""),"RF-00003020-MCG")</f>
        <v>RF-00003020-MCG</v>
      </c>
    </row>
    <row r="794" spans="1:2" ht="12.5" x14ac:dyDescent="0.25">
      <c r="A794" t="str">
        <f ca="1">IFERROR(__xludf.DUMMYFUNCTION("""COMPUTED_VALUE"""),"Brucella - B. abortus - biovar 9")</f>
        <v>Brucella - B. abortus - biovar 9</v>
      </c>
      <c r="B794" t="str">
        <f ca="1">IFERROR(__xludf.DUMMYFUNCTION("""COMPUTED_VALUE"""),"RF-00003021-MCG")</f>
        <v>RF-00003021-MCG</v>
      </c>
    </row>
    <row r="795" spans="1:2" ht="12.5" x14ac:dyDescent="0.25">
      <c r="A795" t="str">
        <f ca="1">IFERROR(__xludf.DUMMYFUNCTION("""COMPUTED_VALUE"""),"Brucella - B. canis")</f>
        <v>Brucella - B. canis</v>
      </c>
      <c r="B795" t="str">
        <f ca="1">IFERROR(__xludf.DUMMYFUNCTION("""COMPUTED_VALUE"""),"RF-00003008-MCG")</f>
        <v>RF-00003008-MCG</v>
      </c>
    </row>
    <row r="796" spans="1:2" ht="12.5" x14ac:dyDescent="0.25">
      <c r="A796" t="str">
        <f ca="1">IFERROR(__xludf.DUMMYFUNCTION("""COMPUTED_VALUE"""),"Brucella - B. ceti")</f>
        <v>Brucella - B. ceti</v>
      </c>
      <c r="B796" t="str">
        <f ca="1">IFERROR(__xludf.DUMMYFUNCTION("""COMPUTED_VALUE"""),"RF-00003009-MCG")</f>
        <v>RF-00003009-MCG</v>
      </c>
    </row>
    <row r="797" spans="1:2" ht="12.5" x14ac:dyDescent="0.25">
      <c r="A797" t="str">
        <f ca="1">IFERROR(__xludf.DUMMYFUNCTION("""COMPUTED_VALUE"""),"Brucella - B. melitensis")</f>
        <v>Brucella - B. melitensis</v>
      </c>
      <c r="B797" t="str">
        <f ca="1">IFERROR(__xludf.DUMMYFUNCTION("""COMPUTED_VALUE"""),"RF-00003010-MCG")</f>
        <v>RF-00003010-MCG</v>
      </c>
    </row>
    <row r="798" spans="1:2" ht="12.5" x14ac:dyDescent="0.25">
      <c r="A798" t="str">
        <f ca="1">IFERROR(__xludf.DUMMYFUNCTION("""COMPUTED_VALUE"""),"Brucella - B. melitensis - biovar 1")</f>
        <v>Brucella - B. melitensis - biovar 1</v>
      </c>
      <c r="B798" t="str">
        <f ca="1">IFERROR(__xludf.DUMMYFUNCTION("""COMPUTED_VALUE"""),"RF-00003022-MCG")</f>
        <v>RF-00003022-MCG</v>
      </c>
    </row>
    <row r="799" spans="1:2" ht="12.5" x14ac:dyDescent="0.25">
      <c r="A799" t="str">
        <f ca="1">IFERROR(__xludf.DUMMYFUNCTION("""COMPUTED_VALUE"""),"Brucella - B. melitensis - biovar 2")</f>
        <v>Brucella - B. melitensis - biovar 2</v>
      </c>
      <c r="B799" t="str">
        <f ca="1">IFERROR(__xludf.DUMMYFUNCTION("""COMPUTED_VALUE"""),"RF-00003023-MCG")</f>
        <v>RF-00003023-MCG</v>
      </c>
    </row>
    <row r="800" spans="1:2" ht="12.5" x14ac:dyDescent="0.25">
      <c r="A800" t="str">
        <f ca="1">IFERROR(__xludf.DUMMYFUNCTION("""COMPUTED_VALUE"""),"Brucella - B. melitensis - biovar 3")</f>
        <v>Brucella - B. melitensis - biovar 3</v>
      </c>
      <c r="B800" t="str">
        <f ca="1">IFERROR(__xludf.DUMMYFUNCTION("""COMPUTED_VALUE"""),"RF-00003024-MCG")</f>
        <v>RF-00003024-MCG</v>
      </c>
    </row>
    <row r="801" spans="1:2" ht="12.5" x14ac:dyDescent="0.25">
      <c r="A801" t="str">
        <f ca="1">IFERROR(__xludf.DUMMYFUNCTION("""COMPUTED_VALUE"""),"Brucella - B. noetomae")</f>
        <v>Brucella - B. noetomae</v>
      </c>
      <c r="B801" t="str">
        <f ca="1">IFERROR(__xludf.DUMMYFUNCTION("""COMPUTED_VALUE"""),"RF-00003011-MCG")</f>
        <v>RF-00003011-MCG</v>
      </c>
    </row>
    <row r="802" spans="1:2" ht="12.5" x14ac:dyDescent="0.25">
      <c r="A802" t="str">
        <f ca="1">IFERROR(__xludf.DUMMYFUNCTION("""COMPUTED_VALUE"""),"Brucella - B. ovis")</f>
        <v>Brucella - B. ovis</v>
      </c>
      <c r="B802" t="str">
        <f ca="1">IFERROR(__xludf.DUMMYFUNCTION("""COMPUTED_VALUE"""),"RF-00003012-MCG")</f>
        <v>RF-00003012-MCG</v>
      </c>
    </row>
    <row r="803" spans="1:2" ht="12.5" x14ac:dyDescent="0.25">
      <c r="A803" t="str">
        <f ca="1">IFERROR(__xludf.DUMMYFUNCTION("""COMPUTED_VALUE"""),"Brucella - B. pinnipedialis")</f>
        <v>Brucella - B. pinnipedialis</v>
      </c>
      <c r="B803" t="str">
        <f ca="1">IFERROR(__xludf.DUMMYFUNCTION("""COMPUTED_VALUE"""),"RF-00003013-MCG")</f>
        <v>RF-00003013-MCG</v>
      </c>
    </row>
    <row r="804" spans="1:2" ht="12.5" x14ac:dyDescent="0.25">
      <c r="A804" t="str">
        <f ca="1">IFERROR(__xludf.DUMMYFUNCTION("""COMPUTED_VALUE"""),"Brucella - B. suis")</f>
        <v>Brucella - B. suis</v>
      </c>
      <c r="B804" t="str">
        <f ca="1">IFERROR(__xludf.DUMMYFUNCTION("""COMPUTED_VALUE"""),"RF-00003014-MCG")</f>
        <v>RF-00003014-MCG</v>
      </c>
    </row>
    <row r="805" spans="1:2" ht="12.5" x14ac:dyDescent="0.25">
      <c r="A805" t="str">
        <f ca="1">IFERROR(__xludf.DUMMYFUNCTION("""COMPUTED_VALUE"""),"Brucella - B. suis - biovar 1")</f>
        <v>Brucella - B. suis - biovar 1</v>
      </c>
      <c r="B805" t="str">
        <f ca="1">IFERROR(__xludf.DUMMYFUNCTION("""COMPUTED_VALUE"""),"RF-00003025-MCG")</f>
        <v>RF-00003025-MCG</v>
      </c>
    </row>
    <row r="806" spans="1:2" ht="12.5" x14ac:dyDescent="0.25">
      <c r="A806" t="str">
        <f ca="1">IFERROR(__xludf.DUMMYFUNCTION("""COMPUTED_VALUE"""),"Brucella - B. suis - biovar 2")</f>
        <v>Brucella - B. suis - biovar 2</v>
      </c>
      <c r="B806" t="str">
        <f ca="1">IFERROR(__xludf.DUMMYFUNCTION("""COMPUTED_VALUE"""),"RF-00003026-MCG")</f>
        <v>RF-00003026-MCG</v>
      </c>
    </row>
    <row r="807" spans="1:2" ht="12.5" x14ac:dyDescent="0.25">
      <c r="A807" t="str">
        <f ca="1">IFERROR(__xludf.DUMMYFUNCTION("""COMPUTED_VALUE"""),"Brucella - B. suis - biovar 3")</f>
        <v>Brucella - B. suis - biovar 3</v>
      </c>
      <c r="B807" t="str">
        <f ca="1">IFERROR(__xludf.DUMMYFUNCTION("""COMPUTED_VALUE"""),"RF-00003027-MCG")</f>
        <v>RF-00003027-MCG</v>
      </c>
    </row>
    <row r="808" spans="1:2" ht="12.5" x14ac:dyDescent="0.25">
      <c r="A808" t="str">
        <f ca="1">IFERROR(__xludf.DUMMYFUNCTION("""COMPUTED_VALUE"""),"Brucella - B. suis - biovar 4")</f>
        <v>Brucella - B. suis - biovar 4</v>
      </c>
      <c r="B808" t="str">
        <f ca="1">IFERROR(__xludf.DUMMYFUNCTION("""COMPUTED_VALUE"""),"RF-00003028-MCG")</f>
        <v>RF-00003028-MCG</v>
      </c>
    </row>
    <row r="809" spans="1:2" ht="12.5" x14ac:dyDescent="0.25">
      <c r="A809" t="str">
        <f ca="1">IFERROR(__xludf.DUMMYFUNCTION("""COMPUTED_VALUE"""),"Brucella - B. suis - biovar 5")</f>
        <v>Brucella - B. suis - biovar 5</v>
      </c>
      <c r="B809" t="str">
        <f ca="1">IFERROR(__xludf.DUMMYFUNCTION("""COMPUTED_VALUE"""),"RF-00003029-MCG")</f>
        <v>RF-00003029-MCG</v>
      </c>
    </row>
    <row r="810" spans="1:2" ht="12.5" x14ac:dyDescent="0.25">
      <c r="A810" t="str">
        <f ca="1">IFERROR(__xludf.DUMMYFUNCTION("""COMPUTED_VALUE"""),"Brucella spp., unspecified")</f>
        <v>Brucella spp., unspecified</v>
      </c>
      <c r="B810" t="str">
        <f ca="1">IFERROR(__xludf.DUMMYFUNCTION("""COMPUTED_VALUE"""),"RF-00000036-MCG")</f>
        <v>RF-00000036-MCG</v>
      </c>
    </row>
    <row r="811" spans="1:2" ht="12.5" x14ac:dyDescent="0.25">
      <c r="A811" t="str">
        <f ca="1">IFERROR(__xludf.DUMMYFUNCTION("""COMPUTED_VALUE"""),"Bufencarb")</f>
        <v>Bufencarb</v>
      </c>
      <c r="B811" t="str">
        <f ca="1">IFERROR(__xludf.DUMMYFUNCTION("""COMPUTED_VALUE"""),"RF-00000150-VET")</f>
        <v>RF-00000150-VET</v>
      </c>
    </row>
    <row r="812" spans="1:2" ht="12.5" x14ac:dyDescent="0.25">
      <c r="A812" t="str">
        <f ca="1">IFERROR(__xludf.DUMMYFUNCTION("""COMPUTED_VALUE"""),"Bufencarb")</f>
        <v>Bufencarb</v>
      </c>
      <c r="B812" t="str">
        <f ca="1">IFERROR(__xludf.DUMMYFUNCTION("""COMPUTED_VALUE"""),"RF-1025-001-PPP")</f>
        <v>RF-1025-001-PPP</v>
      </c>
    </row>
    <row r="813" spans="1:2" ht="12.5" x14ac:dyDescent="0.25">
      <c r="A813" t="str">
        <f ca="1">IFERROR(__xludf.DUMMYFUNCTION("""COMPUTED_VALUE"""),"Bulgarsenine")</f>
        <v>Bulgarsenine</v>
      </c>
      <c r="B813" t="str">
        <f ca="1">IFERROR(__xludf.DUMMYFUNCTION("""COMPUTED_VALUE"""),"RF-00000271-TOX")</f>
        <v>RF-00000271-TOX</v>
      </c>
    </row>
    <row r="814" spans="1:2" ht="12.5" x14ac:dyDescent="0.25">
      <c r="A814" t="str">
        <f ca="1">IFERROR(__xludf.DUMMYFUNCTION("""COMPUTED_VALUE"""),"BUN")</f>
        <v>BUN</v>
      </c>
      <c r="B814" t="str">
        <f ca="1">IFERROR(__xludf.DUMMYFUNCTION("""COMPUTED_VALUE"""),"RF-00000098-CHE")</f>
        <v>RF-00000098-CHE</v>
      </c>
    </row>
    <row r="815" spans="1:2" ht="12.5" x14ac:dyDescent="0.25">
      <c r="A815" t="str">
        <f ca="1">IFERROR(__xludf.DUMMYFUNCTION("""COMPUTED_VALUE"""),"Buphenin, Nylidrin")</f>
        <v>Buphenin, Nylidrin</v>
      </c>
      <c r="B815" t="str">
        <f ca="1">IFERROR(__xludf.DUMMYFUNCTION("""COMPUTED_VALUE"""),"RF-00000454-VET")</f>
        <v>RF-00000454-VET</v>
      </c>
    </row>
    <row r="816" spans="1:2" ht="12.5" x14ac:dyDescent="0.25">
      <c r="A816" t="str">
        <f ca="1">IFERROR(__xludf.DUMMYFUNCTION("""COMPUTED_VALUE"""),"Bupirimate")</f>
        <v>Bupirimate</v>
      </c>
      <c r="B816" t="str">
        <f ca="1">IFERROR(__xludf.DUMMYFUNCTION("""COMPUTED_VALUE"""),"RF-0055-001-PPP")</f>
        <v>RF-0055-001-PPP</v>
      </c>
    </row>
    <row r="817" spans="1:2" ht="12.5" x14ac:dyDescent="0.25">
      <c r="A817" t="str">
        <f ca="1">IFERROR(__xludf.DUMMYFUNCTION("""COMPUTED_VALUE"""),"Buprofezin")</f>
        <v>Buprofezin</v>
      </c>
      <c r="B817" t="str">
        <f ca="1">IFERROR(__xludf.DUMMYFUNCTION("""COMPUTED_VALUE"""),"RF-0056-001-PPP")</f>
        <v>RF-0056-001-PPP</v>
      </c>
    </row>
    <row r="818" spans="1:2" ht="12.5" x14ac:dyDescent="0.25">
      <c r="A818" t="str">
        <f ca="1">IFERROR(__xludf.DUMMYFUNCTION("""COMPUTED_VALUE"""),"Butachlor")</f>
        <v>Butachlor</v>
      </c>
      <c r="B818" t="str">
        <f ca="1">IFERROR(__xludf.DUMMYFUNCTION("""COMPUTED_VALUE"""),"RF-0519-001-PPP")</f>
        <v>RF-0519-001-PPP</v>
      </c>
    </row>
    <row r="819" spans="1:2" ht="12.5" x14ac:dyDescent="0.25">
      <c r="A819" t="str">
        <f ca="1">IFERROR(__xludf.DUMMYFUNCTION("""COMPUTED_VALUE"""),"Butafenacil")</f>
        <v>Butafenacil</v>
      </c>
      <c r="B819" t="str">
        <f ca="1">IFERROR(__xludf.DUMMYFUNCTION("""COMPUTED_VALUE"""),"RF-0520-001-PPP")</f>
        <v>RF-0520-001-PPP</v>
      </c>
    </row>
    <row r="820" spans="1:2" ht="12.5" x14ac:dyDescent="0.25">
      <c r="A820" t="str">
        <f ca="1">IFERROR(__xludf.DUMMYFUNCTION("""COMPUTED_VALUE"""),"Butamifos")</f>
        <v>Butamifos</v>
      </c>
      <c r="B820" t="str">
        <f ca="1">IFERROR(__xludf.DUMMYFUNCTION("""COMPUTED_VALUE"""),"RF-0521-001-PPP")</f>
        <v>RF-0521-001-PPP</v>
      </c>
    </row>
    <row r="821" spans="1:2" ht="12.5" x14ac:dyDescent="0.25">
      <c r="A821" t="str">
        <f ca="1">IFERROR(__xludf.DUMMYFUNCTION("""COMPUTED_VALUE"""),"Butane")</f>
        <v>Butane</v>
      </c>
      <c r="B821" t="str">
        <f ca="1">IFERROR(__xludf.DUMMYFUNCTION("""COMPUTED_VALUE"""),"RF-00000060-ADD")</f>
        <v>RF-00000060-ADD</v>
      </c>
    </row>
    <row r="822" spans="1:2" ht="12.5" x14ac:dyDescent="0.25">
      <c r="A822" t="str">
        <f ca="1">IFERROR(__xludf.DUMMYFUNCTION("""COMPUTED_VALUE"""),"Butocarboxim")</f>
        <v>Butocarboxim</v>
      </c>
      <c r="B822" t="str">
        <f ca="1">IFERROR(__xludf.DUMMYFUNCTION("""COMPUTED_VALUE"""),"RF-00000151-VET")</f>
        <v>RF-00000151-VET</v>
      </c>
    </row>
    <row r="823" spans="1:2" ht="12.5" x14ac:dyDescent="0.25">
      <c r="A823" t="str">
        <f ca="1">IFERROR(__xludf.DUMMYFUNCTION("""COMPUTED_VALUE"""),"Butocarboxim")</f>
        <v>Butocarboxim</v>
      </c>
      <c r="B823" t="str">
        <f ca="1">IFERROR(__xludf.DUMMYFUNCTION("""COMPUTED_VALUE"""),"RF-0522-001-PPP")</f>
        <v>RF-0522-001-PPP</v>
      </c>
    </row>
    <row r="824" spans="1:2" ht="12.5" x14ac:dyDescent="0.25">
      <c r="A824" t="str">
        <f ca="1">IFERROR(__xludf.DUMMYFUNCTION("""COMPUTED_VALUE"""),"Butocarboxim (sum)")</f>
        <v>Butocarboxim (sum)</v>
      </c>
      <c r="B824" t="str">
        <f ca="1">IFERROR(__xludf.DUMMYFUNCTION("""COMPUTED_VALUE"""),"RF-0523-001-PPP")</f>
        <v>RF-0523-001-PPP</v>
      </c>
    </row>
    <row r="825" spans="1:2" ht="12.5" x14ac:dyDescent="0.25">
      <c r="A825" t="str">
        <f ca="1">IFERROR(__xludf.DUMMYFUNCTION("""COMPUTED_VALUE"""),"Butocarboxim sulfone")</f>
        <v>Butocarboxim sulfone</v>
      </c>
      <c r="B825" t="str">
        <f ca="1">IFERROR(__xludf.DUMMYFUNCTION("""COMPUTED_VALUE"""),"RF-0986-001-PPP")</f>
        <v>RF-0986-001-PPP</v>
      </c>
    </row>
    <row r="826" spans="1:2" ht="12.5" x14ac:dyDescent="0.25">
      <c r="A826" t="str">
        <f ca="1">IFERROR(__xludf.DUMMYFUNCTION("""COMPUTED_VALUE"""),"Butocarboxim-Sulfoxid")</f>
        <v>Butocarboxim-Sulfoxid</v>
      </c>
      <c r="B826" t="str">
        <f ca="1">IFERROR(__xludf.DUMMYFUNCTION("""COMPUTED_VALUE"""),"RF-0524-001-PPP")</f>
        <v>RF-0524-001-PPP</v>
      </c>
    </row>
    <row r="827" spans="1:2" ht="12.5" x14ac:dyDescent="0.25">
      <c r="A827" t="str">
        <f ca="1">IFERROR(__xludf.DUMMYFUNCTION("""COMPUTED_VALUE"""),"Butoxycarboxim")</f>
        <v>Butoxycarboxim</v>
      </c>
      <c r="B827" t="str">
        <f ca="1">IFERROR(__xludf.DUMMYFUNCTION("""COMPUTED_VALUE"""),"RF-0525-001-PPP")</f>
        <v>RF-0525-001-PPP</v>
      </c>
    </row>
    <row r="828" spans="1:2" ht="12.5" x14ac:dyDescent="0.25">
      <c r="A828" t="str">
        <f ca="1">IFERROR(__xludf.DUMMYFUNCTION("""COMPUTED_VALUE"""),"Butralin")</f>
        <v>Butralin</v>
      </c>
      <c r="B828" t="str">
        <f ca="1">IFERROR(__xludf.DUMMYFUNCTION("""COMPUTED_VALUE"""),"RF-0057-001-PPP")</f>
        <v>RF-0057-001-PPP</v>
      </c>
    </row>
    <row r="829" spans="1:2" ht="12.5" x14ac:dyDescent="0.25">
      <c r="A829" t="str">
        <f ca="1">IFERROR(__xludf.DUMMYFUNCTION("""COMPUTED_VALUE"""),"Butroxydim")</f>
        <v>Butroxydim</v>
      </c>
      <c r="B829" t="str">
        <f ca="1">IFERROR(__xludf.DUMMYFUNCTION("""COMPUTED_VALUE"""),"RF-0526-001-PPP")</f>
        <v>RF-0526-001-PPP</v>
      </c>
    </row>
    <row r="830" spans="1:2" ht="12.5" x14ac:dyDescent="0.25">
      <c r="A830" t="str">
        <f ca="1">IFERROR(__xludf.DUMMYFUNCTION("""COMPUTED_VALUE"""),"Buturon")</f>
        <v>Buturon</v>
      </c>
      <c r="B830" t="str">
        <f ca="1">IFERROR(__xludf.DUMMYFUNCTION("""COMPUTED_VALUE"""),"RF-0527-001-PPP")</f>
        <v>RF-0527-001-PPP</v>
      </c>
    </row>
    <row r="831" spans="1:2" ht="12.5" x14ac:dyDescent="0.25">
      <c r="A831" t="str">
        <f ca="1">IFERROR(__xludf.DUMMYFUNCTION("""COMPUTED_VALUE"""),"Butylate")</f>
        <v>Butylate</v>
      </c>
      <c r="B831" t="str">
        <f ca="1">IFERROR(__xludf.DUMMYFUNCTION("""COMPUTED_VALUE"""),"RF-0058-001-PPP")</f>
        <v>RF-0058-001-PPP</v>
      </c>
    </row>
    <row r="832" spans="1:2" ht="12.5" x14ac:dyDescent="0.25">
      <c r="A832" t="str">
        <f ca="1">IFERROR(__xludf.DUMMYFUNCTION("""COMPUTED_VALUE"""),"Butylated hydroxyanisole (BHA)")</f>
        <v>Butylated hydroxyanisole (BHA)</v>
      </c>
      <c r="B832" t="str">
        <f ca="1">IFERROR(__xludf.DUMMYFUNCTION("""COMPUTED_VALUE"""),"RF-00000061-ADD")</f>
        <v>RF-00000061-ADD</v>
      </c>
    </row>
    <row r="833" spans="1:2" ht="12.5" x14ac:dyDescent="0.25">
      <c r="A833" t="str">
        <f ca="1">IFERROR(__xludf.DUMMYFUNCTION("""COMPUTED_VALUE"""),"Butylated hydroxytoluene (BHT)")</f>
        <v>Butylated hydroxytoluene (BHT)</v>
      </c>
      <c r="B833" t="str">
        <f ca="1">IFERROR(__xludf.DUMMYFUNCTION("""COMPUTED_VALUE"""),"RF-00000062-ADD")</f>
        <v>RF-00000062-ADD</v>
      </c>
    </row>
    <row r="834" spans="1:2" ht="12.5" x14ac:dyDescent="0.25">
      <c r="A834" t="str">
        <f ca="1">IFERROR(__xludf.DUMMYFUNCTION("""COMPUTED_VALUE"""),"Butylbenzylphthalate")</f>
        <v>Butylbenzylphthalate</v>
      </c>
      <c r="B834" t="str">
        <f ca="1">IFERROR(__xludf.DUMMYFUNCTION("""COMPUTED_VALUE"""),"RF-00000003-ORG")</f>
        <v>RF-00000003-ORG</v>
      </c>
    </row>
    <row r="835" spans="1:2" ht="12.5" x14ac:dyDescent="0.25">
      <c r="A835" t="str">
        <f ca="1">IFERROR(__xludf.DUMMYFUNCTION("""COMPUTED_VALUE"""),"C-CTX1")</f>
        <v>C-CTX1</v>
      </c>
      <c r="B835" t="str">
        <f ca="1">IFERROR(__xludf.DUMMYFUNCTION("""COMPUTED_VALUE"""),"RF-00000046-TOX")</f>
        <v>RF-00000046-TOX</v>
      </c>
    </row>
    <row r="836" spans="1:2" ht="12.5" x14ac:dyDescent="0.25">
      <c r="A836" t="str">
        <f ca="1">IFERROR(__xludf.DUMMYFUNCTION("""COMPUTED_VALUE"""),"C-CTX2")</f>
        <v>C-CTX2</v>
      </c>
      <c r="B836" t="str">
        <f ca="1">IFERROR(__xludf.DUMMYFUNCTION("""COMPUTED_VALUE"""),"RF-00000047-TOX")</f>
        <v>RF-00000047-TOX</v>
      </c>
    </row>
    <row r="837" spans="1:2" ht="12.5" x14ac:dyDescent="0.25">
      <c r="A837" t="str">
        <f ca="1">IFERROR(__xludf.DUMMYFUNCTION("""COMPUTED_VALUE"""),"Cadaverine")</f>
        <v>Cadaverine</v>
      </c>
      <c r="B837" t="str">
        <f ca="1">IFERROR(__xludf.DUMMYFUNCTION("""COMPUTED_VALUE"""),"RF-00000002-BGA")</f>
        <v>RF-00000002-BGA</v>
      </c>
    </row>
    <row r="838" spans="1:2" ht="12.5" x14ac:dyDescent="0.25">
      <c r="A838" t="str">
        <f ca="1">IFERROR(__xludf.DUMMYFUNCTION("""COMPUTED_VALUE"""),"Cadmium (Cd)")</f>
        <v>Cadmium (Cd)</v>
      </c>
      <c r="B838" t="str">
        <f ca="1">IFERROR(__xludf.DUMMYFUNCTION("""COMPUTED_VALUE"""),"RF-00000150-CHE")</f>
        <v>RF-00000150-CHE</v>
      </c>
    </row>
    <row r="839" spans="1:2" ht="12.5" x14ac:dyDescent="0.25">
      <c r="A839" t="str">
        <f ca="1">IFERROR(__xludf.DUMMYFUNCTION("""COMPUTED_VALUE"""),"Cadmium and derivatives")</f>
        <v>Cadmium and derivatives</v>
      </c>
      <c r="B839" t="str">
        <f ca="1">IFERROR(__xludf.DUMMYFUNCTION("""COMPUTED_VALUE"""),"RF-00000149-CHE")</f>
        <v>RF-00000149-CHE</v>
      </c>
    </row>
    <row r="840" spans="1:2" ht="12.5" x14ac:dyDescent="0.25">
      <c r="A840" t="str">
        <f ca="1">IFERROR(__xludf.DUMMYFUNCTION("""COMPUTED_VALUE"""),"Cadusafos")</f>
        <v>Cadusafos</v>
      </c>
      <c r="B840" t="str">
        <f ca="1">IFERROR(__xludf.DUMMYFUNCTION("""COMPUTED_VALUE"""),"RF-0528-001-PPP")</f>
        <v>RF-0528-001-PPP</v>
      </c>
    </row>
    <row r="841" spans="1:2" ht="12.5" x14ac:dyDescent="0.25">
      <c r="A841" t="str">
        <f ca="1">IFERROR(__xludf.DUMMYFUNCTION("""COMPUTED_VALUE"""),"Cafenstrole")</f>
        <v>Cafenstrole</v>
      </c>
      <c r="B841" t="str">
        <f ca="1">IFERROR(__xludf.DUMMYFUNCTION("""COMPUTED_VALUE"""),"RF-0529-001-PPP")</f>
        <v>RF-0529-001-PPP</v>
      </c>
    </row>
    <row r="842" spans="1:2" ht="12.5" x14ac:dyDescent="0.25">
      <c r="A842" t="str">
        <f ca="1">IFERROR(__xludf.DUMMYFUNCTION("""COMPUTED_VALUE"""),"caffeine")</f>
        <v>caffeine</v>
      </c>
      <c r="B842" t="str">
        <f ca="1">IFERROR(__xludf.DUMMYFUNCTION("""COMPUTED_VALUE"""),"RF-00000038-NTR")</f>
        <v>RF-00000038-NTR</v>
      </c>
    </row>
    <row r="843" spans="1:2" ht="12.5" x14ac:dyDescent="0.25">
      <c r="A843" t="str">
        <f ca="1">IFERROR(__xludf.DUMMYFUNCTION("""COMPUTED_VALUE"""),"Calcium (Ca)")</f>
        <v>Calcium (Ca)</v>
      </c>
      <c r="B843" t="str">
        <f ca="1">IFERROR(__xludf.DUMMYFUNCTION("""COMPUTED_VALUE"""),"RF-00000007-CHE")</f>
        <v>RF-00000007-CHE</v>
      </c>
    </row>
    <row r="844" spans="1:2" ht="12.5" x14ac:dyDescent="0.25">
      <c r="A844" t="str">
        <f ca="1">IFERROR(__xludf.DUMMYFUNCTION("""COMPUTED_VALUE"""),"Calcium 5'-ribonucleotides")</f>
        <v>Calcium 5'-ribonucleotides</v>
      </c>
      <c r="B844" t="str">
        <f ca="1">IFERROR(__xludf.DUMMYFUNCTION("""COMPUTED_VALUE"""),"RF-00000063-ADD")</f>
        <v>RF-00000063-ADD</v>
      </c>
    </row>
    <row r="845" spans="1:2" ht="12.5" x14ac:dyDescent="0.25">
      <c r="A845" t="str">
        <f ca="1">IFERROR(__xludf.DUMMYFUNCTION("""COMPUTED_VALUE"""),"Calcium acetate")</f>
        <v>Calcium acetate</v>
      </c>
      <c r="B845" t="str">
        <f ca="1">IFERROR(__xludf.DUMMYFUNCTION("""COMPUTED_VALUE"""),"RF-00000064-ADD")</f>
        <v>RF-00000064-ADD</v>
      </c>
    </row>
    <row r="846" spans="1:2" ht="12.5" x14ac:dyDescent="0.25">
      <c r="A846" t="str">
        <f ca="1">IFERROR(__xludf.DUMMYFUNCTION("""COMPUTED_VALUE"""),"Calcium alginate")</f>
        <v>Calcium alginate</v>
      </c>
      <c r="B846" t="str">
        <f ca="1">IFERROR(__xludf.DUMMYFUNCTION("""COMPUTED_VALUE"""),"RF-00000065-ADD")</f>
        <v>RF-00000065-ADD</v>
      </c>
    </row>
    <row r="847" spans="1:2" ht="12.5" x14ac:dyDescent="0.25">
      <c r="A847" t="str">
        <f ca="1">IFERROR(__xludf.DUMMYFUNCTION("""COMPUTED_VALUE"""),"Calcium aluminium silicate")</f>
        <v>Calcium aluminium silicate</v>
      </c>
      <c r="B847" t="str">
        <f ca="1">IFERROR(__xludf.DUMMYFUNCTION("""COMPUTED_VALUE"""),"RF-00000066-ADD")</f>
        <v>RF-00000066-ADD</v>
      </c>
    </row>
    <row r="848" spans="1:2" ht="12.5" x14ac:dyDescent="0.25">
      <c r="A848" t="str">
        <f ca="1">IFERROR(__xludf.DUMMYFUNCTION("""COMPUTED_VALUE"""),"Calcium and derivatives")</f>
        <v>Calcium and derivatives</v>
      </c>
      <c r="B848" t="str">
        <f ca="1">IFERROR(__xludf.DUMMYFUNCTION("""COMPUTED_VALUE"""),"RF-00000006-CHE")</f>
        <v>RF-00000006-CHE</v>
      </c>
    </row>
    <row r="849" spans="1:2" ht="12.5" x14ac:dyDescent="0.25">
      <c r="A849" t="str">
        <f ca="1">IFERROR(__xludf.DUMMYFUNCTION("""COMPUTED_VALUE"""),"Calcium ascorbate")</f>
        <v>Calcium ascorbate</v>
      </c>
      <c r="B849" t="str">
        <f ca="1">IFERROR(__xludf.DUMMYFUNCTION("""COMPUTED_VALUE"""),"RF-00000067-ADD")</f>
        <v>RF-00000067-ADD</v>
      </c>
    </row>
    <row r="850" spans="1:2" ht="12.5" x14ac:dyDescent="0.25">
      <c r="A850" t="str">
        <f ca="1">IFERROR(__xludf.DUMMYFUNCTION("""COMPUTED_VALUE"""),"Calcium benzoate")</f>
        <v>Calcium benzoate</v>
      </c>
      <c r="B850" t="str">
        <f ca="1">IFERROR(__xludf.DUMMYFUNCTION("""COMPUTED_VALUE"""),"RF-00000068-ADD")</f>
        <v>RF-00000068-ADD</v>
      </c>
    </row>
    <row r="851" spans="1:2" ht="12.5" x14ac:dyDescent="0.25">
      <c r="A851" t="str">
        <f ca="1">IFERROR(__xludf.DUMMYFUNCTION("""COMPUTED_VALUE"""),"Calcium bisulphite")</f>
        <v>Calcium bisulphite</v>
      </c>
      <c r="B851" t="str">
        <f ca="1">IFERROR(__xludf.DUMMYFUNCTION("""COMPUTED_VALUE"""),"RF-00001296-PAR")</f>
        <v>RF-00001296-PAR</v>
      </c>
    </row>
    <row r="852" spans="1:2" ht="12.5" x14ac:dyDescent="0.25">
      <c r="A852" t="str">
        <f ca="1">IFERROR(__xludf.DUMMYFUNCTION("""COMPUTED_VALUE"""),"Calcium carbonate")</f>
        <v>Calcium carbonate</v>
      </c>
      <c r="B852" t="str">
        <f ca="1">IFERROR(__xludf.DUMMYFUNCTION("""COMPUTED_VALUE"""),"RF-00000069-ADD")</f>
        <v>RF-00000069-ADD</v>
      </c>
    </row>
    <row r="853" spans="1:2" ht="12.5" x14ac:dyDescent="0.25">
      <c r="A853" t="str">
        <f ca="1">IFERROR(__xludf.DUMMYFUNCTION("""COMPUTED_VALUE"""),"Calcium chloride")</f>
        <v>Calcium chloride</v>
      </c>
      <c r="B853" t="str">
        <f ca="1">IFERROR(__xludf.DUMMYFUNCTION("""COMPUTED_VALUE"""),"RF-00000071-ADD")</f>
        <v>RF-00000071-ADD</v>
      </c>
    </row>
    <row r="854" spans="1:2" ht="12.5" x14ac:dyDescent="0.25">
      <c r="A854" t="str">
        <f ca="1">IFERROR(__xludf.DUMMYFUNCTION("""COMPUTED_VALUE"""),"Calcium citrates")</f>
        <v>Calcium citrates</v>
      </c>
      <c r="B854" t="str">
        <f ca="1">IFERROR(__xludf.DUMMYFUNCTION("""COMPUTED_VALUE"""),"RF-00000072-ADD")</f>
        <v>RF-00000072-ADD</v>
      </c>
    </row>
    <row r="855" spans="1:2" ht="12.5" x14ac:dyDescent="0.25">
      <c r="A855" t="str">
        <f ca="1">IFERROR(__xludf.DUMMYFUNCTION("""COMPUTED_VALUE"""),"Calcium diglutamate")</f>
        <v>Calcium diglutamate</v>
      </c>
      <c r="B855" t="str">
        <f ca="1">IFERROR(__xludf.DUMMYFUNCTION("""COMPUTED_VALUE"""),"RF-00000073-ADD")</f>
        <v>RF-00000073-ADD</v>
      </c>
    </row>
    <row r="856" spans="1:2" ht="12.5" x14ac:dyDescent="0.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x14ac:dyDescent="0.25">
      <c r="A857" t="str">
        <f ca="1">IFERROR(__xludf.DUMMYFUNCTION("""COMPUTED_VALUE"""),"Calcium ferrocyanide")</f>
        <v>Calcium ferrocyanide</v>
      </c>
      <c r="B857" t="str">
        <f ca="1">IFERROR(__xludf.DUMMYFUNCTION("""COMPUTED_VALUE"""),"RF-00000075-ADD")</f>
        <v>RF-00000075-ADD</v>
      </c>
    </row>
    <row r="858" spans="1:2" ht="12.5" x14ac:dyDescent="0.25">
      <c r="A858" t="str">
        <f ca="1">IFERROR(__xludf.DUMMYFUNCTION("""COMPUTED_VALUE"""),"Calcium gluconate")</f>
        <v>Calcium gluconate</v>
      </c>
      <c r="B858" t="str">
        <f ca="1">IFERROR(__xludf.DUMMYFUNCTION("""COMPUTED_VALUE"""),"RF-00000076-ADD")</f>
        <v>RF-00000076-ADD</v>
      </c>
    </row>
    <row r="859" spans="1:2" ht="12.5" x14ac:dyDescent="0.25">
      <c r="A859" t="str">
        <f ca="1">IFERROR(__xludf.DUMMYFUNCTION("""COMPUTED_VALUE"""),"Calcium guanylate")</f>
        <v>Calcium guanylate</v>
      </c>
      <c r="B859" t="str">
        <f ca="1">IFERROR(__xludf.DUMMYFUNCTION("""COMPUTED_VALUE"""),"RF-00000077-ADD")</f>
        <v>RF-00000077-ADD</v>
      </c>
    </row>
    <row r="860" spans="1:2" ht="12.5" x14ac:dyDescent="0.25">
      <c r="A860" t="str">
        <f ca="1">IFERROR(__xludf.DUMMYFUNCTION("""COMPUTED_VALUE"""),"Calcium hydrogen sulphite")</f>
        <v>Calcium hydrogen sulphite</v>
      </c>
      <c r="B860" t="str">
        <f ca="1">IFERROR(__xludf.DUMMYFUNCTION("""COMPUTED_VALUE"""),"RF-00000078-ADD")</f>
        <v>RF-00000078-ADD</v>
      </c>
    </row>
    <row r="861" spans="1:2" ht="12.5" x14ac:dyDescent="0.25">
      <c r="A861" t="str">
        <f ca="1">IFERROR(__xludf.DUMMYFUNCTION("""COMPUTED_VALUE"""),"Calcium hydroxide")</f>
        <v>Calcium hydroxide</v>
      </c>
      <c r="B861" t="str">
        <f ca="1">IFERROR(__xludf.DUMMYFUNCTION("""COMPUTED_VALUE"""),"RF-00000079-ADD")</f>
        <v>RF-00000079-ADD</v>
      </c>
    </row>
    <row r="862" spans="1:2" ht="12.5" x14ac:dyDescent="0.25">
      <c r="A862" t="str">
        <f ca="1">IFERROR(__xludf.DUMMYFUNCTION("""COMPUTED_VALUE"""),"Calcium inosinate")</f>
        <v>Calcium inosinate</v>
      </c>
      <c r="B862" t="str">
        <f ca="1">IFERROR(__xludf.DUMMYFUNCTION("""COMPUTED_VALUE"""),"RF-00000080-ADD")</f>
        <v>RF-00000080-ADD</v>
      </c>
    </row>
    <row r="863" spans="1:2" ht="12.5" x14ac:dyDescent="0.25">
      <c r="A863" t="str">
        <f ca="1">IFERROR(__xludf.DUMMYFUNCTION("""COMPUTED_VALUE"""),"Calcium lactate")</f>
        <v>Calcium lactate</v>
      </c>
      <c r="B863" t="str">
        <f ca="1">IFERROR(__xludf.DUMMYFUNCTION("""COMPUTED_VALUE"""),"RF-00000081-ADD")</f>
        <v>RF-00000081-ADD</v>
      </c>
    </row>
    <row r="864" spans="1:2" ht="12.5" x14ac:dyDescent="0.25">
      <c r="A864" t="str">
        <f ca="1">IFERROR(__xludf.DUMMYFUNCTION("""COMPUTED_VALUE"""),"Calcium malate")</f>
        <v>Calcium malate</v>
      </c>
      <c r="B864" t="str">
        <f ca="1">IFERROR(__xludf.DUMMYFUNCTION("""COMPUTED_VALUE"""),"RF-00000082-ADD")</f>
        <v>RF-00000082-ADD</v>
      </c>
    </row>
    <row r="865" spans="1:2" ht="12.5" x14ac:dyDescent="0.25">
      <c r="A865" t="str">
        <f ca="1">IFERROR(__xludf.DUMMYFUNCTION("""COMPUTED_VALUE"""),"Calcium oxide")</f>
        <v>Calcium oxide</v>
      </c>
      <c r="B865" t="str">
        <f ca="1">IFERROR(__xludf.DUMMYFUNCTION("""COMPUTED_VALUE"""),"RF-00000010-CHE")</f>
        <v>RF-00000010-CHE</v>
      </c>
    </row>
    <row r="866" spans="1:2" ht="12.5" x14ac:dyDescent="0.25">
      <c r="A866" t="str">
        <f ca="1">IFERROR(__xludf.DUMMYFUNCTION("""COMPUTED_VALUE"""),"Calcium phosphates")</f>
        <v>Calcium phosphates</v>
      </c>
      <c r="B866" t="str">
        <f ca="1">IFERROR(__xludf.DUMMYFUNCTION("""COMPUTED_VALUE"""),"RF-00000083-ADD")</f>
        <v>RF-00000083-ADD</v>
      </c>
    </row>
    <row r="867" spans="1:2" ht="12.5" x14ac:dyDescent="0.25">
      <c r="A867" t="str">
        <f ca="1">IFERROR(__xludf.DUMMYFUNCTION("""COMPUTED_VALUE"""),"Calcium propionate")</f>
        <v>Calcium propionate</v>
      </c>
      <c r="B867" t="str">
        <f ca="1">IFERROR(__xludf.DUMMYFUNCTION("""COMPUTED_VALUE"""),"RF-00000084-ADD")</f>
        <v>RF-00000084-ADD</v>
      </c>
    </row>
    <row r="868" spans="1:2" ht="12.5" x14ac:dyDescent="0.25">
      <c r="A868" t="str">
        <f ca="1">IFERROR(__xludf.DUMMYFUNCTION("""COMPUTED_VALUE"""),"Calcium silicate")</f>
        <v>Calcium silicate</v>
      </c>
      <c r="B868" t="str">
        <f ca="1">IFERROR(__xludf.DUMMYFUNCTION("""COMPUTED_VALUE"""),"RF-00000085-ADD")</f>
        <v>RF-00000085-ADD</v>
      </c>
    </row>
    <row r="869" spans="1:2" ht="12.5" x14ac:dyDescent="0.25">
      <c r="A869" t="str">
        <f ca="1">IFERROR(__xludf.DUMMYFUNCTION("""COMPUTED_VALUE"""),"Calcium soluble in mineral acids")</f>
        <v>Calcium soluble in mineral acids</v>
      </c>
      <c r="B869" t="str">
        <f ca="1">IFERROR(__xludf.DUMMYFUNCTION("""COMPUTED_VALUE"""),"RF-00000008-CHE")</f>
        <v>RF-00000008-CHE</v>
      </c>
    </row>
    <row r="870" spans="1:2" ht="12.5" x14ac:dyDescent="0.25">
      <c r="A870" t="str">
        <f ca="1">IFERROR(__xludf.DUMMYFUNCTION("""COMPUTED_VALUE"""),"Calcium soluble in water")</f>
        <v>Calcium soluble in water</v>
      </c>
      <c r="B870" t="str">
        <f ca="1">IFERROR(__xludf.DUMMYFUNCTION("""COMPUTED_VALUE"""),"RF-00000009-CHE")</f>
        <v>RF-00000009-CHE</v>
      </c>
    </row>
    <row r="871" spans="1:2" ht="12.5" x14ac:dyDescent="0.25">
      <c r="A871" t="str">
        <f ca="1">IFERROR(__xludf.DUMMYFUNCTION("""COMPUTED_VALUE"""),"Calcium sorbate")</f>
        <v>Calcium sorbate</v>
      </c>
      <c r="B871" t="str">
        <f ca="1">IFERROR(__xludf.DUMMYFUNCTION("""COMPUTED_VALUE"""),"RF-00000086-ADD")</f>
        <v>RF-00000086-ADD</v>
      </c>
    </row>
    <row r="872" spans="1:2" ht="12.5" x14ac:dyDescent="0.25">
      <c r="A872" t="str">
        <f ca="1">IFERROR(__xludf.DUMMYFUNCTION("""COMPUTED_VALUE"""),"Calcium stearoyl-2-lactylate")</f>
        <v>Calcium stearoyl-2-lactylate</v>
      </c>
      <c r="B872" t="str">
        <f ca="1">IFERROR(__xludf.DUMMYFUNCTION("""COMPUTED_VALUE"""),"RF-00000087-ADD")</f>
        <v>RF-00000087-ADD</v>
      </c>
    </row>
    <row r="873" spans="1:2" ht="12.5" x14ac:dyDescent="0.25">
      <c r="A873" t="str">
        <f ca="1">IFERROR(__xludf.DUMMYFUNCTION("""COMPUTED_VALUE"""),"Calcium sulphate")</f>
        <v>Calcium sulphate</v>
      </c>
      <c r="B873" t="str">
        <f ca="1">IFERROR(__xludf.DUMMYFUNCTION("""COMPUTED_VALUE"""),"RF-00000088-ADD")</f>
        <v>RF-00000088-ADD</v>
      </c>
    </row>
    <row r="874" spans="1:2" ht="12.5" x14ac:dyDescent="0.25">
      <c r="A874" t="str">
        <f ca="1">IFERROR(__xludf.DUMMYFUNCTION("""COMPUTED_VALUE"""),"Calcium sulphite")</f>
        <v>Calcium sulphite</v>
      </c>
      <c r="B874" t="str">
        <f ca="1">IFERROR(__xludf.DUMMYFUNCTION("""COMPUTED_VALUE"""),"RF-00000089-ADD")</f>
        <v>RF-00000089-ADD</v>
      </c>
    </row>
    <row r="875" spans="1:2" ht="12.5" x14ac:dyDescent="0.25">
      <c r="A875" t="str">
        <f ca="1">IFERROR(__xludf.DUMMYFUNCTION("""COMPUTED_VALUE"""),"Calcium tartrate")</f>
        <v>Calcium tartrate</v>
      </c>
      <c r="B875" t="str">
        <f ca="1">IFERROR(__xludf.DUMMYFUNCTION("""COMPUTED_VALUE"""),"RF-00000090-ADD")</f>
        <v>RF-00000090-ADD</v>
      </c>
    </row>
    <row r="876" spans="1:2" ht="12.5" x14ac:dyDescent="0.25">
      <c r="A876" t="str">
        <f ca="1">IFERROR(__xludf.DUMMYFUNCTION("""COMPUTED_VALUE"""),"Calicivirus")</f>
        <v>Calicivirus</v>
      </c>
      <c r="B876" t="str">
        <f ca="1">IFERROR(__xludf.DUMMYFUNCTION("""COMPUTED_VALUE"""),"RF-00000039-MCG")</f>
        <v>RF-00000039-MCG</v>
      </c>
    </row>
    <row r="877" spans="1:2" ht="12.5" x14ac:dyDescent="0.25">
      <c r="A877" t="str">
        <f ca="1">IFERROR(__xludf.DUMMYFUNCTION("""COMPUTED_VALUE"""),"Cambendazol")</f>
        <v>Cambendazol</v>
      </c>
      <c r="B877" t="str">
        <f ca="1">IFERROR(__xludf.DUMMYFUNCTION("""COMPUTED_VALUE"""),"RF-00000014-VET")</f>
        <v>RF-00000014-VET</v>
      </c>
    </row>
    <row r="878" spans="1:2" ht="12.5" x14ac:dyDescent="0.25">
      <c r="A878" t="str">
        <f ca="1">IFERROR(__xludf.DUMMYFUNCTION("""COMPUTED_VALUE"""),"campesterol, total")</f>
        <v>campesterol, total</v>
      </c>
      <c r="B878" t="str">
        <f ca="1">IFERROR(__xludf.DUMMYFUNCTION("""COMPUTED_VALUE"""),"RF-00000039-NTR")</f>
        <v>RF-00000039-NTR</v>
      </c>
    </row>
    <row r="879" spans="1:2" ht="12.5" x14ac:dyDescent="0.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x14ac:dyDescent="0.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x14ac:dyDescent="0.25">
      <c r="A881" t="str">
        <f ca="1">IFERROR(__xludf.DUMMYFUNCTION("""COMPUTED_VALUE"""),"Camphechlor (Toxaphene)")</f>
        <v>Camphechlor (Toxaphene)</v>
      </c>
      <c r="B881" t="str">
        <f ca="1">IFERROR(__xludf.DUMMYFUNCTION("""COMPUTED_VALUE"""),"RF-0059-001-PPP")</f>
        <v>RF-0059-001-PPP</v>
      </c>
    </row>
    <row r="882" spans="1:2" ht="12.5" x14ac:dyDescent="0.25">
      <c r="A882" t="str">
        <f ca="1">IFERROR(__xludf.DUMMYFUNCTION("""COMPUTED_VALUE"""),"Campylobacter")</f>
        <v>Campylobacter</v>
      </c>
      <c r="B882" t="str">
        <f ca="1">IFERROR(__xludf.DUMMYFUNCTION("""COMPUTED_VALUE"""),"RF-00000042-MCG")</f>
        <v>RF-00000042-MCG</v>
      </c>
    </row>
    <row r="883" spans="1:2" ht="12.5" x14ac:dyDescent="0.25">
      <c r="A883" t="str">
        <f ca="1">IFERROR(__xludf.DUMMYFUNCTION("""COMPUTED_VALUE"""),"Campylobacter - C. pylori")</f>
        <v>Campylobacter - C. pylori</v>
      </c>
      <c r="B883" t="str">
        <f ca="1">IFERROR(__xludf.DUMMYFUNCTION("""COMPUTED_VALUE"""),"RF-00003520-MCG")</f>
        <v>RF-00003520-MCG</v>
      </c>
    </row>
    <row r="884" spans="1:2" ht="12.5" x14ac:dyDescent="0.25">
      <c r="A884" t="str">
        <f ca="1">IFERROR(__xludf.DUMMYFUNCTION("""COMPUTED_VALUE"""),"Campylobacter coli")</f>
        <v>Campylobacter coli</v>
      </c>
      <c r="B884" t="str">
        <f ca="1">IFERROR(__xludf.DUMMYFUNCTION("""COMPUTED_VALUE"""),"RF-00000054-MCG")</f>
        <v>RF-00000054-MCG</v>
      </c>
    </row>
    <row r="885" spans="1:2" ht="12.5" x14ac:dyDescent="0.25">
      <c r="A885" t="str">
        <f ca="1">IFERROR(__xludf.DUMMYFUNCTION("""COMPUTED_VALUE"""),"Campylobacter cryaerophilus")</f>
        <v>Campylobacter cryaerophilus</v>
      </c>
      <c r="B885" t="str">
        <f ca="1">IFERROR(__xludf.DUMMYFUNCTION("""COMPUTED_VALUE"""),"RF-00000050-MCG")</f>
        <v>RF-00000050-MCG</v>
      </c>
    </row>
    <row r="886" spans="1:2" ht="12.5" x14ac:dyDescent="0.25">
      <c r="A886" t="str">
        <f ca="1">IFERROR(__xludf.DUMMYFUNCTION("""COMPUTED_VALUE"""),"Campylobacter curvus")</f>
        <v>Campylobacter curvus</v>
      </c>
      <c r="B886" t="str">
        <f ca="1">IFERROR(__xludf.DUMMYFUNCTION("""COMPUTED_VALUE"""),"RF-00000049-MCG")</f>
        <v>RF-00000049-MCG</v>
      </c>
    </row>
    <row r="887" spans="1:2" ht="12.5" x14ac:dyDescent="0.25">
      <c r="A887" t="str">
        <f ca="1">IFERROR(__xludf.DUMMYFUNCTION("""COMPUTED_VALUE"""),"Campylobacter fetus")</f>
        <v>Campylobacter fetus</v>
      </c>
      <c r="B887" t="str">
        <f ca="1">IFERROR(__xludf.DUMMYFUNCTION("""COMPUTED_VALUE"""),"RF-00000055-MCG")</f>
        <v>RF-00000055-MCG</v>
      </c>
    </row>
    <row r="888" spans="1:2" ht="12.5" x14ac:dyDescent="0.25">
      <c r="A888" t="str">
        <f ca="1">IFERROR(__xludf.DUMMYFUNCTION("""COMPUTED_VALUE"""),"Campylobacter fetus subsp. fetus")</f>
        <v>Campylobacter fetus subsp. fetus</v>
      </c>
      <c r="B888" t="str">
        <f ca="1">IFERROR(__xludf.DUMMYFUNCTION("""COMPUTED_VALUE"""),"RF-00000056-MCG")</f>
        <v>RF-00000056-MCG</v>
      </c>
    </row>
    <row r="889" spans="1:2" ht="12.5" x14ac:dyDescent="0.25">
      <c r="A889" t="str">
        <f ca="1">IFERROR(__xludf.DUMMYFUNCTION("""COMPUTED_VALUE"""),"Campylobacter fetus subsp. venerealis")</f>
        <v>Campylobacter fetus subsp. venerealis</v>
      </c>
      <c r="B889" t="str">
        <f ca="1">IFERROR(__xludf.DUMMYFUNCTION("""COMPUTED_VALUE"""),"RF-00000057-MCG")</f>
        <v>RF-00000057-MCG</v>
      </c>
    </row>
    <row r="890" spans="1:2" ht="12.5" x14ac:dyDescent="0.25">
      <c r="A890" t="str">
        <f ca="1">IFERROR(__xludf.DUMMYFUNCTION("""COMPUTED_VALUE"""),"Campylobacter gracilis")</f>
        <v>Campylobacter gracilis</v>
      </c>
      <c r="B890" t="str">
        <f ca="1">IFERROR(__xludf.DUMMYFUNCTION("""COMPUTED_VALUE"""),"RF-00000053-MCG")</f>
        <v>RF-00000053-MCG</v>
      </c>
    </row>
    <row r="891" spans="1:2" ht="12.5" x14ac:dyDescent="0.25">
      <c r="A891" t="str">
        <f ca="1">IFERROR(__xludf.DUMMYFUNCTION("""COMPUTED_VALUE"""),"Campylobacter hominis")</f>
        <v>Campylobacter hominis</v>
      </c>
      <c r="B891" t="str">
        <f ca="1">IFERROR(__xludf.DUMMYFUNCTION("""COMPUTED_VALUE"""),"RF-00000051-MCG")</f>
        <v>RF-00000051-MCG</v>
      </c>
    </row>
    <row r="892" spans="1:2" ht="12.5" x14ac:dyDescent="0.25">
      <c r="A892" t="str">
        <f ca="1">IFERROR(__xludf.DUMMYFUNCTION("""COMPUTED_VALUE"""),"Campylobacter hyointestinalis")</f>
        <v>Campylobacter hyointestinalis</v>
      </c>
      <c r="B892" t="str">
        <f ca="1">IFERROR(__xludf.DUMMYFUNCTION("""COMPUTED_VALUE"""),"RF-00000058-MCG")</f>
        <v>RF-00000058-MCG</v>
      </c>
    </row>
    <row r="893" spans="1:2" ht="12.5" x14ac:dyDescent="0.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x14ac:dyDescent="0.25">
      <c r="A894" t="str">
        <f ca="1">IFERROR(__xludf.DUMMYFUNCTION("""COMPUTED_VALUE"""),"Campylobacter hyointestinalis subsp. lawsonii")</f>
        <v>Campylobacter hyointestinalis subsp. lawsonii</v>
      </c>
      <c r="B894" t="str">
        <f ca="1">IFERROR(__xludf.DUMMYFUNCTION("""COMPUTED_VALUE"""),"RF-00000059-MCG")</f>
        <v>RF-00000059-MCG</v>
      </c>
    </row>
    <row r="895" spans="1:2" ht="12.5" x14ac:dyDescent="0.25">
      <c r="A895" t="str">
        <f ca="1">IFERROR(__xludf.DUMMYFUNCTION("""COMPUTED_VALUE"""),"Campylobacter jejuni")</f>
        <v>Campylobacter jejuni</v>
      </c>
      <c r="B895" t="str">
        <f ca="1">IFERROR(__xludf.DUMMYFUNCTION("""COMPUTED_VALUE"""),"RF-00000061-MCG")</f>
        <v>RF-00000061-MCG</v>
      </c>
    </row>
    <row r="896" spans="1:2" ht="12.5" x14ac:dyDescent="0.25">
      <c r="A896" t="str">
        <f ca="1">IFERROR(__xludf.DUMMYFUNCTION("""COMPUTED_VALUE"""),"Campylobacter jejuni subsp. doylei")</f>
        <v>Campylobacter jejuni subsp. doylei</v>
      </c>
      <c r="B896" t="str">
        <f ca="1">IFERROR(__xludf.DUMMYFUNCTION("""COMPUTED_VALUE"""),"RF-00000063-MCG")</f>
        <v>RF-00000063-MCG</v>
      </c>
    </row>
    <row r="897" spans="1:2" ht="12.5" x14ac:dyDescent="0.25">
      <c r="A897" t="str">
        <f ca="1">IFERROR(__xludf.DUMMYFUNCTION("""COMPUTED_VALUE"""),"Campylobacter jejuni subsp. jejuni")</f>
        <v>Campylobacter jejuni subsp. jejuni</v>
      </c>
      <c r="B897" t="str">
        <f ca="1">IFERROR(__xludf.DUMMYFUNCTION("""COMPUTED_VALUE"""),"RF-00000062-MCG")</f>
        <v>RF-00000062-MCG</v>
      </c>
    </row>
    <row r="898" spans="1:2" ht="12.5" x14ac:dyDescent="0.25">
      <c r="A898" t="str">
        <f ca="1">IFERROR(__xludf.DUMMYFUNCTION("""COMPUTED_VALUE"""),"Campylobacter lari")</f>
        <v>Campylobacter lari</v>
      </c>
      <c r="B898" t="str">
        <f ca="1">IFERROR(__xludf.DUMMYFUNCTION("""COMPUTED_VALUE"""),"RF-00000048-MCG")</f>
        <v>RF-00000048-MCG</v>
      </c>
    </row>
    <row r="899" spans="1:2" ht="12.5" x14ac:dyDescent="0.25">
      <c r="A899" t="str">
        <f ca="1">IFERROR(__xludf.DUMMYFUNCTION("""COMPUTED_VALUE"""),"Campylobacter mucosalis")</f>
        <v>Campylobacter mucosalis</v>
      </c>
      <c r="B899" t="str">
        <f ca="1">IFERROR(__xludf.DUMMYFUNCTION("""COMPUTED_VALUE"""),"RF-00000047-MCG")</f>
        <v>RF-00000047-MCG</v>
      </c>
    </row>
    <row r="900" spans="1:2" ht="12.5" x14ac:dyDescent="0.25">
      <c r="A900" t="str">
        <f ca="1">IFERROR(__xludf.DUMMYFUNCTION("""COMPUTED_VALUE"""),"Campylobacter pylori subsp. mustelae")</f>
        <v>Campylobacter pylori subsp. mustelae</v>
      </c>
      <c r="B900" t="str">
        <f ca="1">IFERROR(__xludf.DUMMYFUNCTION("""COMPUTED_VALUE"""),"RF-00000046-MCG")</f>
        <v>RF-00000046-MCG</v>
      </c>
    </row>
    <row r="901" spans="1:2" ht="12.5" x14ac:dyDescent="0.25">
      <c r="A901" t="str">
        <f ca="1">IFERROR(__xludf.DUMMYFUNCTION("""COMPUTED_VALUE"""),"Campylobacter rectus")</f>
        <v>Campylobacter rectus</v>
      </c>
      <c r="B901" t="str">
        <f ca="1">IFERROR(__xludf.DUMMYFUNCTION("""COMPUTED_VALUE"""),"RF-00000045-MCG")</f>
        <v>RF-00000045-MCG</v>
      </c>
    </row>
    <row r="902" spans="1:2" ht="12.5" x14ac:dyDescent="0.25">
      <c r="A902" t="str">
        <f ca="1">IFERROR(__xludf.DUMMYFUNCTION("""COMPUTED_VALUE"""),"Campylobacter spp., unspecified")</f>
        <v>Campylobacter spp., unspecified</v>
      </c>
      <c r="B902" t="str">
        <f ca="1">IFERROR(__xludf.DUMMYFUNCTION("""COMPUTED_VALUE"""),"RF-00000044-MCG")</f>
        <v>RF-00000044-MCG</v>
      </c>
    </row>
    <row r="903" spans="1:2" ht="12.5" x14ac:dyDescent="0.25">
      <c r="A903" t="str">
        <f ca="1">IFERROR(__xludf.DUMMYFUNCTION("""COMPUTED_VALUE"""),"Campylobacter sputorum")</f>
        <v>Campylobacter sputorum</v>
      </c>
      <c r="B903" t="str">
        <f ca="1">IFERROR(__xludf.DUMMYFUNCTION("""COMPUTED_VALUE"""),"RF-00000064-MCG")</f>
        <v>RF-00000064-MCG</v>
      </c>
    </row>
    <row r="904" spans="1:2" ht="12.5" x14ac:dyDescent="0.25">
      <c r="A904" t="str">
        <f ca="1">IFERROR(__xludf.DUMMYFUNCTION("""COMPUTED_VALUE"""),"Campylobacter sputorum subsp. bubulus")</f>
        <v>Campylobacter sputorum subsp. bubulus</v>
      </c>
      <c r="B904" t="str">
        <f ca="1">IFERROR(__xludf.DUMMYFUNCTION("""COMPUTED_VALUE"""),"RF-00000065-MCG")</f>
        <v>RF-00000065-MCG</v>
      </c>
    </row>
    <row r="905" spans="1:2" ht="12.5" x14ac:dyDescent="0.25">
      <c r="A905" t="str">
        <f ca="1">IFERROR(__xludf.DUMMYFUNCTION("""COMPUTED_VALUE"""),"Campylobacter sputorum subsp. mucosalis")</f>
        <v>Campylobacter sputorum subsp. mucosalis</v>
      </c>
      <c r="B905" t="str">
        <f ca="1">IFERROR(__xludf.DUMMYFUNCTION("""COMPUTED_VALUE"""),"RF-00000066-MCG")</f>
        <v>RF-00000066-MCG</v>
      </c>
    </row>
    <row r="906" spans="1:2" ht="12.5" x14ac:dyDescent="0.25">
      <c r="A906" t="str">
        <f ca="1">IFERROR(__xludf.DUMMYFUNCTION("""COMPUTED_VALUE"""),"Campylobacter sputorum subsp. sputorum")</f>
        <v>Campylobacter sputorum subsp. sputorum</v>
      </c>
      <c r="B906" t="str">
        <f ca="1">IFERROR(__xludf.DUMMYFUNCTION("""COMPUTED_VALUE"""),"RF-00000067-MCG")</f>
        <v>RF-00000067-MCG</v>
      </c>
    </row>
    <row r="907" spans="1:2" ht="12.5" x14ac:dyDescent="0.25">
      <c r="A907" t="str">
        <f ca="1">IFERROR(__xludf.DUMMYFUNCTION("""COMPUTED_VALUE"""),"Campylobacter upsaliensis")</f>
        <v>Campylobacter upsaliensis</v>
      </c>
      <c r="B907" t="str">
        <f ca="1">IFERROR(__xludf.DUMMYFUNCTION("""COMPUTED_VALUE"""),"RF-00000043-MCG")</f>
        <v>RF-00000043-MCG</v>
      </c>
    </row>
    <row r="908" spans="1:2" ht="12.5" x14ac:dyDescent="0.25">
      <c r="A908" t="str">
        <f ca="1">IFERROR(__xludf.DUMMYFUNCTION("""COMPUTED_VALUE"""),"Candelilla wax")</f>
        <v>Candelilla wax</v>
      </c>
      <c r="B908" t="str">
        <f ca="1">IFERROR(__xludf.DUMMYFUNCTION("""COMPUTED_VALUE"""),"RF-00000091-ADD")</f>
        <v>RF-00000091-ADD</v>
      </c>
    </row>
    <row r="909" spans="1:2" ht="12.5" x14ac:dyDescent="0.25">
      <c r="A909" t="str">
        <f ca="1">IFERROR(__xludf.DUMMYFUNCTION("""COMPUTED_VALUE"""),"canthaxanthine")</f>
        <v>canthaxanthine</v>
      </c>
      <c r="B909" t="str">
        <f ca="1">IFERROR(__xludf.DUMMYFUNCTION("""COMPUTED_VALUE"""),"RF-00000040-NTR")</f>
        <v>RF-00000040-NTR</v>
      </c>
    </row>
    <row r="910" spans="1:2" ht="12.5" x14ac:dyDescent="0.25">
      <c r="A910" t="str">
        <f ca="1">IFERROR(__xludf.DUMMYFUNCTION("""COMPUTED_VALUE"""),"capsanthine")</f>
        <v>capsanthine</v>
      </c>
      <c r="B910" t="str">
        <f ca="1">IFERROR(__xludf.DUMMYFUNCTION("""COMPUTED_VALUE"""),"RF-00000041-NTR")</f>
        <v>RF-00000041-NTR</v>
      </c>
    </row>
    <row r="911" spans="1:2" ht="12.5" x14ac:dyDescent="0.25">
      <c r="A911" t="str">
        <f ca="1">IFERROR(__xludf.DUMMYFUNCTION("""COMPUTED_VALUE"""),"Captafol")</f>
        <v>Captafol</v>
      </c>
      <c r="B911" t="str">
        <f ca="1">IFERROR(__xludf.DUMMYFUNCTION("""COMPUTED_VALUE"""),"RF-0060-001-PPP")</f>
        <v>RF-0060-001-PPP</v>
      </c>
    </row>
    <row r="912" spans="1:2" ht="12.5" x14ac:dyDescent="0.25">
      <c r="A912" t="str">
        <f ca="1">IFERROR(__xludf.DUMMYFUNCTION("""COMPUTED_VALUE"""),"Captan")</f>
        <v>Captan</v>
      </c>
      <c r="B912" t="str">
        <f ca="1">IFERROR(__xludf.DUMMYFUNCTION("""COMPUTED_VALUE"""),"RF-0061-001-PPP")</f>
        <v>RF-0061-001-PPP</v>
      </c>
    </row>
    <row r="913" spans="1:2" ht="12.5" x14ac:dyDescent="0.25">
      <c r="A913" t="str">
        <f ca="1">IFERROR(__xludf.DUMMYFUNCTION("""COMPUTED_VALUE"""),"Captan-Folpet (sum)")</f>
        <v>Captan-Folpet (sum)</v>
      </c>
      <c r="B913" t="str">
        <f ca="1">IFERROR(__xludf.DUMMYFUNCTION("""COMPUTED_VALUE"""),"RF-0531-001-PPP")</f>
        <v>RF-0531-001-PPP</v>
      </c>
    </row>
    <row r="914" spans="1:2" ht="12.5" x14ac:dyDescent="0.25">
      <c r="A914" t="str">
        <f ca="1">IFERROR(__xludf.DUMMYFUNCTION("""COMPUTED_VALUE"""),"Carazolol")</f>
        <v>Carazolol</v>
      </c>
      <c r="B914" t="str">
        <f ca="1">IFERROR(__xludf.DUMMYFUNCTION("""COMPUTED_VALUE"""),"RF-00000169-VET")</f>
        <v>RF-00000169-VET</v>
      </c>
    </row>
    <row r="915" spans="1:2" ht="12.5" x14ac:dyDescent="0.25">
      <c r="A915" t="str">
        <f ca="1">IFERROR(__xludf.DUMMYFUNCTION("""COMPUTED_VALUE"""),"Carbadox")</f>
        <v>Carbadox</v>
      </c>
      <c r="B915" t="str">
        <f ca="1">IFERROR(__xludf.DUMMYFUNCTION("""COMPUTED_VALUE"""),"RF-00000261-VET")</f>
        <v>RF-00000261-VET</v>
      </c>
    </row>
    <row r="916" spans="1:2" ht="12.5" x14ac:dyDescent="0.25">
      <c r="A916" t="str">
        <f ca="1">IFERROR(__xludf.DUMMYFUNCTION("""COMPUTED_VALUE"""),"Carbamate saxitoxins")</f>
        <v>Carbamate saxitoxins</v>
      </c>
      <c r="B916" t="str">
        <f ca="1">IFERROR(__xludf.DUMMYFUNCTION("""COMPUTED_VALUE"""),"RF-00000091-TOX")</f>
        <v>RF-00000091-TOX</v>
      </c>
    </row>
    <row r="917" spans="1:2" ht="12.5" x14ac:dyDescent="0.25">
      <c r="A917" t="str">
        <f ca="1">IFERROR(__xludf.DUMMYFUNCTION("""COMPUTED_VALUE"""),"Carbamates")</f>
        <v>Carbamates</v>
      </c>
      <c r="B917" t="str">
        <f ca="1">IFERROR(__xludf.DUMMYFUNCTION("""COMPUTED_VALUE"""),"RF-00000374-ORG")</f>
        <v>RF-00000374-ORG</v>
      </c>
    </row>
    <row r="918" spans="1:2" ht="12.5" x14ac:dyDescent="0.25">
      <c r="A918" t="str">
        <f ca="1">IFERROR(__xludf.DUMMYFUNCTION("""COMPUTED_VALUE"""),"Carbamates and pyrethroids")</f>
        <v>Carbamates and pyrethroids</v>
      </c>
      <c r="B918" t="str">
        <f ca="1">IFERROR(__xludf.DUMMYFUNCTION("""COMPUTED_VALUE"""),"RF-00000098-VET")</f>
        <v>RF-00000098-VET</v>
      </c>
    </row>
    <row r="919" spans="1:2" ht="12.5" x14ac:dyDescent="0.25">
      <c r="A919" t="str">
        <f ca="1">IFERROR(__xludf.DUMMYFUNCTION("""COMPUTED_VALUE"""),"Carbanolate")</f>
        <v>Carbanolate</v>
      </c>
      <c r="B919" t="str">
        <f ca="1">IFERROR(__xludf.DUMMYFUNCTION("""COMPUTED_VALUE"""),"RF-1026-001-PPP")</f>
        <v>RF-1026-001-PPP</v>
      </c>
    </row>
    <row r="920" spans="1:2" ht="12.5" x14ac:dyDescent="0.25">
      <c r="A920" t="str">
        <f ca="1">IFERROR(__xludf.DUMMYFUNCTION("""COMPUTED_VALUE"""),"Carbapenem + boronic acid")</f>
        <v>Carbapenem + boronic acid</v>
      </c>
      <c r="B920" t="str">
        <f ca="1">IFERROR(__xludf.DUMMYFUNCTION("""COMPUTED_VALUE"""),"RF-00000141-PAR")</f>
        <v>RF-00000141-PAR</v>
      </c>
    </row>
    <row r="921" spans="1:2" ht="12.5" x14ac:dyDescent="0.25">
      <c r="A921" t="str">
        <f ca="1">IFERROR(__xludf.DUMMYFUNCTION("""COMPUTED_VALUE"""),"Carbapenem + EDTA")</f>
        <v>Carbapenem + EDTA</v>
      </c>
      <c r="B921" t="str">
        <f ca="1">IFERROR(__xludf.DUMMYFUNCTION("""COMPUTED_VALUE"""),"RF-00000142-PAR")</f>
        <v>RF-00000142-PAR</v>
      </c>
    </row>
    <row r="922" spans="1:2" ht="12.5" x14ac:dyDescent="0.25">
      <c r="A922" t="str">
        <f ca="1">IFERROR(__xludf.DUMMYFUNCTION("""COMPUTED_VALUE"""),"Carbapenemase phenotype")</f>
        <v>Carbapenemase phenotype</v>
      </c>
      <c r="B922" t="str">
        <f ca="1">IFERROR(__xludf.DUMMYFUNCTION("""COMPUTED_VALUE"""),"RF-00000158-PAR")</f>
        <v>RF-00000158-PAR</v>
      </c>
    </row>
    <row r="923" spans="1:2" ht="12.5" x14ac:dyDescent="0.25">
      <c r="A923" t="str">
        <f ca="1">IFERROR(__xludf.DUMMYFUNCTION("""COMPUTED_VALUE"""),"Carbapenems")</f>
        <v>Carbapenems</v>
      </c>
      <c r="B923" t="str">
        <f ca="1">IFERROR(__xludf.DUMMYFUNCTION("""COMPUTED_VALUE"""),"RF-00000710-VET")</f>
        <v>RF-00000710-VET</v>
      </c>
    </row>
    <row r="924" spans="1:2" ht="12.5" x14ac:dyDescent="0.25">
      <c r="A924" t="str">
        <f ca="1">IFERROR(__xludf.DUMMYFUNCTION("""COMPUTED_VALUE"""),"Carbaryl")</f>
        <v>Carbaryl</v>
      </c>
      <c r="B924" t="str">
        <f ca="1">IFERROR(__xludf.DUMMYFUNCTION("""COMPUTED_VALUE"""),"RF-00000143-VET")</f>
        <v>RF-00000143-VET</v>
      </c>
    </row>
    <row r="925" spans="1:2" ht="12.5" x14ac:dyDescent="0.25">
      <c r="A925" t="str">
        <f ca="1">IFERROR(__xludf.DUMMYFUNCTION("""COMPUTED_VALUE"""),"Carbaryl")</f>
        <v>Carbaryl</v>
      </c>
      <c r="B925" t="str">
        <f ca="1">IFERROR(__xludf.DUMMYFUNCTION("""COMPUTED_VALUE"""),"RF-0062-001-PPP")</f>
        <v>RF-0062-001-PPP</v>
      </c>
    </row>
    <row r="926" spans="1:2" ht="12.5" x14ac:dyDescent="0.25">
      <c r="A926" t="str">
        <f ca="1">IFERROR(__xludf.DUMMYFUNCTION("""COMPUTED_VALUE"""),"Carbendazim")</f>
        <v>Carbendazim</v>
      </c>
      <c r="B926" t="str">
        <f ca="1">IFERROR(__xludf.DUMMYFUNCTION("""COMPUTED_VALUE"""),"RF-0041-002-PPP")</f>
        <v>RF-0041-002-PPP</v>
      </c>
    </row>
    <row r="927" spans="1:2" ht="12.5" x14ac:dyDescent="0.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x14ac:dyDescent="0.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x14ac:dyDescent="0.25">
      <c r="A929" t="str">
        <f ca="1">IFERROR(__xludf.DUMMYFUNCTION("""COMPUTED_VALUE"""),"Carbenicillin")</f>
        <v>Carbenicillin</v>
      </c>
      <c r="B929" t="str">
        <f ca="1">IFERROR(__xludf.DUMMYFUNCTION("""COMPUTED_VALUE"""),"RF-00000680-VET")</f>
        <v>RF-00000680-VET</v>
      </c>
    </row>
    <row r="930" spans="1:2" ht="12.5" x14ac:dyDescent="0.25">
      <c r="A930" t="str">
        <f ca="1">IFERROR(__xludf.DUMMYFUNCTION("""COMPUTED_VALUE"""),"Carbetamide")</f>
        <v>Carbetamide</v>
      </c>
      <c r="B930" t="str">
        <f ca="1">IFERROR(__xludf.DUMMYFUNCTION("""COMPUTED_VALUE"""),"RF-0064-001-PPP")</f>
        <v>RF-0064-001-PPP</v>
      </c>
    </row>
    <row r="931" spans="1:2" ht="12.5" x14ac:dyDescent="0.25">
      <c r="A931" t="str">
        <f ca="1">IFERROR(__xludf.DUMMYFUNCTION("""COMPUTED_VALUE"""),"Carbimazole")</f>
        <v>Carbimazole</v>
      </c>
      <c r="B931" t="str">
        <f ca="1">IFERROR(__xludf.DUMMYFUNCTION("""COMPUTED_VALUE"""),"RF-00000302-VET")</f>
        <v>RF-00000302-VET</v>
      </c>
    </row>
    <row r="932" spans="1:2" ht="12.5" x14ac:dyDescent="0.25">
      <c r="A932" t="str">
        <f ca="1">IFERROR(__xludf.DUMMYFUNCTION("""COMPUTED_VALUE"""),"Carbofuran")</f>
        <v>Carbofuran</v>
      </c>
      <c r="B932" t="str">
        <f ca="1">IFERROR(__xludf.DUMMYFUNCTION("""COMPUTED_VALUE"""),"RF-00000140-VET")</f>
        <v>RF-00000140-VET</v>
      </c>
    </row>
    <row r="933" spans="1:2" ht="12.5" x14ac:dyDescent="0.25">
      <c r="A933" t="str">
        <f ca="1">IFERROR(__xludf.DUMMYFUNCTION("""COMPUTED_VALUE"""),"Carbofuran")</f>
        <v>Carbofuran</v>
      </c>
      <c r="B933" t="str">
        <f ca="1">IFERROR(__xludf.DUMMYFUNCTION("""COMPUTED_VALUE"""),"RF-0065-003-PPP")</f>
        <v>RF-0065-003-PPP</v>
      </c>
    </row>
    <row r="934" spans="1:2" ht="12.5" x14ac:dyDescent="0.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x14ac:dyDescent="0.25">
      <c r="A935" t="str">
        <f ca="1">IFERROR(__xludf.DUMMYFUNCTION("""COMPUTED_VALUE"""),"Carbofuran-3-Hydroxy")</f>
        <v>Carbofuran-3-Hydroxy</v>
      </c>
      <c r="B935" t="str">
        <f ca="1">IFERROR(__xludf.DUMMYFUNCTION("""COMPUTED_VALUE"""),"RF-00000139-VET")</f>
        <v>RF-00000139-VET</v>
      </c>
    </row>
    <row r="936" spans="1:2" ht="12.5" x14ac:dyDescent="0.25">
      <c r="A936" t="str">
        <f ca="1">IFERROR(__xludf.DUMMYFUNCTION("""COMPUTED_VALUE"""),"Carbofuran, 3-hydroxy")</f>
        <v>Carbofuran, 3-hydroxy</v>
      </c>
      <c r="B936" t="str">
        <f ca="1">IFERROR(__xludf.DUMMYFUNCTION("""COMPUTED_VALUE"""),"RF-0065-002-PPP")</f>
        <v>RF-0065-002-PPP</v>
      </c>
    </row>
    <row r="937" spans="1:2" ht="12.5" x14ac:dyDescent="0.25">
      <c r="A937" t="str">
        <f ca="1">IFERROR(__xludf.DUMMYFUNCTION("""COMPUTED_VALUE"""),"Carbofuran, 3-keto")</f>
        <v>Carbofuran, 3-keto</v>
      </c>
      <c r="B937" t="str">
        <f ca="1">IFERROR(__xludf.DUMMYFUNCTION("""COMPUTED_VALUE"""),"RF-0534-001-PPP")</f>
        <v>RF-0534-001-PPP</v>
      </c>
    </row>
    <row r="938" spans="1:2" ht="12.5" x14ac:dyDescent="0.25">
      <c r="A938" t="str">
        <f ca="1">IFERROR(__xludf.DUMMYFUNCTION("""COMPUTED_VALUE"""),"carbohydrate")</f>
        <v>carbohydrate</v>
      </c>
      <c r="B938" t="str">
        <f ca="1">IFERROR(__xludf.DUMMYFUNCTION("""COMPUTED_VALUE"""),"RF-00000042-NTR")</f>
        <v>RF-00000042-NTR</v>
      </c>
    </row>
    <row r="939" spans="1:2" ht="12.5" x14ac:dyDescent="0.25">
      <c r="A939" t="str">
        <f ca="1">IFERROR(__xludf.DUMMYFUNCTION("""COMPUTED_VALUE"""),"carbohydrate, total")</f>
        <v>carbohydrate, total</v>
      </c>
      <c r="B939" t="str">
        <f ca="1">IFERROR(__xludf.DUMMYFUNCTION("""COMPUTED_VALUE"""),"RF-00000043-NTR")</f>
        <v>RF-00000043-NTR</v>
      </c>
    </row>
    <row r="940" spans="1:2" ht="12.5" x14ac:dyDescent="0.25">
      <c r="A940" t="str">
        <f ca="1">IFERROR(__xludf.DUMMYFUNCTION("""COMPUTED_VALUE"""),"carbohydrates, unspecified")</f>
        <v>carbohydrates, unspecified</v>
      </c>
      <c r="B940" t="str">
        <f ca="1">IFERROR(__xludf.DUMMYFUNCTION("""COMPUTED_VALUE"""),"RF-00000044-NTR")</f>
        <v>RF-00000044-NTR</v>
      </c>
    </row>
    <row r="941" spans="1:2" ht="12.5" x14ac:dyDescent="0.25">
      <c r="A941" t="str">
        <f ca="1">IFERROR(__xludf.DUMMYFUNCTION("""COMPUTED_VALUE"""),"Carbon dioxide")</f>
        <v>Carbon dioxide</v>
      </c>
      <c r="B941" t="str">
        <f ca="1">IFERROR(__xludf.DUMMYFUNCTION("""COMPUTED_VALUE"""),"RF-00000094-ADD")</f>
        <v>RF-00000094-ADD</v>
      </c>
    </row>
    <row r="942" spans="1:2" ht="12.5" x14ac:dyDescent="0.25">
      <c r="A942" t="str">
        <f ca="1">IFERROR(__xludf.DUMMYFUNCTION("""COMPUTED_VALUE"""),"carbon dioxide, free")</f>
        <v>carbon dioxide, free</v>
      </c>
      <c r="B942" t="str">
        <f ca="1">IFERROR(__xludf.DUMMYFUNCTION("""COMPUTED_VALUE"""),"RF-00000045-NTR")</f>
        <v>RF-00000045-NTR</v>
      </c>
    </row>
    <row r="943" spans="1:2" ht="12.5" x14ac:dyDescent="0.25">
      <c r="A943" t="str">
        <f ca="1">IFERROR(__xludf.DUMMYFUNCTION("""COMPUTED_VALUE"""),"Carbon disulphide")</f>
        <v>Carbon disulphide</v>
      </c>
      <c r="B943" t="str">
        <f ca="1">IFERROR(__xludf.DUMMYFUNCTION("""COMPUTED_VALUE"""),"RF-0151-005-PPP")</f>
        <v>RF-0151-005-PPP</v>
      </c>
    </row>
    <row r="944" spans="1:2" ht="12.5" x14ac:dyDescent="0.25">
      <c r="A944" t="str">
        <f ca="1">IFERROR(__xludf.DUMMYFUNCTION("""COMPUTED_VALUE"""),"Carbon tetrachloride")</f>
        <v>Carbon tetrachloride</v>
      </c>
      <c r="B944" t="str">
        <f ca="1">IFERROR(__xludf.DUMMYFUNCTION("""COMPUTED_VALUE"""),"RF-0067-001-PPP")</f>
        <v>RF-0067-001-PPP</v>
      </c>
    </row>
    <row r="945" spans="1:2" ht="12.5" x14ac:dyDescent="0.25">
      <c r="A945" t="str">
        <f ca="1">IFERROR(__xludf.DUMMYFUNCTION("""COMPUTED_VALUE"""),"Carbophenothion")</f>
        <v>Carbophenothion</v>
      </c>
      <c r="B945" t="str">
        <f ca="1">IFERROR(__xludf.DUMMYFUNCTION("""COMPUTED_VALUE"""),"RF-0535-001-PPP")</f>
        <v>RF-0535-001-PPP</v>
      </c>
    </row>
    <row r="946" spans="1:2" ht="12.5" x14ac:dyDescent="0.25">
      <c r="A946" t="str">
        <f ca="1">IFERROR(__xludf.DUMMYFUNCTION("""COMPUTED_VALUE"""),"Carbophenothion (sum)")</f>
        <v>Carbophenothion (sum)</v>
      </c>
      <c r="B946" t="str">
        <f ca="1">IFERROR(__xludf.DUMMYFUNCTION("""COMPUTED_VALUE"""),"RF-0535-003-PPP")</f>
        <v>RF-0535-003-PPP</v>
      </c>
    </row>
    <row r="947" spans="1:2" ht="12.5" x14ac:dyDescent="0.25">
      <c r="A947" t="str">
        <f ca="1">IFERROR(__xludf.DUMMYFUNCTION("""COMPUTED_VALUE"""),"Carbophenothion-Methyl")</f>
        <v>Carbophenothion-Methyl</v>
      </c>
      <c r="B947" t="str">
        <f ca="1">IFERROR(__xludf.DUMMYFUNCTION("""COMPUTED_VALUE"""),"RF-0536-001-PPP")</f>
        <v>RF-0536-001-PPP</v>
      </c>
    </row>
    <row r="948" spans="1:2" ht="12.5" x14ac:dyDescent="0.25">
      <c r="A948" t="str">
        <f ca="1">IFERROR(__xludf.DUMMYFUNCTION("""COMPUTED_VALUE"""),"Carbosulfan")</f>
        <v>Carbosulfan</v>
      </c>
      <c r="B948" t="str">
        <f ca="1">IFERROR(__xludf.DUMMYFUNCTION("""COMPUTED_VALUE"""),"RF-00000138-VET")</f>
        <v>RF-00000138-VET</v>
      </c>
    </row>
    <row r="949" spans="1:2" ht="12.5" x14ac:dyDescent="0.25">
      <c r="A949" t="str">
        <f ca="1">IFERROR(__xludf.DUMMYFUNCTION("""COMPUTED_VALUE"""),"Carbosulfan")</f>
        <v>Carbosulfan</v>
      </c>
      <c r="B949" t="str">
        <f ca="1">IFERROR(__xludf.DUMMYFUNCTION("""COMPUTED_VALUE"""),"RF-0068-001-PPP")</f>
        <v>RF-0068-001-PPP</v>
      </c>
    </row>
    <row r="950" spans="1:2" ht="12.5" x14ac:dyDescent="0.25">
      <c r="A950" t="str">
        <f ca="1">IFERROR(__xludf.DUMMYFUNCTION("""COMPUTED_VALUE"""),"Carboxin")</f>
        <v>Carboxin</v>
      </c>
      <c r="B950" t="str">
        <f ca="1">IFERROR(__xludf.DUMMYFUNCTION("""COMPUTED_VALUE"""),"RF-0069-001-PPP")</f>
        <v>RF-0069-001-PPP</v>
      </c>
    </row>
    <row r="951" spans="1:2" ht="12.5" x14ac:dyDescent="0.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x14ac:dyDescent="0.25">
      <c r="A952" t="str">
        <f ca="1">IFERROR(__xludf.DUMMYFUNCTION("""COMPUTED_VALUE"""),"carboxy-1a-homoYTX")</f>
        <v>carboxy-1a-homoYTX</v>
      </c>
      <c r="B952" t="str">
        <f ca="1">IFERROR(__xludf.DUMMYFUNCTION("""COMPUTED_VALUE"""),"RF-00000128-TOX")</f>
        <v>RF-00000128-TOX</v>
      </c>
    </row>
    <row r="953" spans="1:2" ht="12.5" x14ac:dyDescent="0.25">
      <c r="A953" t="str">
        <f ca="1">IFERROR(__xludf.DUMMYFUNCTION("""COMPUTED_VALUE"""),"Carboxy-22-desmethyl-3-hydroxy-8-methylazaspiracid")</f>
        <v>Carboxy-22-desmethyl-3-hydroxy-8-methylazaspiracid</v>
      </c>
      <c r="B953" t="str">
        <f ca="1">IFERROR(__xludf.DUMMYFUNCTION("""COMPUTED_VALUE"""),"RF-00000033-TOX")</f>
        <v>RF-00000033-TOX</v>
      </c>
    </row>
    <row r="954" spans="1:2" ht="12.5" x14ac:dyDescent="0.25">
      <c r="A954" t="str">
        <f ca="1">IFERROR(__xludf.DUMMYFUNCTION("""COMPUTED_VALUE"""),"Carboxy-22-desmethyl-3-hydroxyazaspiracid")</f>
        <v>Carboxy-22-desmethyl-3-hydroxyazaspiracid</v>
      </c>
      <c r="B954" t="str">
        <f ca="1">IFERROR(__xludf.DUMMYFUNCTION("""COMPUTED_VALUE"""),"RF-00000031-TOX")</f>
        <v>RF-00000031-TOX</v>
      </c>
    </row>
    <row r="955" spans="1:2" ht="12.5" x14ac:dyDescent="0.25">
      <c r="A955" t="str">
        <f ca="1">IFERROR(__xludf.DUMMYFUNCTION("""COMPUTED_VALUE"""),"Carboxy-22-desmethyl-8-methylazaspiracid")</f>
        <v>Carboxy-22-desmethyl-8-methylazaspiracid</v>
      </c>
      <c r="B955" t="str">
        <f ca="1">IFERROR(__xludf.DUMMYFUNCTION("""COMPUTED_VALUE"""),"RF-00000030-TOX")</f>
        <v>RF-00000030-TOX</v>
      </c>
    </row>
    <row r="956" spans="1:2" ht="12.5" x14ac:dyDescent="0.25">
      <c r="A956" t="str">
        <f ca="1">IFERROR(__xludf.DUMMYFUNCTION("""COMPUTED_VALUE"""),"Carboxy-22-desmethylazaspiracid")</f>
        <v>Carboxy-22-desmethylazaspiracid</v>
      </c>
      <c r="B956" t="str">
        <f ca="1">IFERROR(__xludf.DUMMYFUNCTION("""COMPUTED_VALUE"""),"RF-00000027-TOX")</f>
        <v>RF-00000027-TOX</v>
      </c>
    </row>
    <row r="957" spans="1:2" ht="12.5" x14ac:dyDescent="0.25">
      <c r="A957" t="str">
        <f ca="1">IFERROR(__xludf.DUMMYFUNCTION("""COMPUTED_VALUE"""),"Carboxy-3-hydroxy-8-methylazaspiracid")</f>
        <v>Carboxy-3-hydroxy-8-methylazaspiracid</v>
      </c>
      <c r="B957" t="str">
        <f ca="1">IFERROR(__xludf.DUMMYFUNCTION("""COMPUTED_VALUE"""),"RF-00000034-TOX")</f>
        <v>RF-00000034-TOX</v>
      </c>
    </row>
    <row r="958" spans="1:2" ht="12.5" x14ac:dyDescent="0.25">
      <c r="A958" t="str">
        <f ca="1">IFERROR(__xludf.DUMMYFUNCTION("""COMPUTED_VALUE"""),"Carboxy-3-hydroxyazaspiracid")</f>
        <v>Carboxy-3-hydroxyazaspiracid</v>
      </c>
      <c r="B958" t="str">
        <f ca="1">IFERROR(__xludf.DUMMYFUNCTION("""COMPUTED_VALUE"""),"RF-00000032-TOX")</f>
        <v>RF-00000032-TOX</v>
      </c>
    </row>
    <row r="959" spans="1:2" ht="12.5" x14ac:dyDescent="0.25">
      <c r="A959" t="str">
        <f ca="1">IFERROR(__xludf.DUMMYFUNCTION("""COMPUTED_VALUE"""),"Carboxy-8-methylazaspiracid")</f>
        <v>Carboxy-8-methylazaspiracid</v>
      </c>
      <c r="B959" t="str">
        <f ca="1">IFERROR(__xludf.DUMMYFUNCTION("""COMPUTED_VALUE"""),"RF-00000029-TOX")</f>
        <v>RF-00000029-TOX</v>
      </c>
    </row>
    <row r="960" spans="1:2" ht="12.5" x14ac:dyDescent="0.25">
      <c r="A960" t="str">
        <f ca="1">IFERROR(__xludf.DUMMYFUNCTION("""COMPUTED_VALUE"""),"Carboxyazaspiracid")</f>
        <v>Carboxyazaspiracid</v>
      </c>
      <c r="B960" t="str">
        <f ca="1">IFERROR(__xludf.DUMMYFUNCTION("""COMPUTED_VALUE"""),"RF-00000028-TOX")</f>
        <v>RF-00000028-TOX</v>
      </c>
    </row>
    <row r="961" spans="1:2" ht="12.5" x14ac:dyDescent="0.25">
      <c r="A961" t="str">
        <f ca="1">IFERROR(__xludf.DUMMYFUNCTION("""COMPUTED_VALUE"""),"carboxyYTX")</f>
        <v>carboxyYTX</v>
      </c>
      <c r="B961" t="str">
        <f ca="1">IFERROR(__xludf.DUMMYFUNCTION("""COMPUTED_VALUE"""),"RF-00000119-TOX")</f>
        <v>RF-00000119-TOX</v>
      </c>
    </row>
    <row r="962" spans="1:2" ht="12.5" x14ac:dyDescent="0.25">
      <c r="A962" t="str">
        <f ca="1">IFERROR(__xludf.DUMMYFUNCTION("""COMPUTED_VALUE"""),"Carbuterol")</f>
        <v>Carbuterol</v>
      </c>
      <c r="B962" t="str">
        <f ca="1">IFERROR(__xludf.DUMMYFUNCTION("""COMPUTED_VALUE"""),"RF-00000465-VET")</f>
        <v>RF-00000465-VET</v>
      </c>
    </row>
    <row r="963" spans="1:2" ht="12.5" x14ac:dyDescent="0.25">
      <c r="A963" t="str">
        <f ca="1">IFERROR(__xludf.DUMMYFUNCTION("""COMPUTED_VALUE"""),"Carfentrazone")</f>
        <v>Carfentrazone</v>
      </c>
      <c r="B963" t="str">
        <f ca="1">IFERROR(__xludf.DUMMYFUNCTION("""COMPUTED_VALUE"""),"RF-0070-002-PPP")</f>
        <v>RF-0070-002-PPP</v>
      </c>
    </row>
    <row r="964" spans="1:2" ht="12.5" x14ac:dyDescent="0.25">
      <c r="A964" t="str">
        <f ca="1">IFERROR(__xludf.DUMMYFUNCTION("""COMPUTED_VALUE"""),"Carfentrazone-ethyl")</f>
        <v>Carfentrazone-ethyl</v>
      </c>
      <c r="B964" t="str">
        <f ca="1">IFERROR(__xludf.DUMMYFUNCTION("""COMPUTED_VALUE"""),"RF-0070-003-PPP")</f>
        <v>RF-0070-003-PPP</v>
      </c>
    </row>
    <row r="965" spans="1:2" ht="12.5" x14ac:dyDescent="0.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x14ac:dyDescent="0.25">
      <c r="A966" t="str">
        <f ca="1">IFERROR(__xludf.DUMMYFUNCTION("""COMPUTED_VALUE"""),"Carnauba wax")</f>
        <v>Carnauba wax</v>
      </c>
      <c r="B966" t="str">
        <f ca="1">IFERROR(__xludf.DUMMYFUNCTION("""COMPUTED_VALUE"""),"RF-00000096-ADD")</f>
        <v>RF-00000096-ADD</v>
      </c>
    </row>
    <row r="967" spans="1:2" ht="12.5" x14ac:dyDescent="0.25">
      <c r="A967" t="str">
        <f ca="1">IFERROR(__xludf.DUMMYFUNCTION("""COMPUTED_VALUE"""),"Carnidazol")</f>
        <v>Carnidazol</v>
      </c>
      <c r="B967" t="str">
        <f ca="1">IFERROR(__xludf.DUMMYFUNCTION("""COMPUTED_VALUE"""),"RF-00000518-VET")</f>
        <v>RF-00000518-VET</v>
      </c>
    </row>
    <row r="968" spans="1:2" ht="12.5" x14ac:dyDescent="0.25">
      <c r="A968" t="str">
        <f ca="1">IFERROR(__xludf.DUMMYFUNCTION("""COMPUTED_VALUE"""),"carotene, total (vitamin A precursors)")</f>
        <v>carotene, total (vitamin A precursors)</v>
      </c>
      <c r="B968" t="str">
        <f ca="1">IFERROR(__xludf.DUMMYFUNCTION("""COMPUTED_VALUE"""),"RF-00000046-NTR")</f>
        <v>RF-00000046-NTR</v>
      </c>
    </row>
    <row r="969" spans="1:2" ht="12.5" x14ac:dyDescent="0.25">
      <c r="A969" t="str">
        <f ca="1">IFERROR(__xludf.DUMMYFUNCTION("""COMPUTED_VALUE"""),"carotenoids, total")</f>
        <v>carotenoids, total</v>
      </c>
      <c r="B969" t="str">
        <f ca="1">IFERROR(__xludf.DUMMYFUNCTION("""COMPUTED_VALUE"""),"RF-00000047-NTR")</f>
        <v>RF-00000047-NTR</v>
      </c>
    </row>
    <row r="970" spans="1:2" ht="12.5" x14ac:dyDescent="0.25">
      <c r="A970" t="str">
        <f ca="1">IFERROR(__xludf.DUMMYFUNCTION("""COMPUTED_VALUE"""),"Carprofen")</f>
        <v>Carprofen</v>
      </c>
      <c r="B970" t="str">
        <f ca="1">IFERROR(__xludf.DUMMYFUNCTION("""COMPUTED_VALUE"""),"RF-00000234-VET")</f>
        <v>RF-00000234-VET</v>
      </c>
    </row>
    <row r="971" spans="1:2" ht="12.5" x14ac:dyDescent="0.25">
      <c r="A971" t="str">
        <f ca="1">IFERROR(__xludf.DUMMYFUNCTION("""COMPUTED_VALUE"""),"Carpropamid")</f>
        <v>Carpropamid</v>
      </c>
      <c r="B971" t="str">
        <f ca="1">IFERROR(__xludf.DUMMYFUNCTION("""COMPUTED_VALUE"""),"RF-0537-001-PPP")</f>
        <v>RF-0537-001-PPP</v>
      </c>
    </row>
    <row r="972" spans="1:2" ht="12.5" x14ac:dyDescent="0.25">
      <c r="A972" t="str">
        <f ca="1">IFERROR(__xludf.DUMMYFUNCTION("""COMPUTED_VALUE"""),"Carrageenan")</f>
        <v>Carrageenan</v>
      </c>
      <c r="B972" t="str">
        <f ca="1">IFERROR(__xludf.DUMMYFUNCTION("""COMPUTED_VALUE"""),"RF-00000098-ADD")</f>
        <v>RF-00000098-ADD</v>
      </c>
    </row>
    <row r="973" spans="1:2" ht="12.5" x14ac:dyDescent="0.25">
      <c r="A973" t="str">
        <f ca="1">IFERROR(__xludf.DUMMYFUNCTION("""COMPUTED_VALUE"""),"Carribean ciguatoxins")</f>
        <v>Carribean ciguatoxins</v>
      </c>
      <c r="B973" t="str">
        <f ca="1">IFERROR(__xludf.DUMMYFUNCTION("""COMPUTED_VALUE"""),"RF-00000045-TOX")</f>
        <v>RF-00000045-TOX</v>
      </c>
    </row>
    <row r="974" spans="1:2" ht="12.5" x14ac:dyDescent="0.25">
      <c r="A974" t="str">
        <f ca="1">IFERROR(__xludf.DUMMYFUNCTION("""COMPUTED_VALUE"""),"Cartap")</f>
        <v>Cartap</v>
      </c>
      <c r="B974" t="str">
        <f ca="1">IFERROR(__xludf.DUMMYFUNCTION("""COMPUTED_VALUE"""),"RF-0071-001-PPP")</f>
        <v>RF-0071-001-PPP</v>
      </c>
    </row>
    <row r="975" spans="1:2" ht="12.5" x14ac:dyDescent="0.25">
      <c r="A975" t="str">
        <f ca="1">IFERROR(__xludf.DUMMYFUNCTION("""COMPUTED_VALUE"""),"Carvone")</f>
        <v>Carvone</v>
      </c>
      <c r="B975" t="str">
        <f ca="1">IFERROR(__xludf.DUMMYFUNCTION("""COMPUTED_VALUE"""),"RF-0538-001-PPP")</f>
        <v>RF-0538-001-PPP</v>
      </c>
    </row>
    <row r="976" spans="1:2" ht="12.5" x14ac:dyDescent="0.25">
      <c r="A976" t="str">
        <f ca="1">IFERROR(__xludf.DUMMYFUNCTION("""COMPUTED_VALUE"""),"casein")</f>
        <v>casein</v>
      </c>
      <c r="B976" t="str">
        <f ca="1">IFERROR(__xludf.DUMMYFUNCTION("""COMPUTED_VALUE"""),"RF-00000048-NTR")</f>
        <v>RF-00000048-NTR</v>
      </c>
    </row>
    <row r="977" spans="1:2" ht="12.5" x14ac:dyDescent="0.25">
      <c r="A977" t="str">
        <f ca="1">IFERROR(__xludf.DUMMYFUNCTION("""COMPUTED_VALUE"""),"Cassia gum")</f>
        <v>Cassia gum</v>
      </c>
      <c r="B977" t="str">
        <f ca="1">IFERROR(__xludf.DUMMYFUNCTION("""COMPUTED_VALUE"""),"RF-00000099-ADD")</f>
        <v>RF-00000099-ADD</v>
      </c>
    </row>
    <row r="978" spans="1:2" ht="12.5" x14ac:dyDescent="0.25">
      <c r="A978" t="str">
        <f ca="1">IFERROR(__xludf.DUMMYFUNCTION("""COMPUTED_VALUE"""),"catechin+C266")</f>
        <v>catechin+C266</v>
      </c>
      <c r="B978" t="str">
        <f ca="1">IFERROR(__xludf.DUMMYFUNCTION("""COMPUTED_VALUE"""),"RF-00000049-NTR")</f>
        <v>RF-00000049-NTR</v>
      </c>
    </row>
    <row r="979" spans="1:2" ht="12.5" x14ac:dyDescent="0.25">
      <c r="A979" t="str">
        <f ca="1">IFERROR(__xludf.DUMMYFUNCTION("""COMPUTED_VALUE"""),"Caustic sulphite caramel")</f>
        <v>Caustic sulphite caramel</v>
      </c>
      <c r="B979" t="str">
        <f ca="1">IFERROR(__xludf.DUMMYFUNCTION("""COMPUTED_VALUE"""),"RF-00000100-ADD")</f>
        <v>RF-00000100-ADD</v>
      </c>
    </row>
    <row r="980" spans="1:2" ht="12.5" x14ac:dyDescent="0.25">
      <c r="A980" t="str">
        <f ca="1">IFERROR(__xludf.DUMMYFUNCTION("""COMPUTED_VALUE"""),"Cefaclor")</f>
        <v>Cefaclor</v>
      </c>
      <c r="B980" t="str">
        <f ca="1">IFERROR(__xludf.DUMMYFUNCTION("""COMPUTED_VALUE"""),"RF-00000713-VET")</f>
        <v>RF-00000713-VET</v>
      </c>
    </row>
    <row r="981" spans="1:2" ht="12.5" x14ac:dyDescent="0.25">
      <c r="A981" t="str">
        <f ca="1">IFERROR(__xludf.DUMMYFUNCTION("""COMPUTED_VALUE"""),"Cefalexin")</f>
        <v>Cefalexin</v>
      </c>
      <c r="B981" t="str">
        <f ca="1">IFERROR(__xludf.DUMMYFUNCTION("""COMPUTED_VALUE"""),"RF-00000803-VET")</f>
        <v>RF-00000803-VET</v>
      </c>
    </row>
    <row r="982" spans="1:2" ht="12.5" x14ac:dyDescent="0.25">
      <c r="A982" t="str">
        <f ca="1">IFERROR(__xludf.DUMMYFUNCTION("""COMPUTED_VALUE"""),"Cefalexin (Cefalexin Anhydrate)")</f>
        <v>Cefalexin (Cefalexin Anhydrate)</v>
      </c>
      <c r="B982" t="str">
        <f ca="1">IFERROR(__xludf.DUMMYFUNCTION("""COMPUTED_VALUE"""),"RF-00000640-VET")</f>
        <v>RF-00000640-VET</v>
      </c>
    </row>
    <row r="983" spans="1:2" ht="12.5" x14ac:dyDescent="0.25">
      <c r="A983" t="str">
        <f ca="1">IFERROR(__xludf.DUMMYFUNCTION("""COMPUTED_VALUE"""),"Cefalexin + Kanamycin")</f>
        <v>Cefalexin + Kanamycin</v>
      </c>
      <c r="B983" t="str">
        <f ca="1">IFERROR(__xludf.DUMMYFUNCTION("""COMPUTED_VALUE"""),"RF-00000727-VET")</f>
        <v>RF-00000727-VET</v>
      </c>
    </row>
    <row r="984" spans="1:2" ht="12.5" x14ac:dyDescent="0.25">
      <c r="A984" t="str">
        <f ca="1">IFERROR(__xludf.DUMMYFUNCTION("""COMPUTED_VALUE"""),"Cefalonium")</f>
        <v>Cefalonium</v>
      </c>
      <c r="B984" t="str">
        <f ca="1">IFERROR(__xludf.DUMMYFUNCTION("""COMPUTED_VALUE"""),"RF-00000632-VET")</f>
        <v>RF-00000632-VET</v>
      </c>
    </row>
    <row r="985" spans="1:2" ht="12.5" x14ac:dyDescent="0.25">
      <c r="A985" t="str">
        <f ca="1">IFERROR(__xludf.DUMMYFUNCTION("""COMPUTED_VALUE"""),"Cefapirin")</f>
        <v>Cefapirin</v>
      </c>
      <c r="B985" t="str">
        <f ca="1">IFERROR(__xludf.DUMMYFUNCTION("""COMPUTED_VALUE"""),"RF-00000630-VET")</f>
        <v>RF-00000630-VET</v>
      </c>
    </row>
    <row r="986" spans="1:2" ht="12.5" x14ac:dyDescent="0.25">
      <c r="A986" t="str">
        <f ca="1">IFERROR(__xludf.DUMMYFUNCTION("""COMPUTED_VALUE"""),"Cefapirin sodium")</f>
        <v>Cefapirin sodium</v>
      </c>
      <c r="B986" t="str">
        <f ca="1">IFERROR(__xludf.DUMMYFUNCTION("""COMPUTED_VALUE"""),"RF-00000628-VET")</f>
        <v>RF-00000628-VET</v>
      </c>
    </row>
    <row r="987" spans="1:2" ht="12.5" x14ac:dyDescent="0.25">
      <c r="A987" t="str">
        <f ca="1">IFERROR(__xludf.DUMMYFUNCTION("""COMPUTED_VALUE"""),"Cefazolin")</f>
        <v>Cefazolin</v>
      </c>
      <c r="B987" t="str">
        <f ca="1">IFERROR(__xludf.DUMMYFUNCTION("""COMPUTED_VALUE"""),"RF-00000627-VET")</f>
        <v>RF-00000627-VET</v>
      </c>
    </row>
    <row r="988" spans="1:2" ht="12.5" x14ac:dyDescent="0.25">
      <c r="A988" t="str">
        <f ca="1">IFERROR(__xludf.DUMMYFUNCTION("""COMPUTED_VALUE"""),"Cefepime")</f>
        <v>Cefepime</v>
      </c>
      <c r="B988" t="str">
        <f ca="1">IFERROR(__xludf.DUMMYFUNCTION("""COMPUTED_VALUE"""),"RF-00000714-VET")</f>
        <v>RF-00000714-VET</v>
      </c>
    </row>
    <row r="989" spans="1:2" ht="12.5" x14ac:dyDescent="0.25">
      <c r="A989" t="str">
        <f ca="1">IFERROR(__xludf.DUMMYFUNCTION("""COMPUTED_VALUE"""),"Cefepime + Clavulanic acid")</f>
        <v>Cefepime + Clavulanic acid</v>
      </c>
      <c r="B989" t="str">
        <f ca="1">IFERROR(__xludf.DUMMYFUNCTION("""COMPUTED_VALUE"""),"RF-00000145-PAR")</f>
        <v>RF-00000145-PAR</v>
      </c>
    </row>
    <row r="990" spans="1:2" ht="12.5" x14ac:dyDescent="0.25">
      <c r="A990" t="str">
        <f ca="1">IFERROR(__xludf.DUMMYFUNCTION("""COMPUTED_VALUE"""),"Cefepime + Cloxacillin")</f>
        <v>Cefepime + Cloxacillin</v>
      </c>
      <c r="B990" t="str">
        <f ca="1">IFERROR(__xludf.DUMMYFUNCTION("""COMPUTED_VALUE"""),"RF-00000149-PAR")</f>
        <v>RF-00000149-PAR</v>
      </c>
    </row>
    <row r="991" spans="1:2" ht="12.5" x14ac:dyDescent="0.25">
      <c r="A991" t="str">
        <f ca="1">IFERROR(__xludf.DUMMYFUNCTION("""COMPUTED_VALUE"""),"Cefixim")</f>
        <v>Cefixim</v>
      </c>
      <c r="B991" t="str">
        <f ca="1">IFERROR(__xludf.DUMMYFUNCTION("""COMPUTED_VALUE"""),"RF-00000715-VET")</f>
        <v>RF-00000715-VET</v>
      </c>
    </row>
    <row r="992" spans="1:2" ht="12.5" x14ac:dyDescent="0.25">
      <c r="A992" t="str">
        <f ca="1">IFERROR(__xludf.DUMMYFUNCTION("""COMPUTED_VALUE"""),"Cefoperazon")</f>
        <v>Cefoperazon</v>
      </c>
      <c r="B992" t="str">
        <f ca="1">IFERROR(__xludf.DUMMYFUNCTION("""COMPUTED_VALUE"""),"RF-00000626-VET")</f>
        <v>RF-00000626-VET</v>
      </c>
    </row>
    <row r="993" spans="1:2" ht="12.5" x14ac:dyDescent="0.25">
      <c r="A993" t="str">
        <f ca="1">IFERROR(__xludf.DUMMYFUNCTION("""COMPUTED_VALUE"""),"Cefoperazone")</f>
        <v>Cefoperazone</v>
      </c>
      <c r="B993" t="str">
        <f ca="1">IFERROR(__xludf.DUMMYFUNCTION("""COMPUTED_VALUE"""),"RF-00000716-VET")</f>
        <v>RF-00000716-VET</v>
      </c>
    </row>
    <row r="994" spans="1:2" ht="12.5" x14ac:dyDescent="0.25">
      <c r="A994" t="str">
        <f ca="1">IFERROR(__xludf.DUMMYFUNCTION("""COMPUTED_VALUE"""),"Cefotaxim")</f>
        <v>Cefotaxim</v>
      </c>
      <c r="B994" t="str">
        <f ca="1">IFERROR(__xludf.DUMMYFUNCTION("""COMPUTED_VALUE"""),"RF-00000717-VET")</f>
        <v>RF-00000717-VET</v>
      </c>
    </row>
    <row r="995" spans="1:2" ht="12.5" x14ac:dyDescent="0.25">
      <c r="A995" t="str">
        <f ca="1">IFERROR(__xludf.DUMMYFUNCTION("""COMPUTED_VALUE"""),"Cefotaxime + Clavulanic acid")</f>
        <v>Cefotaxime + Clavulanic acid</v>
      </c>
      <c r="B995" t="str">
        <f ca="1">IFERROR(__xludf.DUMMYFUNCTION("""COMPUTED_VALUE"""),"RF-00000146-PAR")</f>
        <v>RF-00000146-PAR</v>
      </c>
    </row>
    <row r="996" spans="1:2" ht="12.5" x14ac:dyDescent="0.25">
      <c r="A996" t="str">
        <f ca="1">IFERROR(__xludf.DUMMYFUNCTION("""COMPUTED_VALUE"""),"Cefotaxime + Cloxacillin")</f>
        <v>Cefotaxime + Cloxacillin</v>
      </c>
      <c r="B996" t="str">
        <f ca="1">IFERROR(__xludf.DUMMYFUNCTION("""COMPUTED_VALUE"""),"RF-00000151-PAR")</f>
        <v>RF-00000151-PAR</v>
      </c>
    </row>
    <row r="997" spans="1:2" ht="12.5" x14ac:dyDescent="0.25">
      <c r="A997" t="str">
        <f ca="1">IFERROR(__xludf.DUMMYFUNCTION("""COMPUTED_VALUE"""),"Cefoxitin")</f>
        <v>Cefoxitin</v>
      </c>
      <c r="B997" t="str">
        <f ca="1">IFERROR(__xludf.DUMMYFUNCTION("""COMPUTED_VALUE"""),"RF-00000718-VET")</f>
        <v>RF-00000718-VET</v>
      </c>
    </row>
    <row r="998" spans="1:2" ht="12.5" x14ac:dyDescent="0.25">
      <c r="A998" t="str">
        <f ca="1">IFERROR(__xludf.DUMMYFUNCTION("""COMPUTED_VALUE"""),"Cefpodoxime")</f>
        <v>Cefpodoxime</v>
      </c>
      <c r="B998" t="str">
        <f ca="1">IFERROR(__xludf.DUMMYFUNCTION("""COMPUTED_VALUE"""),"RF-00000719-VET")</f>
        <v>RF-00000719-VET</v>
      </c>
    </row>
    <row r="999" spans="1:2" ht="12.5" x14ac:dyDescent="0.25">
      <c r="A999" t="str">
        <f ca="1">IFERROR(__xludf.DUMMYFUNCTION("""COMPUTED_VALUE"""),"Cefquinom")</f>
        <v>Cefquinom</v>
      </c>
      <c r="B999" t="str">
        <f ca="1">IFERROR(__xludf.DUMMYFUNCTION("""COMPUTED_VALUE"""),"RF-00000668-VET")</f>
        <v>RF-00000668-VET</v>
      </c>
    </row>
    <row r="1000" spans="1:2" ht="12.5" x14ac:dyDescent="0.25">
      <c r="A1000" t="str">
        <f ca="1">IFERROR(__xludf.DUMMYFUNCTION("""COMPUTED_VALUE"""),"Ceftazidim")</f>
        <v>Ceftazidim</v>
      </c>
      <c r="B1000" t="str">
        <f ca="1">IFERROR(__xludf.DUMMYFUNCTION("""COMPUTED_VALUE"""),"RF-00000720-VET")</f>
        <v>RF-00000720-VET</v>
      </c>
    </row>
    <row r="1001" spans="1:2" ht="12.5" x14ac:dyDescent="0.25">
      <c r="A1001" t="str">
        <f ca="1">IFERROR(__xludf.DUMMYFUNCTION("""COMPUTED_VALUE"""),"Ceftazidime + Clavulanic acid")</f>
        <v>Ceftazidime + Clavulanic acid</v>
      </c>
      <c r="B1001" t="str">
        <f ca="1">IFERROR(__xludf.DUMMYFUNCTION("""COMPUTED_VALUE"""),"RF-00000147-PAR")</f>
        <v>RF-00000147-PAR</v>
      </c>
    </row>
    <row r="1002" spans="1:2" ht="12.5" x14ac:dyDescent="0.25">
      <c r="A1002" t="str">
        <f ca="1">IFERROR(__xludf.DUMMYFUNCTION("""COMPUTED_VALUE"""),"Ceftazidime + Cloxacillin")</f>
        <v>Ceftazidime + Cloxacillin</v>
      </c>
      <c r="B1002" t="str">
        <f ca="1">IFERROR(__xludf.DUMMYFUNCTION("""COMPUTED_VALUE"""),"RF-00000150-PAR")</f>
        <v>RF-00000150-PAR</v>
      </c>
    </row>
    <row r="1003" spans="1:2" ht="12.5" x14ac:dyDescent="0.25">
      <c r="A1003" t="str">
        <f ca="1">IFERROR(__xludf.DUMMYFUNCTION("""COMPUTED_VALUE"""),"Ceftiofur")</f>
        <v>Ceftiofur</v>
      </c>
      <c r="B1003" t="str">
        <f ca="1">IFERROR(__xludf.DUMMYFUNCTION("""COMPUTED_VALUE"""),"RF-00000629-VET")</f>
        <v>RF-00000629-VET</v>
      </c>
    </row>
    <row r="1004" spans="1:2" ht="12.5" x14ac:dyDescent="0.25">
      <c r="A1004" t="str">
        <f ca="1">IFERROR(__xludf.DUMMYFUNCTION("""COMPUTED_VALUE"""),"Ceftizoxim")</f>
        <v>Ceftizoxim</v>
      </c>
      <c r="B1004" t="str">
        <f ca="1">IFERROR(__xludf.DUMMYFUNCTION("""COMPUTED_VALUE"""),"RF-00000721-VET")</f>
        <v>RF-00000721-VET</v>
      </c>
    </row>
    <row r="1005" spans="1:2" ht="12.5" x14ac:dyDescent="0.25">
      <c r="A1005" t="str">
        <f ca="1">IFERROR(__xludf.DUMMYFUNCTION("""COMPUTED_VALUE"""),"Ceftobiprole")</f>
        <v>Ceftobiprole</v>
      </c>
      <c r="B1005" t="str">
        <f ca="1">IFERROR(__xludf.DUMMYFUNCTION("""COMPUTED_VALUE"""),"RF-00000154-PAR")</f>
        <v>RF-00000154-PAR</v>
      </c>
    </row>
    <row r="1006" spans="1:2" ht="12.5" x14ac:dyDescent="0.25">
      <c r="A1006" t="str">
        <f ca="1">IFERROR(__xludf.DUMMYFUNCTION("""COMPUTED_VALUE"""),"Ceftriaxon")</f>
        <v>Ceftriaxon</v>
      </c>
      <c r="B1006" t="str">
        <f ca="1">IFERROR(__xludf.DUMMYFUNCTION("""COMPUTED_VALUE"""),"RF-00000722-VET")</f>
        <v>RF-00000722-VET</v>
      </c>
    </row>
    <row r="1007" spans="1:2" ht="12.5" x14ac:dyDescent="0.25">
      <c r="A1007" t="str">
        <f ca="1">IFERROR(__xludf.DUMMYFUNCTION("""COMPUTED_VALUE"""),"Cefuroxim")</f>
        <v>Cefuroxim</v>
      </c>
      <c r="B1007" t="str">
        <f ca="1">IFERROR(__xludf.DUMMYFUNCTION("""COMPUTED_VALUE"""),"RF-00000723-VET")</f>
        <v>RF-00000723-VET</v>
      </c>
    </row>
    <row r="1008" spans="1:2" ht="12.5" x14ac:dyDescent="0.25">
      <c r="A1008" t="str">
        <f ca="1">IFERROR(__xludf.DUMMYFUNCTION("""COMPUTED_VALUE"""),"Cefuroxime")</f>
        <v>Cefuroxime</v>
      </c>
      <c r="B1008" t="str">
        <f ca="1">IFERROR(__xludf.DUMMYFUNCTION("""COMPUTED_VALUE"""),"RF-00000633-VET")</f>
        <v>RF-00000633-VET</v>
      </c>
    </row>
    <row r="1009" spans="1:2" ht="12.5" x14ac:dyDescent="0.25">
      <c r="A1009" t="str">
        <f ca="1">IFERROR(__xludf.DUMMYFUNCTION("""COMPUTED_VALUE"""),"Cekafix")</f>
        <v>Cekafix</v>
      </c>
      <c r="B1009" t="str">
        <f ca="1">IFERROR(__xludf.DUMMYFUNCTION("""COMPUTED_VALUE"""),"RF-1065-001-PPP")</f>
        <v>RF-1065-001-PPP</v>
      </c>
    </row>
    <row r="1010" spans="1:2" ht="12.5" x14ac:dyDescent="0.25">
      <c r="A1010" t="str">
        <f ca="1">IFERROR(__xludf.DUMMYFUNCTION("""COMPUTED_VALUE"""),"Cellulose")</f>
        <v>Cellulose</v>
      </c>
      <c r="B1010" t="str">
        <f ca="1">IFERROR(__xludf.DUMMYFUNCTION("""COMPUTED_VALUE"""),"RF-00000101-ADD")</f>
        <v>RF-00000101-ADD</v>
      </c>
    </row>
    <row r="1011" spans="1:2" ht="12.5" x14ac:dyDescent="0.25">
      <c r="A1011" t="str">
        <f ca="1">IFERROR(__xludf.DUMMYFUNCTION("""COMPUTED_VALUE"""),"Cephacetril")</f>
        <v>Cephacetril</v>
      </c>
      <c r="B1011" t="str">
        <f ca="1">IFERROR(__xludf.DUMMYFUNCTION("""COMPUTED_VALUE"""),"RF-00000634-VET")</f>
        <v>RF-00000634-VET</v>
      </c>
    </row>
    <row r="1012" spans="1:2" ht="12.5" x14ac:dyDescent="0.25">
      <c r="A1012" t="str">
        <f ca="1">IFERROR(__xludf.DUMMYFUNCTION("""COMPUTED_VALUE"""),"Cephaloridin")</f>
        <v>Cephaloridin</v>
      </c>
      <c r="B1012" t="str">
        <f ca="1">IFERROR(__xludf.DUMMYFUNCTION("""COMPUTED_VALUE"""),"RF-00000724-VET")</f>
        <v>RF-00000724-VET</v>
      </c>
    </row>
    <row r="1013" spans="1:2" ht="12.5" x14ac:dyDescent="0.25">
      <c r="A1013" t="str">
        <f ca="1">IFERROR(__xludf.DUMMYFUNCTION("""COMPUTED_VALUE"""),"Cephalosporin C")</f>
        <v>Cephalosporin C</v>
      </c>
      <c r="B1013" t="str">
        <f ca="1">IFERROR(__xludf.DUMMYFUNCTION("""COMPUTED_VALUE"""),"RF-00000635-VET")</f>
        <v>RF-00000635-VET</v>
      </c>
    </row>
    <row r="1014" spans="1:2" ht="12.5" x14ac:dyDescent="0.25">
      <c r="A1014" t="str">
        <f ca="1">IFERROR(__xludf.DUMMYFUNCTION("""COMPUTED_VALUE"""),"Cephalosporin combinations")</f>
        <v>Cephalosporin combinations</v>
      </c>
      <c r="B1014" t="str">
        <f ca="1">IFERROR(__xludf.DUMMYFUNCTION("""COMPUTED_VALUE"""),"RF-00000806-VET")</f>
        <v>RF-00000806-VET</v>
      </c>
    </row>
    <row r="1015" spans="1:2" ht="12.5" x14ac:dyDescent="0.25">
      <c r="A1015" t="str">
        <f ca="1">IFERROR(__xludf.DUMMYFUNCTION("""COMPUTED_VALUE"""),"Cephalosporins")</f>
        <v>Cephalosporins</v>
      </c>
      <c r="B1015" t="str">
        <f ca="1">IFERROR(__xludf.DUMMYFUNCTION("""COMPUTED_VALUE"""),"RF-00000650-VET")</f>
        <v>RF-00000650-VET</v>
      </c>
    </row>
    <row r="1016" spans="1:2" ht="12.5" x14ac:dyDescent="0.25">
      <c r="A1016" t="str">
        <f ca="1">IFERROR(__xludf.DUMMYFUNCTION("""COMPUTED_VALUE"""),"Cephalosporins + Aminoglycosides")</f>
        <v>Cephalosporins + Aminoglycosides</v>
      </c>
      <c r="B1016" t="str">
        <f ca="1">IFERROR(__xludf.DUMMYFUNCTION("""COMPUTED_VALUE"""),"RF-00000726-VET")</f>
        <v>RF-00000726-VET</v>
      </c>
    </row>
    <row r="1017" spans="1:2" ht="12.5" x14ac:dyDescent="0.25">
      <c r="A1017" t="str">
        <f ca="1">IFERROR(__xludf.DUMMYFUNCTION("""COMPUTED_VALUE"""),"Cephalosporins + Beta lactamase inhibitors")</f>
        <v>Cephalosporins + Beta lactamase inhibitors</v>
      </c>
      <c r="B1017" t="str">
        <f ca="1">IFERROR(__xludf.DUMMYFUNCTION("""COMPUTED_VALUE"""),"RF-00000144-PAR")</f>
        <v>RF-00000144-PAR</v>
      </c>
    </row>
    <row r="1018" spans="1:2" ht="12.5" x14ac:dyDescent="0.25">
      <c r="A1018" t="str">
        <f ca="1">IFERROR(__xludf.DUMMYFUNCTION("""COMPUTED_VALUE"""),"Cephalosporins + Penicillin")</f>
        <v>Cephalosporins + Penicillin</v>
      </c>
      <c r="B1018" t="str">
        <f ca="1">IFERROR(__xludf.DUMMYFUNCTION("""COMPUTED_VALUE"""),"RF-00000148-PAR")</f>
        <v>RF-00000148-PAR</v>
      </c>
    </row>
    <row r="1019" spans="1:2" ht="12.5" x14ac:dyDescent="0.25">
      <c r="A1019" t="str">
        <f ca="1">IFERROR(__xludf.DUMMYFUNCTION("""COMPUTED_VALUE"""),"Cephalothin")</f>
        <v>Cephalothin</v>
      </c>
      <c r="B1019" t="str">
        <f ca="1">IFERROR(__xludf.DUMMYFUNCTION("""COMPUTED_VALUE"""),"RF-00000725-VET")</f>
        <v>RF-00000725-VET</v>
      </c>
    </row>
    <row r="1020" spans="1:2" ht="12.5" x14ac:dyDescent="0.25">
      <c r="A1020" t="str">
        <f ca="1">IFERROR(__xludf.DUMMYFUNCTION("""COMPUTED_VALUE"""),"Cephalotin")</f>
        <v>Cephalotin</v>
      </c>
      <c r="B1020" t="str">
        <f ca="1">IFERROR(__xludf.DUMMYFUNCTION("""COMPUTED_VALUE"""),"RF-00000637-VET")</f>
        <v>RF-00000637-VET</v>
      </c>
    </row>
    <row r="1021" spans="1:2" ht="12.5" x14ac:dyDescent="0.25">
      <c r="A1021" t="str">
        <f ca="1">IFERROR(__xludf.DUMMYFUNCTION("""COMPUTED_VALUE"""),"Cesium 134")</f>
        <v>Cesium 134</v>
      </c>
      <c r="B1021" t="str">
        <f ca="1">IFERROR(__xludf.DUMMYFUNCTION("""COMPUTED_VALUE"""),"RF-00000004-RAD")</f>
        <v>RF-00000004-RAD</v>
      </c>
    </row>
    <row r="1022" spans="1:2" ht="12.5" x14ac:dyDescent="0.25">
      <c r="A1022" t="str">
        <f ca="1">IFERROR(__xludf.DUMMYFUNCTION("""COMPUTED_VALUE"""),"Cesium 137")</f>
        <v>Cesium 137</v>
      </c>
      <c r="B1022" t="str">
        <f ca="1">IFERROR(__xludf.DUMMYFUNCTION("""COMPUTED_VALUE"""),"RF-00000005-RAD")</f>
        <v>RF-00000005-RAD</v>
      </c>
    </row>
    <row r="1023" spans="1:2" ht="12.5" x14ac:dyDescent="0.25">
      <c r="A1023" t="str">
        <f ca="1">IFERROR(__xludf.DUMMYFUNCTION("""COMPUTED_VALUE"""),"Cestodes")</f>
        <v>Cestodes</v>
      </c>
      <c r="B1023" t="str">
        <f ca="1">IFERROR(__xludf.DUMMYFUNCTION("""COMPUTED_VALUE"""),"RF-00002796-MCG")</f>
        <v>RF-00002796-MCG</v>
      </c>
    </row>
    <row r="1024" spans="1:2" ht="12.5" x14ac:dyDescent="0.25">
      <c r="A1024" t="str">
        <f ca="1">IFERROR(__xludf.DUMMYFUNCTION("""COMPUTED_VALUE"""),"Chanoclavine-1")</f>
        <v>Chanoclavine-1</v>
      </c>
      <c r="B1024" t="str">
        <f ca="1">IFERROR(__xludf.DUMMYFUNCTION("""COMPUTED_VALUE"""),"RF-00000381-TOX")</f>
        <v>RF-00000381-TOX</v>
      </c>
    </row>
    <row r="1025" spans="1:2" ht="12.5" x14ac:dyDescent="0.25">
      <c r="A1025" t="str">
        <f ca="1">IFERROR(__xludf.DUMMYFUNCTION("""COMPUTED_VALUE"""),"Chemical elements and derivatives")</f>
        <v>Chemical elements and derivatives</v>
      </c>
      <c r="B1025" t="str">
        <f ca="1">IFERROR(__xludf.DUMMYFUNCTION("""COMPUTED_VALUE"""),"RF-00000001-CHE")</f>
        <v>RF-00000001-CHE</v>
      </c>
    </row>
    <row r="1026" spans="1:2" ht="12.5" x14ac:dyDescent="0.25">
      <c r="A1026" t="str">
        <f ca="1">IFERROR(__xludf.DUMMYFUNCTION("""COMPUTED_VALUE"""),"chemical score")</f>
        <v>chemical score</v>
      </c>
      <c r="B1026" t="str">
        <f ca="1">IFERROR(__xludf.DUMMYFUNCTION("""COMPUTED_VALUE"""),"RF-00000050-NTR")</f>
        <v>RF-00000050-NTR</v>
      </c>
    </row>
    <row r="1027" spans="1:2" ht="12.5" x14ac:dyDescent="0.25">
      <c r="A1027" t="str">
        <f ca="1">IFERROR(__xludf.DUMMYFUNCTION("""COMPUTED_VALUE"""),"Chinomethionat")</f>
        <v>Chinomethionat</v>
      </c>
      <c r="B1027" t="str">
        <f ca="1">IFERROR(__xludf.DUMMYFUNCTION("""COMPUTED_VALUE"""),"RF-0539-001-PPP")</f>
        <v>RF-0539-001-PPP</v>
      </c>
    </row>
    <row r="1028" spans="1:2" ht="12.5" x14ac:dyDescent="0.25">
      <c r="A1028" t="str">
        <f ca="1">IFERROR(__xludf.DUMMYFUNCTION("""COMPUTED_VALUE"""),"Chinoxalin (Quindoxin)")</f>
        <v>Chinoxalin (Quindoxin)</v>
      </c>
      <c r="B1028" t="str">
        <f ca="1">IFERROR(__xludf.DUMMYFUNCTION("""COMPUTED_VALUE"""),"RF-00000265-VET")</f>
        <v>RF-00000265-VET</v>
      </c>
    </row>
    <row r="1029" spans="1:2" ht="12.5" x14ac:dyDescent="0.25">
      <c r="A1029" t="str">
        <f ca="1">IFERROR(__xludf.DUMMYFUNCTION("""COMPUTED_VALUE"""),"Chlamydia - Chlamydophila")</f>
        <v>Chlamydia - Chlamydophila</v>
      </c>
      <c r="B1029" t="str">
        <f ca="1">IFERROR(__xludf.DUMMYFUNCTION("""COMPUTED_VALUE"""),"RF-00000068-MCG")</f>
        <v>RF-00000068-MCG</v>
      </c>
    </row>
    <row r="1030" spans="1:2" ht="12.5" x14ac:dyDescent="0.25">
      <c r="A1030" t="str">
        <f ca="1">IFERROR(__xludf.DUMMYFUNCTION("""COMPUTED_VALUE"""),"Chlamydia muridarum")</f>
        <v>Chlamydia muridarum</v>
      </c>
      <c r="B1030" t="str">
        <f ca="1">IFERROR(__xludf.DUMMYFUNCTION("""COMPUTED_VALUE"""),"RF-00000070-MCG")</f>
        <v>RF-00000070-MCG</v>
      </c>
    </row>
    <row r="1031" spans="1:2" ht="12.5" x14ac:dyDescent="0.25">
      <c r="A1031" t="str">
        <f ca="1">IFERROR(__xludf.DUMMYFUNCTION("""COMPUTED_VALUE"""),"Chlamydia spp., unspecified")</f>
        <v>Chlamydia spp., unspecified</v>
      </c>
      <c r="B1031" t="str">
        <f ca="1">IFERROR(__xludf.DUMMYFUNCTION("""COMPUTED_VALUE"""),"RF-00000076-MCG")</f>
        <v>RF-00000076-MCG</v>
      </c>
    </row>
    <row r="1032" spans="1:2" ht="12.5" x14ac:dyDescent="0.25">
      <c r="A1032" t="str">
        <f ca="1">IFERROR(__xludf.DUMMYFUNCTION("""COMPUTED_VALUE"""),"Chlamydia suis")</f>
        <v>Chlamydia suis</v>
      </c>
      <c r="B1032" t="str">
        <f ca="1">IFERROR(__xludf.DUMMYFUNCTION("""COMPUTED_VALUE"""),"RF-00000074-MCG")</f>
        <v>RF-00000074-MCG</v>
      </c>
    </row>
    <row r="1033" spans="1:2" ht="12.5" x14ac:dyDescent="0.25">
      <c r="A1033" t="str">
        <f ca="1">IFERROR(__xludf.DUMMYFUNCTION("""COMPUTED_VALUE"""),"Chlamydia trachomatis")</f>
        <v>Chlamydia trachomatis</v>
      </c>
      <c r="B1033" t="str">
        <f ca="1">IFERROR(__xludf.DUMMYFUNCTION("""COMPUTED_VALUE"""),"RF-00000072-MCG")</f>
        <v>RF-00000072-MCG</v>
      </c>
    </row>
    <row r="1034" spans="1:2" ht="12.5" x14ac:dyDescent="0.25">
      <c r="A1034" t="str">
        <f ca="1">IFERROR(__xludf.DUMMYFUNCTION("""COMPUTED_VALUE"""),"Chlamydophila abortus")</f>
        <v>Chlamydophila abortus</v>
      </c>
      <c r="B1034" t="str">
        <f ca="1">IFERROR(__xludf.DUMMYFUNCTION("""COMPUTED_VALUE"""),"RF-00000078-MCG")</f>
        <v>RF-00000078-MCG</v>
      </c>
    </row>
    <row r="1035" spans="1:2" ht="12.5" x14ac:dyDescent="0.25">
      <c r="A1035" t="str">
        <f ca="1">IFERROR(__xludf.DUMMYFUNCTION("""COMPUTED_VALUE"""),"Chlamydophila caviae")</f>
        <v>Chlamydophila caviae</v>
      </c>
      <c r="B1035" t="str">
        <f ca="1">IFERROR(__xludf.DUMMYFUNCTION("""COMPUTED_VALUE"""),"RF-00000071-MCG")</f>
        <v>RF-00000071-MCG</v>
      </c>
    </row>
    <row r="1036" spans="1:2" ht="12.5" x14ac:dyDescent="0.25">
      <c r="A1036" t="str">
        <f ca="1">IFERROR(__xludf.DUMMYFUNCTION("""COMPUTED_VALUE"""),"Chlamydophila felis")</f>
        <v>Chlamydophila felis</v>
      </c>
      <c r="B1036" t="str">
        <f ca="1">IFERROR(__xludf.DUMMYFUNCTION("""COMPUTED_VALUE"""),"RF-00000069-MCG")</f>
        <v>RF-00000069-MCG</v>
      </c>
    </row>
    <row r="1037" spans="1:2" ht="12.5" x14ac:dyDescent="0.25">
      <c r="A1037" t="str">
        <f ca="1">IFERROR(__xludf.DUMMYFUNCTION("""COMPUTED_VALUE"""),"Chlamydophila pecorum")</f>
        <v>Chlamydophila pecorum</v>
      </c>
      <c r="B1037" t="str">
        <f ca="1">IFERROR(__xludf.DUMMYFUNCTION("""COMPUTED_VALUE"""),"RF-00000079-MCG")</f>
        <v>RF-00000079-MCG</v>
      </c>
    </row>
    <row r="1038" spans="1:2" ht="12.5" x14ac:dyDescent="0.25">
      <c r="A1038" t="str">
        <f ca="1">IFERROR(__xludf.DUMMYFUNCTION("""COMPUTED_VALUE"""),"Chlamydophila pneumoniae")</f>
        <v>Chlamydophila pneumoniae</v>
      </c>
      <c r="B1038" t="str">
        <f ca="1">IFERROR(__xludf.DUMMYFUNCTION("""COMPUTED_VALUE"""),"RF-00000073-MCG")</f>
        <v>RF-00000073-MCG</v>
      </c>
    </row>
    <row r="1039" spans="1:2" ht="12.5" x14ac:dyDescent="0.25">
      <c r="A1039" t="str">
        <f ca="1">IFERROR(__xludf.DUMMYFUNCTION("""COMPUTED_VALUE"""),"Chlamydophila psittaci")</f>
        <v>Chlamydophila psittaci</v>
      </c>
      <c r="B1039" t="str">
        <f ca="1">IFERROR(__xludf.DUMMYFUNCTION("""COMPUTED_VALUE"""),"RF-00000075-MCG")</f>
        <v>RF-00000075-MCG</v>
      </c>
    </row>
    <row r="1040" spans="1:2" ht="12.5" x14ac:dyDescent="0.25">
      <c r="A1040" t="str">
        <f ca="1">IFERROR(__xludf.DUMMYFUNCTION("""COMPUTED_VALUE"""),"Chlamydophila spp., unspecified")</f>
        <v>Chlamydophila spp., unspecified</v>
      </c>
      <c r="B1040" t="str">
        <f ca="1">IFERROR(__xludf.DUMMYFUNCTION("""COMPUTED_VALUE"""),"RF-00000077-MCG")</f>
        <v>RF-00000077-MCG</v>
      </c>
    </row>
    <row r="1041" spans="1:2" ht="12.5" x14ac:dyDescent="0.25">
      <c r="A1041" t="str">
        <f ca="1">IFERROR(__xludf.DUMMYFUNCTION("""COMPUTED_VALUE"""),"Chlomethoxyfen")</f>
        <v>Chlomethoxyfen</v>
      </c>
      <c r="B1041" t="str">
        <f ca="1">IFERROR(__xludf.DUMMYFUNCTION("""COMPUTED_VALUE"""),"RF-0540-001-PPP")</f>
        <v>RF-0540-001-PPP</v>
      </c>
    </row>
    <row r="1042" spans="1:2" ht="12.5" x14ac:dyDescent="0.25">
      <c r="A1042" t="str">
        <f ca="1">IFERROR(__xludf.DUMMYFUNCTION("""COMPUTED_VALUE"""),"Chlopidol")</f>
        <v>Chlopidol</v>
      </c>
      <c r="B1042" t="str">
        <f ca="1">IFERROR(__xludf.DUMMYFUNCTION("""COMPUTED_VALUE"""),"RF-00000081-VET")</f>
        <v>RF-00000081-VET</v>
      </c>
    </row>
    <row r="1043" spans="1:2" ht="12.5" x14ac:dyDescent="0.25">
      <c r="A1043" t="str">
        <f ca="1">IFERROR(__xludf.DUMMYFUNCTION("""COMPUTED_VALUE"""),"Chloramben")</f>
        <v>Chloramben</v>
      </c>
      <c r="B1043" t="str">
        <f ca="1">IFERROR(__xludf.DUMMYFUNCTION("""COMPUTED_VALUE"""),"RF-0541-001-PPP")</f>
        <v>RF-0541-001-PPP</v>
      </c>
    </row>
    <row r="1044" spans="1:2" ht="12.5" x14ac:dyDescent="0.25">
      <c r="A1044" t="str">
        <f ca="1">IFERROR(__xludf.DUMMYFUNCTION("""COMPUTED_VALUE"""),"Chloramben-Methyl")</f>
        <v>Chloramben-Methyl</v>
      </c>
      <c r="B1044" t="str">
        <f ca="1">IFERROR(__xludf.DUMMYFUNCTION("""COMPUTED_VALUE"""),"RF-0542-001-PPP")</f>
        <v>RF-0542-001-PPP</v>
      </c>
    </row>
    <row r="1045" spans="1:2" ht="12.5" x14ac:dyDescent="0.25">
      <c r="A1045" t="str">
        <f ca="1">IFERROR(__xludf.DUMMYFUNCTION("""COMPUTED_VALUE"""),"Chloramphenicol")</f>
        <v>Chloramphenicol</v>
      </c>
      <c r="B1045" t="str">
        <f ca="1">IFERROR(__xludf.DUMMYFUNCTION("""COMPUTED_VALUE"""),"RF-00000525-VET")</f>
        <v>RF-00000525-VET</v>
      </c>
    </row>
    <row r="1046" spans="1:2" ht="12.5" x14ac:dyDescent="0.25">
      <c r="A1046" t="str">
        <f ca="1">IFERROR(__xludf.DUMMYFUNCTION("""COMPUTED_VALUE"""),"Chloraniformethan")</f>
        <v>Chloraniformethan</v>
      </c>
      <c r="B1046" t="str">
        <f ca="1">IFERROR(__xludf.DUMMYFUNCTION("""COMPUTED_VALUE"""),"RF-0543-001-PPP")</f>
        <v>RF-0543-001-PPP</v>
      </c>
    </row>
    <row r="1047" spans="1:2" ht="12.5" x14ac:dyDescent="0.25">
      <c r="A1047" t="str">
        <f ca="1">IFERROR(__xludf.DUMMYFUNCTION("""COMPUTED_VALUE"""),"Chloranil")</f>
        <v>Chloranil</v>
      </c>
      <c r="B1047" t="str">
        <f ca="1">IFERROR(__xludf.DUMMYFUNCTION("""COMPUTED_VALUE"""),"RF-1027-001-PPP")</f>
        <v>RF-1027-001-PPP</v>
      </c>
    </row>
    <row r="1048" spans="1:2" ht="12.5" x14ac:dyDescent="0.25">
      <c r="A1048" t="str">
        <f ca="1">IFERROR(__xludf.DUMMYFUNCTION("""COMPUTED_VALUE"""),"Chlorantraniliprole (DPX E-2Y45)")</f>
        <v>Chlorantraniliprole (DPX E-2Y45)</v>
      </c>
      <c r="B1048" t="str">
        <f ca="1">IFERROR(__xludf.DUMMYFUNCTION("""COMPUTED_VALUE"""),"RF-0072-001-PPP")</f>
        <v>RF-0072-001-PPP</v>
      </c>
    </row>
    <row r="1049" spans="1:2" ht="12.5" x14ac:dyDescent="0.25">
      <c r="A1049" t="str">
        <f ca="1">IFERROR(__xludf.DUMMYFUNCTION("""COMPUTED_VALUE"""),"Chlorates")</f>
        <v>Chlorates</v>
      </c>
      <c r="B1049" t="str">
        <f ca="1">IFERROR(__xludf.DUMMYFUNCTION("""COMPUTED_VALUE"""),"RF-00000015-CHE")</f>
        <v>RF-00000015-CHE</v>
      </c>
    </row>
    <row r="1050" spans="1:2" ht="12.5" x14ac:dyDescent="0.25">
      <c r="A1050" t="str">
        <f ca="1">IFERROR(__xludf.DUMMYFUNCTION("""COMPUTED_VALUE"""),"Chlorbenside")</f>
        <v>Chlorbenside</v>
      </c>
      <c r="B1050" t="str">
        <f ca="1">IFERROR(__xludf.DUMMYFUNCTION("""COMPUTED_VALUE"""),"RF-0073-001-PPP")</f>
        <v>RF-0073-001-PPP</v>
      </c>
    </row>
    <row r="1051" spans="1:2" ht="12.5" x14ac:dyDescent="0.25">
      <c r="A1051" t="str">
        <f ca="1">IFERROR(__xludf.DUMMYFUNCTION("""COMPUTED_VALUE"""),"Chlorbenside sulfone")</f>
        <v>Chlorbenside sulfone</v>
      </c>
      <c r="B1051" t="str">
        <f ca="1">IFERROR(__xludf.DUMMYFUNCTION("""COMPUTED_VALUE"""),"RF-00000011-PAR")</f>
        <v>RF-00000011-PAR</v>
      </c>
    </row>
    <row r="1052" spans="1:2" ht="12.5" x14ac:dyDescent="0.25">
      <c r="A1052" t="str">
        <f ca="1">IFERROR(__xludf.DUMMYFUNCTION("""COMPUTED_VALUE"""),"Chlorbrombuterol")</f>
        <v>Chlorbrombuterol</v>
      </c>
      <c r="B1052" t="str">
        <f ca="1">IFERROR(__xludf.DUMMYFUNCTION("""COMPUTED_VALUE"""),"RF-00000473-VET")</f>
        <v>RF-00000473-VET</v>
      </c>
    </row>
    <row r="1053" spans="1:2" ht="12.5" x14ac:dyDescent="0.25">
      <c r="A1053" t="str">
        <f ca="1">IFERROR(__xludf.DUMMYFUNCTION("""COMPUTED_VALUE"""),"Chlorbromuron")</f>
        <v>Chlorbromuron</v>
      </c>
      <c r="B1053" t="str">
        <f ca="1">IFERROR(__xludf.DUMMYFUNCTION("""COMPUTED_VALUE"""),"RF-0544-001-PPP")</f>
        <v>RF-0544-001-PPP</v>
      </c>
    </row>
    <row r="1054" spans="1:2" ht="12.5" x14ac:dyDescent="0.25">
      <c r="A1054" t="str">
        <f ca="1">IFERROR(__xludf.DUMMYFUNCTION("""COMPUTED_VALUE"""),"Chlorbufam")</f>
        <v>Chlorbufam</v>
      </c>
      <c r="B1054" t="str">
        <f ca="1">IFERROR(__xludf.DUMMYFUNCTION("""COMPUTED_VALUE"""),"RF-0074-001-PPP")</f>
        <v>RF-0074-001-PPP</v>
      </c>
    </row>
    <row r="1055" spans="1:2" ht="12.5" x14ac:dyDescent="0.25">
      <c r="A1055" t="str">
        <f ca="1">IFERROR(__xludf.DUMMYFUNCTION("""COMPUTED_VALUE"""),"Chlordane")</f>
        <v>Chlordane</v>
      </c>
      <c r="B1055" t="str">
        <f ca="1">IFERROR(__xludf.DUMMYFUNCTION("""COMPUTED_VALUE"""),"RF-0075-002-PPP")</f>
        <v>RF-0075-002-PPP</v>
      </c>
    </row>
    <row r="1056" spans="1:2" ht="12.5" x14ac:dyDescent="0.25">
      <c r="A1056" t="str">
        <f ca="1">IFERROR(__xludf.DUMMYFUNCTION("""COMPUTED_VALUE"""),"Chlordane (sum of cis- and trans-chlordane)")</f>
        <v>Chlordane (sum of cis- and trans-chlordane)</v>
      </c>
      <c r="B1056" t="str">
        <f ca="1">IFERROR(__xludf.DUMMYFUNCTION("""COMPUTED_VALUE"""),"RF-0075-001-PPP")</f>
        <v>RF-0075-001-PPP</v>
      </c>
    </row>
    <row r="1057" spans="1:2" ht="12.5" x14ac:dyDescent="0.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x14ac:dyDescent="0.25">
      <c r="A1058" t="str">
        <f ca="1">IFERROR(__xludf.DUMMYFUNCTION("""COMPUTED_VALUE"""),"Chlordane, cis-")</f>
        <v>Chlordane, cis-</v>
      </c>
      <c r="B1058" t="str">
        <f ca="1">IFERROR(__xludf.DUMMYFUNCTION("""COMPUTED_VALUE"""),"RF-0075-004-PPP")</f>
        <v>RF-0075-004-PPP</v>
      </c>
    </row>
    <row r="1059" spans="1:2" ht="12.5" x14ac:dyDescent="0.25">
      <c r="A1059" t="str">
        <f ca="1">IFERROR(__xludf.DUMMYFUNCTION("""COMPUTED_VALUE"""),"Chlordane, trans-")</f>
        <v>Chlordane, trans-</v>
      </c>
      <c r="B1059" t="str">
        <f ca="1">IFERROR(__xludf.DUMMYFUNCTION("""COMPUTED_VALUE"""),"RF-0075-003-PPP")</f>
        <v>RF-0075-003-PPP</v>
      </c>
    </row>
    <row r="1060" spans="1:2" ht="12.5" x14ac:dyDescent="0.25">
      <c r="A1060" t="str">
        <f ca="1">IFERROR(__xludf.DUMMYFUNCTION("""COMPUTED_VALUE"""),"Chlordecone")</f>
        <v>Chlordecone</v>
      </c>
      <c r="B1060" t="str">
        <f ca="1">IFERROR(__xludf.DUMMYFUNCTION("""COMPUTED_VALUE"""),"RF-0076-001-PPP")</f>
        <v>RF-0076-001-PPP</v>
      </c>
    </row>
    <row r="1061" spans="1:2" ht="12.5" x14ac:dyDescent="0.25">
      <c r="A1061" t="str">
        <f ca="1">IFERROR(__xludf.DUMMYFUNCTION("""COMPUTED_VALUE"""),"Chlordimeform")</f>
        <v>Chlordimeform</v>
      </c>
      <c r="B1061" t="str">
        <f ca="1">IFERROR(__xludf.DUMMYFUNCTION("""COMPUTED_VALUE"""),"RF-0545-001-PPP")</f>
        <v>RF-0545-001-PPP</v>
      </c>
    </row>
    <row r="1062" spans="1:2" ht="12.5" x14ac:dyDescent="0.25">
      <c r="A1062" t="str">
        <f ca="1">IFERROR(__xludf.DUMMYFUNCTION("""COMPUTED_VALUE"""),"Chlorethanol, 2-")</f>
        <v>Chlorethanol, 2-</v>
      </c>
      <c r="B1062" t="str">
        <f ca="1">IFERROR(__xludf.DUMMYFUNCTION("""COMPUTED_VALUE"""),"RF-0167-002-PPP")</f>
        <v>RF-0167-002-PPP</v>
      </c>
    </row>
    <row r="1063" spans="1:2" ht="12.5" x14ac:dyDescent="0.25">
      <c r="A1063" t="str">
        <f ca="1">IFERROR(__xludf.DUMMYFUNCTION("""COMPUTED_VALUE"""),"Chlorethoxyfos")</f>
        <v>Chlorethoxyfos</v>
      </c>
      <c r="B1063" t="str">
        <f ca="1">IFERROR(__xludf.DUMMYFUNCTION("""COMPUTED_VALUE"""),"RF-0546-001-PPP")</f>
        <v>RF-0546-001-PPP</v>
      </c>
    </row>
    <row r="1064" spans="1:2" ht="12.5" x14ac:dyDescent="0.25">
      <c r="A1064" t="str">
        <f ca="1">IFERROR(__xludf.DUMMYFUNCTION("""COMPUTED_VALUE"""),"Chlorfenapyr")</f>
        <v>Chlorfenapyr</v>
      </c>
      <c r="B1064" t="str">
        <f ca="1">IFERROR(__xludf.DUMMYFUNCTION("""COMPUTED_VALUE"""),"RF-0077-001-PPP")</f>
        <v>RF-0077-001-PPP</v>
      </c>
    </row>
    <row r="1065" spans="1:2" ht="12.5" x14ac:dyDescent="0.25">
      <c r="A1065" t="str">
        <f ca="1">IFERROR(__xludf.DUMMYFUNCTION("""COMPUTED_VALUE"""),"Chlorfenethol")</f>
        <v>Chlorfenethol</v>
      </c>
      <c r="B1065" t="str">
        <f ca="1">IFERROR(__xludf.DUMMYFUNCTION("""COMPUTED_VALUE"""),"RF-0994-001-PPP")</f>
        <v>RF-0994-001-PPP</v>
      </c>
    </row>
    <row r="1066" spans="1:2" ht="12.5" x14ac:dyDescent="0.25">
      <c r="A1066" t="str">
        <f ca="1">IFERROR(__xludf.DUMMYFUNCTION("""COMPUTED_VALUE"""),"Chlorfenprop")</f>
        <v>Chlorfenprop</v>
      </c>
      <c r="B1066" t="str">
        <f ca="1">IFERROR(__xludf.DUMMYFUNCTION("""COMPUTED_VALUE"""),"RF-0547-001-PPP")</f>
        <v>RF-0547-001-PPP</v>
      </c>
    </row>
    <row r="1067" spans="1:2" ht="12.5" x14ac:dyDescent="0.25">
      <c r="A1067" t="str">
        <f ca="1">IFERROR(__xludf.DUMMYFUNCTION("""COMPUTED_VALUE"""),"Chlorfenprop-Methyl")</f>
        <v>Chlorfenprop-Methyl</v>
      </c>
      <c r="B1067" t="str">
        <f ca="1">IFERROR(__xludf.DUMMYFUNCTION("""COMPUTED_VALUE"""),"RF-0548-001-PPP")</f>
        <v>RF-0548-001-PPP</v>
      </c>
    </row>
    <row r="1068" spans="1:2" ht="12.5" x14ac:dyDescent="0.25">
      <c r="A1068" t="str">
        <f ca="1">IFERROR(__xludf.DUMMYFUNCTION("""COMPUTED_VALUE"""),"Chlorfenson")</f>
        <v>Chlorfenson</v>
      </c>
      <c r="B1068" t="str">
        <f ca="1">IFERROR(__xludf.DUMMYFUNCTION("""COMPUTED_VALUE"""),"RF-0078-001-PPP")</f>
        <v>RF-0078-001-PPP</v>
      </c>
    </row>
    <row r="1069" spans="1:2" ht="12.5" x14ac:dyDescent="0.25">
      <c r="A1069" t="str">
        <f ca="1">IFERROR(__xludf.DUMMYFUNCTION("""COMPUTED_VALUE"""),"Chlorfenvinphos")</f>
        <v>Chlorfenvinphos</v>
      </c>
      <c r="B1069" t="str">
        <f ca="1">IFERROR(__xludf.DUMMYFUNCTION("""COMPUTED_VALUE"""),"RF-0079-001-PPP")</f>
        <v>RF-0079-001-PPP</v>
      </c>
    </row>
    <row r="1070" spans="1:2" ht="12.5" x14ac:dyDescent="0.25">
      <c r="A1070" t="str">
        <f ca="1">IFERROR(__xludf.DUMMYFUNCTION("""COMPUTED_VALUE"""),"Chlorfluazuron")</f>
        <v>Chlorfluazuron</v>
      </c>
      <c r="B1070" t="str">
        <f ca="1">IFERROR(__xludf.DUMMYFUNCTION("""COMPUTED_VALUE"""),"RF-0549-001-PPP")</f>
        <v>RF-0549-001-PPP</v>
      </c>
    </row>
    <row r="1071" spans="1:2" ht="12.5" x14ac:dyDescent="0.25">
      <c r="A1071" t="str">
        <f ca="1">IFERROR(__xludf.DUMMYFUNCTION("""COMPUTED_VALUE"""),"Chlorflurenol")</f>
        <v>Chlorflurenol</v>
      </c>
      <c r="B1071" t="str">
        <f ca="1">IFERROR(__xludf.DUMMYFUNCTION("""COMPUTED_VALUE"""),"RF-0550-001-PPP")</f>
        <v>RF-0550-001-PPP</v>
      </c>
    </row>
    <row r="1072" spans="1:2" ht="12.5" x14ac:dyDescent="0.25">
      <c r="A1072" t="str">
        <f ca="1">IFERROR(__xludf.DUMMYFUNCTION("""COMPUTED_VALUE"""),"Chlorflurenol-Methyl")</f>
        <v>Chlorflurenol-Methyl</v>
      </c>
      <c r="B1072" t="str">
        <f ca="1">IFERROR(__xludf.DUMMYFUNCTION("""COMPUTED_VALUE"""),"RF-0551-001-PPP")</f>
        <v>RF-0551-001-PPP</v>
      </c>
    </row>
    <row r="1073" spans="1:2" ht="12.5" x14ac:dyDescent="0.25">
      <c r="A1073" t="str">
        <f ca="1">IFERROR(__xludf.DUMMYFUNCTION("""COMPUTED_VALUE"""),"Chloridazon")</f>
        <v>Chloridazon</v>
      </c>
      <c r="B1073" t="str">
        <f ca="1">IFERROR(__xludf.DUMMYFUNCTION("""COMPUTED_VALUE"""),"RF-0080-001-PPP")</f>
        <v>RF-0080-001-PPP</v>
      </c>
    </row>
    <row r="1074" spans="1:2" ht="12.5" x14ac:dyDescent="0.25">
      <c r="A1074" t="str">
        <f ca="1">IFERROR(__xludf.DUMMYFUNCTION("""COMPUTED_VALUE"""),"Chloridazon, Methyl-Desphenyl-")</f>
        <v>Chloridazon, Methyl-Desphenyl-</v>
      </c>
      <c r="B1074" t="str">
        <f ca="1">IFERROR(__xludf.DUMMYFUNCTION("""COMPUTED_VALUE"""),"RF-0552-001-PPP")</f>
        <v>RF-0552-001-PPP</v>
      </c>
    </row>
    <row r="1075" spans="1:2" ht="12.5" x14ac:dyDescent="0.25">
      <c r="A1075" t="str">
        <f ca="1">IFERROR(__xludf.DUMMYFUNCTION("""COMPUTED_VALUE"""),"Chlorides")</f>
        <v>Chlorides</v>
      </c>
      <c r="B1075" t="str">
        <f ca="1">IFERROR(__xludf.DUMMYFUNCTION("""COMPUTED_VALUE"""),"RF-00000016-CHE")</f>
        <v>RF-00000016-CHE</v>
      </c>
    </row>
    <row r="1076" spans="1:2" ht="12.5" x14ac:dyDescent="0.25">
      <c r="A1076" t="str">
        <f ca="1">IFERROR(__xludf.DUMMYFUNCTION("""COMPUTED_VALUE"""),"Chlorimuron-Ethyl")</f>
        <v>Chlorimuron-Ethyl</v>
      </c>
      <c r="B1076" t="str">
        <f ca="1">IFERROR(__xludf.DUMMYFUNCTION("""COMPUTED_VALUE"""),"RF-0553-001-PPP")</f>
        <v>RF-0553-001-PPP</v>
      </c>
    </row>
    <row r="1077" spans="1:2" ht="12.5" x14ac:dyDescent="0.25">
      <c r="A1077" t="str">
        <f ca="1">IFERROR(__xludf.DUMMYFUNCTION("""COMPUTED_VALUE"""),"Chlorinated dibenzo-p-dioxins")</f>
        <v>Chlorinated dibenzo-p-dioxins</v>
      </c>
      <c r="B1077" t="str">
        <f ca="1">IFERROR(__xludf.DUMMYFUNCTION("""COMPUTED_VALUE"""),"RF-00000340-ORG")</f>
        <v>RF-00000340-ORG</v>
      </c>
    </row>
    <row r="1078" spans="1:2" ht="12.5" x14ac:dyDescent="0.25">
      <c r="A1078" t="str">
        <f ca="1">IFERROR(__xludf.DUMMYFUNCTION("""COMPUTED_VALUE"""),"Chlorinated dibenzofurans")</f>
        <v>Chlorinated dibenzofurans</v>
      </c>
      <c r="B1078" t="str">
        <f ca="1">IFERROR(__xludf.DUMMYFUNCTION("""COMPUTED_VALUE"""),"RF-00000329-ORG")</f>
        <v>RF-00000329-ORG</v>
      </c>
    </row>
    <row r="1079" spans="1:2" ht="12.5" x14ac:dyDescent="0.25">
      <c r="A1079" t="str">
        <f ca="1">IFERROR(__xludf.DUMMYFUNCTION("""COMPUTED_VALUE"""),"Chlorine (chloride)")</f>
        <v>Chlorine (chloride)</v>
      </c>
      <c r="B1079" t="str">
        <f ca="1">IFERROR(__xludf.DUMMYFUNCTION("""COMPUTED_VALUE"""),"RF-00000019-CHE")</f>
        <v>RF-00000019-CHE</v>
      </c>
    </row>
    <row r="1080" spans="1:2" ht="12.5" x14ac:dyDescent="0.25">
      <c r="A1080" t="str">
        <f ca="1">IFERROR(__xludf.DUMMYFUNCTION("""COMPUTED_VALUE"""),"Chlorine (Cl)")</f>
        <v>Chlorine (Cl)</v>
      </c>
      <c r="B1080" t="str">
        <f ca="1">IFERROR(__xludf.DUMMYFUNCTION("""COMPUTED_VALUE"""),"RF-00000014-CHE")</f>
        <v>RF-00000014-CHE</v>
      </c>
    </row>
    <row r="1081" spans="1:2" ht="12.5" x14ac:dyDescent="0.25">
      <c r="A1081" t="str">
        <f ca="1">IFERROR(__xludf.DUMMYFUNCTION("""COMPUTED_VALUE"""),"Chlorine and derivatives")</f>
        <v>Chlorine and derivatives</v>
      </c>
      <c r="B1081" t="str">
        <f ca="1">IFERROR(__xludf.DUMMYFUNCTION("""COMPUTED_VALUE"""),"RF-00000013-CHE")</f>
        <v>RF-00000013-CHE</v>
      </c>
    </row>
    <row r="1082" spans="1:2" ht="12.5" x14ac:dyDescent="0.25">
      <c r="A1082" t="str">
        <f ca="1">IFERROR(__xludf.DUMMYFUNCTION("""COMPUTED_VALUE"""),"Chlorites")</f>
        <v>Chlorites</v>
      </c>
      <c r="B1082" t="str">
        <f ca="1">IFERROR(__xludf.DUMMYFUNCTION("""COMPUTED_VALUE"""),"RF-00000017-CHE")</f>
        <v>RF-00000017-CHE</v>
      </c>
    </row>
    <row r="1083" spans="1:2" ht="12.5" x14ac:dyDescent="0.25">
      <c r="A1083" t="str">
        <f ca="1">IFERROR(__xludf.DUMMYFUNCTION("""COMPUTED_VALUE"""),"Chlormadinone")</f>
        <v>Chlormadinone</v>
      </c>
      <c r="B1083" t="str">
        <f ca="1">IFERROR(__xludf.DUMMYFUNCTION("""COMPUTED_VALUE"""),"RF-00000423-VET")</f>
        <v>RF-00000423-VET</v>
      </c>
    </row>
    <row r="1084" spans="1:2" ht="12.5" x14ac:dyDescent="0.25">
      <c r="A1084" t="str">
        <f ca="1">IFERROR(__xludf.DUMMYFUNCTION("""COMPUTED_VALUE"""),"Chlormadinone acetate")</f>
        <v>Chlormadinone acetate</v>
      </c>
      <c r="B1084" t="str">
        <f ca="1">IFERROR(__xludf.DUMMYFUNCTION("""COMPUTED_VALUE"""),"RF-00000402-VET")</f>
        <v>RF-00000402-VET</v>
      </c>
    </row>
    <row r="1085" spans="1:2" ht="12.5" x14ac:dyDescent="0.25">
      <c r="A1085" t="str">
        <f ca="1">IFERROR(__xludf.DUMMYFUNCTION("""COMPUTED_VALUE"""),"Chlormephos")</f>
        <v>Chlormephos</v>
      </c>
      <c r="B1085" t="str">
        <f ca="1">IFERROR(__xludf.DUMMYFUNCTION("""COMPUTED_VALUE"""),"RF-0554-001-PPP")</f>
        <v>RF-0554-001-PPP</v>
      </c>
    </row>
    <row r="1086" spans="1:2" ht="12.5" x14ac:dyDescent="0.25">
      <c r="A1086" t="str">
        <f ca="1">IFERROR(__xludf.DUMMYFUNCTION("""COMPUTED_VALUE"""),"Chlormequat")</f>
        <v>Chlormequat</v>
      </c>
      <c r="B1086" t="str">
        <f ca="1">IFERROR(__xludf.DUMMYFUNCTION("""COMPUTED_VALUE"""),"RF-0081-001-PPP")</f>
        <v>RF-0081-001-PPP</v>
      </c>
    </row>
    <row r="1087" spans="1:2" ht="12.5" x14ac:dyDescent="0.25">
      <c r="A1087" t="str">
        <f ca="1">IFERROR(__xludf.DUMMYFUNCTION("""COMPUTED_VALUE"""),"Chlornitrofen")</f>
        <v>Chlornitrofen</v>
      </c>
      <c r="B1087" t="str">
        <f ca="1">IFERROR(__xludf.DUMMYFUNCTION("""COMPUTED_VALUE"""),"RF-0555-001-PPP")</f>
        <v>RF-0555-001-PPP</v>
      </c>
    </row>
    <row r="1088" spans="1:2" ht="12.5" x14ac:dyDescent="0.25">
      <c r="A1088" t="str">
        <f ca="1">IFERROR(__xludf.DUMMYFUNCTION("""COMPUTED_VALUE"""),"Chloroaniline-para")</f>
        <v>Chloroaniline-para</v>
      </c>
      <c r="B1088" t="str">
        <f ca="1">IFERROR(__xludf.DUMMYFUNCTION("""COMPUTED_VALUE"""),"RF-0995-001-PPP")</f>
        <v>RF-0995-001-PPP</v>
      </c>
    </row>
    <row r="1089" spans="1:2" ht="12.5" x14ac:dyDescent="0.25">
      <c r="A1089" t="str">
        <f ca="1">IFERROR(__xludf.DUMMYFUNCTION("""COMPUTED_VALUE"""),"Chloroaniline, 3-")</f>
        <v>Chloroaniline, 3-</v>
      </c>
      <c r="B1089" t="str">
        <f ca="1">IFERROR(__xludf.DUMMYFUNCTION("""COMPUTED_VALUE"""),"RF-0086-002-PPP")</f>
        <v>RF-0086-002-PPP</v>
      </c>
    </row>
    <row r="1090" spans="1:2" ht="12.5" x14ac:dyDescent="0.25">
      <c r="A1090" t="str">
        <f ca="1">IFERROR(__xludf.DUMMYFUNCTION("""COMPUTED_VALUE"""),"Chlorobenzilate")</f>
        <v>Chlorobenzilate</v>
      </c>
      <c r="B1090" t="str">
        <f ca="1">IFERROR(__xludf.DUMMYFUNCTION("""COMPUTED_VALUE"""),"RF-0082-001-PPP")</f>
        <v>RF-0082-001-PPP</v>
      </c>
    </row>
    <row r="1091" spans="1:2" ht="12.5" x14ac:dyDescent="0.25">
      <c r="A1091" t="str">
        <f ca="1">IFERROR(__xludf.DUMMYFUNCTION("""COMPUTED_VALUE"""),"Chloroform")</f>
        <v>Chloroform</v>
      </c>
      <c r="B1091" t="str">
        <f ca="1">IFERROR(__xludf.DUMMYFUNCTION("""COMPUTED_VALUE"""),"RF-00000036-ORG")</f>
        <v>RF-00000036-ORG</v>
      </c>
    </row>
    <row r="1092" spans="1:2" ht="12.5" x14ac:dyDescent="0.25">
      <c r="A1092" t="str">
        <f ca="1">IFERROR(__xludf.DUMMYFUNCTION("""COMPUTED_VALUE"""),"Chloroform (Trichlormethane)")</f>
        <v>Chloroform (Trichlormethane)</v>
      </c>
      <c r="B1092" t="str">
        <f ca="1">IFERROR(__xludf.DUMMYFUNCTION("""COMPUTED_VALUE"""),"RF-00000507-VET")</f>
        <v>RF-00000507-VET</v>
      </c>
    </row>
    <row r="1093" spans="1:2" ht="12.5" x14ac:dyDescent="0.25">
      <c r="A1093" t="str">
        <f ca="1">IFERROR(__xludf.DUMMYFUNCTION("""COMPUTED_VALUE"""),"Chloroneb")</f>
        <v>Chloroneb</v>
      </c>
      <c r="B1093" t="str">
        <f ca="1">IFERROR(__xludf.DUMMYFUNCTION("""COMPUTED_VALUE"""),"RF-0556-001-PPP")</f>
        <v>RF-0556-001-PPP</v>
      </c>
    </row>
    <row r="1094" spans="1:2" ht="12.5" x14ac:dyDescent="0.25">
      <c r="A1094" t="str">
        <f ca="1">IFERROR(__xludf.DUMMYFUNCTION("""COMPUTED_VALUE"""),"Chlorophyllins")</f>
        <v>Chlorophyllins</v>
      </c>
      <c r="B1094" t="str">
        <f ca="1">IFERROR(__xludf.DUMMYFUNCTION("""COMPUTED_VALUE"""),"RF-00001292-PAR")</f>
        <v>RF-00001292-PAR</v>
      </c>
    </row>
    <row r="1095" spans="1:2" ht="12.5" x14ac:dyDescent="0.25">
      <c r="A1095" t="str">
        <f ca="1">IFERROR(__xludf.DUMMYFUNCTION("""COMPUTED_VALUE"""),"Chlorophylls")</f>
        <v>Chlorophylls</v>
      </c>
      <c r="B1095" t="str">
        <f ca="1">IFERROR(__xludf.DUMMYFUNCTION("""COMPUTED_VALUE"""),"RF-00001291-PAR")</f>
        <v>RF-00001291-PAR</v>
      </c>
    </row>
    <row r="1096" spans="1:2" ht="12.5" x14ac:dyDescent="0.25">
      <c r="A1096" t="str">
        <f ca="1">IFERROR(__xludf.DUMMYFUNCTION("""COMPUTED_VALUE"""),"Chlorophylls and chlorophyllins")</f>
        <v>Chlorophylls and chlorophyllins</v>
      </c>
      <c r="B1096" t="str">
        <f ca="1">IFERROR(__xludf.DUMMYFUNCTION("""COMPUTED_VALUE"""),"RF-00000102-ADD")</f>
        <v>RF-00000102-ADD</v>
      </c>
    </row>
    <row r="1097" spans="1:2" ht="12.5" x14ac:dyDescent="0.25">
      <c r="A1097" t="str">
        <f ca="1">IFERROR(__xludf.DUMMYFUNCTION("""COMPUTED_VALUE"""),"Chloropicrin")</f>
        <v>Chloropicrin</v>
      </c>
      <c r="B1097" t="str">
        <f ca="1">IFERROR(__xludf.DUMMYFUNCTION("""COMPUTED_VALUE"""),"RF-0083-001-PPP")</f>
        <v>RF-0083-001-PPP</v>
      </c>
    </row>
    <row r="1098" spans="1:2" ht="12.5" x14ac:dyDescent="0.25">
      <c r="A1098" t="str">
        <f ca="1">IFERROR(__xludf.DUMMYFUNCTION("""COMPUTED_VALUE"""),"Chloropropylate")</f>
        <v>Chloropropylate</v>
      </c>
      <c r="B1098" t="str">
        <f ca="1">IFERROR(__xludf.DUMMYFUNCTION("""COMPUTED_VALUE"""),"RF-0557-001-PPP")</f>
        <v>RF-0557-001-PPP</v>
      </c>
    </row>
    <row r="1099" spans="1:2" ht="12.5" x14ac:dyDescent="0.25">
      <c r="A1099" t="str">
        <f ca="1">IFERROR(__xludf.DUMMYFUNCTION("""COMPUTED_VALUE"""),"Chloropyrifos oxon")</f>
        <v>Chloropyrifos oxon</v>
      </c>
      <c r="B1099" t="str">
        <f ca="1">IFERROR(__xludf.DUMMYFUNCTION("""COMPUTED_VALUE"""),"RF-1051-001-PPP")</f>
        <v>RF-1051-001-PPP</v>
      </c>
    </row>
    <row r="1100" spans="1:2" ht="12.5" x14ac:dyDescent="0.25">
      <c r="A1100" t="str">
        <f ca="1">IFERROR(__xludf.DUMMYFUNCTION("""COMPUTED_VALUE"""),"Chlorothalonil")</f>
        <v>Chlorothalonil</v>
      </c>
      <c r="B1100" t="str">
        <f ca="1">IFERROR(__xludf.DUMMYFUNCTION("""COMPUTED_VALUE"""),"RF-0084-001-PPP")</f>
        <v>RF-0084-001-PPP</v>
      </c>
    </row>
    <row r="1101" spans="1:2" ht="12.5" x14ac:dyDescent="0.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x14ac:dyDescent="0.25">
      <c r="A1102" t="str">
        <f ca="1">IFERROR(__xludf.DUMMYFUNCTION("""COMPUTED_VALUE"""),"Chlorotoluron")</f>
        <v>Chlorotoluron</v>
      </c>
      <c r="B1102" t="str">
        <f ca="1">IFERROR(__xludf.DUMMYFUNCTION("""COMPUTED_VALUE"""),"RF-0092-001-PPP")</f>
        <v>RF-0092-001-PPP</v>
      </c>
    </row>
    <row r="1103" spans="1:2" ht="12.5" x14ac:dyDescent="0.25">
      <c r="A1103" t="str">
        <f ca="1">IFERROR(__xludf.DUMMYFUNCTION("""COMPUTED_VALUE"""),"Chlorotrianisene")</f>
        <v>Chlorotrianisene</v>
      </c>
      <c r="B1103" t="str">
        <f ca="1">IFERROR(__xludf.DUMMYFUNCTION("""COMPUTED_VALUE"""),"RF-00000258-VET")</f>
        <v>RF-00000258-VET</v>
      </c>
    </row>
    <row r="1104" spans="1:2" ht="12.5" x14ac:dyDescent="0.25">
      <c r="A1104" t="str">
        <f ca="1">IFERROR(__xludf.DUMMYFUNCTION("""COMPUTED_VALUE"""),"Chloroxuron")</f>
        <v>Chloroxuron</v>
      </c>
      <c r="B1104" t="str">
        <f ca="1">IFERROR(__xludf.DUMMYFUNCTION("""COMPUTED_VALUE"""),"RF-0085-001-PPP")</f>
        <v>RF-0085-001-PPP</v>
      </c>
    </row>
    <row r="1105" spans="1:2" ht="12.5" x14ac:dyDescent="0.25">
      <c r="A1105" t="str">
        <f ca="1">IFERROR(__xludf.DUMMYFUNCTION("""COMPUTED_VALUE"""),"Chlorphonium")</f>
        <v>Chlorphonium</v>
      </c>
      <c r="B1105" t="str">
        <f ca="1">IFERROR(__xludf.DUMMYFUNCTION("""COMPUTED_VALUE"""),"RF-0558-001-PPP")</f>
        <v>RF-0558-001-PPP</v>
      </c>
    </row>
    <row r="1106" spans="1:2" ht="12.5" x14ac:dyDescent="0.25">
      <c r="A1106" t="str">
        <f ca="1">IFERROR(__xludf.DUMMYFUNCTION("""COMPUTED_VALUE"""),"Chlorpromazine")</f>
        <v>Chlorpromazine</v>
      </c>
      <c r="B1106" t="str">
        <f ca="1">IFERROR(__xludf.DUMMYFUNCTION("""COMPUTED_VALUE"""),"RF-00000521-VET")</f>
        <v>RF-00000521-VET</v>
      </c>
    </row>
    <row r="1107" spans="1:2" ht="12.5" x14ac:dyDescent="0.25">
      <c r="A1107" t="str">
        <f ca="1">IFERROR(__xludf.DUMMYFUNCTION("""COMPUTED_VALUE"""),"Chlorpropham")</f>
        <v>Chlorpropham</v>
      </c>
      <c r="B1107" t="str">
        <f ca="1">IFERROR(__xludf.DUMMYFUNCTION("""COMPUTED_VALUE"""),"RF-0086-003-PPP")</f>
        <v>RF-0086-003-PPP</v>
      </c>
    </row>
    <row r="1108" spans="1:2" ht="12.5" x14ac:dyDescent="0.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x14ac:dyDescent="0.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x14ac:dyDescent="0.25">
      <c r="A1110" t="str">
        <f ca="1">IFERROR(__xludf.DUMMYFUNCTION("""COMPUTED_VALUE"""),"Chlorpropham CIPC")</f>
        <v>Chlorpropham CIPC</v>
      </c>
      <c r="B1110" t="str">
        <f ca="1">IFERROR(__xludf.DUMMYFUNCTION("""COMPUTED_VALUE"""),"RF-00000132-VET")</f>
        <v>RF-00000132-VET</v>
      </c>
    </row>
    <row r="1111" spans="1:2" ht="12.5" x14ac:dyDescent="0.25">
      <c r="A1111" t="str">
        <f ca="1">IFERROR(__xludf.DUMMYFUNCTION("""COMPUTED_VALUE"""),"Chlorprothixene")</f>
        <v>Chlorprothixene</v>
      </c>
      <c r="B1111" t="str">
        <f ca="1">IFERROR(__xludf.DUMMYFUNCTION("""COMPUTED_VALUE"""),"RF-00000174-VET")</f>
        <v>RF-00000174-VET</v>
      </c>
    </row>
    <row r="1112" spans="1:2" ht="12.5" x14ac:dyDescent="0.25">
      <c r="A1112" t="str">
        <f ca="1">IFERROR(__xludf.DUMMYFUNCTION("""COMPUTED_VALUE"""),"Chlorpyrifos")</f>
        <v>Chlorpyrifos</v>
      </c>
      <c r="B1112" t="str">
        <f ca="1">IFERROR(__xludf.DUMMYFUNCTION("""COMPUTED_VALUE"""),"RF-0087-001-PPP")</f>
        <v>RF-0087-001-PPP</v>
      </c>
    </row>
    <row r="1113" spans="1:2" ht="12.5" x14ac:dyDescent="0.25">
      <c r="A1113" t="str">
        <f ca="1">IFERROR(__xludf.DUMMYFUNCTION("""COMPUTED_VALUE"""),"Chlorpyrifos ethyl")</f>
        <v>Chlorpyrifos ethyl</v>
      </c>
      <c r="B1113" t="str">
        <f ca="1">IFERROR(__xludf.DUMMYFUNCTION("""COMPUTED_VALUE"""),"RF-1013-001-PPP")</f>
        <v>RF-1013-001-PPP</v>
      </c>
    </row>
    <row r="1114" spans="1:2" ht="12.5" x14ac:dyDescent="0.25">
      <c r="A1114" t="str">
        <f ca="1">IFERROR(__xludf.DUMMYFUNCTION("""COMPUTED_VALUE"""),"Chlorpyrifos-methyl")</f>
        <v>Chlorpyrifos-methyl</v>
      </c>
      <c r="B1114" t="str">
        <f ca="1">IFERROR(__xludf.DUMMYFUNCTION("""COMPUTED_VALUE"""),"RF-0088-001-PPP")</f>
        <v>RF-0088-001-PPP</v>
      </c>
    </row>
    <row r="1115" spans="1:2" ht="12.5" x14ac:dyDescent="0.25">
      <c r="A1115" t="str">
        <f ca="1">IFERROR(__xludf.DUMMYFUNCTION("""COMPUTED_VALUE"""),"Chlorsulfuron")</f>
        <v>Chlorsulfuron</v>
      </c>
      <c r="B1115" t="str">
        <f ca="1">IFERROR(__xludf.DUMMYFUNCTION("""COMPUTED_VALUE"""),"RF-0089-001-PPP")</f>
        <v>RF-0089-001-PPP</v>
      </c>
    </row>
    <row r="1116" spans="1:2" ht="12.5" x14ac:dyDescent="0.25">
      <c r="A1116" t="str">
        <f ca="1">IFERROR(__xludf.DUMMYFUNCTION("""COMPUTED_VALUE"""),"Chlortestosterone-17-Alpha")</f>
        <v>Chlortestosterone-17-Alpha</v>
      </c>
      <c r="B1116" t="str">
        <f ca="1">IFERROR(__xludf.DUMMYFUNCTION("""COMPUTED_VALUE"""),"RF-00000381-VET")</f>
        <v>RF-00000381-VET</v>
      </c>
    </row>
    <row r="1117" spans="1:2" ht="12.5" x14ac:dyDescent="0.25">
      <c r="A1117" t="str">
        <f ca="1">IFERROR(__xludf.DUMMYFUNCTION("""COMPUTED_VALUE"""),"Chlortetracyclin")</f>
        <v>Chlortetracyclin</v>
      </c>
      <c r="B1117" t="str">
        <f ca="1">IFERROR(__xludf.DUMMYFUNCTION("""COMPUTED_VALUE"""),"RF-00000575-VET")</f>
        <v>RF-00000575-VET</v>
      </c>
    </row>
    <row r="1118" spans="1:2" ht="12.5" x14ac:dyDescent="0.25">
      <c r="A1118" t="str">
        <f ca="1">IFERROR(__xludf.DUMMYFUNCTION("""COMPUTED_VALUE"""),"Chlorthal")</f>
        <v>Chlorthal</v>
      </c>
      <c r="B1118" t="str">
        <f ca="1">IFERROR(__xludf.DUMMYFUNCTION("""COMPUTED_VALUE"""),"RF-0559-001-PPP")</f>
        <v>RF-0559-001-PPP</v>
      </c>
    </row>
    <row r="1119" spans="1:2" ht="12.5" x14ac:dyDescent="0.25">
      <c r="A1119" t="str">
        <f ca="1">IFERROR(__xludf.DUMMYFUNCTION("""COMPUTED_VALUE"""),"Chlorthal-dimethyl")</f>
        <v>Chlorthal-dimethyl</v>
      </c>
      <c r="B1119" t="str">
        <f ca="1">IFERROR(__xludf.DUMMYFUNCTION("""COMPUTED_VALUE"""),"RF-0090-001-PPP")</f>
        <v>RF-0090-001-PPP</v>
      </c>
    </row>
    <row r="1120" spans="1:2" ht="12.5" x14ac:dyDescent="0.25">
      <c r="A1120" t="str">
        <f ca="1">IFERROR(__xludf.DUMMYFUNCTION("""COMPUTED_VALUE"""),"Chlorthiamid")</f>
        <v>Chlorthiamid</v>
      </c>
      <c r="B1120" t="str">
        <f ca="1">IFERROR(__xludf.DUMMYFUNCTION("""COMPUTED_VALUE"""),"RF-0091-001-PPP")</f>
        <v>RF-0091-001-PPP</v>
      </c>
    </row>
    <row r="1121" spans="1:2" ht="12.5" x14ac:dyDescent="0.25">
      <c r="A1121" t="str">
        <f ca="1">IFERROR(__xludf.DUMMYFUNCTION("""COMPUTED_VALUE"""),"Chlorthion")</f>
        <v>Chlorthion</v>
      </c>
      <c r="B1121" t="str">
        <f ca="1">IFERROR(__xludf.DUMMYFUNCTION("""COMPUTED_VALUE"""),"RF-0560-001-PPP")</f>
        <v>RF-0560-001-PPP</v>
      </c>
    </row>
    <row r="1122" spans="1:2" ht="12.5" x14ac:dyDescent="0.25">
      <c r="A1122" t="str">
        <f ca="1">IFERROR(__xludf.DUMMYFUNCTION("""COMPUTED_VALUE"""),"Chlorthiophos")</f>
        <v>Chlorthiophos</v>
      </c>
      <c r="B1122" t="str">
        <f ca="1">IFERROR(__xludf.DUMMYFUNCTION("""COMPUTED_VALUE"""),"RF-0561-001-PPP")</f>
        <v>RF-0561-001-PPP</v>
      </c>
    </row>
    <row r="1123" spans="1:2" ht="12.5" x14ac:dyDescent="0.25">
      <c r="A1123" t="str">
        <f ca="1">IFERROR(__xludf.DUMMYFUNCTION("""COMPUTED_VALUE"""),"Chlorthiophos sulfone")</f>
        <v>Chlorthiophos sulfone</v>
      </c>
      <c r="B1123" t="str">
        <f ca="1">IFERROR(__xludf.DUMMYFUNCTION("""COMPUTED_VALUE"""),"RF-0985-001-PPP")</f>
        <v>RF-0985-001-PPP</v>
      </c>
    </row>
    <row r="1124" spans="1:2" ht="12.5" x14ac:dyDescent="0.25">
      <c r="A1124" t="str">
        <f ca="1">IFERROR(__xludf.DUMMYFUNCTION("""COMPUTED_VALUE"""),"Chlozolinate")</f>
        <v>Chlozolinate</v>
      </c>
      <c r="B1124" t="str">
        <f ca="1">IFERROR(__xludf.DUMMYFUNCTION("""COMPUTED_VALUE"""),"RF-0093-001-PPP")</f>
        <v>RF-0093-001-PPP</v>
      </c>
    </row>
    <row r="1125" spans="1:2" ht="12.5" x14ac:dyDescent="0.25">
      <c r="A1125" t="str">
        <f ca="1">IFERROR(__xludf.DUMMYFUNCTION("""COMPUTED_VALUE"""),"cholecalciferol")</f>
        <v>cholecalciferol</v>
      </c>
      <c r="B1125" t="str">
        <f ca="1">IFERROR(__xludf.DUMMYFUNCTION("""COMPUTED_VALUE"""),"RF-00000051-NTR")</f>
        <v>RF-00000051-NTR</v>
      </c>
    </row>
    <row r="1126" spans="1:2" ht="12.5" x14ac:dyDescent="0.25">
      <c r="A1126" t="str">
        <f ca="1">IFERROR(__xludf.DUMMYFUNCTION("""COMPUTED_VALUE"""),"cholesterol")</f>
        <v>cholesterol</v>
      </c>
      <c r="B1126" t="str">
        <f ca="1">IFERROR(__xludf.DUMMYFUNCTION("""COMPUTED_VALUE"""),"RF-00000052-NTR")</f>
        <v>RF-00000052-NTR</v>
      </c>
    </row>
    <row r="1127" spans="1:2" ht="12.5" x14ac:dyDescent="0.25">
      <c r="A1127" t="str">
        <f ca="1">IFERROR(__xludf.DUMMYFUNCTION("""COMPUTED_VALUE"""),"choline")</f>
        <v>choline</v>
      </c>
      <c r="B1127" t="str">
        <f ca="1">IFERROR(__xludf.DUMMYFUNCTION("""COMPUTED_VALUE"""),"RF-00000053-NTR")</f>
        <v>RF-00000053-NTR</v>
      </c>
    </row>
    <row r="1128" spans="1:2" ht="12.5" x14ac:dyDescent="0.25">
      <c r="A1128" t="str">
        <f ca="1">IFERROR(__xludf.DUMMYFUNCTION("""COMPUTED_VALUE"""),"Chromafenozide")</f>
        <v>Chromafenozide</v>
      </c>
      <c r="B1128" t="str">
        <f ca="1">IFERROR(__xludf.DUMMYFUNCTION("""COMPUTED_VALUE"""),"RF-0094-001-PPP")</f>
        <v>RF-0094-001-PPP</v>
      </c>
    </row>
    <row r="1129" spans="1:2" ht="12.5" x14ac:dyDescent="0.25">
      <c r="A1129" t="str">
        <f ca="1">IFERROR(__xludf.DUMMYFUNCTION("""COMPUTED_VALUE"""),"Chromium (Cr)")</f>
        <v>Chromium (Cr)</v>
      </c>
      <c r="B1129" t="str">
        <f ca="1">IFERROR(__xludf.DUMMYFUNCTION("""COMPUTED_VALUE"""),"RF-00000152-CHE")</f>
        <v>RF-00000152-CHE</v>
      </c>
    </row>
    <row r="1130" spans="1:2" ht="12.5" x14ac:dyDescent="0.25">
      <c r="A1130" t="str">
        <f ca="1">IFERROR(__xludf.DUMMYFUNCTION("""COMPUTED_VALUE"""),"Chromium (III)")</f>
        <v>Chromium (III)</v>
      </c>
      <c r="B1130" t="str">
        <f ca="1">IFERROR(__xludf.DUMMYFUNCTION("""COMPUTED_VALUE"""),"RF-00000156-CHE")</f>
        <v>RF-00000156-CHE</v>
      </c>
    </row>
    <row r="1131" spans="1:2" ht="12.5" x14ac:dyDescent="0.25">
      <c r="A1131" t="str">
        <f ca="1">IFERROR(__xludf.DUMMYFUNCTION("""COMPUTED_VALUE"""),"Chromium (III) Inorganic")</f>
        <v>Chromium (III) Inorganic</v>
      </c>
      <c r="B1131" t="str">
        <f ca="1">IFERROR(__xludf.DUMMYFUNCTION("""COMPUTED_VALUE"""),"RF-00000157-CHE")</f>
        <v>RF-00000157-CHE</v>
      </c>
    </row>
    <row r="1132" spans="1:2" ht="12.5" x14ac:dyDescent="0.25">
      <c r="A1132" t="str">
        <f ca="1">IFERROR(__xludf.DUMMYFUNCTION("""COMPUTED_VALUE"""),"Chromium (III) Organic")</f>
        <v>Chromium (III) Organic</v>
      </c>
      <c r="B1132" t="str">
        <f ca="1">IFERROR(__xludf.DUMMYFUNCTION("""COMPUTED_VALUE"""),"RF-00000158-CHE")</f>
        <v>RF-00000158-CHE</v>
      </c>
    </row>
    <row r="1133" spans="1:2" ht="12.5" x14ac:dyDescent="0.25">
      <c r="A1133" t="str">
        <f ca="1">IFERROR(__xludf.DUMMYFUNCTION("""COMPUTED_VALUE"""),"Chromium (VI)")</f>
        <v>Chromium (VI)</v>
      </c>
      <c r="B1133" t="str">
        <f ca="1">IFERROR(__xludf.DUMMYFUNCTION("""COMPUTED_VALUE"""),"RF-00000159-CHE")</f>
        <v>RF-00000159-CHE</v>
      </c>
    </row>
    <row r="1134" spans="1:2" ht="12.5" x14ac:dyDescent="0.25">
      <c r="A1134" t="str">
        <f ca="1">IFERROR(__xludf.DUMMYFUNCTION("""COMPUTED_VALUE"""),"Chromium and derivatives")</f>
        <v>Chromium and derivatives</v>
      </c>
      <c r="B1134" t="str">
        <f ca="1">IFERROR(__xludf.DUMMYFUNCTION("""COMPUTED_VALUE"""),"RF-00000151-CHE")</f>
        <v>RF-00000151-CHE</v>
      </c>
    </row>
    <row r="1135" spans="1:2" ht="12.5" x14ac:dyDescent="0.25">
      <c r="A1135" t="str">
        <f ca="1">IFERROR(__xludf.DUMMYFUNCTION("""COMPUTED_VALUE"""),"Chrysene")</f>
        <v>Chrysene</v>
      </c>
      <c r="B1135" t="str">
        <f ca="1">IFERROR(__xludf.DUMMYFUNCTION("""COMPUTED_VALUE"""),"RF-00000053-ORG")</f>
        <v>RF-00000053-ORG</v>
      </c>
    </row>
    <row r="1136" spans="1:2" ht="12.5" x14ac:dyDescent="0.25">
      <c r="A1136" t="str">
        <f ca="1">IFERROR(__xludf.DUMMYFUNCTION("""COMPUTED_VALUE"""),"Ciguatoxin group toxins")</f>
        <v>Ciguatoxin group toxins</v>
      </c>
      <c r="B1136" t="str">
        <f ca="1">IFERROR(__xludf.DUMMYFUNCTION("""COMPUTED_VALUE"""),"RF-00000044-TOX")</f>
        <v>RF-00000044-TOX</v>
      </c>
    </row>
    <row r="1137" spans="1:2" ht="12.5" x14ac:dyDescent="0.25">
      <c r="A1137" t="str">
        <f ca="1">IFERROR(__xludf.DUMMYFUNCTION("""COMPUTED_VALUE"""),"Cimaterol")</f>
        <v>Cimaterol</v>
      </c>
      <c r="B1137" t="str">
        <f ca="1">IFERROR(__xludf.DUMMYFUNCTION("""COMPUTED_VALUE"""),"RF-00000481-VET")</f>
        <v>RF-00000481-VET</v>
      </c>
    </row>
    <row r="1138" spans="1:2" ht="12.5" x14ac:dyDescent="0.25">
      <c r="A1138" t="str">
        <f ca="1">IFERROR(__xludf.DUMMYFUNCTION("""COMPUTED_VALUE"""),"Cimbuterol")</f>
        <v>Cimbuterol</v>
      </c>
      <c r="B1138" t="str">
        <f ca="1">IFERROR(__xludf.DUMMYFUNCTION("""COMPUTED_VALUE"""),"RF-00000482-VET")</f>
        <v>RF-00000482-VET</v>
      </c>
    </row>
    <row r="1139" spans="1:2" ht="12.5" x14ac:dyDescent="0.25">
      <c r="A1139" t="str">
        <f ca="1">IFERROR(__xludf.DUMMYFUNCTION("""COMPUTED_VALUE"""),"Cimiazol")</f>
        <v>Cimiazol</v>
      </c>
      <c r="B1139" t="str">
        <f ca="1">IFERROR(__xludf.DUMMYFUNCTION("""COMPUTED_VALUE"""),"RF-00000130-VET")</f>
        <v>RF-00000130-VET</v>
      </c>
    </row>
    <row r="1140" spans="1:2" ht="12.5" x14ac:dyDescent="0.25">
      <c r="A1140" t="str">
        <f ca="1">IFERROR(__xludf.DUMMYFUNCTION("""COMPUTED_VALUE"""),"Cinerin")</f>
        <v>Cinerin</v>
      </c>
      <c r="B1140" t="str">
        <f ca="1">IFERROR(__xludf.DUMMYFUNCTION("""COMPUTED_VALUE"""),"RF-1066-001-PPP")</f>
        <v>RF-1066-001-PPP</v>
      </c>
    </row>
    <row r="1141" spans="1:2" ht="12.5" x14ac:dyDescent="0.25">
      <c r="A1141" t="str">
        <f ca="1">IFERROR(__xludf.DUMMYFUNCTION("""COMPUTED_VALUE"""),"Cinerin I")</f>
        <v>Cinerin I</v>
      </c>
      <c r="B1141" t="str">
        <f ca="1">IFERROR(__xludf.DUMMYFUNCTION("""COMPUTED_VALUE"""),"RF-1066-002-PPP")</f>
        <v>RF-1066-002-PPP</v>
      </c>
    </row>
    <row r="1142" spans="1:2" ht="12.5" x14ac:dyDescent="0.25">
      <c r="A1142" t="str">
        <f ca="1">IFERROR(__xludf.DUMMYFUNCTION("""COMPUTED_VALUE"""),"Cinerin II")</f>
        <v>Cinerin II</v>
      </c>
      <c r="B1142" t="str">
        <f ca="1">IFERROR(__xludf.DUMMYFUNCTION("""COMPUTED_VALUE"""),"RF-1066-003-PPP")</f>
        <v>RF-1066-003-PPP</v>
      </c>
    </row>
    <row r="1143" spans="1:2" ht="12.5" x14ac:dyDescent="0.25">
      <c r="A1143" t="str">
        <f ca="1">IFERROR(__xludf.DUMMYFUNCTION("""COMPUTED_VALUE"""),"Cinidon-ethyl")</f>
        <v>Cinidon-ethyl</v>
      </c>
      <c r="B1143" t="str">
        <f ca="1">IFERROR(__xludf.DUMMYFUNCTION("""COMPUTED_VALUE"""),"RF-0095-002-PPP")</f>
        <v>RF-0095-002-PPP</v>
      </c>
    </row>
    <row r="1144" spans="1:2" ht="12.5" x14ac:dyDescent="0.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x14ac:dyDescent="0.25">
      <c r="A1145" t="str">
        <f ca="1">IFERROR(__xludf.DUMMYFUNCTION("""COMPUTED_VALUE"""),"Cinmethylin")</f>
        <v>Cinmethylin</v>
      </c>
      <c r="B1145" t="str">
        <f ca="1">IFERROR(__xludf.DUMMYFUNCTION("""COMPUTED_VALUE"""),"RF-0563-001-PPP")</f>
        <v>RF-0563-001-PPP</v>
      </c>
    </row>
    <row r="1146" spans="1:2" ht="12.5" x14ac:dyDescent="0.25">
      <c r="A1146" t="str">
        <f ca="1">IFERROR(__xludf.DUMMYFUNCTION("""COMPUTED_VALUE"""),"Cinosulfuron")</f>
        <v>Cinosulfuron</v>
      </c>
      <c r="B1146" t="str">
        <f ca="1">IFERROR(__xludf.DUMMYFUNCTION("""COMPUTED_VALUE"""),"RF-0564-001-PPP")</f>
        <v>RF-0564-001-PPP</v>
      </c>
    </row>
    <row r="1147" spans="1:2" ht="12.5" x14ac:dyDescent="0.25">
      <c r="A1147" t="str">
        <f ca="1">IFERROR(__xludf.DUMMYFUNCTION("""COMPUTED_VALUE"""),"Cinoxacin")</f>
        <v>Cinoxacin</v>
      </c>
      <c r="B1147" t="str">
        <f ca="1">IFERROR(__xludf.DUMMYFUNCTION("""COMPUTED_VALUE"""),"RF-00000809-VET")</f>
        <v>RF-00000809-VET</v>
      </c>
    </row>
    <row r="1148" spans="1:2" ht="12.5" x14ac:dyDescent="0.25">
      <c r="A1148" t="str">
        <f ca="1">IFERROR(__xludf.DUMMYFUNCTION("""COMPUTED_VALUE"""),"Ciprofloxacin")</f>
        <v>Ciprofloxacin</v>
      </c>
      <c r="B1148" t="str">
        <f ca="1">IFERROR(__xludf.DUMMYFUNCTION("""COMPUTED_VALUE"""),"RF-00000695-VET")</f>
        <v>RF-00000695-VET</v>
      </c>
    </row>
    <row r="1149" spans="1:2" ht="12.5" x14ac:dyDescent="0.25">
      <c r="A1149" t="str">
        <f ca="1">IFERROR(__xludf.DUMMYFUNCTION("""COMPUTED_VALUE"""),"cis-Permethrin")</f>
        <v>cis-Permethrin</v>
      </c>
      <c r="B1149" t="str">
        <f ca="1">IFERROR(__xludf.DUMMYFUNCTION("""COMPUTED_VALUE"""),"RF-0842-002-PPP")</f>
        <v>RF-0842-002-PPP</v>
      </c>
    </row>
    <row r="1150" spans="1:2" ht="12.5" x14ac:dyDescent="0.25">
      <c r="A1150" t="str">
        <f ca="1">IFERROR(__xludf.DUMMYFUNCTION("""COMPUTED_VALUE"""),"cis-Resmethrin")</f>
        <v>cis-Resmethrin</v>
      </c>
      <c r="B1150" t="str">
        <f ca="1">IFERROR(__xludf.DUMMYFUNCTION("""COMPUTED_VALUE"""),"RF-0385-002-PPP")</f>
        <v>RF-0385-002-PPP</v>
      </c>
    </row>
    <row r="1151" spans="1:2" ht="12.5" x14ac:dyDescent="0.25">
      <c r="A1151" t="str">
        <f ca="1">IFERROR(__xludf.DUMMYFUNCTION("""COMPUTED_VALUE"""),"Citric acid")</f>
        <v>Citric acid</v>
      </c>
      <c r="B1151" t="str">
        <f ca="1">IFERROR(__xludf.DUMMYFUNCTION("""COMPUTED_VALUE"""),"RF-00000103-ADD")</f>
        <v>RF-00000103-ADD</v>
      </c>
    </row>
    <row r="1152" spans="1:2" ht="12.5" x14ac:dyDescent="0.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x14ac:dyDescent="0.25">
      <c r="A1153" t="str">
        <f ca="1">IFERROR(__xludf.DUMMYFUNCTION("""COMPUTED_VALUE"""),"Citrinin")</f>
        <v>Citrinin</v>
      </c>
      <c r="B1153" t="str">
        <f ca="1">IFERROR(__xludf.DUMMYFUNCTION("""COMPUTED_VALUE"""),"RF-00000207-TOX")</f>
        <v>RF-00000207-TOX</v>
      </c>
    </row>
    <row r="1154" spans="1:2" ht="12.5" x14ac:dyDescent="0.25">
      <c r="A1154" t="str">
        <f ca="1">IFERROR(__xludf.DUMMYFUNCTION("""COMPUTED_VALUE"""),"Clarithromycin")</f>
        <v>Clarithromycin</v>
      </c>
      <c r="B1154" t="str">
        <f ca="1">IFERROR(__xludf.DUMMYFUNCTION("""COMPUTED_VALUE"""),"RF-00000693-VET")</f>
        <v>RF-00000693-VET</v>
      </c>
    </row>
    <row r="1155" spans="1:2" ht="12.5" x14ac:dyDescent="0.25">
      <c r="A1155" t="str">
        <f ca="1">IFERROR(__xludf.DUMMYFUNCTION("""COMPUTED_VALUE"""),"Clavulanic acid")</f>
        <v>Clavulanic acid</v>
      </c>
      <c r="B1155" t="str">
        <f ca="1">IFERROR(__xludf.DUMMYFUNCTION("""COMPUTED_VALUE"""),"RF-00000692-VET")</f>
        <v>RF-00000692-VET</v>
      </c>
    </row>
    <row r="1156" spans="1:2" ht="12.5" x14ac:dyDescent="0.25">
      <c r="A1156" t="str">
        <f ca="1">IFERROR(__xludf.DUMMYFUNCTION("""COMPUTED_VALUE"""),"Clazuril")</f>
        <v>Clazuril</v>
      </c>
      <c r="B1156" t="str">
        <f ca="1">IFERROR(__xludf.DUMMYFUNCTION("""COMPUTED_VALUE"""),"RF-00000092-VET")</f>
        <v>RF-00000092-VET</v>
      </c>
    </row>
    <row r="1157" spans="1:2" ht="12.5" x14ac:dyDescent="0.25">
      <c r="A1157" t="str">
        <f ca="1">IFERROR(__xludf.DUMMYFUNCTION("""COMPUTED_VALUE"""),"Clemizol-Penicillin")</f>
        <v>Clemizol-Penicillin</v>
      </c>
      <c r="B1157" t="str">
        <f ca="1">IFERROR(__xludf.DUMMYFUNCTION("""COMPUTED_VALUE"""),"RF-00000691-VET")</f>
        <v>RF-00000691-VET</v>
      </c>
    </row>
    <row r="1158" spans="1:2" ht="12.5" x14ac:dyDescent="0.25">
      <c r="A1158" t="str">
        <f ca="1">IFERROR(__xludf.DUMMYFUNCTION("""COMPUTED_VALUE"""),"Clenbuterol")</f>
        <v>Clenbuterol</v>
      </c>
      <c r="B1158" t="str">
        <f ca="1">IFERROR(__xludf.DUMMYFUNCTION("""COMPUTED_VALUE"""),"RF-00000478-VET")</f>
        <v>RF-00000478-VET</v>
      </c>
    </row>
    <row r="1159" spans="1:2" ht="12.5" x14ac:dyDescent="0.25">
      <c r="A1159" t="str">
        <f ca="1">IFERROR(__xludf.DUMMYFUNCTION("""COMPUTED_VALUE"""),"Clenbuterol-Hydrochloride")</f>
        <v>Clenbuterol-Hydrochloride</v>
      </c>
      <c r="B1159" t="str">
        <f ca="1">IFERROR(__xludf.DUMMYFUNCTION("""COMPUTED_VALUE"""),"RF-00000485-VET")</f>
        <v>RF-00000485-VET</v>
      </c>
    </row>
    <row r="1160" spans="1:2" ht="12.5" x14ac:dyDescent="0.25">
      <c r="A1160" t="str">
        <f ca="1">IFERROR(__xludf.DUMMYFUNCTION("""COMPUTED_VALUE"""),"Clenbuterol-Hydroxymethyl (NA 1142)")</f>
        <v>Clenbuterol-Hydroxymethyl (NA 1142)</v>
      </c>
      <c r="B1160" t="str">
        <f ca="1">IFERROR(__xludf.DUMMYFUNCTION("""COMPUTED_VALUE"""),"RF-00000484-VET")</f>
        <v>RF-00000484-VET</v>
      </c>
    </row>
    <row r="1161" spans="1:2" ht="12.5" x14ac:dyDescent="0.25">
      <c r="A1161" t="str">
        <f ca="1">IFERROR(__xludf.DUMMYFUNCTION("""COMPUTED_VALUE"""),"Clencyclohexerol")</f>
        <v>Clencyclohexerol</v>
      </c>
      <c r="B1161" t="str">
        <f ca="1">IFERROR(__xludf.DUMMYFUNCTION("""COMPUTED_VALUE"""),"RF-00000474-VET")</f>
        <v>RF-00000474-VET</v>
      </c>
    </row>
    <row r="1162" spans="1:2" ht="12.5" x14ac:dyDescent="0.25">
      <c r="A1162" t="str">
        <f ca="1">IFERROR(__xludf.DUMMYFUNCTION("""COMPUTED_VALUE"""),"Clenhexerol hydrochloride")</f>
        <v>Clenhexerol hydrochloride</v>
      </c>
      <c r="B1162" t="str">
        <f ca="1">IFERROR(__xludf.DUMMYFUNCTION("""COMPUTED_VALUE"""),"RF-00000470-VET")</f>
        <v>RF-00000470-VET</v>
      </c>
    </row>
    <row r="1163" spans="1:2" ht="12.5" x14ac:dyDescent="0.25">
      <c r="A1163" t="str">
        <f ca="1">IFERROR(__xludf.DUMMYFUNCTION("""COMPUTED_VALUE"""),"Clenhexyl")</f>
        <v>Clenhexyl</v>
      </c>
      <c r="B1163" t="str">
        <f ca="1">IFERROR(__xludf.DUMMYFUNCTION("""COMPUTED_VALUE"""),"RF-00000475-VET")</f>
        <v>RF-00000475-VET</v>
      </c>
    </row>
    <row r="1164" spans="1:2" ht="12.5" x14ac:dyDescent="0.25">
      <c r="A1164" t="str">
        <f ca="1">IFERROR(__xludf.DUMMYFUNCTION("""COMPUTED_VALUE"""),"Clenisopenterol")</f>
        <v>Clenisopenterol</v>
      </c>
      <c r="B1164" t="str">
        <f ca="1">IFERROR(__xludf.DUMMYFUNCTION("""COMPUTED_VALUE"""),"RF-00000496-VET")</f>
        <v>RF-00000496-VET</v>
      </c>
    </row>
    <row r="1165" spans="1:2" ht="12.5" x14ac:dyDescent="0.25">
      <c r="A1165" t="str">
        <f ca="1">IFERROR(__xludf.DUMMYFUNCTION("""COMPUTED_VALUE"""),"Clenpenterol (NAB 762, Methylclenbuterol)")</f>
        <v>Clenpenterol (NAB 762, Methylclenbuterol)</v>
      </c>
      <c r="B1165" t="str">
        <f ca="1">IFERROR(__xludf.DUMMYFUNCTION("""COMPUTED_VALUE"""),"RF-00000495-VET")</f>
        <v>RF-00000495-VET</v>
      </c>
    </row>
    <row r="1166" spans="1:2" ht="12.5" x14ac:dyDescent="0.25">
      <c r="A1166" t="str">
        <f ca="1">IFERROR(__xludf.DUMMYFUNCTION("""COMPUTED_VALUE"""),"Clenproperol")</f>
        <v>Clenproperol</v>
      </c>
      <c r="B1166" t="str">
        <f ca="1">IFERROR(__xludf.DUMMYFUNCTION("""COMPUTED_VALUE"""),"RF-00000492-VET")</f>
        <v>RF-00000492-VET</v>
      </c>
    </row>
    <row r="1167" spans="1:2" ht="12.5" x14ac:dyDescent="0.25">
      <c r="A1167" t="str">
        <f ca="1">IFERROR(__xludf.DUMMYFUNCTION("""COMPUTED_VALUE"""),"Clethodim")</f>
        <v>Clethodim</v>
      </c>
      <c r="B1167" t="str">
        <f ca="1">IFERROR(__xludf.DUMMYFUNCTION("""COMPUTED_VALUE"""),"RF-0096-005-PPP")</f>
        <v>RF-0096-005-PPP</v>
      </c>
    </row>
    <row r="1168" spans="1:2" ht="12.5" x14ac:dyDescent="0.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x14ac:dyDescent="0.25">
      <c r="A1169" t="str">
        <f ca="1">IFERROR(__xludf.DUMMYFUNCTION("""COMPUTED_VALUE"""),"Clethodim-Imin-Sulfon")</f>
        <v>Clethodim-Imin-Sulfon</v>
      </c>
      <c r="B1169" t="str">
        <f ca="1">IFERROR(__xludf.DUMMYFUNCTION("""COMPUTED_VALUE"""),"RF-0096-007-PPP")</f>
        <v>RF-0096-007-PPP</v>
      </c>
    </row>
    <row r="1170" spans="1:2" ht="12.5" x14ac:dyDescent="0.25">
      <c r="A1170" t="str">
        <f ca="1">IFERROR(__xludf.DUMMYFUNCTION("""COMPUTED_VALUE"""),"Clethodim-Imin-Sulfoxid")</f>
        <v>Clethodim-Imin-Sulfoxid</v>
      </c>
      <c r="B1170" t="str">
        <f ca="1">IFERROR(__xludf.DUMMYFUNCTION("""COMPUTED_VALUE"""),"RF-0096-006-PPP")</f>
        <v>RF-0096-006-PPP</v>
      </c>
    </row>
    <row r="1171" spans="1:2" ht="12.5" x14ac:dyDescent="0.25">
      <c r="A1171" t="str">
        <f ca="1">IFERROR(__xludf.DUMMYFUNCTION("""COMPUTED_VALUE"""),"Clethodim-Sulfon")</f>
        <v>Clethodim-Sulfon</v>
      </c>
      <c r="B1171" t="str">
        <f ca="1">IFERROR(__xludf.DUMMYFUNCTION("""COMPUTED_VALUE"""),"RF-0096-002-PPP")</f>
        <v>RF-0096-002-PPP</v>
      </c>
    </row>
    <row r="1172" spans="1:2" ht="12.5" x14ac:dyDescent="0.25">
      <c r="A1172" t="str">
        <f ca="1">IFERROR(__xludf.DUMMYFUNCTION("""COMPUTED_VALUE"""),"Clethodim-Sulfoxid")</f>
        <v>Clethodim-Sulfoxid</v>
      </c>
      <c r="B1172" t="str">
        <f ca="1">IFERROR(__xludf.DUMMYFUNCTION("""COMPUTED_VALUE"""),"RF-0096-004-PPP")</f>
        <v>RF-0096-004-PPP</v>
      </c>
    </row>
    <row r="1173" spans="1:2" ht="12.5" x14ac:dyDescent="0.25">
      <c r="A1173" t="str">
        <f ca="1">IFERROR(__xludf.DUMMYFUNCTION("""COMPUTED_VALUE"""),"Clethodim, 5-Hydroxy-Sulfon")</f>
        <v>Clethodim, 5-Hydroxy-Sulfon</v>
      </c>
      <c r="B1173" t="str">
        <f ca="1">IFERROR(__xludf.DUMMYFUNCTION("""COMPUTED_VALUE"""),"RF-0096-009-PPP")</f>
        <v>RF-0096-009-PPP</v>
      </c>
    </row>
    <row r="1174" spans="1:2" ht="12.5" x14ac:dyDescent="0.25">
      <c r="A1174" t="str">
        <f ca="1">IFERROR(__xludf.DUMMYFUNCTION("""COMPUTED_VALUE"""),"Climbazole")</f>
        <v>Climbazole</v>
      </c>
      <c r="B1174" t="str">
        <f ca="1">IFERROR(__xludf.DUMMYFUNCTION("""COMPUTED_VALUE"""),"RF-00000013-PAR")</f>
        <v>RF-00000013-PAR</v>
      </c>
    </row>
    <row r="1175" spans="1:2" ht="12.5" x14ac:dyDescent="0.25">
      <c r="A1175" t="str">
        <f ca="1">IFERROR(__xludf.DUMMYFUNCTION("""COMPUTED_VALUE"""),"Clinafloxacin")</f>
        <v>Clinafloxacin</v>
      </c>
      <c r="B1175" t="str">
        <f ca="1">IFERROR(__xludf.DUMMYFUNCTION("""COMPUTED_VALUE"""),"RF-00000671-VET")</f>
        <v>RF-00000671-VET</v>
      </c>
    </row>
    <row r="1176" spans="1:2" ht="12.5" x14ac:dyDescent="0.25">
      <c r="A1176" t="str">
        <f ca="1">IFERROR(__xludf.DUMMYFUNCTION("""COMPUTED_VALUE"""),"Clindamycin")</f>
        <v>Clindamycin</v>
      </c>
      <c r="B1176" t="str">
        <f ca="1">IFERROR(__xludf.DUMMYFUNCTION("""COMPUTED_VALUE"""),"RF-00000545-VET")</f>
        <v>RF-00000545-VET</v>
      </c>
    </row>
    <row r="1177" spans="1:2" ht="12.5" x14ac:dyDescent="0.25">
      <c r="A1177" t="str">
        <f ca="1">IFERROR(__xludf.DUMMYFUNCTION("""COMPUTED_VALUE"""),"Clivorine")</f>
        <v>Clivorine</v>
      </c>
      <c r="B1177" t="str">
        <f ca="1">IFERROR(__xludf.DUMMYFUNCTION("""COMPUTED_VALUE"""),"RF-00000272-TOX")</f>
        <v>RF-00000272-TOX</v>
      </c>
    </row>
    <row r="1178" spans="1:2" ht="12.5" x14ac:dyDescent="0.25">
      <c r="A1178" t="str">
        <f ca="1">IFERROR(__xludf.DUMMYFUNCTION("""COMPUTED_VALUE"""),"Clobazam")</f>
        <v>Clobazam</v>
      </c>
      <c r="B1178" t="str">
        <f ca="1">IFERROR(__xludf.DUMMYFUNCTION("""COMPUTED_VALUE"""),"RF-00000175-VET")</f>
        <v>RF-00000175-VET</v>
      </c>
    </row>
    <row r="1179" spans="1:2" ht="12.5" x14ac:dyDescent="0.25">
      <c r="A1179" t="str">
        <f ca="1">IFERROR(__xludf.DUMMYFUNCTION("""COMPUTED_VALUE"""),"Clobetasol")</f>
        <v>Clobetasol</v>
      </c>
      <c r="B1179" t="str">
        <f ca="1">IFERROR(__xludf.DUMMYFUNCTION("""COMPUTED_VALUE"""),"RF-00000413-VET")</f>
        <v>RF-00000413-VET</v>
      </c>
    </row>
    <row r="1180" spans="1:2" ht="12.5" x14ac:dyDescent="0.25">
      <c r="A1180" t="str">
        <f ca="1">IFERROR(__xludf.DUMMYFUNCTION("""COMPUTED_VALUE"""),"Clobetasol-Propionate")</f>
        <v>Clobetasol-Propionate</v>
      </c>
      <c r="B1180" t="str">
        <f ca="1">IFERROR(__xludf.DUMMYFUNCTION("""COMPUTED_VALUE"""),"RF-00000444-VET")</f>
        <v>RF-00000444-VET</v>
      </c>
    </row>
    <row r="1181" spans="1:2" ht="12.5" x14ac:dyDescent="0.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x14ac:dyDescent="0.25">
      <c r="A1182" t="str">
        <f ca="1">IFERROR(__xludf.DUMMYFUNCTION("""COMPUTED_VALUE"""),"Clodinafop-Propargyl")</f>
        <v>Clodinafop-Propargyl</v>
      </c>
      <c r="B1182" t="str">
        <f ca="1">IFERROR(__xludf.DUMMYFUNCTION("""COMPUTED_VALUE"""),"RF-0565-001-PPP")</f>
        <v>RF-0565-001-PPP</v>
      </c>
    </row>
    <row r="1183" spans="1:2" ht="12.5" x14ac:dyDescent="0.25">
      <c r="A1183" t="str">
        <f ca="1">IFERROR(__xludf.DUMMYFUNCTION("""COMPUTED_VALUE"""),"Cloethocarb")</f>
        <v>Cloethocarb</v>
      </c>
      <c r="B1183" t="str">
        <f ca="1">IFERROR(__xludf.DUMMYFUNCTION("""COMPUTED_VALUE"""),"RF-1015-001-PPP")</f>
        <v>RF-1015-001-PPP</v>
      </c>
    </row>
    <row r="1184" spans="1:2" ht="12.5" x14ac:dyDescent="0.25">
      <c r="A1184" t="str">
        <f ca="1">IFERROR(__xludf.DUMMYFUNCTION("""COMPUTED_VALUE"""),"Clofencet")</f>
        <v>Clofencet</v>
      </c>
      <c r="B1184" t="str">
        <f ca="1">IFERROR(__xludf.DUMMYFUNCTION("""COMPUTED_VALUE"""),"RF-0566-001-PPP")</f>
        <v>RF-0566-001-PPP</v>
      </c>
    </row>
    <row r="1185" spans="1:2" ht="12.5" x14ac:dyDescent="0.25">
      <c r="A1185" t="str">
        <f ca="1">IFERROR(__xludf.DUMMYFUNCTION("""COMPUTED_VALUE"""),"Clofentezine")</f>
        <v>Clofentezine</v>
      </c>
      <c r="B1185" t="str">
        <f ca="1">IFERROR(__xludf.DUMMYFUNCTION("""COMPUTED_VALUE"""),"RF-0098-001-PPP")</f>
        <v>RF-0098-001-PPP</v>
      </c>
    </row>
    <row r="1186" spans="1:2" ht="12.5" x14ac:dyDescent="0.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x14ac:dyDescent="0.25">
      <c r="A1187" t="str">
        <f ca="1">IFERROR(__xludf.DUMMYFUNCTION("""COMPUTED_VALUE"""),"Clomazone")</f>
        <v>Clomazone</v>
      </c>
      <c r="B1187" t="str">
        <f ca="1">IFERROR(__xludf.DUMMYFUNCTION("""COMPUTED_VALUE"""),"RF-0099-001-PPP")</f>
        <v>RF-0099-001-PPP</v>
      </c>
    </row>
    <row r="1188" spans="1:2" ht="12.5" x14ac:dyDescent="0.25">
      <c r="A1188" t="str">
        <f ca="1">IFERROR(__xludf.DUMMYFUNCTION("""COMPUTED_VALUE"""),"Clopyralid")</f>
        <v>Clopyralid</v>
      </c>
      <c r="B1188" t="str">
        <f ca="1">IFERROR(__xludf.DUMMYFUNCTION("""COMPUTED_VALUE"""),"RF-0100-001-PPP")</f>
        <v>RF-0100-001-PPP</v>
      </c>
    </row>
    <row r="1189" spans="1:2" ht="12.5" x14ac:dyDescent="0.25">
      <c r="A1189" t="str">
        <f ca="1">IFERROR(__xludf.DUMMYFUNCTION("""COMPUTED_VALUE"""),"Cloquintocet")</f>
        <v>Cloquintocet</v>
      </c>
      <c r="B1189" t="str">
        <f ca="1">IFERROR(__xludf.DUMMYFUNCTION("""COMPUTED_VALUE"""),"RF-0567-001-PPP")</f>
        <v>RF-0567-001-PPP</v>
      </c>
    </row>
    <row r="1190" spans="1:2" ht="12.5" x14ac:dyDescent="0.25">
      <c r="A1190" t="str">
        <f ca="1">IFERROR(__xludf.DUMMYFUNCTION("""COMPUTED_VALUE"""),"Cloquintocet-Mexyl")</f>
        <v>Cloquintocet-Mexyl</v>
      </c>
      <c r="B1190" t="str">
        <f ca="1">IFERROR(__xludf.DUMMYFUNCTION("""COMPUTED_VALUE"""),"RF-0568-001-PPP")</f>
        <v>RF-0568-001-PPP</v>
      </c>
    </row>
    <row r="1191" spans="1:2" ht="12.5" x14ac:dyDescent="0.25">
      <c r="A1191" t="str">
        <f ca="1">IFERROR(__xludf.DUMMYFUNCTION("""COMPUTED_VALUE"""),"Cloransulam-Methyl")</f>
        <v>Cloransulam-Methyl</v>
      </c>
      <c r="B1191" t="str">
        <f ca="1">IFERROR(__xludf.DUMMYFUNCTION("""COMPUTED_VALUE"""),"RF-0569-001-PPP")</f>
        <v>RF-0569-001-PPP</v>
      </c>
    </row>
    <row r="1192" spans="1:2" ht="12.5" x14ac:dyDescent="0.25">
      <c r="A1192" t="str">
        <f ca="1">IFERROR(__xludf.DUMMYFUNCTION("""COMPUTED_VALUE"""),"Clorsulon")</f>
        <v>Clorsulon</v>
      </c>
      <c r="B1192" t="str">
        <f ca="1">IFERROR(__xludf.DUMMYFUNCTION("""COMPUTED_VALUE"""),"RF-00000580-VET")</f>
        <v>RF-00000580-VET</v>
      </c>
    </row>
    <row r="1193" spans="1:2" ht="12.5" x14ac:dyDescent="0.25">
      <c r="A1193" t="str">
        <f ca="1">IFERROR(__xludf.DUMMYFUNCTION("""COMPUTED_VALUE"""),"Closantel")</f>
        <v>Closantel</v>
      </c>
      <c r="B1193" t="str">
        <f ca="1">IFERROR(__xludf.DUMMYFUNCTION("""COMPUTED_VALUE"""),"RF-00000039-VET")</f>
        <v>RF-00000039-VET</v>
      </c>
    </row>
    <row r="1194" spans="1:2" ht="12.5" x14ac:dyDescent="0.25">
      <c r="A1194" t="str">
        <f ca="1">IFERROR(__xludf.DUMMYFUNCTION("""COMPUTED_VALUE"""),"Clostebol")</f>
        <v>Clostebol</v>
      </c>
      <c r="B1194" t="str">
        <f ca="1">IFERROR(__xludf.DUMMYFUNCTION("""COMPUTED_VALUE"""),"RF-00000446-VET")</f>
        <v>RF-00000446-VET</v>
      </c>
    </row>
    <row r="1195" spans="1:2" ht="12.5" x14ac:dyDescent="0.25">
      <c r="A1195" t="str">
        <f ca="1">IFERROR(__xludf.DUMMYFUNCTION("""COMPUTED_VALUE"""),"Clostebol acetate")</f>
        <v>Clostebol acetate</v>
      </c>
      <c r="B1195" t="str">
        <f ca="1">IFERROR(__xludf.DUMMYFUNCTION("""COMPUTED_VALUE"""),"RF-00000435-VET")</f>
        <v>RF-00000435-VET</v>
      </c>
    </row>
    <row r="1196" spans="1:2" ht="12.5" x14ac:dyDescent="0.25">
      <c r="A1196" t="str">
        <f ca="1">IFERROR(__xludf.DUMMYFUNCTION("""COMPUTED_VALUE"""),"Clostridium")</f>
        <v>Clostridium</v>
      </c>
      <c r="B1196" t="str">
        <f ca="1">IFERROR(__xludf.DUMMYFUNCTION("""COMPUTED_VALUE"""),"RF-00000080-MCG")</f>
        <v>RF-00000080-MCG</v>
      </c>
    </row>
    <row r="1197" spans="1:2" ht="12.5" x14ac:dyDescent="0.25">
      <c r="A1197" t="str">
        <f ca="1">IFERROR(__xludf.DUMMYFUNCTION("""COMPUTED_VALUE"""),"Clostridium - C. botulinum")</f>
        <v>Clostridium - C. botulinum</v>
      </c>
      <c r="B1197" t="str">
        <f ca="1">IFERROR(__xludf.DUMMYFUNCTION("""COMPUTED_VALUE"""),"RF-00003850-MCG")</f>
        <v>RF-00003850-MCG</v>
      </c>
    </row>
    <row r="1198" spans="1:2" ht="12.5" x14ac:dyDescent="0.25">
      <c r="A1198" t="str">
        <f ca="1">IFERROR(__xludf.DUMMYFUNCTION("""COMPUTED_VALUE"""),"Clostridium - C. difficile")</f>
        <v>Clostridium - C. difficile</v>
      </c>
      <c r="B1198" t="str">
        <f ca="1">IFERROR(__xludf.DUMMYFUNCTION("""COMPUTED_VALUE"""),"RF-00003851-MCG")</f>
        <v>RF-00003851-MCG</v>
      </c>
    </row>
    <row r="1199" spans="1:2" ht="12.5" x14ac:dyDescent="0.25">
      <c r="A1199" t="str">
        <f ca="1">IFERROR(__xludf.DUMMYFUNCTION("""COMPUTED_VALUE"""),"Clostridium botulinum toxins")</f>
        <v>Clostridium botulinum toxins</v>
      </c>
      <c r="B1199" t="str">
        <f ca="1">IFERROR(__xludf.DUMMYFUNCTION("""COMPUTED_VALUE"""),"RF-00000004-TOX")</f>
        <v>RF-00000004-TOX</v>
      </c>
    </row>
    <row r="1200" spans="1:2" ht="12.5" x14ac:dyDescent="0.25">
      <c r="A1200" t="str">
        <f ca="1">IFERROR(__xludf.DUMMYFUNCTION("""COMPUTED_VALUE"""),"Clostridium perfringens")</f>
        <v>Clostridium perfringens</v>
      </c>
      <c r="B1200" t="str">
        <f ca="1">IFERROR(__xludf.DUMMYFUNCTION("""COMPUTED_VALUE"""),"RF-00000082-MCG")</f>
        <v>RF-00000082-MCG</v>
      </c>
    </row>
    <row r="1201" spans="1:2" ht="12.5" x14ac:dyDescent="0.25">
      <c r="A1201" t="str">
        <f ca="1">IFERROR(__xludf.DUMMYFUNCTION("""COMPUTED_VALUE"""),"Clostridium spp., unspecified")</f>
        <v>Clostridium spp., unspecified</v>
      </c>
      <c r="B1201" t="str">
        <f ca="1">IFERROR(__xludf.DUMMYFUNCTION("""COMPUTED_VALUE"""),"RF-00000081-MCG")</f>
        <v>RF-00000081-MCG</v>
      </c>
    </row>
    <row r="1202" spans="1:2" ht="12.5" x14ac:dyDescent="0.25">
      <c r="A1202" t="str">
        <f ca="1">IFERROR(__xludf.DUMMYFUNCTION("""COMPUTED_VALUE"""),"Clothianidin")</f>
        <v>Clothianidin</v>
      </c>
      <c r="B1202" t="str">
        <f ca="1">IFERROR(__xludf.DUMMYFUNCTION("""COMPUTED_VALUE"""),"RF-0101-001-PPP")</f>
        <v>RF-0101-001-PPP</v>
      </c>
    </row>
    <row r="1203" spans="1:2" ht="12.5" x14ac:dyDescent="0.25">
      <c r="A1203" t="str">
        <f ca="1">IFERROR(__xludf.DUMMYFUNCTION("""COMPUTED_VALUE"""),"Cloxacillin")</f>
        <v>Cloxacillin</v>
      </c>
      <c r="B1203" t="str">
        <f ca="1">IFERROR(__xludf.DUMMYFUNCTION("""COMPUTED_VALUE"""),"RF-00000566-VET")</f>
        <v>RF-00000566-VET</v>
      </c>
    </row>
    <row r="1204" spans="1:2" ht="12.5" x14ac:dyDescent="0.25">
      <c r="A1204" t="str">
        <f ca="1">IFERROR(__xludf.DUMMYFUNCTION("""COMPUTED_VALUE"""),"CMY")</f>
        <v>CMY</v>
      </c>
      <c r="B1204" t="str">
        <f ca="1">IFERROR(__xludf.DUMMYFUNCTION("""COMPUTED_VALUE"""),"RF-00000768-PAR")</f>
        <v>RF-00000768-PAR</v>
      </c>
    </row>
    <row r="1205" spans="1:2" ht="12.5" x14ac:dyDescent="0.25">
      <c r="A1205" t="str">
        <f ca="1">IFERROR(__xludf.DUMMYFUNCTION("""COMPUTED_VALUE"""),"CMY-1")</f>
        <v>CMY-1</v>
      </c>
      <c r="B1205" t="str">
        <f ca="1">IFERROR(__xludf.DUMMYFUNCTION("""COMPUTED_VALUE"""),"RF-00000769-PAR")</f>
        <v>RF-00000769-PAR</v>
      </c>
    </row>
    <row r="1206" spans="1:2" ht="12.5" x14ac:dyDescent="0.25">
      <c r="A1206" t="str">
        <f ca="1">IFERROR(__xludf.DUMMYFUNCTION("""COMPUTED_VALUE"""),"CMY-10")</f>
        <v>CMY-10</v>
      </c>
      <c r="B1206" t="str">
        <f ca="1">IFERROR(__xludf.DUMMYFUNCTION("""COMPUTED_VALUE"""),"RF-00000778-PAR")</f>
        <v>RF-00000778-PAR</v>
      </c>
    </row>
    <row r="1207" spans="1:2" ht="12.5" x14ac:dyDescent="0.25">
      <c r="A1207" t="str">
        <f ca="1">IFERROR(__xludf.DUMMYFUNCTION("""COMPUTED_VALUE"""),"CMY-11")</f>
        <v>CMY-11</v>
      </c>
      <c r="B1207" t="str">
        <f ca="1">IFERROR(__xludf.DUMMYFUNCTION("""COMPUTED_VALUE"""),"RF-00000779-PAR")</f>
        <v>RF-00000779-PAR</v>
      </c>
    </row>
    <row r="1208" spans="1:2" ht="12.5" x14ac:dyDescent="0.25">
      <c r="A1208" t="str">
        <f ca="1">IFERROR(__xludf.DUMMYFUNCTION("""COMPUTED_VALUE"""),"CMY-12")</f>
        <v>CMY-12</v>
      </c>
      <c r="B1208" t="str">
        <f ca="1">IFERROR(__xludf.DUMMYFUNCTION("""COMPUTED_VALUE"""),"RF-00000780-PAR")</f>
        <v>RF-00000780-PAR</v>
      </c>
    </row>
    <row r="1209" spans="1:2" ht="12.5" x14ac:dyDescent="0.25">
      <c r="A1209" t="str">
        <f ca="1">IFERROR(__xludf.DUMMYFUNCTION("""COMPUTED_VALUE"""),"CMY-13")</f>
        <v>CMY-13</v>
      </c>
      <c r="B1209" t="str">
        <f ca="1">IFERROR(__xludf.DUMMYFUNCTION("""COMPUTED_VALUE"""),"RF-00000781-PAR")</f>
        <v>RF-00000781-PAR</v>
      </c>
    </row>
    <row r="1210" spans="1:2" ht="12.5" x14ac:dyDescent="0.25">
      <c r="A1210" t="str">
        <f ca="1">IFERROR(__xludf.DUMMYFUNCTION("""COMPUTED_VALUE"""),"CMY-14")</f>
        <v>CMY-14</v>
      </c>
      <c r="B1210" t="str">
        <f ca="1">IFERROR(__xludf.DUMMYFUNCTION("""COMPUTED_VALUE"""),"RF-00000782-PAR")</f>
        <v>RF-00000782-PAR</v>
      </c>
    </row>
    <row r="1211" spans="1:2" ht="12.5" x14ac:dyDescent="0.25">
      <c r="A1211" t="str">
        <f ca="1">IFERROR(__xludf.DUMMYFUNCTION("""COMPUTED_VALUE"""),"CMY-15")</f>
        <v>CMY-15</v>
      </c>
      <c r="B1211" t="str">
        <f ca="1">IFERROR(__xludf.DUMMYFUNCTION("""COMPUTED_VALUE"""),"RF-00000783-PAR")</f>
        <v>RF-00000783-PAR</v>
      </c>
    </row>
    <row r="1212" spans="1:2" ht="12.5" x14ac:dyDescent="0.25">
      <c r="A1212" t="str">
        <f ca="1">IFERROR(__xludf.DUMMYFUNCTION("""COMPUTED_VALUE"""),"CMY-16")</f>
        <v>CMY-16</v>
      </c>
      <c r="B1212" t="str">
        <f ca="1">IFERROR(__xludf.DUMMYFUNCTION("""COMPUTED_VALUE"""),"RF-00000784-PAR")</f>
        <v>RF-00000784-PAR</v>
      </c>
    </row>
    <row r="1213" spans="1:2" ht="12.5" x14ac:dyDescent="0.25">
      <c r="A1213" t="str">
        <f ca="1">IFERROR(__xludf.DUMMYFUNCTION("""COMPUTED_VALUE"""),"CMY-17")</f>
        <v>CMY-17</v>
      </c>
      <c r="B1213" t="str">
        <f ca="1">IFERROR(__xludf.DUMMYFUNCTION("""COMPUTED_VALUE"""),"RF-00000785-PAR")</f>
        <v>RF-00000785-PAR</v>
      </c>
    </row>
    <row r="1214" spans="1:2" ht="12.5" x14ac:dyDescent="0.25">
      <c r="A1214" t="str">
        <f ca="1">IFERROR(__xludf.DUMMYFUNCTION("""COMPUTED_VALUE"""),"CMY-18")</f>
        <v>CMY-18</v>
      </c>
      <c r="B1214" t="str">
        <f ca="1">IFERROR(__xludf.DUMMYFUNCTION("""COMPUTED_VALUE"""),"RF-00000786-PAR")</f>
        <v>RF-00000786-PAR</v>
      </c>
    </row>
    <row r="1215" spans="1:2" ht="12.5" x14ac:dyDescent="0.25">
      <c r="A1215" t="str">
        <f ca="1">IFERROR(__xludf.DUMMYFUNCTION("""COMPUTED_VALUE"""),"CMY-19")</f>
        <v>CMY-19</v>
      </c>
      <c r="B1215" t="str">
        <f ca="1">IFERROR(__xludf.DUMMYFUNCTION("""COMPUTED_VALUE"""),"RF-00000787-PAR")</f>
        <v>RF-00000787-PAR</v>
      </c>
    </row>
    <row r="1216" spans="1:2" ht="12.5" x14ac:dyDescent="0.25">
      <c r="A1216" t="str">
        <f ca="1">IFERROR(__xludf.DUMMYFUNCTION("""COMPUTED_VALUE"""),"CMY-2")</f>
        <v>CMY-2</v>
      </c>
      <c r="B1216" t="str">
        <f ca="1">IFERROR(__xludf.DUMMYFUNCTION("""COMPUTED_VALUE"""),"RF-00000770-PAR")</f>
        <v>RF-00000770-PAR</v>
      </c>
    </row>
    <row r="1217" spans="1:2" ht="12.5" x14ac:dyDescent="0.25">
      <c r="A1217" t="str">
        <f ca="1">IFERROR(__xludf.DUMMYFUNCTION("""COMPUTED_VALUE"""),"CMY-20")</f>
        <v>CMY-20</v>
      </c>
      <c r="B1217" t="str">
        <f ca="1">IFERROR(__xludf.DUMMYFUNCTION("""COMPUTED_VALUE"""),"RF-00000788-PAR")</f>
        <v>RF-00000788-PAR</v>
      </c>
    </row>
    <row r="1218" spans="1:2" ht="12.5" x14ac:dyDescent="0.25">
      <c r="A1218" t="str">
        <f ca="1">IFERROR(__xludf.DUMMYFUNCTION("""COMPUTED_VALUE"""),"CMY-21")</f>
        <v>CMY-21</v>
      </c>
      <c r="B1218" t="str">
        <f ca="1">IFERROR(__xludf.DUMMYFUNCTION("""COMPUTED_VALUE"""),"RF-00000789-PAR")</f>
        <v>RF-00000789-PAR</v>
      </c>
    </row>
    <row r="1219" spans="1:2" ht="12.5" x14ac:dyDescent="0.25">
      <c r="A1219" t="str">
        <f ca="1">IFERROR(__xludf.DUMMYFUNCTION("""COMPUTED_VALUE"""),"CMY-22")</f>
        <v>CMY-22</v>
      </c>
      <c r="B1219" t="str">
        <f ca="1">IFERROR(__xludf.DUMMYFUNCTION("""COMPUTED_VALUE"""),"RF-00000790-PAR")</f>
        <v>RF-00000790-PAR</v>
      </c>
    </row>
    <row r="1220" spans="1:2" ht="12.5" x14ac:dyDescent="0.25">
      <c r="A1220" t="str">
        <f ca="1">IFERROR(__xludf.DUMMYFUNCTION("""COMPUTED_VALUE"""),"CMY-23")</f>
        <v>CMY-23</v>
      </c>
      <c r="B1220" t="str">
        <f ca="1">IFERROR(__xludf.DUMMYFUNCTION("""COMPUTED_VALUE"""),"RF-00000791-PAR")</f>
        <v>RF-00000791-PAR</v>
      </c>
    </row>
    <row r="1221" spans="1:2" ht="12.5" x14ac:dyDescent="0.25">
      <c r="A1221" t="str">
        <f ca="1">IFERROR(__xludf.DUMMYFUNCTION("""COMPUTED_VALUE"""),"CMY-24")</f>
        <v>CMY-24</v>
      </c>
      <c r="B1221" t="str">
        <f ca="1">IFERROR(__xludf.DUMMYFUNCTION("""COMPUTED_VALUE"""),"RF-00000792-PAR")</f>
        <v>RF-00000792-PAR</v>
      </c>
    </row>
    <row r="1222" spans="1:2" ht="12.5" x14ac:dyDescent="0.25">
      <c r="A1222" t="str">
        <f ca="1">IFERROR(__xludf.DUMMYFUNCTION("""COMPUTED_VALUE"""),"CMY-25")</f>
        <v>CMY-25</v>
      </c>
      <c r="B1222" t="str">
        <f ca="1">IFERROR(__xludf.DUMMYFUNCTION("""COMPUTED_VALUE"""),"RF-00000793-PAR")</f>
        <v>RF-00000793-PAR</v>
      </c>
    </row>
    <row r="1223" spans="1:2" ht="12.5" x14ac:dyDescent="0.25">
      <c r="A1223" t="str">
        <f ca="1">IFERROR(__xludf.DUMMYFUNCTION("""COMPUTED_VALUE"""),"CMY-26")</f>
        <v>CMY-26</v>
      </c>
      <c r="B1223" t="str">
        <f ca="1">IFERROR(__xludf.DUMMYFUNCTION("""COMPUTED_VALUE"""),"RF-00000794-PAR")</f>
        <v>RF-00000794-PAR</v>
      </c>
    </row>
    <row r="1224" spans="1:2" ht="12.5" x14ac:dyDescent="0.25">
      <c r="A1224" t="str">
        <f ca="1">IFERROR(__xludf.DUMMYFUNCTION("""COMPUTED_VALUE"""),"CMY-27")</f>
        <v>CMY-27</v>
      </c>
      <c r="B1224" t="str">
        <f ca="1">IFERROR(__xludf.DUMMYFUNCTION("""COMPUTED_VALUE"""),"RF-00000795-PAR")</f>
        <v>RF-00000795-PAR</v>
      </c>
    </row>
    <row r="1225" spans="1:2" ht="12.5" x14ac:dyDescent="0.25">
      <c r="A1225" t="str">
        <f ca="1">IFERROR(__xludf.DUMMYFUNCTION("""COMPUTED_VALUE"""),"CMY-28")</f>
        <v>CMY-28</v>
      </c>
      <c r="B1225" t="str">
        <f ca="1">IFERROR(__xludf.DUMMYFUNCTION("""COMPUTED_VALUE"""),"RF-00000796-PAR")</f>
        <v>RF-00000796-PAR</v>
      </c>
    </row>
    <row r="1226" spans="1:2" ht="12.5" x14ac:dyDescent="0.25">
      <c r="A1226" t="str">
        <f ca="1">IFERROR(__xludf.DUMMYFUNCTION("""COMPUTED_VALUE"""),"CMY-29")</f>
        <v>CMY-29</v>
      </c>
      <c r="B1226" t="str">
        <f ca="1">IFERROR(__xludf.DUMMYFUNCTION("""COMPUTED_VALUE"""),"RF-00000797-PAR")</f>
        <v>RF-00000797-PAR</v>
      </c>
    </row>
    <row r="1227" spans="1:2" ht="12.5" x14ac:dyDescent="0.25">
      <c r="A1227" t="str">
        <f ca="1">IFERROR(__xludf.DUMMYFUNCTION("""COMPUTED_VALUE"""),"CMY-3")</f>
        <v>CMY-3</v>
      </c>
      <c r="B1227" t="str">
        <f ca="1">IFERROR(__xludf.DUMMYFUNCTION("""COMPUTED_VALUE"""),"RF-00000771-PAR")</f>
        <v>RF-00000771-PAR</v>
      </c>
    </row>
    <row r="1228" spans="1:2" ht="12.5" x14ac:dyDescent="0.25">
      <c r="A1228" t="str">
        <f ca="1">IFERROR(__xludf.DUMMYFUNCTION("""COMPUTED_VALUE"""),"CMY-30")</f>
        <v>CMY-30</v>
      </c>
      <c r="B1228" t="str">
        <f ca="1">IFERROR(__xludf.DUMMYFUNCTION("""COMPUTED_VALUE"""),"RF-00000798-PAR")</f>
        <v>RF-00000798-PAR</v>
      </c>
    </row>
    <row r="1229" spans="1:2" ht="12.5" x14ac:dyDescent="0.25">
      <c r="A1229" t="str">
        <f ca="1">IFERROR(__xludf.DUMMYFUNCTION("""COMPUTED_VALUE"""),"CMY-31")</f>
        <v>CMY-31</v>
      </c>
      <c r="B1229" t="str">
        <f ca="1">IFERROR(__xludf.DUMMYFUNCTION("""COMPUTED_VALUE"""),"RF-00000799-PAR")</f>
        <v>RF-00000799-PAR</v>
      </c>
    </row>
    <row r="1230" spans="1:2" ht="12.5" x14ac:dyDescent="0.25">
      <c r="A1230" t="str">
        <f ca="1">IFERROR(__xludf.DUMMYFUNCTION("""COMPUTED_VALUE"""),"CMY-32")</f>
        <v>CMY-32</v>
      </c>
      <c r="B1230" t="str">
        <f ca="1">IFERROR(__xludf.DUMMYFUNCTION("""COMPUTED_VALUE"""),"RF-00000800-PAR")</f>
        <v>RF-00000800-PAR</v>
      </c>
    </row>
    <row r="1231" spans="1:2" ht="12.5" x14ac:dyDescent="0.25">
      <c r="A1231" t="str">
        <f ca="1">IFERROR(__xludf.DUMMYFUNCTION("""COMPUTED_VALUE"""),"CMY-33")</f>
        <v>CMY-33</v>
      </c>
      <c r="B1231" t="str">
        <f ca="1">IFERROR(__xludf.DUMMYFUNCTION("""COMPUTED_VALUE"""),"RF-00000801-PAR")</f>
        <v>RF-00000801-PAR</v>
      </c>
    </row>
    <row r="1232" spans="1:2" ht="12.5" x14ac:dyDescent="0.25">
      <c r="A1232" t="str">
        <f ca="1">IFERROR(__xludf.DUMMYFUNCTION("""COMPUTED_VALUE"""),"CMY-34")</f>
        <v>CMY-34</v>
      </c>
      <c r="B1232" t="str">
        <f ca="1">IFERROR(__xludf.DUMMYFUNCTION("""COMPUTED_VALUE"""),"RF-00000802-PAR")</f>
        <v>RF-00000802-PAR</v>
      </c>
    </row>
    <row r="1233" spans="1:2" ht="12.5" x14ac:dyDescent="0.25">
      <c r="A1233" t="str">
        <f ca="1">IFERROR(__xludf.DUMMYFUNCTION("""COMPUTED_VALUE"""),"CMY-35")</f>
        <v>CMY-35</v>
      </c>
      <c r="B1233" t="str">
        <f ca="1">IFERROR(__xludf.DUMMYFUNCTION("""COMPUTED_VALUE"""),"RF-00000803-PAR")</f>
        <v>RF-00000803-PAR</v>
      </c>
    </row>
    <row r="1234" spans="1:2" ht="12.5" x14ac:dyDescent="0.25">
      <c r="A1234" t="str">
        <f ca="1">IFERROR(__xludf.DUMMYFUNCTION("""COMPUTED_VALUE"""),"CMY-36")</f>
        <v>CMY-36</v>
      </c>
      <c r="B1234" t="str">
        <f ca="1">IFERROR(__xludf.DUMMYFUNCTION("""COMPUTED_VALUE"""),"RF-00000804-PAR")</f>
        <v>RF-00000804-PAR</v>
      </c>
    </row>
    <row r="1235" spans="1:2" ht="12.5" x14ac:dyDescent="0.25">
      <c r="A1235" t="str">
        <f ca="1">IFERROR(__xludf.DUMMYFUNCTION("""COMPUTED_VALUE"""),"CMY-37")</f>
        <v>CMY-37</v>
      </c>
      <c r="B1235" t="str">
        <f ca="1">IFERROR(__xludf.DUMMYFUNCTION("""COMPUTED_VALUE"""),"RF-00000805-PAR")</f>
        <v>RF-00000805-PAR</v>
      </c>
    </row>
    <row r="1236" spans="1:2" ht="12.5" x14ac:dyDescent="0.25">
      <c r="A1236" t="str">
        <f ca="1">IFERROR(__xludf.DUMMYFUNCTION("""COMPUTED_VALUE"""),"CMY-38")</f>
        <v>CMY-38</v>
      </c>
      <c r="B1236" t="str">
        <f ca="1">IFERROR(__xludf.DUMMYFUNCTION("""COMPUTED_VALUE"""),"RF-00000806-PAR")</f>
        <v>RF-00000806-PAR</v>
      </c>
    </row>
    <row r="1237" spans="1:2" ht="12.5" x14ac:dyDescent="0.25">
      <c r="A1237" t="str">
        <f ca="1">IFERROR(__xludf.DUMMYFUNCTION("""COMPUTED_VALUE"""),"CMY-39")</f>
        <v>CMY-39</v>
      </c>
      <c r="B1237" t="str">
        <f ca="1">IFERROR(__xludf.DUMMYFUNCTION("""COMPUTED_VALUE"""),"RF-00000807-PAR")</f>
        <v>RF-00000807-PAR</v>
      </c>
    </row>
    <row r="1238" spans="1:2" ht="12.5" x14ac:dyDescent="0.25">
      <c r="A1238" t="str">
        <f ca="1">IFERROR(__xludf.DUMMYFUNCTION("""COMPUTED_VALUE"""),"CMY-4")</f>
        <v>CMY-4</v>
      </c>
      <c r="B1238" t="str">
        <f ca="1">IFERROR(__xludf.DUMMYFUNCTION("""COMPUTED_VALUE"""),"RF-00000772-PAR")</f>
        <v>RF-00000772-PAR</v>
      </c>
    </row>
    <row r="1239" spans="1:2" ht="12.5" x14ac:dyDescent="0.25">
      <c r="A1239" t="str">
        <f ca="1">IFERROR(__xludf.DUMMYFUNCTION("""COMPUTED_VALUE"""),"CMY-40")</f>
        <v>CMY-40</v>
      </c>
      <c r="B1239" t="str">
        <f ca="1">IFERROR(__xludf.DUMMYFUNCTION("""COMPUTED_VALUE"""),"RF-00000808-PAR")</f>
        <v>RF-00000808-PAR</v>
      </c>
    </row>
    <row r="1240" spans="1:2" ht="12.5" x14ac:dyDescent="0.25">
      <c r="A1240" t="str">
        <f ca="1">IFERROR(__xludf.DUMMYFUNCTION("""COMPUTED_VALUE"""),"CMY-41")</f>
        <v>CMY-41</v>
      </c>
      <c r="B1240" t="str">
        <f ca="1">IFERROR(__xludf.DUMMYFUNCTION("""COMPUTED_VALUE"""),"RF-00000809-PAR")</f>
        <v>RF-00000809-PAR</v>
      </c>
    </row>
    <row r="1241" spans="1:2" ht="12.5" x14ac:dyDescent="0.25">
      <c r="A1241" t="str">
        <f ca="1">IFERROR(__xludf.DUMMYFUNCTION("""COMPUTED_VALUE"""),"CMY-42")</f>
        <v>CMY-42</v>
      </c>
      <c r="B1241" t="str">
        <f ca="1">IFERROR(__xludf.DUMMYFUNCTION("""COMPUTED_VALUE"""),"RF-00000810-PAR")</f>
        <v>RF-00000810-PAR</v>
      </c>
    </row>
    <row r="1242" spans="1:2" ht="12.5" x14ac:dyDescent="0.25">
      <c r="A1242" t="str">
        <f ca="1">IFERROR(__xludf.DUMMYFUNCTION("""COMPUTED_VALUE"""),"CMY-43")</f>
        <v>CMY-43</v>
      </c>
      <c r="B1242" t="str">
        <f ca="1">IFERROR(__xludf.DUMMYFUNCTION("""COMPUTED_VALUE"""),"RF-00000811-PAR")</f>
        <v>RF-00000811-PAR</v>
      </c>
    </row>
    <row r="1243" spans="1:2" ht="12.5" x14ac:dyDescent="0.25">
      <c r="A1243" t="str">
        <f ca="1">IFERROR(__xludf.DUMMYFUNCTION("""COMPUTED_VALUE"""),"CMY-44")</f>
        <v>CMY-44</v>
      </c>
      <c r="B1243" t="str">
        <f ca="1">IFERROR(__xludf.DUMMYFUNCTION("""COMPUTED_VALUE"""),"RF-00000812-PAR")</f>
        <v>RF-00000812-PAR</v>
      </c>
    </row>
    <row r="1244" spans="1:2" ht="12.5" x14ac:dyDescent="0.25">
      <c r="A1244" t="str">
        <f ca="1">IFERROR(__xludf.DUMMYFUNCTION("""COMPUTED_VALUE"""),"CMY-45")</f>
        <v>CMY-45</v>
      </c>
      <c r="B1244" t="str">
        <f ca="1">IFERROR(__xludf.DUMMYFUNCTION("""COMPUTED_VALUE"""),"RF-00000813-PAR")</f>
        <v>RF-00000813-PAR</v>
      </c>
    </row>
    <row r="1245" spans="1:2" ht="12.5" x14ac:dyDescent="0.25">
      <c r="A1245" t="str">
        <f ca="1">IFERROR(__xludf.DUMMYFUNCTION("""COMPUTED_VALUE"""),"CMY-46")</f>
        <v>CMY-46</v>
      </c>
      <c r="B1245" t="str">
        <f ca="1">IFERROR(__xludf.DUMMYFUNCTION("""COMPUTED_VALUE"""),"RF-00000814-PAR")</f>
        <v>RF-00000814-PAR</v>
      </c>
    </row>
    <row r="1246" spans="1:2" ht="12.5" x14ac:dyDescent="0.25">
      <c r="A1246" t="str">
        <f ca="1">IFERROR(__xludf.DUMMYFUNCTION("""COMPUTED_VALUE"""),"CMY-47")</f>
        <v>CMY-47</v>
      </c>
      <c r="B1246" t="str">
        <f ca="1">IFERROR(__xludf.DUMMYFUNCTION("""COMPUTED_VALUE"""),"RF-00000815-PAR")</f>
        <v>RF-00000815-PAR</v>
      </c>
    </row>
    <row r="1247" spans="1:2" ht="12.5" x14ac:dyDescent="0.25">
      <c r="A1247" t="str">
        <f ca="1">IFERROR(__xludf.DUMMYFUNCTION("""COMPUTED_VALUE"""),"CMY-48")</f>
        <v>CMY-48</v>
      </c>
      <c r="B1247" t="str">
        <f ca="1">IFERROR(__xludf.DUMMYFUNCTION("""COMPUTED_VALUE"""),"RF-00000816-PAR")</f>
        <v>RF-00000816-PAR</v>
      </c>
    </row>
    <row r="1248" spans="1:2" ht="12.5" x14ac:dyDescent="0.25">
      <c r="A1248" t="str">
        <f ca="1">IFERROR(__xludf.DUMMYFUNCTION("""COMPUTED_VALUE"""),"CMY-49")</f>
        <v>CMY-49</v>
      </c>
      <c r="B1248" t="str">
        <f ca="1">IFERROR(__xludf.DUMMYFUNCTION("""COMPUTED_VALUE"""),"RF-00000817-PAR")</f>
        <v>RF-00000817-PAR</v>
      </c>
    </row>
    <row r="1249" spans="1:2" ht="12.5" x14ac:dyDescent="0.25">
      <c r="A1249" t="str">
        <f ca="1">IFERROR(__xludf.DUMMYFUNCTION("""COMPUTED_VALUE"""),"CMY-5")</f>
        <v>CMY-5</v>
      </c>
      <c r="B1249" t="str">
        <f ca="1">IFERROR(__xludf.DUMMYFUNCTION("""COMPUTED_VALUE"""),"RF-00000773-PAR")</f>
        <v>RF-00000773-PAR</v>
      </c>
    </row>
    <row r="1250" spans="1:2" ht="12.5" x14ac:dyDescent="0.25">
      <c r="A1250" t="str">
        <f ca="1">IFERROR(__xludf.DUMMYFUNCTION("""COMPUTED_VALUE"""),"CMY-50")</f>
        <v>CMY-50</v>
      </c>
      <c r="B1250" t="str">
        <f ca="1">IFERROR(__xludf.DUMMYFUNCTION("""COMPUTED_VALUE"""),"RF-00000818-PAR")</f>
        <v>RF-00000818-PAR</v>
      </c>
    </row>
    <row r="1251" spans="1:2" ht="12.5" x14ac:dyDescent="0.25">
      <c r="A1251" t="str">
        <f ca="1">IFERROR(__xludf.DUMMYFUNCTION("""COMPUTED_VALUE"""),"CMY-51")</f>
        <v>CMY-51</v>
      </c>
      <c r="B1251" t="str">
        <f ca="1">IFERROR(__xludf.DUMMYFUNCTION("""COMPUTED_VALUE"""),"RF-00000819-PAR")</f>
        <v>RF-00000819-PAR</v>
      </c>
    </row>
    <row r="1252" spans="1:2" ht="12.5" x14ac:dyDescent="0.25">
      <c r="A1252" t="str">
        <f ca="1">IFERROR(__xludf.DUMMYFUNCTION("""COMPUTED_VALUE"""),"CMY-52")</f>
        <v>CMY-52</v>
      </c>
      <c r="B1252" t="str">
        <f ca="1">IFERROR(__xludf.DUMMYFUNCTION("""COMPUTED_VALUE"""),"RF-00000820-PAR")</f>
        <v>RF-00000820-PAR</v>
      </c>
    </row>
    <row r="1253" spans="1:2" ht="12.5" x14ac:dyDescent="0.25">
      <c r="A1253" t="str">
        <f ca="1">IFERROR(__xludf.DUMMYFUNCTION("""COMPUTED_VALUE"""),"CMY-53")</f>
        <v>CMY-53</v>
      </c>
      <c r="B1253" t="str">
        <f ca="1">IFERROR(__xludf.DUMMYFUNCTION("""COMPUTED_VALUE"""),"RF-00000821-PAR")</f>
        <v>RF-00000821-PAR</v>
      </c>
    </row>
    <row r="1254" spans="1:2" ht="12.5" x14ac:dyDescent="0.25">
      <c r="A1254" t="str">
        <f ca="1">IFERROR(__xludf.DUMMYFUNCTION("""COMPUTED_VALUE"""),"CMY-54")</f>
        <v>CMY-54</v>
      </c>
      <c r="B1254" t="str">
        <f ca="1">IFERROR(__xludf.DUMMYFUNCTION("""COMPUTED_VALUE"""),"RF-00000822-PAR")</f>
        <v>RF-00000822-PAR</v>
      </c>
    </row>
    <row r="1255" spans="1:2" ht="12.5" x14ac:dyDescent="0.25">
      <c r="A1255" t="str">
        <f ca="1">IFERROR(__xludf.DUMMYFUNCTION("""COMPUTED_VALUE"""),"CMY-55")</f>
        <v>CMY-55</v>
      </c>
      <c r="B1255" t="str">
        <f ca="1">IFERROR(__xludf.DUMMYFUNCTION("""COMPUTED_VALUE"""),"RF-00000823-PAR")</f>
        <v>RF-00000823-PAR</v>
      </c>
    </row>
    <row r="1256" spans="1:2" ht="12.5" x14ac:dyDescent="0.25">
      <c r="A1256" t="str">
        <f ca="1">IFERROR(__xludf.DUMMYFUNCTION("""COMPUTED_VALUE"""),"CMY-56")</f>
        <v>CMY-56</v>
      </c>
      <c r="B1256" t="str">
        <f ca="1">IFERROR(__xludf.DUMMYFUNCTION("""COMPUTED_VALUE"""),"RF-00000824-PAR")</f>
        <v>RF-00000824-PAR</v>
      </c>
    </row>
    <row r="1257" spans="1:2" ht="12.5" x14ac:dyDescent="0.25">
      <c r="A1257" t="str">
        <f ca="1">IFERROR(__xludf.DUMMYFUNCTION("""COMPUTED_VALUE"""),"CMY-57")</f>
        <v>CMY-57</v>
      </c>
      <c r="B1257" t="str">
        <f ca="1">IFERROR(__xludf.DUMMYFUNCTION("""COMPUTED_VALUE"""),"RF-00000825-PAR")</f>
        <v>RF-00000825-PAR</v>
      </c>
    </row>
    <row r="1258" spans="1:2" ht="12.5" x14ac:dyDescent="0.25">
      <c r="A1258" t="str">
        <f ca="1">IFERROR(__xludf.DUMMYFUNCTION("""COMPUTED_VALUE"""),"CMY-58")</f>
        <v>CMY-58</v>
      </c>
      <c r="B1258" t="str">
        <f ca="1">IFERROR(__xludf.DUMMYFUNCTION("""COMPUTED_VALUE"""),"RF-00000826-PAR")</f>
        <v>RF-00000826-PAR</v>
      </c>
    </row>
    <row r="1259" spans="1:2" ht="12.5" x14ac:dyDescent="0.25">
      <c r="A1259" t="str">
        <f ca="1">IFERROR(__xludf.DUMMYFUNCTION("""COMPUTED_VALUE"""),"CMY-59")</f>
        <v>CMY-59</v>
      </c>
      <c r="B1259" t="str">
        <f ca="1">IFERROR(__xludf.DUMMYFUNCTION("""COMPUTED_VALUE"""),"RF-00000827-PAR")</f>
        <v>RF-00000827-PAR</v>
      </c>
    </row>
    <row r="1260" spans="1:2" ht="12.5" x14ac:dyDescent="0.25">
      <c r="A1260" t="str">
        <f ca="1">IFERROR(__xludf.DUMMYFUNCTION("""COMPUTED_VALUE"""),"CMY-6")</f>
        <v>CMY-6</v>
      </c>
      <c r="B1260" t="str">
        <f ca="1">IFERROR(__xludf.DUMMYFUNCTION("""COMPUTED_VALUE"""),"RF-00000774-PAR")</f>
        <v>RF-00000774-PAR</v>
      </c>
    </row>
    <row r="1261" spans="1:2" ht="12.5" x14ac:dyDescent="0.25">
      <c r="A1261" t="str">
        <f ca="1">IFERROR(__xludf.DUMMYFUNCTION("""COMPUTED_VALUE"""),"CMY-60")</f>
        <v>CMY-60</v>
      </c>
      <c r="B1261" t="str">
        <f ca="1">IFERROR(__xludf.DUMMYFUNCTION("""COMPUTED_VALUE"""),"RF-00000828-PAR")</f>
        <v>RF-00000828-PAR</v>
      </c>
    </row>
    <row r="1262" spans="1:2" ht="12.5" x14ac:dyDescent="0.25">
      <c r="A1262" t="str">
        <f ca="1">IFERROR(__xludf.DUMMYFUNCTION("""COMPUTED_VALUE"""),"CMY-61")</f>
        <v>CMY-61</v>
      </c>
      <c r="B1262" t="str">
        <f ca="1">IFERROR(__xludf.DUMMYFUNCTION("""COMPUTED_VALUE"""),"RF-00000829-PAR")</f>
        <v>RF-00000829-PAR</v>
      </c>
    </row>
    <row r="1263" spans="1:2" ht="12.5" x14ac:dyDescent="0.25">
      <c r="A1263" t="str">
        <f ca="1">IFERROR(__xludf.DUMMYFUNCTION("""COMPUTED_VALUE"""),"CMY-62")</f>
        <v>CMY-62</v>
      </c>
      <c r="B1263" t="str">
        <f ca="1">IFERROR(__xludf.DUMMYFUNCTION("""COMPUTED_VALUE"""),"RF-00000830-PAR")</f>
        <v>RF-00000830-PAR</v>
      </c>
    </row>
    <row r="1264" spans="1:2" ht="12.5" x14ac:dyDescent="0.25">
      <c r="A1264" t="str">
        <f ca="1">IFERROR(__xludf.DUMMYFUNCTION("""COMPUTED_VALUE"""),"CMY-63")</f>
        <v>CMY-63</v>
      </c>
      <c r="B1264" t="str">
        <f ca="1">IFERROR(__xludf.DUMMYFUNCTION("""COMPUTED_VALUE"""),"RF-00000831-PAR")</f>
        <v>RF-00000831-PAR</v>
      </c>
    </row>
    <row r="1265" spans="1:2" ht="12.5" x14ac:dyDescent="0.25">
      <c r="A1265" t="str">
        <f ca="1">IFERROR(__xludf.DUMMYFUNCTION("""COMPUTED_VALUE"""),"CMY-64")</f>
        <v>CMY-64</v>
      </c>
      <c r="B1265" t="str">
        <f ca="1">IFERROR(__xludf.DUMMYFUNCTION("""COMPUTED_VALUE"""),"RF-00000832-PAR")</f>
        <v>RF-00000832-PAR</v>
      </c>
    </row>
    <row r="1266" spans="1:2" ht="12.5" x14ac:dyDescent="0.25">
      <c r="A1266" t="str">
        <f ca="1">IFERROR(__xludf.DUMMYFUNCTION("""COMPUTED_VALUE"""),"CMY-65")</f>
        <v>CMY-65</v>
      </c>
      <c r="B1266" t="str">
        <f ca="1">IFERROR(__xludf.DUMMYFUNCTION("""COMPUTED_VALUE"""),"RF-00000833-PAR")</f>
        <v>RF-00000833-PAR</v>
      </c>
    </row>
    <row r="1267" spans="1:2" ht="12.5" x14ac:dyDescent="0.25">
      <c r="A1267" t="str">
        <f ca="1">IFERROR(__xludf.DUMMYFUNCTION("""COMPUTED_VALUE"""),"CMY-66")</f>
        <v>CMY-66</v>
      </c>
      <c r="B1267" t="str">
        <f ca="1">IFERROR(__xludf.DUMMYFUNCTION("""COMPUTED_VALUE"""),"RF-00000834-PAR")</f>
        <v>RF-00000834-PAR</v>
      </c>
    </row>
    <row r="1268" spans="1:2" ht="12.5" x14ac:dyDescent="0.25">
      <c r="A1268" t="str">
        <f ca="1">IFERROR(__xludf.DUMMYFUNCTION("""COMPUTED_VALUE"""),"CMY-67")</f>
        <v>CMY-67</v>
      </c>
      <c r="B1268" t="str">
        <f ca="1">IFERROR(__xludf.DUMMYFUNCTION("""COMPUTED_VALUE"""),"RF-00000835-PAR")</f>
        <v>RF-00000835-PAR</v>
      </c>
    </row>
    <row r="1269" spans="1:2" ht="12.5" x14ac:dyDescent="0.25">
      <c r="A1269" t="str">
        <f ca="1">IFERROR(__xludf.DUMMYFUNCTION("""COMPUTED_VALUE"""),"CMY-68")</f>
        <v>CMY-68</v>
      </c>
      <c r="B1269" t="str">
        <f ca="1">IFERROR(__xludf.DUMMYFUNCTION("""COMPUTED_VALUE"""),"RF-00000836-PAR")</f>
        <v>RF-00000836-PAR</v>
      </c>
    </row>
    <row r="1270" spans="1:2" ht="12.5" x14ac:dyDescent="0.25">
      <c r="A1270" t="str">
        <f ca="1">IFERROR(__xludf.DUMMYFUNCTION("""COMPUTED_VALUE"""),"CMY-69")</f>
        <v>CMY-69</v>
      </c>
      <c r="B1270" t="str">
        <f ca="1">IFERROR(__xludf.DUMMYFUNCTION("""COMPUTED_VALUE"""),"RF-00000837-PAR")</f>
        <v>RF-00000837-PAR</v>
      </c>
    </row>
    <row r="1271" spans="1:2" ht="12.5" x14ac:dyDescent="0.25">
      <c r="A1271" t="str">
        <f ca="1">IFERROR(__xludf.DUMMYFUNCTION("""COMPUTED_VALUE"""),"CMY-7")</f>
        <v>CMY-7</v>
      </c>
      <c r="B1271" t="str">
        <f ca="1">IFERROR(__xludf.DUMMYFUNCTION("""COMPUTED_VALUE"""),"RF-00000775-PAR")</f>
        <v>RF-00000775-PAR</v>
      </c>
    </row>
    <row r="1272" spans="1:2" ht="12.5" x14ac:dyDescent="0.25">
      <c r="A1272" t="str">
        <f ca="1">IFERROR(__xludf.DUMMYFUNCTION("""COMPUTED_VALUE"""),"CMY-70")</f>
        <v>CMY-70</v>
      </c>
      <c r="B1272" t="str">
        <f ca="1">IFERROR(__xludf.DUMMYFUNCTION("""COMPUTED_VALUE"""),"RF-00000838-PAR")</f>
        <v>RF-00000838-PAR</v>
      </c>
    </row>
    <row r="1273" spans="1:2" ht="12.5" x14ac:dyDescent="0.25">
      <c r="A1273" t="str">
        <f ca="1">IFERROR(__xludf.DUMMYFUNCTION("""COMPUTED_VALUE"""),"CMY-71")</f>
        <v>CMY-71</v>
      </c>
      <c r="B1273" t="str">
        <f ca="1">IFERROR(__xludf.DUMMYFUNCTION("""COMPUTED_VALUE"""),"RF-00000839-PAR")</f>
        <v>RF-00000839-PAR</v>
      </c>
    </row>
    <row r="1274" spans="1:2" ht="12.5" x14ac:dyDescent="0.25">
      <c r="A1274" t="str">
        <f ca="1">IFERROR(__xludf.DUMMYFUNCTION("""COMPUTED_VALUE"""),"CMY-72")</f>
        <v>CMY-72</v>
      </c>
      <c r="B1274" t="str">
        <f ca="1">IFERROR(__xludf.DUMMYFUNCTION("""COMPUTED_VALUE"""),"RF-00000840-PAR")</f>
        <v>RF-00000840-PAR</v>
      </c>
    </row>
    <row r="1275" spans="1:2" ht="12.5" x14ac:dyDescent="0.25">
      <c r="A1275" t="str">
        <f ca="1">IFERROR(__xludf.DUMMYFUNCTION("""COMPUTED_VALUE"""),"CMY-73")</f>
        <v>CMY-73</v>
      </c>
      <c r="B1275" t="str">
        <f ca="1">IFERROR(__xludf.DUMMYFUNCTION("""COMPUTED_VALUE"""),"RF-00000841-PAR")</f>
        <v>RF-00000841-PAR</v>
      </c>
    </row>
    <row r="1276" spans="1:2" ht="12.5" x14ac:dyDescent="0.25">
      <c r="A1276" t="str">
        <f ca="1">IFERROR(__xludf.DUMMYFUNCTION("""COMPUTED_VALUE"""),"CMY-74")</f>
        <v>CMY-74</v>
      </c>
      <c r="B1276" t="str">
        <f ca="1">IFERROR(__xludf.DUMMYFUNCTION("""COMPUTED_VALUE"""),"RF-00000842-PAR")</f>
        <v>RF-00000842-PAR</v>
      </c>
    </row>
    <row r="1277" spans="1:2" ht="12.5" x14ac:dyDescent="0.25">
      <c r="A1277" t="str">
        <f ca="1">IFERROR(__xludf.DUMMYFUNCTION("""COMPUTED_VALUE"""),"CMY-75")</f>
        <v>CMY-75</v>
      </c>
      <c r="B1277" t="str">
        <f ca="1">IFERROR(__xludf.DUMMYFUNCTION("""COMPUTED_VALUE"""),"RF-00000843-PAR")</f>
        <v>RF-00000843-PAR</v>
      </c>
    </row>
    <row r="1278" spans="1:2" ht="12.5" x14ac:dyDescent="0.25">
      <c r="A1278" t="str">
        <f ca="1">IFERROR(__xludf.DUMMYFUNCTION("""COMPUTED_VALUE"""),"CMY-76")</f>
        <v>CMY-76</v>
      </c>
      <c r="B1278" t="str">
        <f ca="1">IFERROR(__xludf.DUMMYFUNCTION("""COMPUTED_VALUE"""),"RF-00000844-PAR")</f>
        <v>RF-00000844-PAR</v>
      </c>
    </row>
    <row r="1279" spans="1:2" ht="12.5" x14ac:dyDescent="0.25">
      <c r="A1279" t="str">
        <f ca="1">IFERROR(__xludf.DUMMYFUNCTION("""COMPUTED_VALUE"""),"CMY-77")</f>
        <v>CMY-77</v>
      </c>
      <c r="B1279" t="str">
        <f ca="1">IFERROR(__xludf.DUMMYFUNCTION("""COMPUTED_VALUE"""),"RF-00000845-PAR")</f>
        <v>RF-00000845-PAR</v>
      </c>
    </row>
    <row r="1280" spans="1:2" ht="12.5" x14ac:dyDescent="0.25">
      <c r="A1280" t="str">
        <f ca="1">IFERROR(__xludf.DUMMYFUNCTION("""COMPUTED_VALUE"""),"CMY-78")</f>
        <v>CMY-78</v>
      </c>
      <c r="B1280" t="str">
        <f ca="1">IFERROR(__xludf.DUMMYFUNCTION("""COMPUTED_VALUE"""),"RF-00000846-PAR")</f>
        <v>RF-00000846-PAR</v>
      </c>
    </row>
    <row r="1281" spans="1:2" ht="12.5" x14ac:dyDescent="0.25">
      <c r="A1281" t="str">
        <f ca="1">IFERROR(__xludf.DUMMYFUNCTION("""COMPUTED_VALUE"""),"CMY-79")</f>
        <v>CMY-79</v>
      </c>
      <c r="B1281" t="str">
        <f ca="1">IFERROR(__xludf.DUMMYFUNCTION("""COMPUTED_VALUE"""),"RF-00000847-PAR")</f>
        <v>RF-00000847-PAR</v>
      </c>
    </row>
    <row r="1282" spans="1:2" ht="12.5" x14ac:dyDescent="0.25">
      <c r="A1282" t="str">
        <f ca="1">IFERROR(__xludf.DUMMYFUNCTION("""COMPUTED_VALUE"""),"CMY-8")</f>
        <v>CMY-8</v>
      </c>
      <c r="B1282" t="str">
        <f ca="1">IFERROR(__xludf.DUMMYFUNCTION("""COMPUTED_VALUE"""),"RF-00000776-PAR")</f>
        <v>RF-00000776-PAR</v>
      </c>
    </row>
    <row r="1283" spans="1:2" ht="12.5" x14ac:dyDescent="0.25">
      <c r="A1283" t="str">
        <f ca="1">IFERROR(__xludf.DUMMYFUNCTION("""COMPUTED_VALUE"""),"CMY-80")</f>
        <v>CMY-80</v>
      </c>
      <c r="B1283" t="str">
        <f ca="1">IFERROR(__xludf.DUMMYFUNCTION("""COMPUTED_VALUE"""),"RF-00000848-PAR")</f>
        <v>RF-00000848-PAR</v>
      </c>
    </row>
    <row r="1284" spans="1:2" ht="12.5" x14ac:dyDescent="0.25">
      <c r="A1284" t="str">
        <f ca="1">IFERROR(__xludf.DUMMYFUNCTION("""COMPUTED_VALUE"""),"CMY-81")</f>
        <v>CMY-81</v>
      </c>
      <c r="B1284" t="str">
        <f ca="1">IFERROR(__xludf.DUMMYFUNCTION("""COMPUTED_VALUE"""),"RF-00000849-PAR")</f>
        <v>RF-00000849-PAR</v>
      </c>
    </row>
    <row r="1285" spans="1:2" ht="12.5" x14ac:dyDescent="0.25">
      <c r="A1285" t="str">
        <f ca="1">IFERROR(__xludf.DUMMYFUNCTION("""COMPUTED_VALUE"""),"CMY-82")</f>
        <v>CMY-82</v>
      </c>
      <c r="B1285" t="str">
        <f ca="1">IFERROR(__xludf.DUMMYFUNCTION("""COMPUTED_VALUE"""),"RF-00000850-PAR")</f>
        <v>RF-00000850-PAR</v>
      </c>
    </row>
    <row r="1286" spans="1:2" ht="12.5" x14ac:dyDescent="0.25">
      <c r="A1286" t="str">
        <f ca="1">IFERROR(__xludf.DUMMYFUNCTION("""COMPUTED_VALUE"""),"CMY-83")</f>
        <v>CMY-83</v>
      </c>
      <c r="B1286" t="str">
        <f ca="1">IFERROR(__xludf.DUMMYFUNCTION("""COMPUTED_VALUE"""),"RF-00000851-PAR")</f>
        <v>RF-00000851-PAR</v>
      </c>
    </row>
    <row r="1287" spans="1:2" ht="12.5" x14ac:dyDescent="0.25">
      <c r="A1287" t="str">
        <f ca="1">IFERROR(__xludf.DUMMYFUNCTION("""COMPUTED_VALUE"""),"CMY-84")</f>
        <v>CMY-84</v>
      </c>
      <c r="B1287" t="str">
        <f ca="1">IFERROR(__xludf.DUMMYFUNCTION("""COMPUTED_VALUE"""),"RF-00000852-PAR")</f>
        <v>RF-00000852-PAR</v>
      </c>
    </row>
    <row r="1288" spans="1:2" ht="12.5" x14ac:dyDescent="0.25">
      <c r="A1288" t="str">
        <f ca="1">IFERROR(__xludf.DUMMYFUNCTION("""COMPUTED_VALUE"""),"CMY-85")</f>
        <v>CMY-85</v>
      </c>
      <c r="B1288" t="str">
        <f ca="1">IFERROR(__xludf.DUMMYFUNCTION("""COMPUTED_VALUE"""),"RF-00000853-PAR")</f>
        <v>RF-00000853-PAR</v>
      </c>
    </row>
    <row r="1289" spans="1:2" ht="12.5" x14ac:dyDescent="0.25">
      <c r="A1289" t="str">
        <f ca="1">IFERROR(__xludf.DUMMYFUNCTION("""COMPUTED_VALUE"""),"CMY-86")</f>
        <v>CMY-86</v>
      </c>
      <c r="B1289" t="str">
        <f ca="1">IFERROR(__xludf.DUMMYFUNCTION("""COMPUTED_VALUE"""),"RF-00000854-PAR")</f>
        <v>RF-00000854-PAR</v>
      </c>
    </row>
    <row r="1290" spans="1:2" ht="12.5" x14ac:dyDescent="0.25">
      <c r="A1290" t="str">
        <f ca="1">IFERROR(__xludf.DUMMYFUNCTION("""COMPUTED_VALUE"""),"CMY-87")</f>
        <v>CMY-87</v>
      </c>
      <c r="B1290" t="str">
        <f ca="1">IFERROR(__xludf.DUMMYFUNCTION("""COMPUTED_VALUE"""),"RF-00000855-PAR")</f>
        <v>RF-00000855-PAR</v>
      </c>
    </row>
    <row r="1291" spans="1:2" ht="12.5" x14ac:dyDescent="0.25">
      <c r="A1291" t="str">
        <f ca="1">IFERROR(__xludf.DUMMYFUNCTION("""COMPUTED_VALUE"""),"CMY-88")</f>
        <v>CMY-88</v>
      </c>
      <c r="B1291" t="str">
        <f ca="1">IFERROR(__xludf.DUMMYFUNCTION("""COMPUTED_VALUE"""),"RF-00000856-PAR")</f>
        <v>RF-00000856-PAR</v>
      </c>
    </row>
    <row r="1292" spans="1:2" ht="12.5" x14ac:dyDescent="0.25">
      <c r="A1292" t="str">
        <f ca="1">IFERROR(__xludf.DUMMYFUNCTION("""COMPUTED_VALUE"""),"CMY-89")</f>
        <v>CMY-89</v>
      </c>
      <c r="B1292" t="str">
        <f ca="1">IFERROR(__xludf.DUMMYFUNCTION("""COMPUTED_VALUE"""),"RF-00000857-PAR")</f>
        <v>RF-00000857-PAR</v>
      </c>
    </row>
    <row r="1293" spans="1:2" ht="12.5" x14ac:dyDescent="0.25">
      <c r="A1293" t="str">
        <f ca="1">IFERROR(__xludf.DUMMYFUNCTION("""COMPUTED_VALUE"""),"CMY-9")</f>
        <v>CMY-9</v>
      </c>
      <c r="B1293" t="str">
        <f ca="1">IFERROR(__xludf.DUMMYFUNCTION("""COMPUTED_VALUE"""),"RF-00000777-PAR")</f>
        <v>RF-00000777-PAR</v>
      </c>
    </row>
    <row r="1294" spans="1:2" ht="12.5" x14ac:dyDescent="0.25">
      <c r="A1294" t="str">
        <f ca="1">IFERROR(__xludf.DUMMYFUNCTION("""COMPUTED_VALUE"""),"CMY-90")</f>
        <v>CMY-90</v>
      </c>
      <c r="B1294" t="str">
        <f ca="1">IFERROR(__xludf.DUMMYFUNCTION("""COMPUTED_VALUE"""),"RF-00000858-PAR")</f>
        <v>RF-00000858-PAR</v>
      </c>
    </row>
    <row r="1295" spans="1:2" ht="12.5" x14ac:dyDescent="0.25">
      <c r="A1295" t="str">
        <f ca="1">IFERROR(__xludf.DUMMYFUNCTION("""COMPUTED_VALUE"""),"CMY-91")</f>
        <v>CMY-91</v>
      </c>
      <c r="B1295" t="str">
        <f ca="1">IFERROR(__xludf.DUMMYFUNCTION("""COMPUTED_VALUE"""),"RF-00000859-PAR")</f>
        <v>RF-00000859-PAR</v>
      </c>
    </row>
    <row r="1296" spans="1:2" ht="12.5" x14ac:dyDescent="0.25">
      <c r="A1296" t="str">
        <f ca="1">IFERROR(__xludf.DUMMYFUNCTION("""COMPUTED_VALUE"""),"CMY-92")</f>
        <v>CMY-92</v>
      </c>
      <c r="B1296" t="str">
        <f ca="1">IFERROR(__xludf.DUMMYFUNCTION("""COMPUTED_VALUE"""),"RF-00000860-PAR")</f>
        <v>RF-00000860-PAR</v>
      </c>
    </row>
    <row r="1297" spans="1:2" ht="12.5" x14ac:dyDescent="0.25">
      <c r="A1297" t="str">
        <f ca="1">IFERROR(__xludf.DUMMYFUNCTION("""COMPUTED_VALUE"""),"CMY-93")</f>
        <v>CMY-93</v>
      </c>
      <c r="B1297" t="str">
        <f ca="1">IFERROR(__xludf.DUMMYFUNCTION("""COMPUTED_VALUE"""),"RF-00000861-PAR")</f>
        <v>RF-00000861-PAR</v>
      </c>
    </row>
    <row r="1298" spans="1:2" ht="12.5" x14ac:dyDescent="0.25">
      <c r="A1298" t="str">
        <f ca="1">IFERROR(__xludf.DUMMYFUNCTION("""COMPUTED_VALUE"""),"CMY-94")</f>
        <v>CMY-94</v>
      </c>
      <c r="B1298" t="str">
        <f ca="1">IFERROR(__xludf.DUMMYFUNCTION("""COMPUTED_VALUE"""),"RF-00000862-PAR")</f>
        <v>RF-00000862-PAR</v>
      </c>
    </row>
    <row r="1299" spans="1:2" ht="12.5" x14ac:dyDescent="0.25">
      <c r="A1299" t="str">
        <f ca="1">IFERROR(__xludf.DUMMYFUNCTION("""COMPUTED_VALUE"""),"CMY-95")</f>
        <v>CMY-95</v>
      </c>
      <c r="B1299" t="str">
        <f ca="1">IFERROR(__xludf.DUMMYFUNCTION("""COMPUTED_VALUE"""),"RF-00000863-PAR")</f>
        <v>RF-00000863-PAR</v>
      </c>
    </row>
    <row r="1300" spans="1:2" ht="12.5" x14ac:dyDescent="0.25">
      <c r="A1300" t="str">
        <f ca="1">IFERROR(__xludf.DUMMYFUNCTION("""COMPUTED_VALUE"""),"CMY-96")</f>
        <v>CMY-96</v>
      </c>
      <c r="B1300" t="str">
        <f ca="1">IFERROR(__xludf.DUMMYFUNCTION("""COMPUTED_VALUE"""),"RF-00000864-PAR")</f>
        <v>RF-00000864-PAR</v>
      </c>
    </row>
    <row r="1301" spans="1:2" ht="12.5" x14ac:dyDescent="0.25">
      <c r="A1301" t="str">
        <f ca="1">IFERROR(__xludf.DUMMYFUNCTION("""COMPUTED_VALUE"""),"CMY-97")</f>
        <v>CMY-97</v>
      </c>
      <c r="B1301" t="str">
        <f ca="1">IFERROR(__xludf.DUMMYFUNCTION("""COMPUTED_VALUE"""),"RF-00000865-PAR")</f>
        <v>RF-00000865-PAR</v>
      </c>
    </row>
    <row r="1302" spans="1:2" ht="12.5" x14ac:dyDescent="0.25">
      <c r="A1302" t="str">
        <f ca="1">IFERROR(__xludf.DUMMYFUNCTION("""COMPUTED_VALUE"""),"CMY-98")</f>
        <v>CMY-98</v>
      </c>
      <c r="B1302" t="str">
        <f ca="1">IFERROR(__xludf.DUMMYFUNCTION("""COMPUTED_VALUE"""),"RF-00000866-PAR")</f>
        <v>RF-00000866-PAR</v>
      </c>
    </row>
    <row r="1303" spans="1:2" ht="12.5" x14ac:dyDescent="0.25">
      <c r="A1303" t="str">
        <f ca="1">IFERROR(__xludf.DUMMYFUNCTION("""COMPUTED_VALUE"""),"CMY-99")</f>
        <v>CMY-99</v>
      </c>
      <c r="B1303" t="str">
        <f ca="1">IFERROR(__xludf.DUMMYFUNCTION("""COMPUTED_VALUE"""),"RF-00000867-PAR")</f>
        <v>RF-00000867-PAR</v>
      </c>
    </row>
    <row r="1304" spans="1:2" ht="12.5" x14ac:dyDescent="0.25">
      <c r="A1304" t="str">
        <f ca="1">IFERROR(__xludf.DUMMYFUNCTION("""COMPUTED_VALUE"""),"Cobalt (Co)")</f>
        <v>Cobalt (Co)</v>
      </c>
      <c r="B1304" t="str">
        <f ca="1">IFERROR(__xludf.DUMMYFUNCTION("""COMPUTED_VALUE"""),"RF-00000161-CHE")</f>
        <v>RF-00000161-CHE</v>
      </c>
    </row>
    <row r="1305" spans="1:2" ht="12.5" x14ac:dyDescent="0.25">
      <c r="A1305" t="str">
        <f ca="1">IFERROR(__xludf.DUMMYFUNCTION("""COMPUTED_VALUE"""),"Cobalt and derivatives")</f>
        <v>Cobalt and derivatives</v>
      </c>
      <c r="B1305" t="str">
        <f ca="1">IFERROR(__xludf.DUMMYFUNCTION("""COMPUTED_VALUE"""),"RF-00000160-CHE")</f>
        <v>RF-00000160-CHE</v>
      </c>
    </row>
    <row r="1306" spans="1:2" ht="12.5" x14ac:dyDescent="0.25">
      <c r="A1306" t="str">
        <f ca="1">IFERROR(__xludf.DUMMYFUNCTION("""COMPUTED_VALUE"""),"Cobalt total")</f>
        <v>Cobalt total</v>
      </c>
      <c r="B1306" t="str">
        <f ca="1">IFERROR(__xludf.DUMMYFUNCTION("""COMPUTED_VALUE"""),"RF-00000162-CHE")</f>
        <v>RF-00000162-CHE</v>
      </c>
    </row>
    <row r="1307" spans="1:2" ht="12.5" x14ac:dyDescent="0.25">
      <c r="A1307" t="str">
        <f ca="1">IFERROR(__xludf.DUMMYFUNCTION("""COMPUTED_VALUE"""),"Cocain")</f>
        <v>Cocain</v>
      </c>
      <c r="B1307" t="str">
        <f ca="1">IFERROR(__xludf.DUMMYFUNCTION("""COMPUTED_VALUE"""),"RF-00000457-TOX")</f>
        <v>RF-00000457-TOX</v>
      </c>
    </row>
    <row r="1308" spans="1:2" ht="12.5" x14ac:dyDescent="0.25">
      <c r="A1308" t="str">
        <f ca="1">IFERROR(__xludf.DUMMYFUNCTION("""COMPUTED_VALUE"""),"Cochineal, Carminic acid, Carmines")</f>
        <v>Cochineal, Carminic acid, Carmines</v>
      </c>
      <c r="B1308" t="str">
        <f ca="1">IFERROR(__xludf.DUMMYFUNCTION("""COMPUTED_VALUE"""),"RF-00000105-ADD")</f>
        <v>RF-00000105-ADD</v>
      </c>
    </row>
    <row r="1309" spans="1:2" ht="12.5" x14ac:dyDescent="0.25">
      <c r="A1309" t="str">
        <f ca="1">IFERROR(__xludf.DUMMYFUNCTION("""COMPUTED_VALUE"""),"Codeine")</f>
        <v>Codeine</v>
      </c>
      <c r="B1309" t="str">
        <f ca="1">IFERROR(__xludf.DUMMYFUNCTION("""COMPUTED_VALUE"""),"RF-00000251-TOX")</f>
        <v>RF-00000251-TOX</v>
      </c>
    </row>
    <row r="1310" spans="1:2" ht="12.5" x14ac:dyDescent="0.25">
      <c r="A1310" t="str">
        <f ca="1">IFERROR(__xludf.DUMMYFUNCTION("""COMPUTED_VALUE"""),"Colchicin")</f>
        <v>Colchicin</v>
      </c>
      <c r="B1310" t="str">
        <f ca="1">IFERROR(__xludf.DUMMYFUNCTION("""COMPUTED_VALUE"""),"RF-00000506-VET")</f>
        <v>RF-00000506-VET</v>
      </c>
    </row>
    <row r="1311" spans="1:2" ht="12.5" x14ac:dyDescent="0.25">
      <c r="A1311" t="str">
        <f ca="1">IFERROR(__xludf.DUMMYFUNCTION("""COMPUTED_VALUE"""),"Colistin")</f>
        <v>Colistin</v>
      </c>
      <c r="B1311" t="str">
        <f ca="1">IFERROR(__xludf.DUMMYFUNCTION("""COMPUTED_VALUE"""),"RF-00000595-VET")</f>
        <v>RF-00000595-VET</v>
      </c>
    </row>
    <row r="1312" spans="1:2" ht="12.5" x14ac:dyDescent="0.25">
      <c r="A1312" t="str">
        <f ca="1">IFERROR(__xludf.DUMMYFUNCTION("""COMPUTED_VALUE"""),"collagen")</f>
        <v>collagen</v>
      </c>
      <c r="B1312" t="str">
        <f ca="1">IFERROR(__xludf.DUMMYFUNCTION("""COMPUTED_VALUE"""),"RF-00000054-NTR")</f>
        <v>RF-00000054-NTR</v>
      </c>
    </row>
    <row r="1313" spans="1:2" ht="12.5" x14ac:dyDescent="0.25">
      <c r="A1313" t="str">
        <f ca="1">IFERROR(__xludf.DUMMYFUNCTION("""COMPUTED_VALUE"""),"Compounds included in Annex IV Reg 2377-90")</f>
        <v>Compounds included in Annex IV Reg 2377-90</v>
      </c>
      <c r="B1313" t="str">
        <f ca="1">IFERROR(__xludf.DUMMYFUNCTION("""COMPUTED_VALUE"""),"RF-00000497-VET")</f>
        <v>RF-00000497-VET</v>
      </c>
    </row>
    <row r="1314" spans="1:2" ht="12.5" x14ac:dyDescent="0.25">
      <c r="A1314" t="str">
        <f ca="1">IFERROR(__xludf.DUMMYFUNCTION("""COMPUTED_VALUE"""),"Copper (Cu)")</f>
        <v>Copper (Cu)</v>
      </c>
      <c r="B1314" t="str">
        <f ca="1">IFERROR(__xludf.DUMMYFUNCTION("""COMPUTED_VALUE"""),"RF-00000167-CHE")</f>
        <v>RF-00000167-CHE</v>
      </c>
    </row>
    <row r="1315" spans="1:2" ht="12.5" x14ac:dyDescent="0.25">
      <c r="A1315" t="str">
        <f ca="1">IFERROR(__xludf.DUMMYFUNCTION("""COMPUTED_VALUE"""),"Copper and derivatives")</f>
        <v>Copper and derivatives</v>
      </c>
      <c r="B1315" t="str">
        <f ca="1">IFERROR(__xludf.DUMMYFUNCTION("""COMPUTED_VALUE"""),"RF-00000166-CHE")</f>
        <v>RF-00000166-CHE</v>
      </c>
    </row>
    <row r="1316" spans="1:2" ht="12.5" x14ac:dyDescent="0.25">
      <c r="A1316" t="str">
        <f ca="1">IFERROR(__xludf.DUMMYFUNCTION("""COMPUTED_VALUE"""),"Copper complexes of chlorophyllins")</f>
        <v>Copper complexes of chlorophyllins</v>
      </c>
      <c r="B1316" t="str">
        <f ca="1">IFERROR(__xludf.DUMMYFUNCTION("""COMPUTED_VALUE"""),"RF-00001294-PAR")</f>
        <v>RF-00001294-PAR</v>
      </c>
    </row>
    <row r="1317" spans="1:2" ht="12.5" x14ac:dyDescent="0.25">
      <c r="A1317" t="str">
        <f ca="1">IFERROR(__xludf.DUMMYFUNCTION("""COMPUTED_VALUE"""),"Copper complexes of chlorophylls")</f>
        <v>Copper complexes of chlorophylls</v>
      </c>
      <c r="B1317" t="str">
        <f ca="1">IFERROR(__xludf.DUMMYFUNCTION("""COMPUTED_VALUE"""),"RF-00001293-PAR")</f>
        <v>RF-00001293-PAR</v>
      </c>
    </row>
    <row r="1318" spans="1:2" ht="12.5" x14ac:dyDescent="0.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x14ac:dyDescent="0.25">
      <c r="A1319" t="str">
        <f ca="1">IFERROR(__xludf.DUMMYFUNCTION("""COMPUTED_VALUE"""),"Copper compounds")</f>
        <v>Copper compounds</v>
      </c>
      <c r="B1319" t="str">
        <f ca="1">IFERROR(__xludf.DUMMYFUNCTION("""COMPUTED_VALUE"""),"RF-0102-001-PPP")</f>
        <v>RF-0102-001-PPP</v>
      </c>
    </row>
    <row r="1320" spans="1:2" ht="12.5" x14ac:dyDescent="0.25">
      <c r="A1320" t="str">
        <f ca="1">IFERROR(__xludf.DUMMYFUNCTION("""COMPUTED_VALUE"""),"Corticosterone")</f>
        <v>Corticosterone</v>
      </c>
      <c r="B1320" t="str">
        <f ca="1">IFERROR(__xludf.DUMMYFUNCTION("""COMPUTED_VALUE"""),"RF-00000372-VET")</f>
        <v>RF-00000372-VET</v>
      </c>
    </row>
    <row r="1321" spans="1:2" ht="12.5" x14ac:dyDescent="0.25">
      <c r="A1321" t="str">
        <f ca="1">IFERROR(__xludf.DUMMYFUNCTION("""COMPUTED_VALUE"""),"Cortisol")</f>
        <v>Cortisol</v>
      </c>
      <c r="B1321" t="str">
        <f ca="1">IFERROR(__xludf.DUMMYFUNCTION("""COMPUTED_VALUE"""),"RF-00000373-VET")</f>
        <v>RF-00000373-VET</v>
      </c>
    </row>
    <row r="1322" spans="1:2" ht="12.5" x14ac:dyDescent="0.25">
      <c r="A1322" t="str">
        <f ca="1">IFERROR(__xludf.DUMMYFUNCTION("""COMPUTED_VALUE"""),"Cortisol (Hydrocortisone)")</f>
        <v>Cortisol (Hydrocortisone)</v>
      </c>
      <c r="B1322" t="str">
        <f ca="1">IFERROR(__xludf.DUMMYFUNCTION("""COMPUTED_VALUE"""),"RF-00000278-VET")</f>
        <v>RF-00000278-VET</v>
      </c>
    </row>
    <row r="1323" spans="1:2" ht="12.5" x14ac:dyDescent="0.25">
      <c r="A1323" t="str">
        <f ca="1">IFERROR(__xludf.DUMMYFUNCTION("""COMPUTED_VALUE"""),"Cortisone")</f>
        <v>Cortisone</v>
      </c>
      <c r="B1323" t="str">
        <f ca="1">IFERROR(__xludf.DUMMYFUNCTION("""COMPUTED_VALUE"""),"RF-00000277-VET")</f>
        <v>RF-00000277-VET</v>
      </c>
    </row>
    <row r="1324" spans="1:2" ht="12.5" x14ac:dyDescent="0.25">
      <c r="A1324" t="str">
        <f ca="1">IFERROR(__xludf.DUMMYFUNCTION("""COMPUTED_VALUE"""),"Cotinine")</f>
        <v>Cotinine</v>
      </c>
      <c r="B1324" t="str">
        <f ca="1">IFERROR(__xludf.DUMMYFUNCTION("""COMPUTED_VALUE"""),"RF-00000014-PAR")</f>
        <v>RF-00000014-PAR</v>
      </c>
    </row>
    <row r="1325" spans="1:2" ht="12.5" x14ac:dyDescent="0.25">
      <c r="A1325" t="str">
        <f ca="1">IFERROR(__xludf.DUMMYFUNCTION("""COMPUTED_VALUE"""),"Coumachlor")</f>
        <v>Coumachlor</v>
      </c>
      <c r="B1325" t="str">
        <f ca="1">IFERROR(__xludf.DUMMYFUNCTION("""COMPUTED_VALUE"""),"RF-0570-001-PPP")</f>
        <v>RF-0570-001-PPP</v>
      </c>
    </row>
    <row r="1326" spans="1:2" ht="12.5" x14ac:dyDescent="0.25">
      <c r="A1326" t="str">
        <f ca="1">IFERROR(__xludf.DUMMYFUNCTION("""COMPUTED_VALUE"""),"Coumaphos")</f>
        <v>Coumaphos</v>
      </c>
      <c r="B1326" t="str">
        <f ca="1">IFERROR(__xludf.DUMMYFUNCTION("""COMPUTED_VALUE"""),"RF-0571-001-PPP")</f>
        <v>RF-0571-001-PPP</v>
      </c>
    </row>
    <row r="1327" spans="1:2" ht="12.5" x14ac:dyDescent="0.25">
      <c r="A1327" t="str">
        <f ca="1">IFERROR(__xludf.DUMMYFUNCTION("""COMPUTED_VALUE"""),"Coumarin")</f>
        <v>Coumarin</v>
      </c>
      <c r="B1327" t="str">
        <f ca="1">IFERROR(__xludf.DUMMYFUNCTION("""COMPUTED_VALUE"""),"RF-00000370-TOX")</f>
        <v>RF-00000370-TOX</v>
      </c>
    </row>
    <row r="1328" spans="1:2" ht="12.5" x14ac:dyDescent="0.25">
      <c r="A1328" t="str">
        <f ca="1">IFERROR(__xludf.DUMMYFUNCTION("""COMPUTED_VALUE"""),"Coumarin glycosides")</f>
        <v>Coumarin glycosides</v>
      </c>
      <c r="B1328" t="str">
        <f ca="1">IFERROR(__xludf.DUMMYFUNCTION("""COMPUTED_VALUE"""),"RF-00000810-VET")</f>
        <v>RF-00000810-VET</v>
      </c>
    </row>
    <row r="1329" spans="1:2" ht="12.5" x14ac:dyDescent="0.25">
      <c r="A1329" t="str">
        <f ca="1">IFERROR(__xludf.DUMMYFUNCTION("""COMPUTED_VALUE"""),"Coumatetralyl")</f>
        <v>Coumatetralyl</v>
      </c>
      <c r="B1329" t="str">
        <f ca="1">IFERROR(__xludf.DUMMYFUNCTION("""COMPUTED_VALUE"""),"RF-0572-001-PPP")</f>
        <v>RF-0572-001-PPP</v>
      </c>
    </row>
    <row r="1330" spans="1:2" ht="12.5" x14ac:dyDescent="0.25">
      <c r="A1330" t="str">
        <f ca="1">IFERROR(__xludf.DUMMYFUNCTION("""COMPUTED_VALUE"""),"coumestrol")</f>
        <v>coumestrol</v>
      </c>
      <c r="B1330" t="str">
        <f ca="1">IFERROR(__xludf.DUMMYFUNCTION("""COMPUTED_VALUE"""),"RF-00000055-NTR")</f>
        <v>RF-00000055-NTR</v>
      </c>
    </row>
    <row r="1331" spans="1:2" ht="12.5" x14ac:dyDescent="0.25">
      <c r="A1331" t="str">
        <f ca="1">IFERROR(__xludf.DUMMYFUNCTION("""COMPUTED_VALUE"""),"Coxiella")</f>
        <v>Coxiella</v>
      </c>
      <c r="B1331" t="str">
        <f ca="1">IFERROR(__xludf.DUMMYFUNCTION("""COMPUTED_VALUE"""),"RF-00000083-MCG")</f>
        <v>RF-00000083-MCG</v>
      </c>
    </row>
    <row r="1332" spans="1:2" ht="12.5" x14ac:dyDescent="0.25">
      <c r="A1332" t="str">
        <f ca="1">IFERROR(__xludf.DUMMYFUNCTION("""COMPUTED_VALUE"""),"Coxiella burnetii")</f>
        <v>Coxiella burnetii</v>
      </c>
      <c r="B1332" t="str">
        <f ca="1">IFERROR(__xludf.DUMMYFUNCTION("""COMPUTED_VALUE"""),"RF-00000084-MCG")</f>
        <v>RF-00000084-MCG</v>
      </c>
    </row>
    <row r="1333" spans="1:2" ht="12.5" x14ac:dyDescent="0.25">
      <c r="A1333" t="str">
        <f ca="1">IFERROR(__xludf.DUMMYFUNCTION("""COMPUTED_VALUE"""),"Coxiella popilliae")</f>
        <v>Coxiella popilliae</v>
      </c>
      <c r="B1333" t="str">
        <f ca="1">IFERROR(__xludf.DUMMYFUNCTION("""COMPUTED_VALUE"""),"RF-00002785-MCG")</f>
        <v>RF-00002785-MCG</v>
      </c>
    </row>
    <row r="1334" spans="1:2" ht="12.5" x14ac:dyDescent="0.25">
      <c r="A1334" t="str">
        <f ca="1">IFERROR(__xludf.DUMMYFUNCTION("""COMPUTED_VALUE"""),"Coxiella spp., unspecified")</f>
        <v>Coxiella spp., unspecified</v>
      </c>
      <c r="B1334" t="str">
        <f ca="1">IFERROR(__xludf.DUMMYFUNCTION("""COMPUTED_VALUE"""),"RF-00000085-MCG")</f>
        <v>RF-00000085-MCG</v>
      </c>
    </row>
    <row r="1335" spans="1:2" ht="12.5" x14ac:dyDescent="0.25">
      <c r="A1335" t="str">
        <f ca="1">IFERROR(__xludf.DUMMYFUNCTION("""COMPUTED_VALUE"""),"creatine-creatinine")</f>
        <v>creatine-creatinine</v>
      </c>
      <c r="B1335" t="str">
        <f ca="1">IFERROR(__xludf.DUMMYFUNCTION("""COMPUTED_VALUE"""),"RF-00000056-NTR")</f>
        <v>RF-00000056-NTR</v>
      </c>
    </row>
    <row r="1336" spans="1:2" ht="12.5" x14ac:dyDescent="0.25">
      <c r="A1336" t="str">
        <f ca="1">IFERROR(__xludf.DUMMYFUNCTION("""COMPUTED_VALUE"""),"Crimidine")</f>
        <v>Crimidine</v>
      </c>
      <c r="B1336" t="str">
        <f ca="1">IFERROR(__xludf.DUMMYFUNCTION("""COMPUTED_VALUE"""),"RF-0573-001-PPP")</f>
        <v>RF-0573-001-PPP</v>
      </c>
    </row>
    <row r="1337" spans="1:2" ht="12.5" x14ac:dyDescent="0.25">
      <c r="A1337" t="str">
        <f ca="1">IFERROR(__xludf.DUMMYFUNCTION("""COMPUTED_VALUE"""),"Cronobacter")</f>
        <v>Cronobacter</v>
      </c>
      <c r="B1337" t="str">
        <f ca="1">IFERROR(__xludf.DUMMYFUNCTION("""COMPUTED_VALUE"""),"RF-00000109-MCG")</f>
        <v>RF-00000109-MCG</v>
      </c>
    </row>
    <row r="1338" spans="1:2" ht="12.5" x14ac:dyDescent="0.25">
      <c r="A1338" t="str">
        <f ca="1">IFERROR(__xludf.DUMMYFUNCTION("""COMPUTED_VALUE"""),"Cronobacter condimenti")</f>
        <v>Cronobacter condimenti</v>
      </c>
      <c r="B1338" t="str">
        <f ca="1">IFERROR(__xludf.DUMMYFUNCTION("""COMPUTED_VALUE"""),"RF-00001231-PAR")</f>
        <v>RF-00001231-PAR</v>
      </c>
    </row>
    <row r="1339" spans="1:2" ht="12.5" x14ac:dyDescent="0.25">
      <c r="A1339" t="str">
        <f ca="1">IFERROR(__xludf.DUMMYFUNCTION("""COMPUTED_VALUE"""),"Cronobacter dublinensis")</f>
        <v>Cronobacter dublinensis</v>
      </c>
      <c r="B1339" t="str">
        <f ca="1">IFERROR(__xludf.DUMMYFUNCTION("""COMPUTED_VALUE"""),"RF-00001232-PAR")</f>
        <v>RF-00001232-PAR</v>
      </c>
    </row>
    <row r="1340" spans="1:2" ht="12.5" x14ac:dyDescent="0.25">
      <c r="A1340" t="str">
        <f ca="1">IFERROR(__xludf.DUMMYFUNCTION("""COMPUTED_VALUE"""),"Cronobacter malonaticus")</f>
        <v>Cronobacter malonaticus</v>
      </c>
      <c r="B1340" t="str">
        <f ca="1">IFERROR(__xludf.DUMMYFUNCTION("""COMPUTED_VALUE"""),"RF-00001233-PAR")</f>
        <v>RF-00001233-PAR</v>
      </c>
    </row>
    <row r="1341" spans="1:2" ht="12.5" x14ac:dyDescent="0.25">
      <c r="A1341" t="str">
        <f ca="1">IFERROR(__xludf.DUMMYFUNCTION("""COMPUTED_VALUE"""),"Cronobacter muytjensii")</f>
        <v>Cronobacter muytjensii</v>
      </c>
      <c r="B1341" t="str">
        <f ca="1">IFERROR(__xludf.DUMMYFUNCTION("""COMPUTED_VALUE"""),"RF-00001234-PAR")</f>
        <v>RF-00001234-PAR</v>
      </c>
    </row>
    <row r="1342" spans="1:2" ht="12.5" x14ac:dyDescent="0.25">
      <c r="A1342" t="str">
        <f ca="1">IFERROR(__xludf.DUMMYFUNCTION("""COMPUTED_VALUE"""),"Cronobacter sakazakii")</f>
        <v>Cronobacter sakazakii</v>
      </c>
      <c r="B1342" t="str">
        <f ca="1">IFERROR(__xludf.DUMMYFUNCTION("""COMPUTED_VALUE"""),"RF-00000110-MCG")</f>
        <v>RF-00000110-MCG</v>
      </c>
    </row>
    <row r="1343" spans="1:2" ht="12.5" x14ac:dyDescent="0.25">
      <c r="A1343" t="str">
        <f ca="1">IFERROR(__xludf.DUMMYFUNCTION("""COMPUTED_VALUE"""),"Cronobacter spp., unspecified")</f>
        <v>Cronobacter spp., unspecified</v>
      </c>
      <c r="B1343" t="str">
        <f ca="1">IFERROR(__xludf.DUMMYFUNCTION("""COMPUTED_VALUE"""),"RF-00000111-MCG")</f>
        <v>RF-00000111-MCG</v>
      </c>
    </row>
    <row r="1344" spans="1:2" ht="12.5" x14ac:dyDescent="0.25">
      <c r="A1344" t="str">
        <f ca="1">IFERROR(__xludf.DUMMYFUNCTION("""COMPUTED_VALUE"""),"Cronobacter turicensis")</f>
        <v>Cronobacter turicensis</v>
      </c>
      <c r="B1344" t="str">
        <f ca="1">IFERROR(__xludf.DUMMYFUNCTION("""COMPUTED_VALUE"""),"RF-00001235-PAR")</f>
        <v>RF-00001235-PAR</v>
      </c>
    </row>
    <row r="1345" spans="1:2" ht="12.5" x14ac:dyDescent="0.25">
      <c r="A1345" t="str">
        <f ca="1">IFERROR(__xludf.DUMMYFUNCTION("""COMPUTED_VALUE"""),"Cronobacter universalis")</f>
        <v>Cronobacter universalis</v>
      </c>
      <c r="B1345" t="str">
        <f ca="1">IFERROR(__xludf.DUMMYFUNCTION("""COMPUTED_VALUE"""),"RF-00001236-PAR")</f>
        <v>RF-00001236-PAR</v>
      </c>
    </row>
    <row r="1346" spans="1:2" ht="12.5" x14ac:dyDescent="0.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x14ac:dyDescent="0.25">
      <c r="A1347" t="str">
        <f ca="1">IFERROR(__xludf.DUMMYFUNCTION("""COMPUTED_VALUE"""),"Crotin I")</f>
        <v>Crotin I</v>
      </c>
      <c r="B1347" t="str">
        <f ca="1">IFERROR(__xludf.DUMMYFUNCTION("""COMPUTED_VALUE"""),"RF-00000337-TOX")</f>
        <v>RF-00000337-TOX</v>
      </c>
    </row>
    <row r="1348" spans="1:2" ht="12.5" x14ac:dyDescent="0.25">
      <c r="A1348" t="str">
        <f ca="1">IFERROR(__xludf.DUMMYFUNCTION("""COMPUTED_VALUE"""),"crotonylidenediurea")</f>
        <v>crotonylidenediurea</v>
      </c>
      <c r="B1348" t="str">
        <f ca="1">IFERROR(__xludf.DUMMYFUNCTION("""COMPUTED_VALUE"""),"RF-00000108-CHE")</f>
        <v>RF-00000108-CHE</v>
      </c>
    </row>
    <row r="1349" spans="1:2" ht="12.5" x14ac:dyDescent="0.25">
      <c r="A1349" t="str">
        <f ca="1">IFERROR(__xludf.DUMMYFUNCTION("""COMPUTED_VALUE"""),"Crotoxyphos")</f>
        <v>Crotoxyphos</v>
      </c>
      <c r="B1349" t="str">
        <f ca="1">IFERROR(__xludf.DUMMYFUNCTION("""COMPUTED_VALUE"""),"RF-0574-001-PPP")</f>
        <v>RF-0574-001-PPP</v>
      </c>
    </row>
    <row r="1350" spans="1:2" ht="12.5" x14ac:dyDescent="0.25">
      <c r="A1350" t="str">
        <f ca="1">IFERROR(__xludf.DUMMYFUNCTION("""COMPUTED_VALUE"""),"Crufomate")</f>
        <v>Crufomate</v>
      </c>
      <c r="B1350" t="str">
        <f ca="1">IFERROR(__xludf.DUMMYFUNCTION("""COMPUTED_VALUE"""),"RF-0575-001-PPP")</f>
        <v>RF-0575-001-PPP</v>
      </c>
    </row>
    <row r="1351" spans="1:2" ht="12.5" x14ac:dyDescent="0.25">
      <c r="A1351" t="str">
        <f ca="1">IFERROR(__xludf.DUMMYFUNCTION("""COMPUTED_VALUE"""),"Cryptosporidium")</f>
        <v>Cryptosporidium</v>
      </c>
      <c r="B1351" t="str">
        <f ca="1">IFERROR(__xludf.DUMMYFUNCTION("""COMPUTED_VALUE"""),"RF-00000086-MCG")</f>
        <v>RF-00000086-MCG</v>
      </c>
    </row>
    <row r="1352" spans="1:2" ht="12.5" x14ac:dyDescent="0.25">
      <c r="A1352" t="str">
        <f ca="1">IFERROR(__xludf.DUMMYFUNCTION("""COMPUTED_VALUE"""),"Cryptosporidium parvum")</f>
        <v>Cryptosporidium parvum</v>
      </c>
      <c r="B1352" t="str">
        <f ca="1">IFERROR(__xludf.DUMMYFUNCTION("""COMPUTED_VALUE"""),"RF-00000088-MCG")</f>
        <v>RF-00000088-MCG</v>
      </c>
    </row>
    <row r="1353" spans="1:2" ht="12.5" x14ac:dyDescent="0.25">
      <c r="A1353" t="str">
        <f ca="1">IFERROR(__xludf.DUMMYFUNCTION("""COMPUTED_VALUE"""),"Cryptosporidium spp., unspecified")</f>
        <v>Cryptosporidium spp., unspecified</v>
      </c>
      <c r="B1353" t="str">
        <f ca="1">IFERROR(__xludf.DUMMYFUNCTION("""COMPUTED_VALUE"""),"RF-00000087-MCG")</f>
        <v>RF-00000087-MCG</v>
      </c>
    </row>
    <row r="1354" spans="1:2" ht="12.5" x14ac:dyDescent="0.25">
      <c r="A1354" t="str">
        <f ca="1">IFERROR(__xludf.DUMMYFUNCTION("""COMPUTED_VALUE"""),"cryptoxanthins")</f>
        <v>cryptoxanthins</v>
      </c>
      <c r="B1354" t="str">
        <f ca="1">IFERROR(__xludf.DUMMYFUNCTION("""COMPUTED_VALUE"""),"RF-00000057-NTR")</f>
        <v>RF-00000057-NTR</v>
      </c>
    </row>
    <row r="1355" spans="1:2" ht="12.5" x14ac:dyDescent="0.25">
      <c r="A1355" t="str">
        <f ca="1">IFERROR(__xludf.DUMMYFUNCTION("""COMPUTED_VALUE"""),"CTX-M")</f>
        <v>CTX-M</v>
      </c>
      <c r="B1355" t="str">
        <f ca="1">IFERROR(__xludf.DUMMYFUNCTION("""COMPUTED_VALUE"""),"RF-00000200-PAR")</f>
        <v>RF-00000200-PAR</v>
      </c>
    </row>
    <row r="1356" spans="1:2" ht="12.5" x14ac:dyDescent="0.25">
      <c r="A1356" t="str">
        <f ca="1">IFERROR(__xludf.DUMMYFUNCTION("""COMPUTED_VALUE"""),"CTX-M-1")</f>
        <v>CTX-M-1</v>
      </c>
      <c r="B1356" t="str">
        <f ca="1">IFERROR(__xludf.DUMMYFUNCTION("""COMPUTED_VALUE"""),"RF-00000201-PAR")</f>
        <v>RF-00000201-PAR</v>
      </c>
    </row>
    <row r="1357" spans="1:2" ht="12.5" x14ac:dyDescent="0.25">
      <c r="A1357" t="str">
        <f ca="1">IFERROR(__xludf.DUMMYFUNCTION("""COMPUTED_VALUE"""),"CTX-M-10")</f>
        <v>CTX-M-10</v>
      </c>
      <c r="B1357" t="str">
        <f ca="1">IFERROR(__xludf.DUMMYFUNCTION("""COMPUTED_VALUE"""),"RF-00000210-PAR")</f>
        <v>RF-00000210-PAR</v>
      </c>
    </row>
    <row r="1358" spans="1:2" ht="12.5" x14ac:dyDescent="0.25">
      <c r="A1358" t="str">
        <f ca="1">IFERROR(__xludf.DUMMYFUNCTION("""COMPUTED_VALUE"""),"CTX-M-100")</f>
        <v>CTX-M-100</v>
      </c>
      <c r="B1358" t="str">
        <f ca="1">IFERROR(__xludf.DUMMYFUNCTION("""COMPUTED_VALUE"""),"RF-00000300-PAR")</f>
        <v>RF-00000300-PAR</v>
      </c>
    </row>
    <row r="1359" spans="1:2" ht="12.5" x14ac:dyDescent="0.25">
      <c r="A1359" t="str">
        <f ca="1">IFERROR(__xludf.DUMMYFUNCTION("""COMPUTED_VALUE"""),"CTX-M-101")</f>
        <v>CTX-M-101</v>
      </c>
      <c r="B1359" t="str">
        <f ca="1">IFERROR(__xludf.DUMMYFUNCTION("""COMPUTED_VALUE"""),"RF-00000301-PAR")</f>
        <v>RF-00000301-PAR</v>
      </c>
    </row>
    <row r="1360" spans="1:2" ht="12.5" x14ac:dyDescent="0.25">
      <c r="A1360" t="str">
        <f ca="1">IFERROR(__xludf.DUMMYFUNCTION("""COMPUTED_VALUE"""),"CTX-M-102")</f>
        <v>CTX-M-102</v>
      </c>
      <c r="B1360" t="str">
        <f ca="1">IFERROR(__xludf.DUMMYFUNCTION("""COMPUTED_VALUE"""),"RF-00000302-PAR")</f>
        <v>RF-00000302-PAR</v>
      </c>
    </row>
    <row r="1361" spans="1:2" ht="12.5" x14ac:dyDescent="0.25">
      <c r="A1361" t="str">
        <f ca="1">IFERROR(__xludf.DUMMYFUNCTION("""COMPUTED_VALUE"""),"CTX-M-103")</f>
        <v>CTX-M-103</v>
      </c>
      <c r="B1361" t="str">
        <f ca="1">IFERROR(__xludf.DUMMYFUNCTION("""COMPUTED_VALUE"""),"RF-00000303-PAR")</f>
        <v>RF-00000303-PAR</v>
      </c>
    </row>
    <row r="1362" spans="1:2" ht="12.5" x14ac:dyDescent="0.25">
      <c r="A1362" t="str">
        <f ca="1">IFERROR(__xludf.DUMMYFUNCTION("""COMPUTED_VALUE"""),"CTX-M-104")</f>
        <v>CTX-M-104</v>
      </c>
      <c r="B1362" t="str">
        <f ca="1">IFERROR(__xludf.DUMMYFUNCTION("""COMPUTED_VALUE"""),"RF-00000304-PAR")</f>
        <v>RF-00000304-PAR</v>
      </c>
    </row>
    <row r="1363" spans="1:2" ht="12.5" x14ac:dyDescent="0.25">
      <c r="A1363" t="str">
        <f ca="1">IFERROR(__xludf.DUMMYFUNCTION("""COMPUTED_VALUE"""),"CTX-M-105")</f>
        <v>CTX-M-105</v>
      </c>
      <c r="B1363" t="str">
        <f ca="1">IFERROR(__xludf.DUMMYFUNCTION("""COMPUTED_VALUE"""),"RF-00000305-PAR")</f>
        <v>RF-00000305-PAR</v>
      </c>
    </row>
    <row r="1364" spans="1:2" ht="12.5" x14ac:dyDescent="0.25">
      <c r="A1364" t="str">
        <f ca="1">IFERROR(__xludf.DUMMYFUNCTION("""COMPUTED_VALUE"""),"CTX-M-106")</f>
        <v>CTX-M-106</v>
      </c>
      <c r="B1364" t="str">
        <f ca="1">IFERROR(__xludf.DUMMYFUNCTION("""COMPUTED_VALUE"""),"RF-00000306-PAR")</f>
        <v>RF-00000306-PAR</v>
      </c>
    </row>
    <row r="1365" spans="1:2" ht="12.5" x14ac:dyDescent="0.25">
      <c r="A1365" t="str">
        <f ca="1">IFERROR(__xludf.DUMMYFUNCTION("""COMPUTED_VALUE"""),"CTX-M-107")</f>
        <v>CTX-M-107</v>
      </c>
      <c r="B1365" t="str">
        <f ca="1">IFERROR(__xludf.DUMMYFUNCTION("""COMPUTED_VALUE"""),"RF-00000307-PAR")</f>
        <v>RF-00000307-PAR</v>
      </c>
    </row>
    <row r="1366" spans="1:2" ht="12.5" x14ac:dyDescent="0.25">
      <c r="A1366" t="str">
        <f ca="1">IFERROR(__xludf.DUMMYFUNCTION("""COMPUTED_VALUE"""),"CTX-M-108")</f>
        <v>CTX-M-108</v>
      </c>
      <c r="B1366" t="str">
        <f ca="1">IFERROR(__xludf.DUMMYFUNCTION("""COMPUTED_VALUE"""),"RF-00000308-PAR")</f>
        <v>RF-00000308-PAR</v>
      </c>
    </row>
    <row r="1367" spans="1:2" ht="12.5" x14ac:dyDescent="0.25">
      <c r="A1367" t="str">
        <f ca="1">IFERROR(__xludf.DUMMYFUNCTION("""COMPUTED_VALUE"""),"CTX-M-109")</f>
        <v>CTX-M-109</v>
      </c>
      <c r="B1367" t="str">
        <f ca="1">IFERROR(__xludf.DUMMYFUNCTION("""COMPUTED_VALUE"""),"RF-00000309-PAR")</f>
        <v>RF-00000309-PAR</v>
      </c>
    </row>
    <row r="1368" spans="1:2" ht="12.5" x14ac:dyDescent="0.25">
      <c r="A1368" t="str">
        <f ca="1">IFERROR(__xludf.DUMMYFUNCTION("""COMPUTED_VALUE"""),"CTX-M-11")</f>
        <v>CTX-M-11</v>
      </c>
      <c r="B1368" t="str">
        <f ca="1">IFERROR(__xludf.DUMMYFUNCTION("""COMPUTED_VALUE"""),"RF-00000211-PAR")</f>
        <v>RF-00000211-PAR</v>
      </c>
    </row>
    <row r="1369" spans="1:2" ht="12.5" x14ac:dyDescent="0.25">
      <c r="A1369" t="str">
        <f ca="1">IFERROR(__xludf.DUMMYFUNCTION("""COMPUTED_VALUE"""),"CTX-M-110")</f>
        <v>CTX-M-110</v>
      </c>
      <c r="B1369" t="str">
        <f ca="1">IFERROR(__xludf.DUMMYFUNCTION("""COMPUTED_VALUE"""),"RF-00000310-PAR")</f>
        <v>RF-00000310-PAR</v>
      </c>
    </row>
    <row r="1370" spans="1:2" ht="12.5" x14ac:dyDescent="0.25">
      <c r="A1370" t="str">
        <f ca="1">IFERROR(__xludf.DUMMYFUNCTION("""COMPUTED_VALUE"""),"CTX-M-111")</f>
        <v>CTX-M-111</v>
      </c>
      <c r="B1370" t="str">
        <f ca="1">IFERROR(__xludf.DUMMYFUNCTION("""COMPUTED_VALUE"""),"RF-00000311-PAR")</f>
        <v>RF-00000311-PAR</v>
      </c>
    </row>
    <row r="1371" spans="1:2" ht="12.5" x14ac:dyDescent="0.25">
      <c r="A1371" t="str">
        <f ca="1">IFERROR(__xludf.DUMMYFUNCTION("""COMPUTED_VALUE"""),"CTX-M-112")</f>
        <v>CTX-M-112</v>
      </c>
      <c r="B1371" t="str">
        <f ca="1">IFERROR(__xludf.DUMMYFUNCTION("""COMPUTED_VALUE"""),"RF-00000312-PAR")</f>
        <v>RF-00000312-PAR</v>
      </c>
    </row>
    <row r="1372" spans="1:2" ht="12.5" x14ac:dyDescent="0.25">
      <c r="A1372" t="str">
        <f ca="1">IFERROR(__xludf.DUMMYFUNCTION("""COMPUTED_VALUE"""),"CTX-M-113")</f>
        <v>CTX-M-113</v>
      </c>
      <c r="B1372" t="str">
        <f ca="1">IFERROR(__xludf.DUMMYFUNCTION("""COMPUTED_VALUE"""),"RF-00000313-PAR")</f>
        <v>RF-00000313-PAR</v>
      </c>
    </row>
    <row r="1373" spans="1:2" ht="12.5" x14ac:dyDescent="0.25">
      <c r="A1373" t="str">
        <f ca="1">IFERROR(__xludf.DUMMYFUNCTION("""COMPUTED_VALUE"""),"CTX-M-114")</f>
        <v>CTX-M-114</v>
      </c>
      <c r="B1373" t="str">
        <f ca="1">IFERROR(__xludf.DUMMYFUNCTION("""COMPUTED_VALUE"""),"RF-00000314-PAR")</f>
        <v>RF-00000314-PAR</v>
      </c>
    </row>
    <row r="1374" spans="1:2" ht="12.5" x14ac:dyDescent="0.25">
      <c r="A1374" t="str">
        <f ca="1">IFERROR(__xludf.DUMMYFUNCTION("""COMPUTED_VALUE"""),"CTX-M-115")</f>
        <v>CTX-M-115</v>
      </c>
      <c r="B1374" t="str">
        <f ca="1">IFERROR(__xludf.DUMMYFUNCTION("""COMPUTED_VALUE"""),"RF-00000315-PAR")</f>
        <v>RF-00000315-PAR</v>
      </c>
    </row>
    <row r="1375" spans="1:2" ht="12.5" x14ac:dyDescent="0.25">
      <c r="A1375" t="str">
        <f ca="1">IFERROR(__xludf.DUMMYFUNCTION("""COMPUTED_VALUE"""),"CTX-M-116")</f>
        <v>CTX-M-116</v>
      </c>
      <c r="B1375" t="str">
        <f ca="1">IFERROR(__xludf.DUMMYFUNCTION("""COMPUTED_VALUE"""),"RF-00000316-PAR")</f>
        <v>RF-00000316-PAR</v>
      </c>
    </row>
    <row r="1376" spans="1:2" ht="12.5" x14ac:dyDescent="0.25">
      <c r="A1376" t="str">
        <f ca="1">IFERROR(__xludf.DUMMYFUNCTION("""COMPUTED_VALUE"""),"CTX-M-117")</f>
        <v>CTX-M-117</v>
      </c>
      <c r="B1376" t="str">
        <f ca="1">IFERROR(__xludf.DUMMYFUNCTION("""COMPUTED_VALUE"""),"RF-00000317-PAR")</f>
        <v>RF-00000317-PAR</v>
      </c>
    </row>
    <row r="1377" spans="1:2" ht="12.5" x14ac:dyDescent="0.25">
      <c r="A1377" t="str">
        <f ca="1">IFERROR(__xludf.DUMMYFUNCTION("""COMPUTED_VALUE"""),"CTX-M-118")</f>
        <v>CTX-M-118</v>
      </c>
      <c r="B1377" t="str">
        <f ca="1">IFERROR(__xludf.DUMMYFUNCTION("""COMPUTED_VALUE"""),"RF-00000318-PAR")</f>
        <v>RF-00000318-PAR</v>
      </c>
    </row>
    <row r="1378" spans="1:2" ht="12.5" x14ac:dyDescent="0.25">
      <c r="A1378" t="str">
        <f ca="1">IFERROR(__xludf.DUMMYFUNCTION("""COMPUTED_VALUE"""),"CTX-M-119")</f>
        <v>CTX-M-119</v>
      </c>
      <c r="B1378" t="str">
        <f ca="1">IFERROR(__xludf.DUMMYFUNCTION("""COMPUTED_VALUE"""),"RF-00000319-PAR")</f>
        <v>RF-00000319-PAR</v>
      </c>
    </row>
    <row r="1379" spans="1:2" ht="12.5" x14ac:dyDescent="0.25">
      <c r="A1379" t="str">
        <f ca="1">IFERROR(__xludf.DUMMYFUNCTION("""COMPUTED_VALUE"""),"CTX-M-12")</f>
        <v>CTX-M-12</v>
      </c>
      <c r="B1379" t="str">
        <f ca="1">IFERROR(__xludf.DUMMYFUNCTION("""COMPUTED_VALUE"""),"RF-00000212-PAR")</f>
        <v>RF-00000212-PAR</v>
      </c>
    </row>
    <row r="1380" spans="1:2" ht="12.5" x14ac:dyDescent="0.25">
      <c r="A1380" t="str">
        <f ca="1">IFERROR(__xludf.DUMMYFUNCTION("""COMPUTED_VALUE"""),"CTX-M-120")</f>
        <v>CTX-M-120</v>
      </c>
      <c r="B1380" t="str">
        <f ca="1">IFERROR(__xludf.DUMMYFUNCTION("""COMPUTED_VALUE"""),"RF-00000320-PAR")</f>
        <v>RF-00000320-PAR</v>
      </c>
    </row>
    <row r="1381" spans="1:2" ht="12.5" x14ac:dyDescent="0.25">
      <c r="A1381" t="str">
        <f ca="1">IFERROR(__xludf.DUMMYFUNCTION("""COMPUTED_VALUE"""),"CTX-M-121")</f>
        <v>CTX-M-121</v>
      </c>
      <c r="B1381" t="str">
        <f ca="1">IFERROR(__xludf.DUMMYFUNCTION("""COMPUTED_VALUE"""),"RF-00000321-PAR")</f>
        <v>RF-00000321-PAR</v>
      </c>
    </row>
    <row r="1382" spans="1:2" ht="12.5" x14ac:dyDescent="0.25">
      <c r="A1382" t="str">
        <f ca="1">IFERROR(__xludf.DUMMYFUNCTION("""COMPUTED_VALUE"""),"CTX-M-122")</f>
        <v>CTX-M-122</v>
      </c>
      <c r="B1382" t="str">
        <f ca="1">IFERROR(__xludf.DUMMYFUNCTION("""COMPUTED_VALUE"""),"RF-00000322-PAR")</f>
        <v>RF-00000322-PAR</v>
      </c>
    </row>
    <row r="1383" spans="1:2" ht="12.5" x14ac:dyDescent="0.25">
      <c r="A1383" t="str">
        <f ca="1">IFERROR(__xludf.DUMMYFUNCTION("""COMPUTED_VALUE"""),"CTX-M-123")</f>
        <v>CTX-M-123</v>
      </c>
      <c r="B1383" t="str">
        <f ca="1">IFERROR(__xludf.DUMMYFUNCTION("""COMPUTED_VALUE"""),"RF-00000323-PAR")</f>
        <v>RF-00000323-PAR</v>
      </c>
    </row>
    <row r="1384" spans="1:2" ht="12.5" x14ac:dyDescent="0.25">
      <c r="A1384" t="str">
        <f ca="1">IFERROR(__xludf.DUMMYFUNCTION("""COMPUTED_VALUE"""),"CTX-M-124")</f>
        <v>CTX-M-124</v>
      </c>
      <c r="B1384" t="str">
        <f ca="1">IFERROR(__xludf.DUMMYFUNCTION("""COMPUTED_VALUE"""),"RF-00000324-PAR")</f>
        <v>RF-00000324-PAR</v>
      </c>
    </row>
    <row r="1385" spans="1:2" ht="12.5" x14ac:dyDescent="0.25">
      <c r="A1385" t="str">
        <f ca="1">IFERROR(__xludf.DUMMYFUNCTION("""COMPUTED_VALUE"""),"CTX-M-125")</f>
        <v>CTX-M-125</v>
      </c>
      <c r="B1385" t="str">
        <f ca="1">IFERROR(__xludf.DUMMYFUNCTION("""COMPUTED_VALUE"""),"RF-00000325-PAR")</f>
        <v>RF-00000325-PAR</v>
      </c>
    </row>
    <row r="1386" spans="1:2" ht="12.5" x14ac:dyDescent="0.25">
      <c r="A1386" t="str">
        <f ca="1">IFERROR(__xludf.DUMMYFUNCTION("""COMPUTED_VALUE"""),"CTX-M-126")</f>
        <v>CTX-M-126</v>
      </c>
      <c r="B1386" t="str">
        <f ca="1">IFERROR(__xludf.DUMMYFUNCTION("""COMPUTED_VALUE"""),"RF-00000326-PAR")</f>
        <v>RF-00000326-PAR</v>
      </c>
    </row>
    <row r="1387" spans="1:2" ht="12.5" x14ac:dyDescent="0.25">
      <c r="A1387" t="str">
        <f ca="1">IFERROR(__xludf.DUMMYFUNCTION("""COMPUTED_VALUE"""),"CTX-M-127")</f>
        <v>CTX-M-127</v>
      </c>
      <c r="B1387" t="str">
        <f ca="1">IFERROR(__xludf.DUMMYFUNCTION("""COMPUTED_VALUE"""),"RF-00000327-PAR")</f>
        <v>RF-00000327-PAR</v>
      </c>
    </row>
    <row r="1388" spans="1:2" ht="12.5" x14ac:dyDescent="0.25">
      <c r="A1388" t="str">
        <f ca="1">IFERROR(__xludf.DUMMYFUNCTION("""COMPUTED_VALUE"""),"CTX-M-128")</f>
        <v>CTX-M-128</v>
      </c>
      <c r="B1388" t="str">
        <f ca="1">IFERROR(__xludf.DUMMYFUNCTION("""COMPUTED_VALUE"""),"RF-00000328-PAR")</f>
        <v>RF-00000328-PAR</v>
      </c>
    </row>
    <row r="1389" spans="1:2" ht="12.5" x14ac:dyDescent="0.25">
      <c r="A1389" t="str">
        <f ca="1">IFERROR(__xludf.DUMMYFUNCTION("""COMPUTED_VALUE"""),"CTX-M-129")</f>
        <v>CTX-M-129</v>
      </c>
      <c r="B1389" t="str">
        <f ca="1">IFERROR(__xludf.DUMMYFUNCTION("""COMPUTED_VALUE"""),"RF-00000329-PAR")</f>
        <v>RF-00000329-PAR</v>
      </c>
    </row>
    <row r="1390" spans="1:2" ht="12.5" x14ac:dyDescent="0.25">
      <c r="A1390" t="str">
        <f ca="1">IFERROR(__xludf.DUMMYFUNCTION("""COMPUTED_VALUE"""),"CTX-M-13")</f>
        <v>CTX-M-13</v>
      </c>
      <c r="B1390" t="str">
        <f ca="1">IFERROR(__xludf.DUMMYFUNCTION("""COMPUTED_VALUE"""),"RF-00000213-PAR")</f>
        <v>RF-00000213-PAR</v>
      </c>
    </row>
    <row r="1391" spans="1:2" ht="12.5" x14ac:dyDescent="0.25">
      <c r="A1391" t="str">
        <f ca="1">IFERROR(__xludf.DUMMYFUNCTION("""COMPUTED_VALUE"""),"CTX-M-130")</f>
        <v>CTX-M-130</v>
      </c>
      <c r="B1391" t="str">
        <f ca="1">IFERROR(__xludf.DUMMYFUNCTION("""COMPUTED_VALUE"""),"RF-00000330-PAR")</f>
        <v>RF-00000330-PAR</v>
      </c>
    </row>
    <row r="1392" spans="1:2" ht="12.5" x14ac:dyDescent="0.25">
      <c r="A1392" t="str">
        <f ca="1">IFERROR(__xludf.DUMMYFUNCTION("""COMPUTED_VALUE"""),"CTX-M-131")</f>
        <v>CTX-M-131</v>
      </c>
      <c r="B1392" t="str">
        <f ca="1">IFERROR(__xludf.DUMMYFUNCTION("""COMPUTED_VALUE"""),"RF-00000331-PAR")</f>
        <v>RF-00000331-PAR</v>
      </c>
    </row>
    <row r="1393" spans="1:2" ht="12.5" x14ac:dyDescent="0.25">
      <c r="A1393" t="str">
        <f ca="1">IFERROR(__xludf.DUMMYFUNCTION("""COMPUTED_VALUE"""),"CTX-M-132")</f>
        <v>CTX-M-132</v>
      </c>
      <c r="B1393" t="str">
        <f ca="1">IFERROR(__xludf.DUMMYFUNCTION("""COMPUTED_VALUE"""),"RF-00000332-PAR")</f>
        <v>RF-00000332-PAR</v>
      </c>
    </row>
    <row r="1394" spans="1:2" ht="12.5" x14ac:dyDescent="0.25">
      <c r="A1394" t="str">
        <f ca="1">IFERROR(__xludf.DUMMYFUNCTION("""COMPUTED_VALUE"""),"CTX-M-133")</f>
        <v>CTX-M-133</v>
      </c>
      <c r="B1394" t="str">
        <f ca="1">IFERROR(__xludf.DUMMYFUNCTION("""COMPUTED_VALUE"""),"RF-00000333-PAR")</f>
        <v>RF-00000333-PAR</v>
      </c>
    </row>
    <row r="1395" spans="1:2" ht="12.5" x14ac:dyDescent="0.25">
      <c r="A1395" t="str">
        <f ca="1">IFERROR(__xludf.DUMMYFUNCTION("""COMPUTED_VALUE"""),"CTX-M-134")</f>
        <v>CTX-M-134</v>
      </c>
      <c r="B1395" t="str">
        <f ca="1">IFERROR(__xludf.DUMMYFUNCTION("""COMPUTED_VALUE"""),"RF-00000334-PAR")</f>
        <v>RF-00000334-PAR</v>
      </c>
    </row>
    <row r="1396" spans="1:2" ht="12.5" x14ac:dyDescent="0.25">
      <c r="A1396" t="str">
        <f ca="1">IFERROR(__xludf.DUMMYFUNCTION("""COMPUTED_VALUE"""),"CTX-M-135")</f>
        <v>CTX-M-135</v>
      </c>
      <c r="B1396" t="str">
        <f ca="1">IFERROR(__xludf.DUMMYFUNCTION("""COMPUTED_VALUE"""),"RF-00000335-PAR")</f>
        <v>RF-00000335-PAR</v>
      </c>
    </row>
    <row r="1397" spans="1:2" ht="12.5" x14ac:dyDescent="0.25">
      <c r="A1397" t="str">
        <f ca="1">IFERROR(__xludf.DUMMYFUNCTION("""COMPUTED_VALUE"""),"CTX-M-136")</f>
        <v>CTX-M-136</v>
      </c>
      <c r="B1397" t="str">
        <f ca="1">IFERROR(__xludf.DUMMYFUNCTION("""COMPUTED_VALUE"""),"RF-00000336-PAR")</f>
        <v>RF-00000336-PAR</v>
      </c>
    </row>
    <row r="1398" spans="1:2" ht="12.5" x14ac:dyDescent="0.25">
      <c r="A1398" t="str">
        <f ca="1">IFERROR(__xludf.DUMMYFUNCTION("""COMPUTED_VALUE"""),"CTX-M-137")</f>
        <v>CTX-M-137</v>
      </c>
      <c r="B1398" t="str">
        <f ca="1">IFERROR(__xludf.DUMMYFUNCTION("""COMPUTED_VALUE"""),"RF-00000337-PAR")</f>
        <v>RF-00000337-PAR</v>
      </c>
    </row>
    <row r="1399" spans="1:2" ht="12.5" x14ac:dyDescent="0.25">
      <c r="A1399" t="str">
        <f ca="1">IFERROR(__xludf.DUMMYFUNCTION("""COMPUTED_VALUE"""),"CTX-M-14")</f>
        <v>CTX-M-14</v>
      </c>
      <c r="B1399" t="str">
        <f ca="1">IFERROR(__xludf.DUMMYFUNCTION("""COMPUTED_VALUE"""),"RF-00000214-PAR")</f>
        <v>RF-00000214-PAR</v>
      </c>
    </row>
    <row r="1400" spans="1:2" ht="12.5" x14ac:dyDescent="0.25">
      <c r="A1400" t="str">
        <f ca="1">IFERROR(__xludf.DUMMYFUNCTION("""COMPUTED_VALUE"""),"CTX-M-15  (UOE-1)")</f>
        <v>CTX-M-15  (UOE-1)</v>
      </c>
      <c r="B1400" t="str">
        <f ca="1">IFERROR(__xludf.DUMMYFUNCTION("""COMPUTED_VALUE"""),"RF-00000215-PAR")</f>
        <v>RF-00000215-PAR</v>
      </c>
    </row>
    <row r="1401" spans="1:2" ht="12.5" x14ac:dyDescent="0.25">
      <c r="A1401" t="str">
        <f ca="1">IFERROR(__xludf.DUMMYFUNCTION("""COMPUTED_VALUE"""),"CTX-M-16")</f>
        <v>CTX-M-16</v>
      </c>
      <c r="B1401" t="str">
        <f ca="1">IFERROR(__xludf.DUMMYFUNCTION("""COMPUTED_VALUE"""),"RF-00000216-PAR")</f>
        <v>RF-00000216-PAR</v>
      </c>
    </row>
    <row r="1402" spans="1:2" ht="12.5" x14ac:dyDescent="0.25">
      <c r="A1402" t="str">
        <f ca="1">IFERROR(__xludf.DUMMYFUNCTION("""COMPUTED_VALUE"""),"CTX-M-17")</f>
        <v>CTX-M-17</v>
      </c>
      <c r="B1402" t="str">
        <f ca="1">IFERROR(__xludf.DUMMYFUNCTION("""COMPUTED_VALUE"""),"RF-00000217-PAR")</f>
        <v>RF-00000217-PAR</v>
      </c>
    </row>
    <row r="1403" spans="1:2" ht="12.5" x14ac:dyDescent="0.25">
      <c r="A1403" t="str">
        <f ca="1">IFERROR(__xludf.DUMMYFUNCTION("""COMPUTED_VALUE"""),"CTX-M-18")</f>
        <v>CTX-M-18</v>
      </c>
      <c r="B1403" t="str">
        <f ca="1">IFERROR(__xludf.DUMMYFUNCTION("""COMPUTED_VALUE"""),"RF-00000218-PAR")</f>
        <v>RF-00000218-PAR</v>
      </c>
    </row>
    <row r="1404" spans="1:2" ht="12.5" x14ac:dyDescent="0.25">
      <c r="A1404" t="str">
        <f ca="1">IFERROR(__xludf.DUMMYFUNCTION("""COMPUTED_VALUE"""),"CTX-M-19")</f>
        <v>CTX-M-19</v>
      </c>
      <c r="B1404" t="str">
        <f ca="1">IFERROR(__xludf.DUMMYFUNCTION("""COMPUTED_VALUE"""),"RF-00000219-PAR")</f>
        <v>RF-00000219-PAR</v>
      </c>
    </row>
    <row r="1405" spans="1:2" ht="12.5" x14ac:dyDescent="0.25">
      <c r="A1405" t="str">
        <f ca="1">IFERROR(__xludf.DUMMYFUNCTION("""COMPUTED_VALUE"""),"CTX-M-2")</f>
        <v>CTX-M-2</v>
      </c>
      <c r="B1405" t="str">
        <f ca="1">IFERROR(__xludf.DUMMYFUNCTION("""COMPUTED_VALUE"""),"RF-00000202-PAR")</f>
        <v>RF-00000202-PAR</v>
      </c>
    </row>
    <row r="1406" spans="1:2" ht="12.5" x14ac:dyDescent="0.25">
      <c r="A1406" t="str">
        <f ca="1">IFERROR(__xludf.DUMMYFUNCTION("""COMPUTED_VALUE"""),"CTX-M-20")</f>
        <v>CTX-M-20</v>
      </c>
      <c r="B1406" t="str">
        <f ca="1">IFERROR(__xludf.DUMMYFUNCTION("""COMPUTED_VALUE"""),"RF-00000220-PAR")</f>
        <v>RF-00000220-PAR</v>
      </c>
    </row>
    <row r="1407" spans="1:2" ht="12.5" x14ac:dyDescent="0.25">
      <c r="A1407" t="str">
        <f ca="1">IFERROR(__xludf.DUMMYFUNCTION("""COMPUTED_VALUE"""),"CTX-M-21")</f>
        <v>CTX-M-21</v>
      </c>
      <c r="B1407" t="str">
        <f ca="1">IFERROR(__xludf.DUMMYFUNCTION("""COMPUTED_VALUE"""),"RF-00000221-PAR")</f>
        <v>RF-00000221-PAR</v>
      </c>
    </row>
    <row r="1408" spans="1:2" ht="12.5" x14ac:dyDescent="0.25">
      <c r="A1408" t="str">
        <f ca="1">IFERROR(__xludf.DUMMYFUNCTION("""COMPUTED_VALUE"""),"CTX-M-22")</f>
        <v>CTX-M-22</v>
      </c>
      <c r="B1408" t="str">
        <f ca="1">IFERROR(__xludf.DUMMYFUNCTION("""COMPUTED_VALUE"""),"RF-00000222-PAR")</f>
        <v>RF-00000222-PAR</v>
      </c>
    </row>
    <row r="1409" spans="1:2" ht="12.5" x14ac:dyDescent="0.25">
      <c r="A1409" t="str">
        <f ca="1">IFERROR(__xludf.DUMMYFUNCTION("""COMPUTED_VALUE"""),"CTX-M-23")</f>
        <v>CTX-M-23</v>
      </c>
      <c r="B1409" t="str">
        <f ca="1">IFERROR(__xludf.DUMMYFUNCTION("""COMPUTED_VALUE"""),"RF-00000223-PAR")</f>
        <v>RF-00000223-PAR</v>
      </c>
    </row>
    <row r="1410" spans="1:2" ht="12.5" x14ac:dyDescent="0.25">
      <c r="A1410" t="str">
        <f ca="1">IFERROR(__xludf.DUMMYFUNCTION("""COMPUTED_VALUE"""),"CTX-M-24")</f>
        <v>CTX-M-24</v>
      </c>
      <c r="B1410" t="str">
        <f ca="1">IFERROR(__xludf.DUMMYFUNCTION("""COMPUTED_VALUE"""),"RF-00000224-PAR")</f>
        <v>RF-00000224-PAR</v>
      </c>
    </row>
    <row r="1411" spans="1:2" ht="12.5" x14ac:dyDescent="0.25">
      <c r="A1411" t="str">
        <f ca="1">IFERROR(__xludf.DUMMYFUNCTION("""COMPUTED_VALUE"""),"CTX-M-25")</f>
        <v>CTX-M-25</v>
      </c>
      <c r="B1411" t="str">
        <f ca="1">IFERROR(__xludf.DUMMYFUNCTION("""COMPUTED_VALUE"""),"RF-00000225-PAR")</f>
        <v>RF-00000225-PAR</v>
      </c>
    </row>
    <row r="1412" spans="1:2" ht="12.5" x14ac:dyDescent="0.25">
      <c r="A1412" t="str">
        <f ca="1">IFERROR(__xludf.DUMMYFUNCTION("""COMPUTED_VALUE"""),"CTX-M-26")</f>
        <v>CTX-M-26</v>
      </c>
      <c r="B1412" t="str">
        <f ca="1">IFERROR(__xludf.DUMMYFUNCTION("""COMPUTED_VALUE"""),"RF-00000226-PAR")</f>
        <v>RF-00000226-PAR</v>
      </c>
    </row>
    <row r="1413" spans="1:2" ht="12.5" x14ac:dyDescent="0.25">
      <c r="A1413" t="str">
        <f ca="1">IFERROR(__xludf.DUMMYFUNCTION("""COMPUTED_VALUE"""),"CTX-M-27")</f>
        <v>CTX-M-27</v>
      </c>
      <c r="B1413" t="str">
        <f ca="1">IFERROR(__xludf.DUMMYFUNCTION("""COMPUTED_VALUE"""),"RF-00000227-PAR")</f>
        <v>RF-00000227-PAR</v>
      </c>
    </row>
    <row r="1414" spans="1:2" ht="12.5" x14ac:dyDescent="0.25">
      <c r="A1414" t="str">
        <f ca="1">IFERROR(__xludf.DUMMYFUNCTION("""COMPUTED_VALUE"""),"CTX-M-28")</f>
        <v>CTX-M-28</v>
      </c>
      <c r="B1414" t="str">
        <f ca="1">IFERROR(__xludf.DUMMYFUNCTION("""COMPUTED_VALUE"""),"RF-00000228-PAR")</f>
        <v>RF-00000228-PAR</v>
      </c>
    </row>
    <row r="1415" spans="1:2" ht="12.5" x14ac:dyDescent="0.25">
      <c r="A1415" t="str">
        <f ca="1">IFERROR(__xludf.DUMMYFUNCTION("""COMPUTED_VALUE"""),"CTX-M-29")</f>
        <v>CTX-M-29</v>
      </c>
      <c r="B1415" t="str">
        <f ca="1">IFERROR(__xludf.DUMMYFUNCTION("""COMPUTED_VALUE"""),"RF-00000229-PAR")</f>
        <v>RF-00000229-PAR</v>
      </c>
    </row>
    <row r="1416" spans="1:2" ht="12.5" x14ac:dyDescent="0.25">
      <c r="A1416" t="str">
        <f ca="1">IFERROR(__xludf.DUMMYFUNCTION("""COMPUTED_VALUE"""),"CTX-M-3")</f>
        <v>CTX-M-3</v>
      </c>
      <c r="B1416" t="str">
        <f ca="1">IFERROR(__xludf.DUMMYFUNCTION("""COMPUTED_VALUE"""),"RF-00000203-PAR")</f>
        <v>RF-00000203-PAR</v>
      </c>
    </row>
    <row r="1417" spans="1:2" ht="12.5" x14ac:dyDescent="0.25">
      <c r="A1417" t="str">
        <f ca="1">IFERROR(__xludf.DUMMYFUNCTION("""COMPUTED_VALUE"""),"CTX-M-30")</f>
        <v>CTX-M-30</v>
      </c>
      <c r="B1417" t="str">
        <f ca="1">IFERROR(__xludf.DUMMYFUNCTION("""COMPUTED_VALUE"""),"RF-00000230-PAR")</f>
        <v>RF-00000230-PAR</v>
      </c>
    </row>
    <row r="1418" spans="1:2" ht="12.5" x14ac:dyDescent="0.25">
      <c r="A1418" t="str">
        <f ca="1">IFERROR(__xludf.DUMMYFUNCTION("""COMPUTED_VALUE"""),"CTX-M-31")</f>
        <v>CTX-M-31</v>
      </c>
      <c r="B1418" t="str">
        <f ca="1">IFERROR(__xludf.DUMMYFUNCTION("""COMPUTED_VALUE"""),"RF-00000231-PAR")</f>
        <v>RF-00000231-PAR</v>
      </c>
    </row>
    <row r="1419" spans="1:2" ht="12.5" x14ac:dyDescent="0.25">
      <c r="A1419" t="str">
        <f ca="1">IFERROR(__xludf.DUMMYFUNCTION("""COMPUTED_VALUE"""),"CTX-M-32")</f>
        <v>CTX-M-32</v>
      </c>
      <c r="B1419" t="str">
        <f ca="1">IFERROR(__xludf.DUMMYFUNCTION("""COMPUTED_VALUE"""),"RF-00000232-PAR")</f>
        <v>RF-00000232-PAR</v>
      </c>
    </row>
    <row r="1420" spans="1:2" ht="12.5" x14ac:dyDescent="0.25">
      <c r="A1420" t="str">
        <f ca="1">IFERROR(__xludf.DUMMYFUNCTION("""COMPUTED_VALUE"""),"CTX-M-33")</f>
        <v>CTX-M-33</v>
      </c>
      <c r="B1420" t="str">
        <f ca="1">IFERROR(__xludf.DUMMYFUNCTION("""COMPUTED_VALUE"""),"RF-00000233-PAR")</f>
        <v>RF-00000233-PAR</v>
      </c>
    </row>
    <row r="1421" spans="1:2" ht="12.5" x14ac:dyDescent="0.25">
      <c r="A1421" t="str">
        <f ca="1">IFERROR(__xludf.DUMMYFUNCTION("""COMPUTED_VALUE"""),"CTX-M-34")</f>
        <v>CTX-M-34</v>
      </c>
      <c r="B1421" t="str">
        <f ca="1">IFERROR(__xludf.DUMMYFUNCTION("""COMPUTED_VALUE"""),"RF-00000234-PAR")</f>
        <v>RF-00000234-PAR</v>
      </c>
    </row>
    <row r="1422" spans="1:2" ht="12.5" x14ac:dyDescent="0.25">
      <c r="A1422" t="str">
        <f ca="1">IFERROR(__xludf.DUMMYFUNCTION("""COMPUTED_VALUE"""),"CTX-M-35")</f>
        <v>CTX-M-35</v>
      </c>
      <c r="B1422" t="str">
        <f ca="1">IFERROR(__xludf.DUMMYFUNCTION("""COMPUTED_VALUE"""),"RF-00000235-PAR")</f>
        <v>RF-00000235-PAR</v>
      </c>
    </row>
    <row r="1423" spans="1:2" ht="12.5" x14ac:dyDescent="0.25">
      <c r="A1423" t="str">
        <f ca="1">IFERROR(__xludf.DUMMYFUNCTION("""COMPUTED_VALUE"""),"CTX-M-36")</f>
        <v>CTX-M-36</v>
      </c>
      <c r="B1423" t="str">
        <f ca="1">IFERROR(__xludf.DUMMYFUNCTION("""COMPUTED_VALUE"""),"RF-00000236-PAR")</f>
        <v>RF-00000236-PAR</v>
      </c>
    </row>
    <row r="1424" spans="1:2" ht="12.5" x14ac:dyDescent="0.25">
      <c r="A1424" t="str">
        <f ca="1">IFERROR(__xludf.DUMMYFUNCTION("""COMPUTED_VALUE"""),"CTX-M-37")</f>
        <v>CTX-M-37</v>
      </c>
      <c r="B1424" t="str">
        <f ca="1">IFERROR(__xludf.DUMMYFUNCTION("""COMPUTED_VALUE"""),"RF-00000237-PAR")</f>
        <v>RF-00000237-PAR</v>
      </c>
    </row>
    <row r="1425" spans="1:2" ht="12.5" x14ac:dyDescent="0.25">
      <c r="A1425" t="str">
        <f ca="1">IFERROR(__xludf.DUMMYFUNCTION("""COMPUTED_VALUE"""),"CTX-M-38")</f>
        <v>CTX-M-38</v>
      </c>
      <c r="B1425" t="str">
        <f ca="1">IFERROR(__xludf.DUMMYFUNCTION("""COMPUTED_VALUE"""),"RF-00000238-PAR")</f>
        <v>RF-00000238-PAR</v>
      </c>
    </row>
    <row r="1426" spans="1:2" ht="12.5" x14ac:dyDescent="0.25">
      <c r="A1426" t="str">
        <f ca="1">IFERROR(__xludf.DUMMYFUNCTION("""COMPUTED_VALUE"""),"CTX-M-39")</f>
        <v>CTX-M-39</v>
      </c>
      <c r="B1426" t="str">
        <f ca="1">IFERROR(__xludf.DUMMYFUNCTION("""COMPUTED_VALUE"""),"RF-00000239-PAR")</f>
        <v>RF-00000239-PAR</v>
      </c>
    </row>
    <row r="1427" spans="1:2" ht="12.5" x14ac:dyDescent="0.25">
      <c r="A1427" t="str">
        <f ca="1">IFERROR(__xludf.DUMMYFUNCTION("""COMPUTED_VALUE"""),"CTX-M-4")</f>
        <v>CTX-M-4</v>
      </c>
      <c r="B1427" t="str">
        <f ca="1">IFERROR(__xludf.DUMMYFUNCTION("""COMPUTED_VALUE"""),"RF-00000204-PAR")</f>
        <v>RF-00000204-PAR</v>
      </c>
    </row>
    <row r="1428" spans="1:2" ht="12.5" x14ac:dyDescent="0.25">
      <c r="A1428" t="str">
        <f ca="1">IFERROR(__xludf.DUMMYFUNCTION("""COMPUTED_VALUE"""),"CTX-M-40")</f>
        <v>CTX-M-40</v>
      </c>
      <c r="B1428" t="str">
        <f ca="1">IFERROR(__xludf.DUMMYFUNCTION("""COMPUTED_VALUE"""),"RF-00000240-PAR")</f>
        <v>RF-00000240-PAR</v>
      </c>
    </row>
    <row r="1429" spans="1:2" ht="12.5" x14ac:dyDescent="0.25">
      <c r="A1429" t="str">
        <f ca="1">IFERROR(__xludf.DUMMYFUNCTION("""COMPUTED_VALUE"""),"CTX-M-41")</f>
        <v>CTX-M-41</v>
      </c>
      <c r="B1429" t="str">
        <f ca="1">IFERROR(__xludf.DUMMYFUNCTION("""COMPUTED_VALUE"""),"RF-00000241-PAR")</f>
        <v>RF-00000241-PAR</v>
      </c>
    </row>
    <row r="1430" spans="1:2" ht="12.5" x14ac:dyDescent="0.25">
      <c r="A1430" t="str">
        <f ca="1">IFERROR(__xludf.DUMMYFUNCTION("""COMPUTED_VALUE"""),"CTX-M-42")</f>
        <v>CTX-M-42</v>
      </c>
      <c r="B1430" t="str">
        <f ca="1">IFERROR(__xludf.DUMMYFUNCTION("""COMPUTED_VALUE"""),"RF-00000242-PAR")</f>
        <v>RF-00000242-PAR</v>
      </c>
    </row>
    <row r="1431" spans="1:2" ht="12.5" x14ac:dyDescent="0.25">
      <c r="A1431" t="str">
        <f ca="1">IFERROR(__xludf.DUMMYFUNCTION("""COMPUTED_VALUE"""),"CTX-M-43")</f>
        <v>CTX-M-43</v>
      </c>
      <c r="B1431" t="str">
        <f ca="1">IFERROR(__xludf.DUMMYFUNCTION("""COMPUTED_VALUE"""),"RF-00000243-PAR")</f>
        <v>RF-00000243-PAR</v>
      </c>
    </row>
    <row r="1432" spans="1:2" ht="12.5" x14ac:dyDescent="0.25">
      <c r="A1432" t="str">
        <f ca="1">IFERROR(__xludf.DUMMYFUNCTION("""COMPUTED_VALUE"""),"CTX-M-44 (Toho-1)")</f>
        <v>CTX-M-44 (Toho-1)</v>
      </c>
      <c r="B1432" t="str">
        <f ca="1">IFERROR(__xludf.DUMMYFUNCTION("""COMPUTED_VALUE"""),"RF-00000244-PAR")</f>
        <v>RF-00000244-PAR</v>
      </c>
    </row>
    <row r="1433" spans="1:2" ht="12.5" x14ac:dyDescent="0.25">
      <c r="A1433" t="str">
        <f ca="1">IFERROR(__xludf.DUMMYFUNCTION("""COMPUTED_VALUE"""),"CTX-M-45 (Toho-2)")</f>
        <v>CTX-M-45 (Toho-2)</v>
      </c>
      <c r="B1433" t="str">
        <f ca="1">IFERROR(__xludf.DUMMYFUNCTION("""COMPUTED_VALUE"""),"RF-00000245-PAR")</f>
        <v>RF-00000245-PAR</v>
      </c>
    </row>
    <row r="1434" spans="1:2" ht="12.5" x14ac:dyDescent="0.25">
      <c r="A1434" t="str">
        <f ca="1">IFERROR(__xludf.DUMMYFUNCTION("""COMPUTED_VALUE"""),"CTX-M-46")</f>
        <v>CTX-M-46</v>
      </c>
      <c r="B1434" t="str">
        <f ca="1">IFERROR(__xludf.DUMMYFUNCTION("""COMPUTED_VALUE"""),"RF-00000246-PAR")</f>
        <v>RF-00000246-PAR</v>
      </c>
    </row>
    <row r="1435" spans="1:2" ht="12.5" x14ac:dyDescent="0.25">
      <c r="A1435" t="str">
        <f ca="1">IFERROR(__xludf.DUMMYFUNCTION("""COMPUTED_VALUE"""),"CTX-M-47")</f>
        <v>CTX-M-47</v>
      </c>
      <c r="B1435" t="str">
        <f ca="1">IFERROR(__xludf.DUMMYFUNCTION("""COMPUTED_VALUE"""),"RF-00000247-PAR")</f>
        <v>RF-00000247-PAR</v>
      </c>
    </row>
    <row r="1436" spans="1:2" ht="12.5" x14ac:dyDescent="0.25">
      <c r="A1436" t="str">
        <f ca="1">IFERROR(__xludf.DUMMYFUNCTION("""COMPUTED_VALUE"""),"CTX-M-48")</f>
        <v>CTX-M-48</v>
      </c>
      <c r="B1436" t="str">
        <f ca="1">IFERROR(__xludf.DUMMYFUNCTION("""COMPUTED_VALUE"""),"RF-00000248-PAR")</f>
        <v>RF-00000248-PAR</v>
      </c>
    </row>
    <row r="1437" spans="1:2" ht="12.5" x14ac:dyDescent="0.25">
      <c r="A1437" t="str">
        <f ca="1">IFERROR(__xludf.DUMMYFUNCTION("""COMPUTED_VALUE"""),"CTX-M-49")</f>
        <v>CTX-M-49</v>
      </c>
      <c r="B1437" t="str">
        <f ca="1">IFERROR(__xludf.DUMMYFUNCTION("""COMPUTED_VALUE"""),"RF-00000249-PAR")</f>
        <v>RF-00000249-PAR</v>
      </c>
    </row>
    <row r="1438" spans="1:2" ht="12.5" x14ac:dyDescent="0.25">
      <c r="A1438" t="str">
        <f ca="1">IFERROR(__xludf.DUMMYFUNCTION("""COMPUTED_VALUE"""),"CTX-M-5")</f>
        <v>CTX-M-5</v>
      </c>
      <c r="B1438" t="str">
        <f ca="1">IFERROR(__xludf.DUMMYFUNCTION("""COMPUTED_VALUE"""),"RF-00000205-PAR")</f>
        <v>RF-00000205-PAR</v>
      </c>
    </row>
    <row r="1439" spans="1:2" ht="12.5" x14ac:dyDescent="0.25">
      <c r="A1439" t="str">
        <f ca="1">IFERROR(__xludf.DUMMYFUNCTION("""COMPUTED_VALUE"""),"CTX-M-50")</f>
        <v>CTX-M-50</v>
      </c>
      <c r="B1439" t="str">
        <f ca="1">IFERROR(__xludf.DUMMYFUNCTION("""COMPUTED_VALUE"""),"RF-00000250-PAR")</f>
        <v>RF-00000250-PAR</v>
      </c>
    </row>
    <row r="1440" spans="1:2" ht="12.5" x14ac:dyDescent="0.25">
      <c r="A1440" t="str">
        <f ca="1">IFERROR(__xludf.DUMMYFUNCTION("""COMPUTED_VALUE"""),"CTX-M-51")</f>
        <v>CTX-M-51</v>
      </c>
      <c r="B1440" t="str">
        <f ca="1">IFERROR(__xludf.DUMMYFUNCTION("""COMPUTED_VALUE"""),"RF-00000251-PAR")</f>
        <v>RF-00000251-PAR</v>
      </c>
    </row>
    <row r="1441" spans="1:2" ht="12.5" x14ac:dyDescent="0.25">
      <c r="A1441" t="str">
        <f ca="1">IFERROR(__xludf.DUMMYFUNCTION("""COMPUTED_VALUE"""),"CTX-M-52")</f>
        <v>CTX-M-52</v>
      </c>
      <c r="B1441" t="str">
        <f ca="1">IFERROR(__xludf.DUMMYFUNCTION("""COMPUTED_VALUE"""),"RF-00000252-PAR")</f>
        <v>RF-00000252-PAR</v>
      </c>
    </row>
    <row r="1442" spans="1:2" ht="12.5" x14ac:dyDescent="0.25">
      <c r="A1442" t="str">
        <f ca="1">IFERROR(__xludf.DUMMYFUNCTION("""COMPUTED_VALUE"""),"CTX-M-53")</f>
        <v>CTX-M-53</v>
      </c>
      <c r="B1442" t="str">
        <f ca="1">IFERROR(__xludf.DUMMYFUNCTION("""COMPUTED_VALUE"""),"RF-00000253-PAR")</f>
        <v>RF-00000253-PAR</v>
      </c>
    </row>
    <row r="1443" spans="1:2" ht="12.5" x14ac:dyDescent="0.25">
      <c r="A1443" t="str">
        <f ca="1">IFERROR(__xludf.DUMMYFUNCTION("""COMPUTED_VALUE"""),"CTX-M-54")</f>
        <v>CTX-M-54</v>
      </c>
      <c r="B1443" t="str">
        <f ca="1">IFERROR(__xludf.DUMMYFUNCTION("""COMPUTED_VALUE"""),"RF-00000254-PAR")</f>
        <v>RF-00000254-PAR</v>
      </c>
    </row>
    <row r="1444" spans="1:2" ht="12.5" x14ac:dyDescent="0.25">
      <c r="A1444" t="str">
        <f ca="1">IFERROR(__xludf.DUMMYFUNCTION("""COMPUTED_VALUE"""),"CTX-M-55")</f>
        <v>CTX-M-55</v>
      </c>
      <c r="B1444" t="str">
        <f ca="1">IFERROR(__xludf.DUMMYFUNCTION("""COMPUTED_VALUE"""),"RF-00000255-PAR")</f>
        <v>RF-00000255-PAR</v>
      </c>
    </row>
    <row r="1445" spans="1:2" ht="12.5" x14ac:dyDescent="0.25">
      <c r="A1445" t="str">
        <f ca="1">IFERROR(__xludf.DUMMYFUNCTION("""COMPUTED_VALUE"""),"CTX-M-56")</f>
        <v>CTX-M-56</v>
      </c>
      <c r="B1445" t="str">
        <f ca="1">IFERROR(__xludf.DUMMYFUNCTION("""COMPUTED_VALUE"""),"RF-00000256-PAR")</f>
        <v>RF-00000256-PAR</v>
      </c>
    </row>
    <row r="1446" spans="1:2" ht="12.5" x14ac:dyDescent="0.25">
      <c r="A1446" t="str">
        <f ca="1">IFERROR(__xludf.DUMMYFUNCTION("""COMPUTED_VALUE"""),"CTX-M-57")</f>
        <v>CTX-M-57</v>
      </c>
      <c r="B1446" t="str">
        <f ca="1">IFERROR(__xludf.DUMMYFUNCTION("""COMPUTED_VALUE"""),"RF-00000257-PAR")</f>
        <v>RF-00000257-PAR</v>
      </c>
    </row>
    <row r="1447" spans="1:2" ht="12.5" x14ac:dyDescent="0.25">
      <c r="A1447" t="str">
        <f ca="1">IFERROR(__xludf.DUMMYFUNCTION("""COMPUTED_VALUE"""),"CTX-M-58")</f>
        <v>CTX-M-58</v>
      </c>
      <c r="B1447" t="str">
        <f ca="1">IFERROR(__xludf.DUMMYFUNCTION("""COMPUTED_VALUE"""),"RF-00000258-PAR")</f>
        <v>RF-00000258-PAR</v>
      </c>
    </row>
    <row r="1448" spans="1:2" ht="12.5" x14ac:dyDescent="0.25">
      <c r="A1448" t="str">
        <f ca="1">IFERROR(__xludf.DUMMYFUNCTION("""COMPUTED_VALUE"""),"CTX-M-59")</f>
        <v>CTX-M-59</v>
      </c>
      <c r="B1448" t="str">
        <f ca="1">IFERROR(__xludf.DUMMYFUNCTION("""COMPUTED_VALUE"""),"RF-00000259-PAR")</f>
        <v>RF-00000259-PAR</v>
      </c>
    </row>
    <row r="1449" spans="1:2" ht="12.5" x14ac:dyDescent="0.25">
      <c r="A1449" t="str">
        <f ca="1">IFERROR(__xludf.DUMMYFUNCTION("""COMPUTED_VALUE"""),"CTX-M-6")</f>
        <v>CTX-M-6</v>
      </c>
      <c r="B1449" t="str">
        <f ca="1">IFERROR(__xludf.DUMMYFUNCTION("""COMPUTED_VALUE"""),"RF-00000206-PAR")</f>
        <v>RF-00000206-PAR</v>
      </c>
    </row>
    <row r="1450" spans="1:2" ht="12.5" x14ac:dyDescent="0.25">
      <c r="A1450" t="str">
        <f ca="1">IFERROR(__xludf.DUMMYFUNCTION("""COMPUTED_VALUE"""),"CTX-M-60")</f>
        <v>CTX-M-60</v>
      </c>
      <c r="B1450" t="str">
        <f ca="1">IFERROR(__xludf.DUMMYFUNCTION("""COMPUTED_VALUE"""),"RF-00000260-PAR")</f>
        <v>RF-00000260-PAR</v>
      </c>
    </row>
    <row r="1451" spans="1:2" ht="12.5" x14ac:dyDescent="0.25">
      <c r="A1451" t="str">
        <f ca="1">IFERROR(__xludf.DUMMYFUNCTION("""COMPUTED_VALUE"""),"CTX-M-61")</f>
        <v>CTX-M-61</v>
      </c>
      <c r="B1451" t="str">
        <f ca="1">IFERROR(__xludf.DUMMYFUNCTION("""COMPUTED_VALUE"""),"RF-00000261-PAR")</f>
        <v>RF-00000261-PAR</v>
      </c>
    </row>
    <row r="1452" spans="1:2" ht="12.5" x14ac:dyDescent="0.25">
      <c r="A1452" t="str">
        <f ca="1">IFERROR(__xludf.DUMMYFUNCTION("""COMPUTED_VALUE"""),"CTX-M-62")</f>
        <v>CTX-M-62</v>
      </c>
      <c r="B1452" t="str">
        <f ca="1">IFERROR(__xludf.DUMMYFUNCTION("""COMPUTED_VALUE"""),"RF-00000262-PAR")</f>
        <v>RF-00000262-PAR</v>
      </c>
    </row>
    <row r="1453" spans="1:2" ht="12.5" x14ac:dyDescent="0.25">
      <c r="A1453" t="str">
        <f ca="1">IFERROR(__xludf.DUMMYFUNCTION("""COMPUTED_VALUE"""),"CTX-M-63")</f>
        <v>CTX-M-63</v>
      </c>
      <c r="B1453" t="str">
        <f ca="1">IFERROR(__xludf.DUMMYFUNCTION("""COMPUTED_VALUE"""),"RF-00000263-PAR")</f>
        <v>RF-00000263-PAR</v>
      </c>
    </row>
    <row r="1454" spans="1:2" ht="12.5" x14ac:dyDescent="0.25">
      <c r="A1454" t="str">
        <f ca="1">IFERROR(__xludf.DUMMYFUNCTION("""COMPUTED_VALUE"""),"CTX-M-64")</f>
        <v>CTX-M-64</v>
      </c>
      <c r="B1454" t="str">
        <f ca="1">IFERROR(__xludf.DUMMYFUNCTION("""COMPUTED_VALUE"""),"RF-00000264-PAR")</f>
        <v>RF-00000264-PAR</v>
      </c>
    </row>
    <row r="1455" spans="1:2" ht="12.5" x14ac:dyDescent="0.25">
      <c r="A1455" t="str">
        <f ca="1">IFERROR(__xludf.DUMMYFUNCTION("""COMPUTED_VALUE"""),"CTX-M-65")</f>
        <v>CTX-M-65</v>
      </c>
      <c r="B1455" t="str">
        <f ca="1">IFERROR(__xludf.DUMMYFUNCTION("""COMPUTED_VALUE"""),"RF-00000265-PAR")</f>
        <v>RF-00000265-PAR</v>
      </c>
    </row>
    <row r="1456" spans="1:2" ht="12.5" x14ac:dyDescent="0.25">
      <c r="A1456" t="str">
        <f ca="1">IFERROR(__xludf.DUMMYFUNCTION("""COMPUTED_VALUE"""),"CTX-M-66")</f>
        <v>CTX-M-66</v>
      </c>
      <c r="B1456" t="str">
        <f ca="1">IFERROR(__xludf.DUMMYFUNCTION("""COMPUTED_VALUE"""),"RF-00000266-PAR")</f>
        <v>RF-00000266-PAR</v>
      </c>
    </row>
    <row r="1457" spans="1:2" ht="12.5" x14ac:dyDescent="0.25">
      <c r="A1457" t="str">
        <f ca="1">IFERROR(__xludf.DUMMYFUNCTION("""COMPUTED_VALUE"""),"CTX-M-67")</f>
        <v>CTX-M-67</v>
      </c>
      <c r="B1457" t="str">
        <f ca="1">IFERROR(__xludf.DUMMYFUNCTION("""COMPUTED_VALUE"""),"RF-00000267-PAR")</f>
        <v>RF-00000267-PAR</v>
      </c>
    </row>
    <row r="1458" spans="1:2" ht="12.5" x14ac:dyDescent="0.25">
      <c r="A1458" t="str">
        <f ca="1">IFERROR(__xludf.DUMMYFUNCTION("""COMPUTED_VALUE"""),"CTX-M-68")</f>
        <v>CTX-M-68</v>
      </c>
      <c r="B1458" t="str">
        <f ca="1">IFERROR(__xludf.DUMMYFUNCTION("""COMPUTED_VALUE"""),"RF-00000268-PAR")</f>
        <v>RF-00000268-PAR</v>
      </c>
    </row>
    <row r="1459" spans="1:2" ht="12.5" x14ac:dyDescent="0.25">
      <c r="A1459" t="str">
        <f ca="1">IFERROR(__xludf.DUMMYFUNCTION("""COMPUTED_VALUE"""),"CTX-M-69")</f>
        <v>CTX-M-69</v>
      </c>
      <c r="B1459" t="str">
        <f ca="1">IFERROR(__xludf.DUMMYFUNCTION("""COMPUTED_VALUE"""),"RF-00000269-PAR")</f>
        <v>RF-00000269-PAR</v>
      </c>
    </row>
    <row r="1460" spans="1:2" ht="12.5" x14ac:dyDescent="0.25">
      <c r="A1460" t="str">
        <f ca="1">IFERROR(__xludf.DUMMYFUNCTION("""COMPUTED_VALUE"""),"CTX-M-7")</f>
        <v>CTX-M-7</v>
      </c>
      <c r="B1460" t="str">
        <f ca="1">IFERROR(__xludf.DUMMYFUNCTION("""COMPUTED_VALUE"""),"RF-00000207-PAR")</f>
        <v>RF-00000207-PAR</v>
      </c>
    </row>
    <row r="1461" spans="1:2" ht="12.5" x14ac:dyDescent="0.25">
      <c r="A1461" t="str">
        <f ca="1">IFERROR(__xludf.DUMMYFUNCTION("""COMPUTED_VALUE"""),"CTX-M-70")</f>
        <v>CTX-M-70</v>
      </c>
      <c r="B1461" t="str">
        <f ca="1">IFERROR(__xludf.DUMMYFUNCTION("""COMPUTED_VALUE"""),"RF-00000270-PAR")</f>
        <v>RF-00000270-PAR</v>
      </c>
    </row>
    <row r="1462" spans="1:2" ht="12.5" x14ac:dyDescent="0.25">
      <c r="A1462" t="str">
        <f ca="1">IFERROR(__xludf.DUMMYFUNCTION("""COMPUTED_VALUE"""),"CTX-M-71")</f>
        <v>CTX-M-71</v>
      </c>
      <c r="B1462" t="str">
        <f ca="1">IFERROR(__xludf.DUMMYFUNCTION("""COMPUTED_VALUE"""),"RF-00000271-PAR")</f>
        <v>RF-00000271-PAR</v>
      </c>
    </row>
    <row r="1463" spans="1:2" ht="12.5" x14ac:dyDescent="0.25">
      <c r="A1463" t="str">
        <f ca="1">IFERROR(__xludf.DUMMYFUNCTION("""COMPUTED_VALUE"""),"CTX-M-72")</f>
        <v>CTX-M-72</v>
      </c>
      <c r="B1463" t="str">
        <f ca="1">IFERROR(__xludf.DUMMYFUNCTION("""COMPUTED_VALUE"""),"RF-00000272-PAR")</f>
        <v>RF-00000272-PAR</v>
      </c>
    </row>
    <row r="1464" spans="1:2" ht="12.5" x14ac:dyDescent="0.25">
      <c r="A1464" t="str">
        <f ca="1">IFERROR(__xludf.DUMMYFUNCTION("""COMPUTED_VALUE"""),"CTX-M-73")</f>
        <v>CTX-M-73</v>
      </c>
      <c r="B1464" t="str">
        <f ca="1">IFERROR(__xludf.DUMMYFUNCTION("""COMPUTED_VALUE"""),"RF-00000273-PAR")</f>
        <v>RF-00000273-PAR</v>
      </c>
    </row>
    <row r="1465" spans="1:2" ht="12.5" x14ac:dyDescent="0.25">
      <c r="A1465" t="str">
        <f ca="1">IFERROR(__xludf.DUMMYFUNCTION("""COMPUTED_VALUE"""),"CTX-M-74")</f>
        <v>CTX-M-74</v>
      </c>
      <c r="B1465" t="str">
        <f ca="1">IFERROR(__xludf.DUMMYFUNCTION("""COMPUTED_VALUE"""),"RF-00000274-PAR")</f>
        <v>RF-00000274-PAR</v>
      </c>
    </row>
    <row r="1466" spans="1:2" ht="12.5" x14ac:dyDescent="0.25">
      <c r="A1466" t="str">
        <f ca="1">IFERROR(__xludf.DUMMYFUNCTION("""COMPUTED_VALUE"""),"CTX-M-75")</f>
        <v>CTX-M-75</v>
      </c>
      <c r="B1466" t="str">
        <f ca="1">IFERROR(__xludf.DUMMYFUNCTION("""COMPUTED_VALUE"""),"RF-00000275-PAR")</f>
        <v>RF-00000275-PAR</v>
      </c>
    </row>
    <row r="1467" spans="1:2" ht="12.5" x14ac:dyDescent="0.25">
      <c r="A1467" t="str">
        <f ca="1">IFERROR(__xludf.DUMMYFUNCTION("""COMPUTED_VALUE"""),"CTX-M-76")</f>
        <v>CTX-M-76</v>
      </c>
      <c r="B1467" t="str">
        <f ca="1">IFERROR(__xludf.DUMMYFUNCTION("""COMPUTED_VALUE"""),"RF-00000276-PAR")</f>
        <v>RF-00000276-PAR</v>
      </c>
    </row>
    <row r="1468" spans="1:2" ht="12.5" x14ac:dyDescent="0.25">
      <c r="A1468" t="str">
        <f ca="1">IFERROR(__xludf.DUMMYFUNCTION("""COMPUTED_VALUE"""),"CTX-M-77")</f>
        <v>CTX-M-77</v>
      </c>
      <c r="B1468" t="str">
        <f ca="1">IFERROR(__xludf.DUMMYFUNCTION("""COMPUTED_VALUE"""),"RF-00000277-PAR")</f>
        <v>RF-00000277-PAR</v>
      </c>
    </row>
    <row r="1469" spans="1:2" ht="12.5" x14ac:dyDescent="0.25">
      <c r="A1469" t="str">
        <f ca="1">IFERROR(__xludf.DUMMYFUNCTION("""COMPUTED_VALUE"""),"CTX-M-78")</f>
        <v>CTX-M-78</v>
      </c>
      <c r="B1469" t="str">
        <f ca="1">IFERROR(__xludf.DUMMYFUNCTION("""COMPUTED_VALUE"""),"RF-00000278-PAR")</f>
        <v>RF-00000278-PAR</v>
      </c>
    </row>
    <row r="1470" spans="1:2" ht="12.5" x14ac:dyDescent="0.25">
      <c r="A1470" t="str">
        <f ca="1">IFERROR(__xludf.DUMMYFUNCTION("""COMPUTED_VALUE"""),"CTX-M-79")</f>
        <v>CTX-M-79</v>
      </c>
      <c r="B1470" t="str">
        <f ca="1">IFERROR(__xludf.DUMMYFUNCTION("""COMPUTED_VALUE"""),"RF-00000279-PAR")</f>
        <v>RF-00000279-PAR</v>
      </c>
    </row>
    <row r="1471" spans="1:2" ht="12.5" x14ac:dyDescent="0.25">
      <c r="A1471" t="str">
        <f ca="1">IFERROR(__xludf.DUMMYFUNCTION("""COMPUTED_VALUE"""),"CTX-M-8")</f>
        <v>CTX-M-8</v>
      </c>
      <c r="B1471" t="str">
        <f ca="1">IFERROR(__xludf.DUMMYFUNCTION("""COMPUTED_VALUE"""),"RF-00000208-PAR")</f>
        <v>RF-00000208-PAR</v>
      </c>
    </row>
    <row r="1472" spans="1:2" ht="12.5" x14ac:dyDescent="0.25">
      <c r="A1472" t="str">
        <f ca="1">IFERROR(__xludf.DUMMYFUNCTION("""COMPUTED_VALUE"""),"CTX-M-80")</f>
        <v>CTX-M-80</v>
      </c>
      <c r="B1472" t="str">
        <f ca="1">IFERROR(__xludf.DUMMYFUNCTION("""COMPUTED_VALUE"""),"RF-00000280-PAR")</f>
        <v>RF-00000280-PAR</v>
      </c>
    </row>
    <row r="1473" spans="1:2" ht="12.5" x14ac:dyDescent="0.25">
      <c r="A1473" t="str">
        <f ca="1">IFERROR(__xludf.DUMMYFUNCTION("""COMPUTED_VALUE"""),"CTX-M-81")</f>
        <v>CTX-M-81</v>
      </c>
      <c r="B1473" t="str">
        <f ca="1">IFERROR(__xludf.DUMMYFUNCTION("""COMPUTED_VALUE"""),"RF-00000281-PAR")</f>
        <v>RF-00000281-PAR</v>
      </c>
    </row>
    <row r="1474" spans="1:2" ht="12.5" x14ac:dyDescent="0.25">
      <c r="A1474" t="str">
        <f ca="1">IFERROR(__xludf.DUMMYFUNCTION("""COMPUTED_VALUE"""),"CTX-M-82")</f>
        <v>CTX-M-82</v>
      </c>
      <c r="B1474" t="str">
        <f ca="1">IFERROR(__xludf.DUMMYFUNCTION("""COMPUTED_VALUE"""),"RF-00000282-PAR")</f>
        <v>RF-00000282-PAR</v>
      </c>
    </row>
    <row r="1475" spans="1:2" ht="12.5" x14ac:dyDescent="0.25">
      <c r="A1475" t="str">
        <f ca="1">IFERROR(__xludf.DUMMYFUNCTION("""COMPUTED_VALUE"""),"CTX-M-83")</f>
        <v>CTX-M-83</v>
      </c>
      <c r="B1475" t="str">
        <f ca="1">IFERROR(__xludf.DUMMYFUNCTION("""COMPUTED_VALUE"""),"RF-00000283-PAR")</f>
        <v>RF-00000283-PAR</v>
      </c>
    </row>
    <row r="1476" spans="1:2" ht="12.5" x14ac:dyDescent="0.25">
      <c r="A1476" t="str">
        <f ca="1">IFERROR(__xludf.DUMMYFUNCTION("""COMPUTED_VALUE"""),"CTX-M-84")</f>
        <v>CTX-M-84</v>
      </c>
      <c r="B1476" t="str">
        <f ca="1">IFERROR(__xludf.DUMMYFUNCTION("""COMPUTED_VALUE"""),"RF-00000284-PAR")</f>
        <v>RF-00000284-PAR</v>
      </c>
    </row>
    <row r="1477" spans="1:2" ht="12.5" x14ac:dyDescent="0.25">
      <c r="A1477" t="str">
        <f ca="1">IFERROR(__xludf.DUMMYFUNCTION("""COMPUTED_VALUE"""),"CTX-M-85")</f>
        <v>CTX-M-85</v>
      </c>
      <c r="B1477" t="str">
        <f ca="1">IFERROR(__xludf.DUMMYFUNCTION("""COMPUTED_VALUE"""),"RF-00000285-PAR")</f>
        <v>RF-00000285-PAR</v>
      </c>
    </row>
    <row r="1478" spans="1:2" ht="12.5" x14ac:dyDescent="0.25">
      <c r="A1478" t="str">
        <f ca="1">IFERROR(__xludf.DUMMYFUNCTION("""COMPUTED_VALUE"""),"CTX-M-86")</f>
        <v>CTX-M-86</v>
      </c>
      <c r="B1478" t="str">
        <f ca="1">IFERROR(__xludf.DUMMYFUNCTION("""COMPUTED_VALUE"""),"RF-00000286-PAR")</f>
        <v>RF-00000286-PAR</v>
      </c>
    </row>
    <row r="1479" spans="1:2" ht="12.5" x14ac:dyDescent="0.25">
      <c r="A1479" t="str">
        <f ca="1">IFERROR(__xludf.DUMMYFUNCTION("""COMPUTED_VALUE"""),"CTX-M-87")</f>
        <v>CTX-M-87</v>
      </c>
      <c r="B1479" t="str">
        <f ca="1">IFERROR(__xludf.DUMMYFUNCTION("""COMPUTED_VALUE"""),"RF-00000287-PAR")</f>
        <v>RF-00000287-PAR</v>
      </c>
    </row>
    <row r="1480" spans="1:2" ht="12.5" x14ac:dyDescent="0.25">
      <c r="A1480" t="str">
        <f ca="1">IFERROR(__xludf.DUMMYFUNCTION("""COMPUTED_VALUE"""),"CTX-M-88")</f>
        <v>CTX-M-88</v>
      </c>
      <c r="B1480" t="str">
        <f ca="1">IFERROR(__xludf.DUMMYFUNCTION("""COMPUTED_VALUE"""),"RF-00000288-PAR")</f>
        <v>RF-00000288-PAR</v>
      </c>
    </row>
    <row r="1481" spans="1:2" ht="12.5" x14ac:dyDescent="0.25">
      <c r="A1481" t="str">
        <f ca="1">IFERROR(__xludf.DUMMYFUNCTION("""COMPUTED_VALUE"""),"CTX-M-89")</f>
        <v>CTX-M-89</v>
      </c>
      <c r="B1481" t="str">
        <f ca="1">IFERROR(__xludf.DUMMYFUNCTION("""COMPUTED_VALUE"""),"RF-00000289-PAR")</f>
        <v>RF-00000289-PAR</v>
      </c>
    </row>
    <row r="1482" spans="1:2" ht="12.5" x14ac:dyDescent="0.25">
      <c r="A1482" t="str">
        <f ca="1">IFERROR(__xludf.DUMMYFUNCTION("""COMPUTED_VALUE"""),"CTX-M-9")</f>
        <v>CTX-M-9</v>
      </c>
      <c r="B1482" t="str">
        <f ca="1">IFERROR(__xludf.DUMMYFUNCTION("""COMPUTED_VALUE"""),"RF-00000209-PAR")</f>
        <v>RF-00000209-PAR</v>
      </c>
    </row>
    <row r="1483" spans="1:2" ht="12.5" x14ac:dyDescent="0.25">
      <c r="A1483" t="str">
        <f ca="1">IFERROR(__xludf.DUMMYFUNCTION("""COMPUTED_VALUE"""),"CTX-M-90")</f>
        <v>CTX-M-90</v>
      </c>
      <c r="B1483" t="str">
        <f ca="1">IFERROR(__xludf.DUMMYFUNCTION("""COMPUTED_VALUE"""),"RF-00000290-PAR")</f>
        <v>RF-00000290-PAR</v>
      </c>
    </row>
    <row r="1484" spans="1:2" ht="12.5" x14ac:dyDescent="0.25">
      <c r="A1484" t="str">
        <f ca="1">IFERROR(__xludf.DUMMYFUNCTION("""COMPUTED_VALUE"""),"CTX-M-91")</f>
        <v>CTX-M-91</v>
      </c>
      <c r="B1484" t="str">
        <f ca="1">IFERROR(__xludf.DUMMYFUNCTION("""COMPUTED_VALUE"""),"RF-00000291-PAR")</f>
        <v>RF-00000291-PAR</v>
      </c>
    </row>
    <row r="1485" spans="1:2" ht="12.5" x14ac:dyDescent="0.25">
      <c r="A1485" t="str">
        <f ca="1">IFERROR(__xludf.DUMMYFUNCTION("""COMPUTED_VALUE"""),"CTX-M-92")</f>
        <v>CTX-M-92</v>
      </c>
      <c r="B1485" t="str">
        <f ca="1">IFERROR(__xludf.DUMMYFUNCTION("""COMPUTED_VALUE"""),"RF-00000292-PAR")</f>
        <v>RF-00000292-PAR</v>
      </c>
    </row>
    <row r="1486" spans="1:2" ht="12.5" x14ac:dyDescent="0.25">
      <c r="A1486" t="str">
        <f ca="1">IFERROR(__xludf.DUMMYFUNCTION("""COMPUTED_VALUE"""),"CTX-M-93")</f>
        <v>CTX-M-93</v>
      </c>
      <c r="B1486" t="str">
        <f ca="1">IFERROR(__xludf.DUMMYFUNCTION("""COMPUTED_VALUE"""),"RF-00000293-PAR")</f>
        <v>RF-00000293-PAR</v>
      </c>
    </row>
    <row r="1487" spans="1:2" ht="12.5" x14ac:dyDescent="0.25">
      <c r="A1487" t="str">
        <f ca="1">IFERROR(__xludf.DUMMYFUNCTION("""COMPUTED_VALUE"""),"CTX-M-94")</f>
        <v>CTX-M-94</v>
      </c>
      <c r="B1487" t="str">
        <f ca="1">IFERROR(__xludf.DUMMYFUNCTION("""COMPUTED_VALUE"""),"RF-00000294-PAR")</f>
        <v>RF-00000294-PAR</v>
      </c>
    </row>
    <row r="1488" spans="1:2" ht="12.5" x14ac:dyDescent="0.25">
      <c r="A1488" t="str">
        <f ca="1">IFERROR(__xludf.DUMMYFUNCTION("""COMPUTED_VALUE"""),"CTX-M-95")</f>
        <v>CTX-M-95</v>
      </c>
      <c r="B1488" t="str">
        <f ca="1">IFERROR(__xludf.DUMMYFUNCTION("""COMPUTED_VALUE"""),"RF-00000295-PAR")</f>
        <v>RF-00000295-PAR</v>
      </c>
    </row>
    <row r="1489" spans="1:2" ht="12.5" x14ac:dyDescent="0.25">
      <c r="A1489" t="str">
        <f ca="1">IFERROR(__xludf.DUMMYFUNCTION("""COMPUTED_VALUE"""),"CTX-M-96")</f>
        <v>CTX-M-96</v>
      </c>
      <c r="B1489" t="str">
        <f ca="1">IFERROR(__xludf.DUMMYFUNCTION("""COMPUTED_VALUE"""),"RF-00000296-PAR")</f>
        <v>RF-00000296-PAR</v>
      </c>
    </row>
    <row r="1490" spans="1:2" ht="12.5" x14ac:dyDescent="0.25">
      <c r="A1490" t="str">
        <f ca="1">IFERROR(__xludf.DUMMYFUNCTION("""COMPUTED_VALUE"""),"CTX-M-97")</f>
        <v>CTX-M-97</v>
      </c>
      <c r="B1490" t="str">
        <f ca="1">IFERROR(__xludf.DUMMYFUNCTION("""COMPUTED_VALUE"""),"RF-00000297-PAR")</f>
        <v>RF-00000297-PAR</v>
      </c>
    </row>
    <row r="1491" spans="1:2" ht="12.5" x14ac:dyDescent="0.25">
      <c r="A1491" t="str">
        <f ca="1">IFERROR(__xludf.DUMMYFUNCTION("""COMPUTED_VALUE"""),"CTX-M-98")</f>
        <v>CTX-M-98</v>
      </c>
      <c r="B1491" t="str">
        <f ca="1">IFERROR(__xludf.DUMMYFUNCTION("""COMPUTED_VALUE"""),"RF-00000298-PAR")</f>
        <v>RF-00000298-PAR</v>
      </c>
    </row>
    <row r="1492" spans="1:2" ht="12.5" x14ac:dyDescent="0.25">
      <c r="A1492" t="str">
        <f ca="1">IFERROR(__xludf.DUMMYFUNCTION("""COMPUTED_VALUE"""),"CTX-M-99")</f>
        <v>CTX-M-99</v>
      </c>
      <c r="B1492" t="str">
        <f ca="1">IFERROR(__xludf.DUMMYFUNCTION("""COMPUTED_VALUE"""),"RF-00000299-PAR")</f>
        <v>RF-00000299-PAR</v>
      </c>
    </row>
    <row r="1493" spans="1:2" ht="12.5" x14ac:dyDescent="0.25">
      <c r="A1493" t="str">
        <f ca="1">IFERROR(__xludf.DUMMYFUNCTION("""COMPUTED_VALUE"""),"Curcumin")</f>
        <v>Curcumin</v>
      </c>
      <c r="B1493" t="str">
        <f ca="1">IFERROR(__xludf.DUMMYFUNCTION("""COMPUTED_VALUE"""),"RF-00000108-ADD")</f>
        <v>RF-00000108-ADD</v>
      </c>
    </row>
    <row r="1494" spans="1:2" ht="12.5" x14ac:dyDescent="0.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x14ac:dyDescent="0.25">
      <c r="A1495" t="str">
        <f ca="1">IFERROR(__xludf.DUMMYFUNCTION("""COMPUTED_VALUE"""),"Cyanamide nitrogen")</f>
        <v>Cyanamide nitrogen</v>
      </c>
      <c r="B1495" t="str">
        <f ca="1">IFERROR(__xludf.DUMMYFUNCTION("""COMPUTED_VALUE"""),"RF-00000095-CHE")</f>
        <v>RF-00000095-CHE</v>
      </c>
    </row>
    <row r="1496" spans="1:2" ht="12.5" x14ac:dyDescent="0.25">
      <c r="A1496" t="str">
        <f ca="1">IFERROR(__xludf.DUMMYFUNCTION("""COMPUTED_VALUE"""),"Cyanazine")</f>
        <v>Cyanazine</v>
      </c>
      <c r="B1496" t="str">
        <f ca="1">IFERROR(__xludf.DUMMYFUNCTION("""COMPUTED_VALUE"""),"RF-0576-001-PPP")</f>
        <v>RF-0576-001-PPP</v>
      </c>
    </row>
    <row r="1497" spans="1:2" ht="12.5" x14ac:dyDescent="0.25">
      <c r="A1497" t="str">
        <f ca="1">IFERROR(__xludf.DUMMYFUNCTION("""COMPUTED_VALUE"""),"Cyanide")</f>
        <v>Cyanide</v>
      </c>
      <c r="B1497" t="str">
        <f ca="1">IFERROR(__xludf.DUMMYFUNCTION("""COMPUTED_VALUE"""),"RF-00000021-CHE")</f>
        <v>RF-00000021-CHE</v>
      </c>
    </row>
    <row r="1498" spans="1:2" ht="12.5" x14ac:dyDescent="0.25">
      <c r="A1498" t="str">
        <f ca="1">IFERROR(__xludf.DUMMYFUNCTION("""COMPUTED_VALUE"""),"Cyanide and derivatives")</f>
        <v>Cyanide and derivatives</v>
      </c>
      <c r="B1498" t="str">
        <f ca="1">IFERROR(__xludf.DUMMYFUNCTION("""COMPUTED_VALUE"""),"RF-00000020-CHE")</f>
        <v>RF-00000020-CHE</v>
      </c>
    </row>
    <row r="1499" spans="1:2" ht="12.5" x14ac:dyDescent="0.25">
      <c r="A1499" t="str">
        <f ca="1">IFERROR(__xludf.DUMMYFUNCTION("""COMPUTED_VALUE"""),"Cyanides")</f>
        <v>Cyanides</v>
      </c>
      <c r="B1499" t="str">
        <f ca="1">IFERROR(__xludf.DUMMYFUNCTION("""COMPUTED_VALUE"""),"RF-00000022-CHE")</f>
        <v>RF-00000022-CHE</v>
      </c>
    </row>
    <row r="1500" spans="1:2" ht="12.5" x14ac:dyDescent="0.25">
      <c r="A1500" t="str">
        <f ca="1">IFERROR(__xludf.DUMMYFUNCTION("""COMPUTED_VALUE"""),"Cyanofenphos")</f>
        <v>Cyanofenphos</v>
      </c>
      <c r="B1500" t="str">
        <f ca="1">IFERROR(__xludf.DUMMYFUNCTION("""COMPUTED_VALUE"""),"RF-0577-001-PPP")</f>
        <v>RF-0577-001-PPP</v>
      </c>
    </row>
    <row r="1501" spans="1:2" ht="12.5" x14ac:dyDescent="0.25">
      <c r="A1501" t="str">
        <f ca="1">IFERROR(__xludf.DUMMYFUNCTION("""COMPUTED_VALUE"""),"Cyanophos")</f>
        <v>Cyanophos</v>
      </c>
      <c r="B1501" t="str">
        <f ca="1">IFERROR(__xludf.DUMMYFUNCTION("""COMPUTED_VALUE"""),"RF-0578-001-PPP")</f>
        <v>RF-0578-001-PPP</v>
      </c>
    </row>
    <row r="1502" spans="1:2" ht="12.5" x14ac:dyDescent="0.25">
      <c r="A1502" t="str">
        <f ca="1">IFERROR(__xludf.DUMMYFUNCTION("""COMPUTED_VALUE"""),"Cyanuric acid")</f>
        <v>Cyanuric acid</v>
      </c>
      <c r="B1502" t="str">
        <f ca="1">IFERROR(__xludf.DUMMYFUNCTION("""COMPUTED_VALUE"""),"RF-00000211-CHE")</f>
        <v>RF-00000211-CHE</v>
      </c>
    </row>
    <row r="1503" spans="1:2" ht="12.5" x14ac:dyDescent="0.25">
      <c r="A1503" t="str">
        <f ca="1">IFERROR(__xludf.DUMMYFUNCTION("""COMPUTED_VALUE"""),"Cyazofamid")</f>
        <v>Cyazofamid</v>
      </c>
      <c r="B1503" t="str">
        <f ca="1">IFERROR(__xludf.DUMMYFUNCTION("""COMPUTED_VALUE"""),"RF-0104-001-PPP")</f>
        <v>RF-0104-001-PPP</v>
      </c>
    </row>
    <row r="1504" spans="1:2" ht="12.5" x14ac:dyDescent="0.25">
      <c r="A1504" t="str">
        <f ca="1">IFERROR(__xludf.DUMMYFUNCTION("""COMPUTED_VALUE"""),"Cybutryne")</f>
        <v>Cybutryne</v>
      </c>
      <c r="B1504" t="str">
        <f ca="1">IFERROR(__xludf.DUMMYFUNCTION("""COMPUTED_VALUE"""),"RF-0579-001-PPP")</f>
        <v>RF-0579-001-PPP</v>
      </c>
    </row>
    <row r="1505" spans="1:2" ht="12.5" x14ac:dyDescent="0.25">
      <c r="A1505" t="str">
        <f ca="1">IFERROR(__xludf.DUMMYFUNCTION("""COMPUTED_VALUE"""),"cyclamate")</f>
        <v>cyclamate</v>
      </c>
      <c r="B1505" t="str">
        <f ca="1">IFERROR(__xludf.DUMMYFUNCTION("""COMPUTED_VALUE"""),"RF-00000058-NTR")</f>
        <v>RF-00000058-NTR</v>
      </c>
    </row>
    <row r="1506" spans="1:2" ht="12.5" x14ac:dyDescent="0.25">
      <c r="A1506" t="str">
        <f ca="1">IFERROR(__xludf.DUMMYFUNCTION("""COMPUTED_VALUE"""),"Cyclanilide")</f>
        <v>Cyclanilide</v>
      </c>
      <c r="B1506" t="str">
        <f ca="1">IFERROR(__xludf.DUMMYFUNCTION("""COMPUTED_VALUE"""),"RF-0105-001-PPP")</f>
        <v>RF-0105-001-PPP</v>
      </c>
    </row>
    <row r="1507" spans="1:2" ht="12.5" x14ac:dyDescent="0.25">
      <c r="A1507" t="str">
        <f ca="1">IFERROR(__xludf.DUMMYFUNCTION("""COMPUTED_VALUE"""),"Cyclic hydrocarbons")</f>
        <v>Cyclic hydrocarbons</v>
      </c>
      <c r="B1507" t="str">
        <f ca="1">IFERROR(__xludf.DUMMYFUNCTION("""COMPUTED_VALUE"""),"RF-00000072-ORG")</f>
        <v>RF-00000072-ORG</v>
      </c>
    </row>
    <row r="1508" spans="1:2" ht="12.5" x14ac:dyDescent="0.25">
      <c r="A1508" t="str">
        <f ca="1">IFERROR(__xludf.DUMMYFUNCTION("""COMPUTED_VALUE"""),"Cyclic imines-group toxins")</f>
        <v>Cyclic imines-group toxins</v>
      </c>
      <c r="B1508" t="str">
        <f ca="1">IFERROR(__xludf.DUMMYFUNCTION("""COMPUTED_VALUE"""),"RF-00000043-TOX")</f>
        <v>RF-00000043-TOX</v>
      </c>
    </row>
    <row r="1509" spans="1:2" ht="12.5" x14ac:dyDescent="0.25">
      <c r="A1509" t="str">
        <f ca="1">IFERROR(__xludf.DUMMYFUNCTION("""COMPUTED_VALUE"""),"Cycloate")</f>
        <v>Cycloate</v>
      </c>
      <c r="B1509" t="str">
        <f ca="1">IFERROR(__xludf.DUMMYFUNCTION("""COMPUTED_VALUE"""),"RF-0580-001-PPP")</f>
        <v>RF-0580-001-PPP</v>
      </c>
    </row>
    <row r="1510" spans="1:2" ht="12.5" x14ac:dyDescent="0.25">
      <c r="A1510" t="str">
        <f ca="1">IFERROR(__xludf.DUMMYFUNCTION("""COMPUTED_VALUE"""),"Cyclopenta-c,d-pyrene")</f>
        <v>Cyclopenta-c,d-pyrene</v>
      </c>
      <c r="B1510" t="str">
        <f ca="1">IFERROR(__xludf.DUMMYFUNCTION("""COMPUTED_VALUE"""),"RF-00000054-ORG")</f>
        <v>RF-00000054-ORG</v>
      </c>
    </row>
    <row r="1511" spans="1:2" ht="12.5" x14ac:dyDescent="0.25">
      <c r="A1511" t="str">
        <f ca="1">IFERROR(__xludf.DUMMYFUNCTION("""COMPUTED_VALUE"""),"Cycloprothrin")</f>
        <v>Cycloprothrin</v>
      </c>
      <c r="B1511" t="str">
        <f ca="1">IFERROR(__xludf.DUMMYFUNCTION("""COMPUTED_VALUE"""),"RF-0581-001-PPP")</f>
        <v>RF-0581-001-PPP</v>
      </c>
    </row>
    <row r="1512" spans="1:2" ht="12.5" x14ac:dyDescent="0.25">
      <c r="A1512" t="str">
        <f ca="1">IFERROR(__xludf.DUMMYFUNCTION("""COMPUTED_VALUE"""),"Cyclospora")</f>
        <v>Cyclospora</v>
      </c>
      <c r="B1512" t="str">
        <f ca="1">IFERROR(__xludf.DUMMYFUNCTION("""COMPUTED_VALUE"""),"RF-00000089-MCG")</f>
        <v>RF-00000089-MCG</v>
      </c>
    </row>
    <row r="1513" spans="1:2" ht="12.5" x14ac:dyDescent="0.25">
      <c r="A1513" t="str">
        <f ca="1">IFERROR(__xludf.DUMMYFUNCTION("""COMPUTED_VALUE"""),"Cyclospora cayetanensis")</f>
        <v>Cyclospora cayetanensis</v>
      </c>
      <c r="B1513" t="str">
        <f ca="1">IFERROR(__xludf.DUMMYFUNCTION("""COMPUTED_VALUE"""),"RF-00000090-MCG")</f>
        <v>RF-00000090-MCG</v>
      </c>
    </row>
    <row r="1514" spans="1:2" ht="12.5" x14ac:dyDescent="0.25">
      <c r="A1514" t="str">
        <f ca="1">IFERROR(__xludf.DUMMYFUNCTION("""COMPUTED_VALUE"""),"Cyclospora spp., unspecified")</f>
        <v>Cyclospora spp., unspecified</v>
      </c>
      <c r="B1514" t="str">
        <f ca="1">IFERROR(__xludf.DUMMYFUNCTION("""COMPUTED_VALUE"""),"RF-00000091-MCG")</f>
        <v>RF-00000091-MCG</v>
      </c>
    </row>
    <row r="1515" spans="1:2" ht="12.5" x14ac:dyDescent="0.25">
      <c r="A1515" t="str">
        <f ca="1">IFERROR(__xludf.DUMMYFUNCTION("""COMPUTED_VALUE"""),"Cyclosulfamuron")</f>
        <v>Cyclosulfamuron</v>
      </c>
      <c r="B1515" t="str">
        <f ca="1">IFERROR(__xludf.DUMMYFUNCTION("""COMPUTED_VALUE"""),"RF-0582-001-PPP")</f>
        <v>RF-0582-001-PPP</v>
      </c>
    </row>
    <row r="1516" spans="1:2" ht="12.5" x14ac:dyDescent="0.25">
      <c r="A1516" t="str">
        <f ca="1">IFERROR(__xludf.DUMMYFUNCTION("""COMPUTED_VALUE"""),"Cycloxydim")</f>
        <v>Cycloxydim</v>
      </c>
      <c r="B1516" t="str">
        <f ca="1">IFERROR(__xludf.DUMMYFUNCTION("""COMPUTED_VALUE"""),"RF-0106-002-PPP")</f>
        <v>RF-0106-002-PPP</v>
      </c>
    </row>
    <row r="1517" spans="1:2" ht="12.5" x14ac:dyDescent="0.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x14ac:dyDescent="0.25">
      <c r="A1518" t="str">
        <f ca="1">IFERROR(__xludf.DUMMYFUNCTION("""COMPUTED_VALUE"""),"Cycluron")</f>
        <v>Cycluron</v>
      </c>
      <c r="B1518" t="str">
        <f ca="1">IFERROR(__xludf.DUMMYFUNCTION("""COMPUTED_VALUE"""),"RF-0583-001-PPP")</f>
        <v>RF-0583-001-PPP</v>
      </c>
    </row>
    <row r="1519" spans="1:2" ht="12.5" x14ac:dyDescent="0.25">
      <c r="A1519" t="str">
        <f ca="1">IFERROR(__xludf.DUMMYFUNCTION("""COMPUTED_VALUE"""),"Cyenopyrafen")</f>
        <v>Cyenopyrafen</v>
      </c>
      <c r="B1519" t="str">
        <f ca="1">IFERROR(__xludf.DUMMYFUNCTION("""COMPUTED_VALUE"""),"RF-00000015-PAR")</f>
        <v>RF-00000015-PAR</v>
      </c>
    </row>
    <row r="1520" spans="1:2" ht="12.5" x14ac:dyDescent="0.25">
      <c r="A1520" t="str">
        <f ca="1">IFERROR(__xludf.DUMMYFUNCTION("""COMPUTED_VALUE"""),"Cyflufenamid")</f>
        <v>Cyflufenamid</v>
      </c>
      <c r="B1520" t="str">
        <f ca="1">IFERROR(__xludf.DUMMYFUNCTION("""COMPUTED_VALUE"""),"RF-0107-001-PPP")</f>
        <v>RF-0107-001-PPP</v>
      </c>
    </row>
    <row r="1521" spans="1:2" ht="12.5" x14ac:dyDescent="0.25">
      <c r="A1521" t="str">
        <f ca="1">IFERROR(__xludf.DUMMYFUNCTION("""COMPUTED_VALUE"""),"Cyfluthrin")</f>
        <v>Cyfluthrin</v>
      </c>
      <c r="B1521" t="str">
        <f ca="1">IFERROR(__xludf.DUMMYFUNCTION("""COMPUTED_VALUE"""),"RF-0108-003-PPP")</f>
        <v>RF-0108-003-PPP</v>
      </c>
    </row>
    <row r="1522" spans="1:2" ht="12.5" x14ac:dyDescent="0.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x14ac:dyDescent="0.25">
      <c r="A1523" t="str">
        <f ca="1">IFERROR(__xludf.DUMMYFUNCTION("""COMPUTED_VALUE"""),"Cyfluthrin (Cyfluthrin-Beta)")</f>
        <v>Cyfluthrin (Cyfluthrin-Beta)</v>
      </c>
      <c r="B1523" t="str">
        <f ca="1">IFERROR(__xludf.DUMMYFUNCTION("""COMPUTED_VALUE"""),"RF-00000126-VET")</f>
        <v>RF-00000126-VET</v>
      </c>
    </row>
    <row r="1524" spans="1:2" ht="12.5" x14ac:dyDescent="0.25">
      <c r="A1524" t="str">
        <f ca="1">IFERROR(__xludf.DUMMYFUNCTION("""COMPUTED_VALUE"""),"Cyfluthrin, beta-")</f>
        <v>Cyfluthrin, beta-</v>
      </c>
      <c r="B1524" t="str">
        <f ca="1">IFERROR(__xludf.DUMMYFUNCTION("""COMPUTED_VALUE"""),"RF-0108-002-PPP")</f>
        <v>RF-0108-002-PPP</v>
      </c>
    </row>
    <row r="1525" spans="1:2" ht="12.5" x14ac:dyDescent="0.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x14ac:dyDescent="0.25">
      <c r="A1526" t="str">
        <f ca="1">IFERROR(__xludf.DUMMYFUNCTION("""COMPUTED_VALUE"""),"Cyhalothrin")</f>
        <v>Cyhalothrin</v>
      </c>
      <c r="B1526" t="str">
        <f ca="1">IFERROR(__xludf.DUMMYFUNCTION("""COMPUTED_VALUE"""),"RF-00000125-VET")</f>
        <v>RF-00000125-VET</v>
      </c>
    </row>
    <row r="1527" spans="1:2" ht="12.5" x14ac:dyDescent="0.25">
      <c r="A1527" t="str">
        <f ca="1">IFERROR(__xludf.DUMMYFUNCTION("""COMPUTED_VALUE"""),"Cyhalothrin")</f>
        <v>Cyhalothrin</v>
      </c>
      <c r="B1527" t="str">
        <f ca="1">IFERROR(__xludf.DUMMYFUNCTION("""COMPUTED_VALUE"""),"RF-0584-001-PPP")</f>
        <v>RF-0584-001-PPP</v>
      </c>
    </row>
    <row r="1528" spans="1:2" ht="12.5" x14ac:dyDescent="0.25">
      <c r="A1528" t="str">
        <f ca="1">IFERROR(__xludf.DUMMYFUNCTION("""COMPUTED_VALUE"""),"Cyhalothrin-Lambda")</f>
        <v>Cyhalothrin-Lambda</v>
      </c>
      <c r="B1528" t="str">
        <f ca="1">IFERROR(__xludf.DUMMYFUNCTION("""COMPUTED_VALUE"""),"RF-00000158-VET")</f>
        <v>RF-00000158-VET</v>
      </c>
    </row>
    <row r="1529" spans="1:2" ht="12.5" x14ac:dyDescent="0.25">
      <c r="A1529" t="str">
        <f ca="1">IFERROR(__xludf.DUMMYFUNCTION("""COMPUTED_VALUE"""),"Cyhalothrin, gamma-")</f>
        <v>Cyhalothrin, gamma-</v>
      </c>
      <c r="B1529" t="str">
        <f ca="1">IFERROR(__xludf.DUMMYFUNCTION("""COMPUTED_VALUE"""),"RF-0585-001-PPP")</f>
        <v>RF-0585-001-PPP</v>
      </c>
    </row>
    <row r="1530" spans="1:2" ht="12.5" x14ac:dyDescent="0.25">
      <c r="A1530" t="str">
        <f ca="1">IFERROR(__xludf.DUMMYFUNCTION("""COMPUTED_VALUE"""),"Cyhexatin")</f>
        <v>Cyhexatin</v>
      </c>
      <c r="B1530" t="str">
        <f ca="1">IFERROR(__xludf.DUMMYFUNCTION("""COMPUTED_VALUE"""),"RF-0034-002-PPP")</f>
        <v>RF-0034-002-PPP</v>
      </c>
    </row>
    <row r="1531" spans="1:2" ht="12.5" x14ac:dyDescent="0.25">
      <c r="A1531" t="str">
        <f ca="1">IFERROR(__xludf.DUMMYFUNCTION("""COMPUTED_VALUE"""),"Cymiazole")</f>
        <v>Cymiazole</v>
      </c>
      <c r="B1531" t="str">
        <f ca="1">IFERROR(__xludf.DUMMYFUNCTION("""COMPUTED_VALUE"""),"RF-00000255-VET")</f>
        <v>RF-00000255-VET</v>
      </c>
    </row>
    <row r="1532" spans="1:2" ht="12.5" x14ac:dyDescent="0.25">
      <c r="A1532" t="str">
        <f ca="1">IFERROR(__xludf.DUMMYFUNCTION("""COMPUTED_VALUE"""),"Cymiazole")</f>
        <v>Cymiazole</v>
      </c>
      <c r="B1532" t="str">
        <f ca="1">IFERROR(__xludf.DUMMYFUNCTION("""COMPUTED_VALUE"""),"RF-0586-001-PPP")</f>
        <v>RF-0586-001-PPP</v>
      </c>
    </row>
    <row r="1533" spans="1:2" ht="12.5" x14ac:dyDescent="0.25">
      <c r="A1533" t="str">
        <f ca="1">IFERROR(__xludf.DUMMYFUNCTION("""COMPUTED_VALUE"""),"Cymoxanil")</f>
        <v>Cymoxanil</v>
      </c>
      <c r="B1533" t="str">
        <f ca="1">IFERROR(__xludf.DUMMYFUNCTION("""COMPUTED_VALUE"""),"RF-0111-001-PPP")</f>
        <v>RF-0111-001-PPP</v>
      </c>
    </row>
    <row r="1534" spans="1:2" ht="12.5" x14ac:dyDescent="0.25">
      <c r="A1534" t="str">
        <f ca="1">IFERROR(__xludf.DUMMYFUNCTION("""COMPUTED_VALUE"""),"Cypermethrin")</f>
        <v>Cypermethrin</v>
      </c>
      <c r="B1534" t="str">
        <f ca="1">IFERROR(__xludf.DUMMYFUNCTION("""COMPUTED_VALUE"""),"RF-00000162-VET")</f>
        <v>RF-00000162-VET</v>
      </c>
    </row>
    <row r="1535" spans="1:2" ht="12.5" x14ac:dyDescent="0.25">
      <c r="A1535" t="str">
        <f ca="1">IFERROR(__xludf.DUMMYFUNCTION("""COMPUTED_VALUE"""),"Cypermethrin")</f>
        <v>Cypermethrin</v>
      </c>
      <c r="B1535" t="str">
        <f ca="1">IFERROR(__xludf.DUMMYFUNCTION("""COMPUTED_VALUE"""),"RF-0112-004-PPP")</f>
        <v>RF-0112-004-PPP</v>
      </c>
    </row>
    <row r="1536" spans="1:2" ht="12.5" x14ac:dyDescent="0.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x14ac:dyDescent="0.25">
      <c r="A1537" t="str">
        <f ca="1">IFERROR(__xludf.DUMMYFUNCTION("""COMPUTED_VALUE"""),"Cypermethrin-Alpha")</f>
        <v>Cypermethrin-Alpha</v>
      </c>
      <c r="B1537" t="str">
        <f ca="1">IFERROR(__xludf.DUMMYFUNCTION("""COMPUTED_VALUE"""),"RF-00000161-VET")</f>
        <v>RF-00000161-VET</v>
      </c>
    </row>
    <row r="1538" spans="1:2" ht="12.5" x14ac:dyDescent="0.25">
      <c r="A1538" t="str">
        <f ca="1">IFERROR(__xludf.DUMMYFUNCTION("""COMPUTED_VALUE"""),"Cyphenothrin")</f>
        <v>Cyphenothrin</v>
      </c>
      <c r="B1538" t="str">
        <f ca="1">IFERROR(__xludf.DUMMYFUNCTION("""COMPUTED_VALUE"""),"RF-00000160-VET")</f>
        <v>RF-00000160-VET</v>
      </c>
    </row>
    <row r="1539" spans="1:2" ht="12.5" x14ac:dyDescent="0.25">
      <c r="A1539" t="str">
        <f ca="1">IFERROR(__xludf.DUMMYFUNCTION("""COMPUTED_VALUE"""),"Cyphenothrin")</f>
        <v>Cyphenothrin</v>
      </c>
      <c r="B1539" t="str">
        <f ca="1">IFERROR(__xludf.DUMMYFUNCTION("""COMPUTED_VALUE"""),"RF-0587-001-PPP")</f>
        <v>RF-0587-001-PPP</v>
      </c>
    </row>
    <row r="1540" spans="1:2" ht="12.5" x14ac:dyDescent="0.25">
      <c r="A1540" t="str">
        <f ca="1">IFERROR(__xludf.DUMMYFUNCTION("""COMPUTED_VALUE"""),"Cyprazin")</f>
        <v>Cyprazin</v>
      </c>
      <c r="B1540" t="str">
        <f ca="1">IFERROR(__xludf.DUMMYFUNCTION("""COMPUTED_VALUE"""),"RF-0588-001-PPP")</f>
        <v>RF-0588-001-PPP</v>
      </c>
    </row>
    <row r="1541" spans="1:2" ht="12.5" x14ac:dyDescent="0.25">
      <c r="A1541" t="str">
        <f ca="1">IFERROR(__xludf.DUMMYFUNCTION("""COMPUTED_VALUE"""),"Cyproconazole")</f>
        <v>Cyproconazole</v>
      </c>
      <c r="B1541" t="str">
        <f ca="1">IFERROR(__xludf.DUMMYFUNCTION("""COMPUTED_VALUE"""),"RF-0113-001-PPP")</f>
        <v>RF-0113-001-PPP</v>
      </c>
    </row>
    <row r="1542" spans="1:2" ht="12.5" x14ac:dyDescent="0.25">
      <c r="A1542" t="str">
        <f ca="1">IFERROR(__xludf.DUMMYFUNCTION("""COMPUTED_VALUE"""),"Cyprodinil")</f>
        <v>Cyprodinil</v>
      </c>
      <c r="B1542" t="str">
        <f ca="1">IFERROR(__xludf.DUMMYFUNCTION("""COMPUTED_VALUE"""),"RF-0114-001-PPP")</f>
        <v>RF-0114-001-PPP</v>
      </c>
    </row>
    <row r="1543" spans="1:2" ht="12.5" x14ac:dyDescent="0.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x14ac:dyDescent="0.25">
      <c r="A1544" t="str">
        <f ca="1">IFERROR(__xludf.DUMMYFUNCTION("""COMPUTED_VALUE"""),"Cyprofuram")</f>
        <v>Cyprofuram</v>
      </c>
      <c r="B1544" t="str">
        <f ca="1">IFERROR(__xludf.DUMMYFUNCTION("""COMPUTED_VALUE"""),"RF-0589-001-PPP")</f>
        <v>RF-0589-001-PPP</v>
      </c>
    </row>
    <row r="1545" spans="1:2" ht="12.5" x14ac:dyDescent="0.25">
      <c r="A1545" t="str">
        <f ca="1">IFERROR(__xludf.DUMMYFUNCTION("""COMPUTED_VALUE"""),"Cyromazine")</f>
        <v>Cyromazine</v>
      </c>
      <c r="B1545" t="str">
        <f ca="1">IFERROR(__xludf.DUMMYFUNCTION("""COMPUTED_VALUE"""),"RF-00000245-VET")</f>
        <v>RF-00000245-VET</v>
      </c>
    </row>
    <row r="1546" spans="1:2" ht="12.5" x14ac:dyDescent="0.25">
      <c r="A1546" t="str">
        <f ca="1">IFERROR(__xludf.DUMMYFUNCTION("""COMPUTED_VALUE"""),"Cyromazine")</f>
        <v>Cyromazine</v>
      </c>
      <c r="B1546" t="str">
        <f ca="1">IFERROR(__xludf.DUMMYFUNCTION("""COMPUTED_VALUE"""),"RF-0115-001-PPP")</f>
        <v>RF-0115-001-PPP</v>
      </c>
    </row>
    <row r="1547" spans="1:2" ht="12.5" x14ac:dyDescent="0.25">
      <c r="A1547" t="str">
        <f ca="1">IFERROR(__xludf.DUMMYFUNCTION("""COMPUTED_VALUE"""),"cysteine, L-cysteine")</f>
        <v>cysteine, L-cysteine</v>
      </c>
      <c r="B1547" t="str">
        <f ca="1">IFERROR(__xludf.DUMMYFUNCTION("""COMPUTED_VALUE"""),"RF-00000059-NTR")</f>
        <v>RF-00000059-NTR</v>
      </c>
    </row>
    <row r="1548" spans="1:2" ht="12.5" x14ac:dyDescent="0.25">
      <c r="A1548" t="str">
        <f ca="1">IFERROR(__xludf.DUMMYFUNCTION("""COMPUTED_VALUE"""),"Cysticerci")</f>
        <v>Cysticerci</v>
      </c>
      <c r="B1548" t="str">
        <f ca="1">IFERROR(__xludf.DUMMYFUNCTION("""COMPUTED_VALUE"""),"RF-00000092-MCG")</f>
        <v>RF-00000092-MCG</v>
      </c>
    </row>
    <row r="1549" spans="1:2" ht="12.5" x14ac:dyDescent="0.25">
      <c r="A1549" t="str">
        <f ca="1">IFERROR(__xludf.DUMMYFUNCTION("""COMPUTED_VALUE"""),"Cysticerci  of Taenia saginata")</f>
        <v>Cysticerci  of Taenia saginata</v>
      </c>
      <c r="B1549" t="str">
        <f ca="1">IFERROR(__xludf.DUMMYFUNCTION("""COMPUTED_VALUE"""),"RF-00000093-MCG")</f>
        <v>RF-00000093-MCG</v>
      </c>
    </row>
    <row r="1550" spans="1:2" ht="12.5" x14ac:dyDescent="0.25">
      <c r="A1550" t="str">
        <f ca="1">IFERROR(__xludf.DUMMYFUNCTION("""COMPUTED_VALUE"""),"Cysticerci  of Taenia solium")</f>
        <v>Cysticerci  of Taenia solium</v>
      </c>
      <c r="B1550" t="str">
        <f ca="1">IFERROR(__xludf.DUMMYFUNCTION("""COMPUTED_VALUE"""),"RF-00000094-MCG")</f>
        <v>RF-00000094-MCG</v>
      </c>
    </row>
    <row r="1551" spans="1:2" ht="12.5" x14ac:dyDescent="0.25">
      <c r="A1551" t="str">
        <f ca="1">IFERROR(__xludf.DUMMYFUNCTION("""COMPUTED_VALUE"""),"Cysticerci spp., unspecified")</f>
        <v>Cysticerci spp., unspecified</v>
      </c>
      <c r="B1551" t="str">
        <f ca="1">IFERROR(__xludf.DUMMYFUNCTION("""COMPUTED_VALUE"""),"RF-00000095-MCG")</f>
        <v>RF-00000095-MCG</v>
      </c>
    </row>
    <row r="1552" spans="1:2" ht="12.5" x14ac:dyDescent="0.25">
      <c r="A1552" t="str">
        <f ca="1">IFERROR(__xludf.DUMMYFUNCTION("""COMPUTED_VALUE"""),"cystine")</f>
        <v>cystine</v>
      </c>
      <c r="B1552" t="str">
        <f ca="1">IFERROR(__xludf.DUMMYFUNCTION("""COMPUTED_VALUE"""),"RF-00000060-NTR")</f>
        <v>RF-00000060-NTR</v>
      </c>
    </row>
    <row r="1553" spans="1:2" ht="12.5" x14ac:dyDescent="0.25">
      <c r="A1553" t="str">
        <f ca="1">IFERROR(__xludf.DUMMYFUNCTION("""COMPUTED_VALUE"""),"Cythioate")</f>
        <v>Cythioate</v>
      </c>
      <c r="B1553" t="str">
        <f ca="1">IFERROR(__xludf.DUMMYFUNCTION("""COMPUTED_VALUE"""),"RF-0590-001-PPP")</f>
        <v>RF-0590-001-PPP</v>
      </c>
    </row>
    <row r="1554" spans="1:2" ht="12.5" x14ac:dyDescent="0.25">
      <c r="A1554" t="str">
        <f ca="1">IFERROR(__xludf.DUMMYFUNCTION("""COMPUTED_VALUE"""),"Cytostatin")</f>
        <v>Cytostatin</v>
      </c>
      <c r="B1554" t="str">
        <f ca="1">IFERROR(__xludf.DUMMYFUNCTION("""COMPUTED_VALUE"""),"RF-00000288-VET")</f>
        <v>RF-00000288-VET</v>
      </c>
    </row>
    <row r="1555" spans="1:2" ht="12.5" x14ac:dyDescent="0.25">
      <c r="A1555" t="str">
        <f ca="1">IFERROR(__xludf.DUMMYFUNCTION("""COMPUTED_VALUE"""),"D-lactic acid")</f>
        <v>D-lactic acid</v>
      </c>
      <c r="B1555" t="str">
        <f ca="1">IFERROR(__xludf.DUMMYFUNCTION("""COMPUTED_VALUE"""),"RF-00000075-NTR")</f>
        <v>RF-00000075-NTR</v>
      </c>
    </row>
    <row r="1556" spans="1:2" ht="12.5" x14ac:dyDescent="0.25">
      <c r="A1556" t="str">
        <f ca="1">IFERROR(__xludf.DUMMYFUNCTION("""COMPUTED_VALUE"""),"daidzein")</f>
        <v>daidzein</v>
      </c>
      <c r="B1556" t="str">
        <f ca="1">IFERROR(__xludf.DUMMYFUNCTION("""COMPUTED_VALUE"""),"RF-00000061-NTR")</f>
        <v>RF-00000061-NTR</v>
      </c>
    </row>
    <row r="1557" spans="1:2" ht="12.5" x14ac:dyDescent="0.25">
      <c r="A1557" t="str">
        <f ca="1">IFERROR(__xludf.DUMMYFUNCTION("""COMPUTED_VALUE"""),"Daimuron")</f>
        <v>Daimuron</v>
      </c>
      <c r="B1557" t="str">
        <f ca="1">IFERROR(__xludf.DUMMYFUNCTION("""COMPUTED_VALUE"""),"RF-0591-001-PPP")</f>
        <v>RF-0591-001-PPP</v>
      </c>
    </row>
    <row r="1558" spans="1:2" ht="12.5" x14ac:dyDescent="0.25">
      <c r="A1558" t="str">
        <f ca="1">IFERROR(__xludf.DUMMYFUNCTION("""COMPUTED_VALUE"""),"Dalapon")</f>
        <v>Dalapon</v>
      </c>
      <c r="B1558" t="str">
        <f ca="1">IFERROR(__xludf.DUMMYFUNCTION("""COMPUTED_VALUE"""),"RF-0116-001-PPP")</f>
        <v>RF-0116-001-PPP</v>
      </c>
    </row>
    <row r="1559" spans="1:2" ht="12.5" x14ac:dyDescent="0.25">
      <c r="A1559" t="str">
        <f ca="1">IFERROR(__xludf.DUMMYFUNCTION("""COMPUTED_VALUE"""),"Dalfopristin")</f>
        <v>Dalfopristin</v>
      </c>
      <c r="B1559" t="str">
        <f ca="1">IFERROR(__xludf.DUMMYFUNCTION("""COMPUTED_VALUE"""),"RF-00000774-VET")</f>
        <v>RF-00000774-VET</v>
      </c>
    </row>
    <row r="1560" spans="1:2" ht="12.5" x14ac:dyDescent="0.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x14ac:dyDescent="0.25">
      <c r="A1561" t="str">
        <f ca="1">IFERROR(__xludf.DUMMYFUNCTION("""COMPUTED_VALUE"""),"Danazol")</f>
        <v>Danazol</v>
      </c>
      <c r="B1561" t="str">
        <f ca="1">IFERROR(__xludf.DUMMYFUNCTION("""COMPUTED_VALUE"""),"RF-00000437-VET")</f>
        <v>RF-00000437-VET</v>
      </c>
    </row>
    <row r="1562" spans="1:2" ht="12.5" x14ac:dyDescent="0.25">
      <c r="A1562" t="str">
        <f ca="1">IFERROR(__xludf.DUMMYFUNCTION("""COMPUTED_VALUE"""),"Danifos")</f>
        <v>Danifos</v>
      </c>
      <c r="B1562" t="str">
        <f ca="1">IFERROR(__xludf.DUMMYFUNCTION("""COMPUTED_VALUE"""),"RF-1044-001-PPP")</f>
        <v>RF-1044-001-PPP</v>
      </c>
    </row>
    <row r="1563" spans="1:2" ht="12.5" x14ac:dyDescent="0.25">
      <c r="A1563" t="str">
        <f ca="1">IFERROR(__xludf.DUMMYFUNCTION("""COMPUTED_VALUE"""),"Danofloxacin")</f>
        <v>Danofloxacin</v>
      </c>
      <c r="B1563" t="str">
        <f ca="1">IFERROR(__xludf.DUMMYFUNCTION("""COMPUTED_VALUE"""),"RF-00000581-VET")</f>
        <v>RF-00000581-VET</v>
      </c>
    </row>
    <row r="1564" spans="1:2" ht="12.5" x14ac:dyDescent="0.25">
      <c r="A1564" t="str">
        <f ca="1">IFERROR(__xludf.DUMMYFUNCTION("""COMPUTED_VALUE"""),"Dapsone")</f>
        <v>Dapsone</v>
      </c>
      <c r="B1564" t="str">
        <f ca="1">IFERROR(__xludf.DUMMYFUNCTION("""COMPUTED_VALUE"""),"RF-00000514-VET")</f>
        <v>RF-00000514-VET</v>
      </c>
    </row>
    <row r="1565" spans="1:2" ht="12.5" x14ac:dyDescent="0.25">
      <c r="A1565" t="str">
        <f ca="1">IFERROR(__xludf.DUMMYFUNCTION("""COMPUTED_VALUE"""),"Daptomycin")</f>
        <v>Daptomycin</v>
      </c>
      <c r="B1565" t="str">
        <f ca="1">IFERROR(__xludf.DUMMYFUNCTION("""COMPUTED_VALUE"""),"RF-00000743-VET")</f>
        <v>RF-00000743-VET</v>
      </c>
    </row>
    <row r="1566" spans="1:2" ht="12.5" x14ac:dyDescent="0.25">
      <c r="A1566" t="str">
        <f ca="1">IFERROR(__xludf.DUMMYFUNCTION("""COMPUTED_VALUE"""),"Dazomet")</f>
        <v>Dazomet</v>
      </c>
      <c r="B1566" t="str">
        <f ca="1">IFERROR(__xludf.DUMMYFUNCTION("""COMPUTED_VALUE"""),"RF-0118-003-PPP")</f>
        <v>RF-0118-003-PPP</v>
      </c>
    </row>
    <row r="1567" spans="1:2" ht="12.5" x14ac:dyDescent="0.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x14ac:dyDescent="0.25">
      <c r="A1568" t="str">
        <f ca="1">IFERROR(__xludf.DUMMYFUNCTION("""COMPUTED_VALUE"""),"DDAC")</f>
        <v>DDAC</v>
      </c>
      <c r="B1568" t="str">
        <f ca="1">IFERROR(__xludf.DUMMYFUNCTION("""COMPUTED_VALUE"""),"RF-1078-002-PPP")</f>
        <v>RF-1078-002-PPP</v>
      </c>
    </row>
    <row r="1569" spans="1:2" ht="12.5" x14ac:dyDescent="0.25">
      <c r="A1569" t="str">
        <f ca="1">IFERROR(__xludf.DUMMYFUNCTION("""COMPUTED_VALUE"""),"DDD, o,p-")</f>
        <v>DDD, o,p-</v>
      </c>
      <c r="B1569" t="str">
        <f ca="1">IFERROR(__xludf.DUMMYFUNCTION("""COMPUTED_VALUE"""),"RF-0119-005-PPP")</f>
        <v>RF-0119-005-PPP</v>
      </c>
    </row>
    <row r="1570" spans="1:2" ht="12.5" x14ac:dyDescent="0.25">
      <c r="A1570" t="str">
        <f ca="1">IFERROR(__xludf.DUMMYFUNCTION("""COMPUTED_VALUE"""),"DDD, p,p-")</f>
        <v>DDD, p,p-</v>
      </c>
      <c r="B1570" t="str">
        <f ca="1">IFERROR(__xludf.DUMMYFUNCTION("""COMPUTED_VALUE"""),"RF-0119-004-PPP")</f>
        <v>RF-0119-004-PPP</v>
      </c>
    </row>
    <row r="1571" spans="1:2" ht="12.5" x14ac:dyDescent="0.25">
      <c r="A1571" t="str">
        <f ca="1">IFERROR(__xludf.DUMMYFUNCTION("""COMPUTED_VALUE"""),"DDE, o,p-")</f>
        <v>DDE, o,p-</v>
      </c>
      <c r="B1571" t="str">
        <f ca="1">IFERROR(__xludf.DUMMYFUNCTION("""COMPUTED_VALUE"""),"RF-0119-007-PPP")</f>
        <v>RF-0119-007-PPP</v>
      </c>
    </row>
    <row r="1572" spans="1:2" ht="12.5" x14ac:dyDescent="0.25">
      <c r="A1572" t="str">
        <f ca="1">IFERROR(__xludf.DUMMYFUNCTION("""COMPUTED_VALUE"""),"DDE, p,p-")</f>
        <v>DDE, p,p-</v>
      </c>
      <c r="B1572" t="str">
        <f ca="1">IFERROR(__xludf.DUMMYFUNCTION("""COMPUTED_VALUE"""),"RF-0119-002-PPP")</f>
        <v>RF-0119-002-PPP</v>
      </c>
    </row>
    <row r="1573" spans="1:2" ht="12.5" x14ac:dyDescent="0.25">
      <c r="A1573" t="str">
        <f ca="1">IFERROR(__xludf.DUMMYFUNCTION("""COMPUTED_VALUE"""),"DDMU")</f>
        <v>DDMU</v>
      </c>
      <c r="B1573" t="str">
        <f ca="1">IFERROR(__xludf.DUMMYFUNCTION("""COMPUTED_VALUE"""),"RF-0996-001-PPP")</f>
        <v>RF-0996-001-PPP</v>
      </c>
    </row>
    <row r="1574" spans="1:2" ht="12.5" x14ac:dyDescent="0.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x14ac:dyDescent="0.25">
      <c r="A1575" t="str">
        <f ca="1">IFERROR(__xludf.DUMMYFUNCTION("""COMPUTED_VALUE"""),"DDT, o,p-")</f>
        <v>DDT, o,p-</v>
      </c>
      <c r="B1575" t="str">
        <f ca="1">IFERROR(__xludf.DUMMYFUNCTION("""COMPUTED_VALUE"""),"RF-0119-003-PPP")</f>
        <v>RF-0119-003-PPP</v>
      </c>
    </row>
    <row r="1576" spans="1:2" ht="12.5" x14ac:dyDescent="0.25">
      <c r="A1576" t="str">
        <f ca="1">IFERROR(__xludf.DUMMYFUNCTION("""COMPUTED_VALUE"""),"DDT, p,p-")</f>
        <v>DDT, p,p-</v>
      </c>
      <c r="B1576" t="str">
        <f ca="1">IFERROR(__xludf.DUMMYFUNCTION("""COMPUTED_VALUE"""),"RF-0119-006-PPP")</f>
        <v>RF-0119-006-PPP</v>
      </c>
    </row>
    <row r="1577" spans="1:2" ht="12.5" x14ac:dyDescent="0.25">
      <c r="A1577" t="str">
        <f ca="1">IFERROR(__xludf.DUMMYFUNCTION("""COMPUTED_VALUE"""),"Decabromodiphenylethane")</f>
        <v>Decabromodiphenylethane</v>
      </c>
      <c r="B1577" t="str">
        <f ca="1">IFERROR(__xludf.DUMMYFUNCTION("""COMPUTED_VALUE"""),"RF-00000083-ORG")</f>
        <v>RF-00000083-ORG</v>
      </c>
    </row>
    <row r="1578" spans="1:2" ht="12.5" x14ac:dyDescent="0.25">
      <c r="A1578" t="str">
        <f ca="1">IFERROR(__xludf.DUMMYFUNCTION("""COMPUTED_VALUE"""),"decarbamoyl (dc-) gonyautoxins 1")</f>
        <v>decarbamoyl (dc-) gonyautoxins 1</v>
      </c>
      <c r="B1578" t="str">
        <f ca="1">IFERROR(__xludf.DUMMYFUNCTION("""COMPUTED_VALUE"""),"RF-00000107-TOX")</f>
        <v>RF-00000107-TOX</v>
      </c>
    </row>
    <row r="1579" spans="1:2" ht="12.5" x14ac:dyDescent="0.25">
      <c r="A1579" t="str">
        <f ca="1">IFERROR(__xludf.DUMMYFUNCTION("""COMPUTED_VALUE"""),"decarbamoyl (dc-) gonyautoxins 2")</f>
        <v>decarbamoyl (dc-) gonyautoxins 2</v>
      </c>
      <c r="B1579" t="str">
        <f ca="1">IFERROR(__xludf.DUMMYFUNCTION("""COMPUTED_VALUE"""),"RF-00000108-TOX")</f>
        <v>RF-00000108-TOX</v>
      </c>
    </row>
    <row r="1580" spans="1:2" ht="12.5" x14ac:dyDescent="0.25">
      <c r="A1580" t="str">
        <f ca="1">IFERROR(__xludf.DUMMYFUNCTION("""COMPUTED_VALUE"""),"decarbamoyl (dc-) gonyautoxins 2,3")</f>
        <v>decarbamoyl (dc-) gonyautoxins 2,3</v>
      </c>
      <c r="B1580" t="str">
        <f ca="1">IFERROR(__xludf.DUMMYFUNCTION("""COMPUTED_VALUE"""),"RF-00000111-TOX")</f>
        <v>RF-00000111-TOX</v>
      </c>
    </row>
    <row r="1581" spans="1:2" ht="12.5" x14ac:dyDescent="0.25">
      <c r="A1581" t="str">
        <f ca="1">IFERROR(__xludf.DUMMYFUNCTION("""COMPUTED_VALUE"""),"decarbamoyl (dc-) gonyautoxins 3")</f>
        <v>decarbamoyl (dc-) gonyautoxins 3</v>
      </c>
      <c r="B1581" t="str">
        <f ca="1">IFERROR(__xludf.DUMMYFUNCTION("""COMPUTED_VALUE"""),"RF-00000109-TOX")</f>
        <v>RF-00000109-TOX</v>
      </c>
    </row>
    <row r="1582" spans="1:2" ht="12.5" x14ac:dyDescent="0.25">
      <c r="A1582" t="str">
        <f ca="1">IFERROR(__xludf.DUMMYFUNCTION("""COMPUTED_VALUE"""),"decarbamoyl (dc-) gonyautoxins 4")</f>
        <v>decarbamoyl (dc-) gonyautoxins 4</v>
      </c>
      <c r="B1582" t="str">
        <f ca="1">IFERROR(__xludf.DUMMYFUNCTION("""COMPUTED_VALUE"""),"RF-00000110-TOX")</f>
        <v>RF-00000110-TOX</v>
      </c>
    </row>
    <row r="1583" spans="1:2" ht="12.5" x14ac:dyDescent="0.25">
      <c r="A1583" t="str">
        <f ca="1">IFERROR(__xludf.DUMMYFUNCTION("""COMPUTED_VALUE"""),"decarbamoyl (dc-) neosaxitoxin")</f>
        <v>decarbamoyl (dc-) neosaxitoxin</v>
      </c>
      <c r="B1583" t="str">
        <f ca="1">IFERROR(__xludf.DUMMYFUNCTION("""COMPUTED_VALUE"""),"RF-00000114-TOX")</f>
        <v>RF-00000114-TOX</v>
      </c>
    </row>
    <row r="1584" spans="1:2" ht="12.5" x14ac:dyDescent="0.25">
      <c r="A1584" t="str">
        <f ca="1">IFERROR(__xludf.DUMMYFUNCTION("""COMPUTED_VALUE"""),"decarbamoyl (dc-) Saxitoxin")</f>
        <v>decarbamoyl (dc-) Saxitoxin</v>
      </c>
      <c r="B1584" t="str">
        <f ca="1">IFERROR(__xludf.DUMMYFUNCTION("""COMPUTED_VALUE"""),"RF-00000113-TOX")</f>
        <v>RF-00000113-TOX</v>
      </c>
    </row>
    <row r="1585" spans="1:2" ht="12.5" x14ac:dyDescent="0.25">
      <c r="A1585" t="str">
        <f ca="1">IFERROR(__xludf.DUMMYFUNCTION("""COMPUTED_VALUE"""),"Decarbamoyl saxitoxins")</f>
        <v>Decarbamoyl saxitoxins</v>
      </c>
      <c r="B1585" t="str">
        <f ca="1">IFERROR(__xludf.DUMMYFUNCTION("""COMPUTED_VALUE"""),"RF-00000106-TOX")</f>
        <v>RF-00000106-TOX</v>
      </c>
    </row>
    <row r="1586" spans="1:2" ht="12.5" x14ac:dyDescent="0.25">
      <c r="A1586" t="str">
        <f ca="1">IFERROR(__xludf.DUMMYFUNCTION("""COMPUTED_VALUE"""),"Decoquinate")</f>
        <v>Decoquinate</v>
      </c>
      <c r="B1586" t="str">
        <f ca="1">IFERROR(__xludf.DUMMYFUNCTION("""COMPUTED_VALUE"""),"RF-00000546-VET")</f>
        <v>RF-00000546-VET</v>
      </c>
    </row>
    <row r="1587" spans="1:2" ht="12.5" x14ac:dyDescent="0.25">
      <c r="A1587" t="str">
        <f ca="1">IFERROR(__xludf.DUMMYFUNCTION("""COMPUTED_VALUE"""),"Dehydrojaconine")</f>
        <v>Dehydrojaconine</v>
      </c>
      <c r="B1587" t="str">
        <f ca="1">IFERROR(__xludf.DUMMYFUNCTION("""COMPUTED_VALUE"""),"RF-00000382-TOX")</f>
        <v>RF-00000382-TOX</v>
      </c>
    </row>
    <row r="1588" spans="1:2" ht="12.5" x14ac:dyDescent="0.25">
      <c r="A1588" t="str">
        <f ca="1">IFERROR(__xludf.DUMMYFUNCTION("""COMPUTED_VALUE"""),"dehydroretinol")</f>
        <v>dehydroretinol</v>
      </c>
      <c r="B1588" t="str">
        <f ca="1">IFERROR(__xludf.DUMMYFUNCTION("""COMPUTED_VALUE"""),"RF-00000062-NTR")</f>
        <v>RF-00000062-NTR</v>
      </c>
    </row>
    <row r="1589" spans="1:2" ht="12.5" x14ac:dyDescent="0.25">
      <c r="A1589" t="str">
        <f ca="1">IFERROR(__xludf.DUMMYFUNCTION("""COMPUTED_VALUE"""),"Dehydroretronecine")</f>
        <v>Dehydroretronecine</v>
      </c>
      <c r="B1589" t="str">
        <f ca="1">IFERROR(__xludf.DUMMYFUNCTION("""COMPUTED_VALUE"""),"RF-00000273-TOX")</f>
        <v>RF-00000273-TOX</v>
      </c>
    </row>
    <row r="1590" spans="1:2" ht="12.5" x14ac:dyDescent="0.25">
      <c r="A1590" t="str">
        <f ca="1">IFERROR(__xludf.DUMMYFUNCTION("""COMPUTED_VALUE"""),"Delmadinone")</f>
        <v>Delmadinone</v>
      </c>
      <c r="B1590" t="str">
        <f ca="1">IFERROR(__xludf.DUMMYFUNCTION("""COMPUTED_VALUE"""),"RF-00000368-VET")</f>
        <v>RF-00000368-VET</v>
      </c>
    </row>
    <row r="1591" spans="1:2" ht="12.5" x14ac:dyDescent="0.25">
      <c r="A1591" t="str">
        <f ca="1">IFERROR(__xludf.DUMMYFUNCTION("""COMPUTED_VALUE"""),"Delmadinone acetate")</f>
        <v>Delmadinone acetate</v>
      </c>
      <c r="B1591" t="str">
        <f ca="1">IFERROR(__xludf.DUMMYFUNCTION("""COMPUTED_VALUE"""),"RF-00000407-VET")</f>
        <v>RF-00000407-VET</v>
      </c>
    </row>
    <row r="1592" spans="1:2" ht="12.5" x14ac:dyDescent="0.25">
      <c r="A1592" t="str">
        <f ca="1">IFERROR(__xludf.DUMMYFUNCTION("""COMPUTED_VALUE"""),"delta 5-avenasterol (delta 5-avenastenol)")</f>
        <v>delta 5-avenasterol (delta 5-avenastenol)</v>
      </c>
      <c r="B1592" t="str">
        <f ca="1">IFERROR(__xludf.DUMMYFUNCTION("""COMPUTED_VALUE"""),"RF-00000063-NTR")</f>
        <v>RF-00000063-NTR</v>
      </c>
    </row>
    <row r="1593" spans="1:2" ht="12.5" x14ac:dyDescent="0.25">
      <c r="A1593" t="str">
        <f ca="1">IFERROR(__xludf.DUMMYFUNCTION("""COMPUTED_VALUE"""),"delta 5-campesterol (delta 5-campestenol)")</f>
        <v>delta 5-campesterol (delta 5-campestenol)</v>
      </c>
      <c r="B1593" t="str">
        <f ca="1">IFERROR(__xludf.DUMMYFUNCTION("""COMPUTED_VALUE"""),"RF-00000064-NTR")</f>
        <v>RF-00000064-NTR</v>
      </c>
    </row>
    <row r="1594" spans="1:2" ht="12.5" x14ac:dyDescent="0.25">
      <c r="A1594" t="str">
        <f ca="1">IFERROR(__xludf.DUMMYFUNCTION("""COMPUTED_VALUE"""),"delta 7 stigmasterol")</f>
        <v>delta 7 stigmasterol</v>
      </c>
      <c r="B1594" t="str">
        <f ca="1">IFERROR(__xludf.DUMMYFUNCTION("""COMPUTED_VALUE"""),"RF-00000065-NTR")</f>
        <v>RF-00000065-NTR</v>
      </c>
    </row>
    <row r="1595" spans="1:2" ht="12.5" x14ac:dyDescent="0.25">
      <c r="A1595" t="str">
        <f ca="1">IFERROR(__xludf.DUMMYFUNCTION("""COMPUTED_VALUE"""),"delta 7-avenasterol (delta 7-avenastenol)")</f>
        <v>delta 7-avenasterol (delta 7-avenastenol)</v>
      </c>
      <c r="B1595" t="str">
        <f ca="1">IFERROR(__xludf.DUMMYFUNCTION("""COMPUTED_VALUE"""),"RF-00000067-NTR")</f>
        <v>RF-00000067-NTR</v>
      </c>
    </row>
    <row r="1596" spans="1:2" ht="12.5" x14ac:dyDescent="0.25">
      <c r="A1596" t="str">
        <f ca="1">IFERROR(__xludf.DUMMYFUNCTION("""COMPUTED_VALUE"""),"delta 7-campesterol (delta 7-campestenol)")</f>
        <v>delta 7-campesterol (delta 7-campestenol)</v>
      </c>
      <c r="B1596" t="str">
        <f ca="1">IFERROR(__xludf.DUMMYFUNCTION("""COMPUTED_VALUE"""),"RF-00000068-NTR")</f>
        <v>RF-00000068-NTR</v>
      </c>
    </row>
    <row r="1597" spans="1:2" ht="12.5" x14ac:dyDescent="0.25">
      <c r="A1597" t="str">
        <f ca="1">IFERROR(__xludf.DUMMYFUNCTION("""COMPUTED_VALUE"""),"delta 7,9,11-stigmastadienol")</f>
        <v>delta 7,9,11-stigmastadienol</v>
      </c>
      <c r="B1597" t="str">
        <f ca="1">IFERROR(__xludf.DUMMYFUNCTION("""COMPUTED_VALUE"""),"RF-00000066-NTR")</f>
        <v>RF-00000066-NTR</v>
      </c>
    </row>
    <row r="1598" spans="1:2" ht="12.5" x14ac:dyDescent="0.25">
      <c r="A1598" t="str">
        <f ca="1">IFERROR(__xludf.DUMMYFUNCTION("""COMPUTED_VALUE"""),"Delta-tocopherol")</f>
        <v>Delta-tocopherol</v>
      </c>
      <c r="B1598" t="str">
        <f ca="1">IFERROR(__xludf.DUMMYFUNCTION("""COMPUTED_VALUE"""),"RF-00000110-ADD")</f>
        <v>RF-00000110-ADD</v>
      </c>
    </row>
    <row r="1599" spans="1:2" ht="12.5" x14ac:dyDescent="0.25">
      <c r="A1599" t="str">
        <f ca="1">IFERROR(__xludf.DUMMYFUNCTION("""COMPUTED_VALUE"""),"delta-tocotrienol")</f>
        <v>delta-tocotrienol</v>
      </c>
      <c r="B1599" t="str">
        <f ca="1">IFERROR(__xludf.DUMMYFUNCTION("""COMPUTED_VALUE"""),"RF-00000069-NTR")</f>
        <v>RF-00000069-NTR</v>
      </c>
    </row>
    <row r="1600" spans="1:2" ht="12.5" x14ac:dyDescent="0.25">
      <c r="A1600" t="str">
        <f ca="1">IFERROR(__xludf.DUMMYFUNCTION("""COMPUTED_VALUE"""),"Deltamethrin")</f>
        <v>Deltamethrin</v>
      </c>
      <c r="B1600" t="str">
        <f ca="1">IFERROR(__xludf.DUMMYFUNCTION("""COMPUTED_VALUE"""),"RF-00000147-VET")</f>
        <v>RF-00000147-VET</v>
      </c>
    </row>
    <row r="1601" spans="1:2" ht="12.5" x14ac:dyDescent="0.25">
      <c r="A1601" t="str">
        <f ca="1">IFERROR(__xludf.DUMMYFUNCTION("""COMPUTED_VALUE"""),"Deltamethrin (cis-deltamethrin)")</f>
        <v>Deltamethrin (cis-deltamethrin)</v>
      </c>
      <c r="B1601" t="str">
        <f ca="1">IFERROR(__xludf.DUMMYFUNCTION("""COMPUTED_VALUE"""),"RF-0120-001-PPP")</f>
        <v>RF-0120-001-PPP</v>
      </c>
    </row>
    <row r="1602" spans="1:2" ht="12.5" x14ac:dyDescent="0.25">
      <c r="A1602" t="str">
        <f ca="1">IFERROR(__xludf.DUMMYFUNCTION("""COMPUTED_VALUE"""),"Demeclocyclin")</f>
        <v>Demeclocyclin</v>
      </c>
      <c r="B1602" t="str">
        <f ca="1">IFERROR(__xludf.DUMMYFUNCTION("""COMPUTED_VALUE"""),"RF-00000675-VET")</f>
        <v>RF-00000675-VET</v>
      </c>
    </row>
    <row r="1603" spans="1:2" ht="12.5" x14ac:dyDescent="0.25">
      <c r="A1603" t="str">
        <f ca="1">IFERROR(__xludf.DUMMYFUNCTION("""COMPUTED_VALUE"""),"Demephion-O")</f>
        <v>Demephion-O</v>
      </c>
      <c r="B1603" t="str">
        <f ca="1">IFERROR(__xludf.DUMMYFUNCTION("""COMPUTED_VALUE"""),"RF-0592-001-PPP")</f>
        <v>RF-0592-001-PPP</v>
      </c>
    </row>
    <row r="1604" spans="1:2" ht="12.5" x14ac:dyDescent="0.25">
      <c r="A1604" t="str">
        <f ca="1">IFERROR(__xludf.DUMMYFUNCTION("""COMPUTED_VALUE"""),"Demephion-S")</f>
        <v>Demephion-S</v>
      </c>
      <c r="B1604" t="str">
        <f ca="1">IFERROR(__xludf.DUMMYFUNCTION("""COMPUTED_VALUE"""),"RF-0593-001-PPP")</f>
        <v>RF-0593-001-PPP</v>
      </c>
    </row>
    <row r="1605" spans="1:2" ht="12.5" x14ac:dyDescent="0.25">
      <c r="A1605" t="str">
        <f ca="1">IFERROR(__xludf.DUMMYFUNCTION("""COMPUTED_VALUE"""),"Demethylsterigmatocystin")</f>
        <v>Demethylsterigmatocystin</v>
      </c>
      <c r="B1605" t="str">
        <f ca="1">IFERROR(__xludf.DUMMYFUNCTION("""COMPUTED_VALUE"""),"RF-00000198-TOX")</f>
        <v>RF-00000198-TOX</v>
      </c>
    </row>
    <row r="1606" spans="1:2" ht="12.5" x14ac:dyDescent="0.25">
      <c r="A1606" t="str">
        <f ca="1">IFERROR(__xludf.DUMMYFUNCTION("""COMPUTED_VALUE"""),"Demeton")</f>
        <v>Demeton</v>
      </c>
      <c r="B1606" t="str">
        <f ca="1">IFERROR(__xludf.DUMMYFUNCTION("""COMPUTED_VALUE"""),"RF-1045-001-PPP")</f>
        <v>RF-1045-001-PPP</v>
      </c>
    </row>
    <row r="1607" spans="1:2" ht="12.5" x14ac:dyDescent="0.25">
      <c r="A1607" t="str">
        <f ca="1">IFERROR(__xludf.DUMMYFUNCTION("""COMPUTED_VALUE"""),"Demeton-S")</f>
        <v>Demeton-S</v>
      </c>
      <c r="B1607" t="str">
        <f ca="1">IFERROR(__xludf.DUMMYFUNCTION("""COMPUTED_VALUE"""),"RF-1022-001-PPP")</f>
        <v>RF-1022-001-PPP</v>
      </c>
    </row>
    <row r="1608" spans="1:2" ht="12.5" x14ac:dyDescent="0.25">
      <c r="A1608" t="str">
        <f ca="1">IFERROR(__xludf.DUMMYFUNCTION("""COMPUTED_VALUE"""),"Demeton-S-Methyl")</f>
        <v>Demeton-S-Methyl</v>
      </c>
      <c r="B1608" t="str">
        <f ca="1">IFERROR(__xludf.DUMMYFUNCTION("""COMPUTED_VALUE"""),"RF-0594-002-PPP")</f>
        <v>RF-0594-002-PPP</v>
      </c>
    </row>
    <row r="1609" spans="1:2" ht="12.5" x14ac:dyDescent="0.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x14ac:dyDescent="0.25">
      <c r="A1610" t="str">
        <f ca="1">IFERROR(__xludf.DUMMYFUNCTION("""COMPUTED_VALUE"""),"Demeton-S-Methylsulfone")</f>
        <v>Demeton-S-Methylsulfone</v>
      </c>
      <c r="B1610" t="str">
        <f ca="1">IFERROR(__xludf.DUMMYFUNCTION("""COMPUTED_VALUE"""),"RF-0323-003-PPP")</f>
        <v>RF-0323-003-PPP</v>
      </c>
    </row>
    <row r="1611" spans="1:2" ht="12.5" x14ac:dyDescent="0.25">
      <c r="A1611" t="str">
        <f ca="1">IFERROR(__xludf.DUMMYFUNCTION("""COMPUTED_VALUE"""),"Demeton-S-Methylsulfoxid")</f>
        <v>Demeton-S-Methylsulfoxid</v>
      </c>
      <c r="B1611" t="str">
        <f ca="1">IFERROR(__xludf.DUMMYFUNCTION("""COMPUTED_VALUE"""),"RF-0323-002-PPP")</f>
        <v>RF-0323-002-PPP</v>
      </c>
    </row>
    <row r="1612" spans="1:2" ht="12.5" x14ac:dyDescent="0.25">
      <c r="A1612" t="str">
        <f ca="1">IFERROR(__xludf.DUMMYFUNCTION("""COMPUTED_VALUE"""),"density-specific gravity")</f>
        <v>density-specific gravity</v>
      </c>
      <c r="B1612" t="str">
        <f ca="1">IFERROR(__xludf.DUMMYFUNCTION("""COMPUTED_VALUE"""),"RF-00000070-NTR")</f>
        <v>RF-00000070-NTR</v>
      </c>
    </row>
    <row r="1613" spans="1:2" ht="12.5" x14ac:dyDescent="0.25">
      <c r="A1613" t="str">
        <f ca="1">IFERROR(__xludf.DUMMYFUNCTION("""COMPUTED_VALUE"""),"Deopalytoxin")</f>
        <v>Deopalytoxin</v>
      </c>
      <c r="B1613" t="str">
        <f ca="1">IFERROR(__xludf.DUMMYFUNCTION("""COMPUTED_VALUE"""),"RF-00000078-TOX")</f>
        <v>RF-00000078-TOX</v>
      </c>
    </row>
    <row r="1614" spans="1:2" ht="12.5" x14ac:dyDescent="0.25">
      <c r="A1614" t="str">
        <f ca="1">IFERROR(__xludf.DUMMYFUNCTION("""COMPUTED_VALUE"""),"Deoxynivalenol")</f>
        <v>Deoxynivalenol</v>
      </c>
      <c r="B1614" t="str">
        <f ca="1">IFERROR(__xludf.DUMMYFUNCTION("""COMPUTED_VALUE"""),"RF-00000165-TOX")</f>
        <v>RF-00000165-TOX</v>
      </c>
    </row>
    <row r="1615" spans="1:2" ht="12.5" x14ac:dyDescent="0.25">
      <c r="A1615" t="str">
        <f ca="1">IFERROR(__xludf.DUMMYFUNCTION("""COMPUTED_VALUE"""),"Deoxynivalenol and derivatives")</f>
        <v>Deoxynivalenol and derivatives</v>
      </c>
      <c r="B1615" t="str">
        <f ca="1">IFERROR(__xludf.DUMMYFUNCTION("""COMPUTED_VALUE"""),"RF-00000433-TOX")</f>
        <v>RF-00000433-TOX</v>
      </c>
    </row>
    <row r="1616" spans="1:2" ht="12.5" x14ac:dyDescent="0.25">
      <c r="A1616" t="str">
        <f ca="1">IFERROR(__xludf.DUMMYFUNCTION("""COMPUTED_VALUE"""),"Deoxynivalenol-3-glucoside")</f>
        <v>Deoxynivalenol-3-glucoside</v>
      </c>
      <c r="B1616" t="str">
        <f ca="1">IFERROR(__xludf.DUMMYFUNCTION("""COMPUTED_VALUE"""),"RF-00000460-TOX")</f>
        <v>RF-00000460-TOX</v>
      </c>
    </row>
    <row r="1617" spans="1:2" ht="12.5" x14ac:dyDescent="0.25">
      <c r="A1617" t="str">
        <f ca="1">IFERROR(__xludf.DUMMYFUNCTION("""COMPUTED_VALUE"""),"Desacetylcephapirin")</f>
        <v>Desacetylcephapirin</v>
      </c>
      <c r="B1617" t="str">
        <f ca="1">IFERROR(__xludf.DUMMYFUNCTION("""COMPUTED_VALUE"""),"RF-00000674-VET")</f>
        <v>RF-00000674-VET</v>
      </c>
    </row>
    <row r="1618" spans="1:2" ht="12.5" x14ac:dyDescent="0.25">
      <c r="A1618" t="str">
        <f ca="1">IFERROR(__xludf.DUMMYFUNCTION("""COMPUTED_VALUE"""),"Desacetyldoronine")</f>
        <v>Desacetyldoronine</v>
      </c>
      <c r="B1618" t="str">
        <f ca="1">IFERROR(__xludf.DUMMYFUNCTION("""COMPUTED_VALUE"""),"RF-00000383-TOX")</f>
        <v>RF-00000383-TOX</v>
      </c>
    </row>
    <row r="1619" spans="1:2" ht="12.5" x14ac:dyDescent="0.25">
      <c r="A1619" t="str">
        <f ca="1">IFERROR(__xludf.DUMMYFUNCTION("""COMPUTED_VALUE"""),"Desethyl-Atrazine")</f>
        <v>Desethyl-Atrazine</v>
      </c>
      <c r="B1619" t="str">
        <f ca="1">IFERROR(__xludf.DUMMYFUNCTION("""COMPUTED_VALUE"""),"RF-0478-001-PPP")</f>
        <v>RF-0478-001-PPP</v>
      </c>
    </row>
    <row r="1620" spans="1:2" ht="12.5" x14ac:dyDescent="0.25">
      <c r="A1620" t="str">
        <f ca="1">IFERROR(__xludf.DUMMYFUNCTION("""COMPUTED_VALUE"""),"Desisopropyl atrazine")</f>
        <v>Desisopropyl atrazine</v>
      </c>
      <c r="B1620" t="str">
        <f ca="1">IFERROR(__xludf.DUMMYFUNCTION("""COMPUTED_VALUE"""),"RF-0983-001-PPP")</f>
        <v>RF-0983-001-PPP</v>
      </c>
    </row>
    <row r="1621" spans="1:2" ht="12.5" x14ac:dyDescent="0.25">
      <c r="A1621" t="str">
        <f ca="1">IFERROR(__xludf.DUMMYFUNCTION("""COMPUTED_VALUE"""),"Desmedipham")</f>
        <v>Desmedipham</v>
      </c>
      <c r="B1621" t="str">
        <f ca="1">IFERROR(__xludf.DUMMYFUNCTION("""COMPUTED_VALUE"""),"RF-0121-001-PPP")</f>
        <v>RF-0121-001-PPP</v>
      </c>
    </row>
    <row r="1622" spans="1:2" ht="12.5" x14ac:dyDescent="0.25">
      <c r="A1622" t="str">
        <f ca="1">IFERROR(__xludf.DUMMYFUNCTION("""COMPUTED_VALUE"""),"Desmethyl Pirimicarb")</f>
        <v>Desmethyl Pirimicarb</v>
      </c>
      <c r="B1622" t="str">
        <f ca="1">IFERROR(__xludf.DUMMYFUNCTION("""COMPUTED_VALUE"""),"RF-0347-003-PPP")</f>
        <v>RF-0347-003-PPP</v>
      </c>
    </row>
    <row r="1623" spans="1:2" ht="12.5" x14ac:dyDescent="0.25">
      <c r="A1623" t="str">
        <f ca="1">IFERROR(__xludf.DUMMYFUNCTION("""COMPUTED_VALUE"""),"Desmetryn")</f>
        <v>Desmetryn</v>
      </c>
      <c r="B1623" t="str">
        <f ca="1">IFERROR(__xludf.DUMMYFUNCTION("""COMPUTED_VALUE"""),"RF-0595-001-PPP")</f>
        <v>RF-0595-001-PPP</v>
      </c>
    </row>
    <row r="1624" spans="1:2" ht="12.5" x14ac:dyDescent="0.25">
      <c r="A1624" t="str">
        <f ca="1">IFERROR(__xludf.DUMMYFUNCTION("""COMPUTED_VALUE"""),"Desoxycorticosterone")</f>
        <v>Desoxycorticosterone</v>
      </c>
      <c r="B1624" t="str">
        <f ca="1">IFERROR(__xludf.DUMMYFUNCTION("""COMPUTED_VALUE"""),"RF-00000246-VET")</f>
        <v>RF-00000246-VET</v>
      </c>
    </row>
    <row r="1625" spans="1:2" ht="12.5" x14ac:dyDescent="0.25">
      <c r="A1625" t="str">
        <f ca="1">IFERROR(__xludf.DUMMYFUNCTION("""COMPUTED_VALUE"""),"Desoxycorticosterone acetate")</f>
        <v>Desoxycorticosterone acetate</v>
      </c>
      <c r="B1625" t="str">
        <f ca="1">IFERROR(__xludf.DUMMYFUNCTION("""COMPUTED_VALUE"""),"RF-00000254-VET")</f>
        <v>RF-00000254-VET</v>
      </c>
    </row>
    <row r="1626" spans="1:2" ht="12.5" x14ac:dyDescent="0.25">
      <c r="A1626" t="str">
        <f ca="1">IFERROR(__xludf.DUMMYFUNCTION("""COMPUTED_VALUE"""),"Desoxymethasone")</f>
        <v>Desoxymethasone</v>
      </c>
      <c r="B1626" t="str">
        <f ca="1">IFERROR(__xludf.DUMMYFUNCTION("""COMPUTED_VALUE"""),"RF-00000257-VET")</f>
        <v>RF-00000257-VET</v>
      </c>
    </row>
    <row r="1627" spans="1:2" ht="12.5" x14ac:dyDescent="0.25">
      <c r="A1627" t="str">
        <f ca="1">IFERROR(__xludf.DUMMYFUNCTION("""COMPUTED_VALUE"""),"Dexamethasone")</f>
        <v>Dexamethasone</v>
      </c>
      <c r="B1627" t="str">
        <f ca="1">IFERROR(__xludf.DUMMYFUNCTION("""COMPUTED_VALUE"""),"RF-00000321-VET")</f>
        <v>RF-00000321-VET</v>
      </c>
    </row>
    <row r="1628" spans="1:2" ht="12.5" x14ac:dyDescent="0.25">
      <c r="A1628" t="str">
        <f ca="1">IFERROR(__xludf.DUMMYFUNCTION("""COMPUTED_VALUE"""),"Dexamethasone acetate")</f>
        <v>Dexamethasone acetate</v>
      </c>
      <c r="B1628" t="str">
        <f ca="1">IFERROR(__xludf.DUMMYFUNCTION("""COMPUTED_VALUE"""),"RF-00000253-VET")</f>
        <v>RF-00000253-VET</v>
      </c>
    </row>
    <row r="1629" spans="1:2" ht="12.5" x14ac:dyDescent="0.25">
      <c r="A1629" t="str">
        <f ca="1">IFERROR(__xludf.DUMMYFUNCTION("""COMPUTED_VALUE"""),"dextrins")</f>
        <v>dextrins</v>
      </c>
      <c r="B1629" t="str">
        <f ca="1">IFERROR(__xludf.DUMMYFUNCTION("""COMPUTED_VALUE"""),"RF-00000071-NTR")</f>
        <v>RF-00000071-NTR</v>
      </c>
    </row>
    <row r="1630" spans="1:2" ht="12.5" x14ac:dyDescent="0.25">
      <c r="A1630" t="str">
        <f ca="1">IFERROR(__xludf.DUMMYFUNCTION("""COMPUTED_VALUE"""),"Dextronorgestrel")</f>
        <v>Dextronorgestrel</v>
      </c>
      <c r="B1630" t="str">
        <f ca="1">IFERROR(__xludf.DUMMYFUNCTION("""COMPUTED_VALUE"""),"RF-00000311-VET")</f>
        <v>RF-00000311-VET</v>
      </c>
    </row>
    <row r="1631" spans="1:2" ht="12.5" x14ac:dyDescent="0.25">
      <c r="A1631" t="str">
        <f ca="1">IFERROR(__xludf.DUMMYFUNCTION("""COMPUTED_VALUE"""),"DHA")</f>
        <v>DHA</v>
      </c>
      <c r="B1631" t="str">
        <f ca="1">IFERROR(__xludf.DUMMYFUNCTION("""COMPUTED_VALUE"""),"RF-00000739-PAR")</f>
        <v>RF-00000739-PAR</v>
      </c>
    </row>
    <row r="1632" spans="1:2" ht="12.5" x14ac:dyDescent="0.25">
      <c r="A1632" t="str">
        <f ca="1">IFERROR(__xludf.DUMMYFUNCTION("""COMPUTED_VALUE"""),"DHA-1")</f>
        <v>DHA-1</v>
      </c>
      <c r="B1632" t="str">
        <f ca="1">IFERROR(__xludf.DUMMYFUNCTION("""COMPUTED_VALUE"""),"RF-00000740-PAR")</f>
        <v>RF-00000740-PAR</v>
      </c>
    </row>
    <row r="1633" spans="1:2" ht="12.5" x14ac:dyDescent="0.25">
      <c r="A1633" t="str">
        <f ca="1">IFERROR(__xludf.DUMMYFUNCTION("""COMPUTED_VALUE"""),"DHA-2")</f>
        <v>DHA-2</v>
      </c>
      <c r="B1633" t="str">
        <f ca="1">IFERROR(__xludf.DUMMYFUNCTION("""COMPUTED_VALUE"""),"RF-00000741-PAR")</f>
        <v>RF-00000741-PAR</v>
      </c>
    </row>
    <row r="1634" spans="1:2" ht="12.5" x14ac:dyDescent="0.25">
      <c r="A1634" t="str">
        <f ca="1">IFERROR(__xludf.DUMMYFUNCTION("""COMPUTED_VALUE"""),"DHA-3")</f>
        <v>DHA-3</v>
      </c>
      <c r="B1634" t="str">
        <f ca="1">IFERROR(__xludf.DUMMYFUNCTION("""COMPUTED_VALUE"""),"RF-00000742-PAR")</f>
        <v>RF-00000742-PAR</v>
      </c>
    </row>
    <row r="1635" spans="1:2" ht="12.5" x14ac:dyDescent="0.25">
      <c r="A1635" t="str">
        <f ca="1">IFERROR(__xludf.DUMMYFUNCTION("""COMPUTED_VALUE"""),"DHA-4")</f>
        <v>DHA-4</v>
      </c>
      <c r="B1635" t="str">
        <f ca="1">IFERROR(__xludf.DUMMYFUNCTION("""COMPUTED_VALUE"""),"RF-00000743-PAR")</f>
        <v>RF-00000743-PAR</v>
      </c>
    </row>
    <row r="1636" spans="1:2" ht="12.5" x14ac:dyDescent="0.25">
      <c r="A1636" t="str">
        <f ca="1">IFERROR(__xludf.DUMMYFUNCTION("""COMPUTED_VALUE"""),"DHA-5")</f>
        <v>DHA-5</v>
      </c>
      <c r="B1636" t="str">
        <f ca="1">IFERROR(__xludf.DUMMYFUNCTION("""COMPUTED_VALUE"""),"RF-00000744-PAR")</f>
        <v>RF-00000744-PAR</v>
      </c>
    </row>
    <row r="1637" spans="1:2" ht="12.5" x14ac:dyDescent="0.25">
      <c r="A1637" t="str">
        <f ca="1">IFERROR(__xludf.DUMMYFUNCTION("""COMPUTED_VALUE"""),"DHA-6")</f>
        <v>DHA-6</v>
      </c>
      <c r="B1637" t="str">
        <f ca="1">IFERROR(__xludf.DUMMYFUNCTION("""COMPUTED_VALUE"""),"RF-00000745-PAR")</f>
        <v>RF-00000745-PAR</v>
      </c>
    </row>
    <row r="1638" spans="1:2" ht="12.5" x14ac:dyDescent="0.25">
      <c r="A1638" t="str">
        <f ca="1">IFERROR(__xludf.DUMMYFUNCTION("""COMPUTED_VALUE"""),"DHA-7")</f>
        <v>DHA-7</v>
      </c>
      <c r="B1638" t="str">
        <f ca="1">IFERROR(__xludf.DUMMYFUNCTION("""COMPUTED_VALUE"""),"RF-00000746-PAR")</f>
        <v>RF-00000746-PAR</v>
      </c>
    </row>
    <row r="1639" spans="1:2" ht="12.5" x14ac:dyDescent="0.25">
      <c r="A1639" t="str">
        <f ca="1">IFERROR(__xludf.DUMMYFUNCTION("""COMPUTED_VALUE"""),"DHA-8")</f>
        <v>DHA-8</v>
      </c>
      <c r="B1639" t="str">
        <f ca="1">IFERROR(__xludf.DUMMYFUNCTION("""COMPUTED_VALUE"""),"RF-00000747-PAR")</f>
        <v>RF-00000747-PAR</v>
      </c>
    </row>
    <row r="1640" spans="1:2" ht="12.5" x14ac:dyDescent="0.25">
      <c r="A1640" t="str">
        <f ca="1">IFERROR(__xludf.DUMMYFUNCTION("""COMPUTED_VALUE"""),"Di-(2-ethylhexyl)phthalate")</f>
        <v>Di-(2-ethylhexyl)phthalate</v>
      </c>
      <c r="B1640" t="str">
        <f ca="1">IFERROR(__xludf.DUMMYFUNCTION("""COMPUTED_VALUE"""),"RF-00000004-ORG")</f>
        <v>RF-00000004-ORG</v>
      </c>
    </row>
    <row r="1641" spans="1:2" ht="12.5" x14ac:dyDescent="0.25">
      <c r="A1641" t="str">
        <f ca="1">IFERROR(__xludf.DUMMYFUNCTION("""COMPUTED_VALUE"""),"di-keto-cholanic acid")</f>
        <v>di-keto-cholanic acid</v>
      </c>
      <c r="B1641" t="str">
        <f ca="1">IFERROR(__xludf.DUMMYFUNCTION("""COMPUTED_VALUE"""),"RF-00000073-NTR")</f>
        <v>RF-00000073-NTR</v>
      </c>
    </row>
    <row r="1642" spans="1:2" ht="12.5" x14ac:dyDescent="0.25">
      <c r="A1642" t="str">
        <f ca="1">IFERROR(__xludf.DUMMYFUNCTION("""COMPUTED_VALUE"""),"Di-n-decyl phthalate")</f>
        <v>Di-n-decyl phthalate</v>
      </c>
      <c r="B1642" t="str">
        <f ca="1">IFERROR(__xludf.DUMMYFUNCTION("""COMPUTED_VALUE"""),"RF-00000449-ORG")</f>
        <v>RF-00000449-ORG</v>
      </c>
    </row>
    <row r="1643" spans="1:2" ht="12.5" x14ac:dyDescent="0.25">
      <c r="A1643" t="str">
        <f ca="1">IFERROR(__xludf.DUMMYFUNCTION("""COMPUTED_VALUE"""),"Di-n-hexyl phthalate")</f>
        <v>Di-n-hexyl phthalate</v>
      </c>
      <c r="B1643" t="str">
        <f ca="1">IFERROR(__xludf.DUMMYFUNCTION("""COMPUTED_VALUE"""),"RF-00000450-ORG")</f>
        <v>RF-00000450-ORG</v>
      </c>
    </row>
    <row r="1644" spans="1:2" ht="12.5" x14ac:dyDescent="0.25">
      <c r="A1644" t="str">
        <f ca="1">IFERROR(__xludf.DUMMYFUNCTION("""COMPUTED_VALUE"""),"Di-n-octyl phthalate")</f>
        <v>Di-n-octyl phthalate</v>
      </c>
      <c r="B1644" t="str">
        <f ca="1">IFERROR(__xludf.DUMMYFUNCTION("""COMPUTED_VALUE"""),"RF-00000451-ORG")</f>
        <v>RF-00000451-ORG</v>
      </c>
    </row>
    <row r="1645" spans="1:2" ht="12.5" x14ac:dyDescent="0.25">
      <c r="A1645" t="str">
        <f ca="1">IFERROR(__xludf.DUMMYFUNCTION("""COMPUTED_VALUE"""),"Di-n-pentyl phthalate")</f>
        <v>Di-n-pentyl phthalate</v>
      </c>
      <c r="B1645" t="str">
        <f ca="1">IFERROR(__xludf.DUMMYFUNCTION("""COMPUTED_VALUE"""),"RF-00000452-ORG")</f>
        <v>RF-00000452-ORG</v>
      </c>
    </row>
    <row r="1646" spans="1:2" ht="12.5" x14ac:dyDescent="0.25">
      <c r="A1646" t="str">
        <f ca="1">IFERROR(__xludf.DUMMYFUNCTION("""COMPUTED_VALUE"""),"Diacetoxyscirpenol")</f>
        <v>Diacetoxyscirpenol</v>
      </c>
      <c r="B1646" t="str">
        <f ca="1">IFERROR(__xludf.DUMMYFUNCTION("""COMPUTED_VALUE"""),"RF-00000163-TOX")</f>
        <v>RF-00000163-TOX</v>
      </c>
    </row>
    <row r="1647" spans="1:2" ht="12.5" x14ac:dyDescent="0.25">
      <c r="A1647" t="str">
        <f ca="1">IFERROR(__xludf.DUMMYFUNCTION("""COMPUTED_VALUE"""),"Diafenthiuron")</f>
        <v>Diafenthiuron</v>
      </c>
      <c r="B1647" t="str">
        <f ca="1">IFERROR(__xludf.DUMMYFUNCTION("""COMPUTED_VALUE"""),"RF-0596-001-PPP")</f>
        <v>RF-0596-001-PPP</v>
      </c>
    </row>
    <row r="1648" spans="1:2" ht="12.5" x14ac:dyDescent="0.25">
      <c r="A1648" t="str">
        <f ca="1">IFERROR(__xludf.DUMMYFUNCTION("""COMPUTED_VALUE"""),"Dialifos")</f>
        <v>Dialifos</v>
      </c>
      <c r="B1648" t="str">
        <f ca="1">IFERROR(__xludf.DUMMYFUNCTION("""COMPUTED_VALUE"""),"RF-0597-001-PPP")</f>
        <v>RF-0597-001-PPP</v>
      </c>
    </row>
    <row r="1649" spans="1:2" ht="12.5" x14ac:dyDescent="0.25">
      <c r="A1649" t="str">
        <f ca="1">IFERROR(__xludf.DUMMYFUNCTION("""COMPUTED_VALUE"""),"Diallat")</f>
        <v>Diallat</v>
      </c>
      <c r="B1649" t="str">
        <f ca="1">IFERROR(__xludf.DUMMYFUNCTION("""COMPUTED_VALUE"""),"RF-00000152-VET")</f>
        <v>RF-00000152-VET</v>
      </c>
    </row>
    <row r="1650" spans="1:2" ht="12.5" x14ac:dyDescent="0.25">
      <c r="A1650" t="str">
        <f ca="1">IFERROR(__xludf.DUMMYFUNCTION("""COMPUTED_VALUE"""),"Diallate")</f>
        <v>Diallate</v>
      </c>
      <c r="B1650" t="str">
        <f ca="1">IFERROR(__xludf.DUMMYFUNCTION("""COMPUTED_VALUE"""),"RF-0122-001-PPP")</f>
        <v>RF-0122-001-PPP</v>
      </c>
    </row>
    <row r="1651" spans="1:2" ht="12.5" x14ac:dyDescent="0.25">
      <c r="A1651" t="str">
        <f ca="1">IFERROR(__xludf.DUMMYFUNCTION("""COMPUTED_VALUE"""),"Diallyl phthalate")</f>
        <v>Diallyl phthalate</v>
      </c>
      <c r="B1651" t="str">
        <f ca="1">IFERROR(__xludf.DUMMYFUNCTION("""COMPUTED_VALUE"""),"RF-00000453-ORG")</f>
        <v>RF-00000453-ORG</v>
      </c>
    </row>
    <row r="1652" spans="1:2" ht="12.5" x14ac:dyDescent="0.25">
      <c r="A1652" t="str">
        <f ca="1">IFERROR(__xludf.DUMMYFUNCTION("""COMPUTED_VALUE"""),"Diaminopyrimidine")</f>
        <v>Diaminopyrimidine</v>
      </c>
      <c r="B1652" t="str">
        <f ca="1">IFERROR(__xludf.DUMMYFUNCTION("""COMPUTED_VALUE"""),"RF-00000663-VET")</f>
        <v>RF-00000663-VET</v>
      </c>
    </row>
    <row r="1653" spans="1:2" ht="12.5" x14ac:dyDescent="0.25">
      <c r="A1653" t="str">
        <f ca="1">IFERROR(__xludf.DUMMYFUNCTION("""COMPUTED_VALUE"""),"Diaveridin")</f>
        <v>Diaveridin</v>
      </c>
      <c r="B1653" t="str">
        <f ca="1">IFERROR(__xludf.DUMMYFUNCTION("""COMPUTED_VALUE"""),"RF-00000074-VET")</f>
        <v>RF-00000074-VET</v>
      </c>
    </row>
    <row r="1654" spans="1:2" ht="12.5" x14ac:dyDescent="0.25">
      <c r="A1654" t="str">
        <f ca="1">IFERROR(__xludf.DUMMYFUNCTION("""COMPUTED_VALUE"""),"Diazepam")</f>
        <v>Diazepam</v>
      </c>
      <c r="B1654" t="str">
        <f ca="1">IFERROR(__xludf.DUMMYFUNCTION("""COMPUTED_VALUE"""),"RF-00000170-VET")</f>
        <v>RF-00000170-VET</v>
      </c>
    </row>
    <row r="1655" spans="1:2" ht="12.5" x14ac:dyDescent="0.25">
      <c r="A1655" t="str">
        <f ca="1">IFERROR(__xludf.DUMMYFUNCTION("""COMPUTED_VALUE"""),"Diazinon")</f>
        <v>Diazinon</v>
      </c>
      <c r="B1655" t="str">
        <f ca="1">IFERROR(__xludf.DUMMYFUNCTION("""COMPUTED_VALUE"""),"RF-0123-001-PPP")</f>
        <v>RF-0123-001-PPP</v>
      </c>
    </row>
    <row r="1656" spans="1:2" ht="12.5" x14ac:dyDescent="0.25">
      <c r="A1656" t="str">
        <f ca="1">IFERROR(__xludf.DUMMYFUNCTION("""COMPUTED_VALUE"""),"Dibenzo-a,e-pyrene")</f>
        <v>Dibenzo-a,e-pyrene</v>
      </c>
      <c r="B1656" t="str">
        <f ca="1">IFERROR(__xludf.DUMMYFUNCTION("""COMPUTED_VALUE"""),"RF-00000055-ORG")</f>
        <v>RF-00000055-ORG</v>
      </c>
    </row>
    <row r="1657" spans="1:2" ht="12.5" x14ac:dyDescent="0.25">
      <c r="A1657" t="str">
        <f ca="1">IFERROR(__xludf.DUMMYFUNCTION("""COMPUTED_VALUE"""),"Dibenzo-a,h-anthracene")</f>
        <v>Dibenzo-a,h-anthracene</v>
      </c>
      <c r="B1657" t="str">
        <f ca="1">IFERROR(__xludf.DUMMYFUNCTION("""COMPUTED_VALUE"""),"RF-00000056-ORG")</f>
        <v>RF-00000056-ORG</v>
      </c>
    </row>
    <row r="1658" spans="1:2" ht="12.5" x14ac:dyDescent="0.25">
      <c r="A1658" t="str">
        <f ca="1">IFERROR(__xludf.DUMMYFUNCTION("""COMPUTED_VALUE"""),"Dibenzo-a,h-pyrene")</f>
        <v>Dibenzo-a,h-pyrene</v>
      </c>
      <c r="B1658" t="str">
        <f ca="1">IFERROR(__xludf.DUMMYFUNCTION("""COMPUTED_VALUE"""),"RF-00000057-ORG")</f>
        <v>RF-00000057-ORG</v>
      </c>
    </row>
    <row r="1659" spans="1:2" ht="12.5" x14ac:dyDescent="0.25">
      <c r="A1659" t="str">
        <f ca="1">IFERROR(__xludf.DUMMYFUNCTION("""COMPUTED_VALUE"""),"Dibenzo-a,i-pyrene")</f>
        <v>Dibenzo-a,i-pyrene</v>
      </c>
      <c r="B1659" t="str">
        <f ca="1">IFERROR(__xludf.DUMMYFUNCTION("""COMPUTED_VALUE"""),"RF-00000058-ORG")</f>
        <v>RF-00000058-ORG</v>
      </c>
    </row>
    <row r="1660" spans="1:2" ht="12.5" x14ac:dyDescent="0.25">
      <c r="A1660" t="str">
        <f ca="1">IFERROR(__xludf.DUMMYFUNCTION("""COMPUTED_VALUE"""),"Dibenzo-a,l-pyrene")</f>
        <v>Dibenzo-a,l-pyrene</v>
      </c>
      <c r="B1660" t="str">
        <f ca="1">IFERROR(__xludf.DUMMYFUNCTION("""COMPUTED_VALUE"""),"RF-00000059-ORG")</f>
        <v>RF-00000059-ORG</v>
      </c>
    </row>
    <row r="1661" spans="1:2" ht="12.5" x14ac:dyDescent="0.25">
      <c r="A1661" t="str">
        <f ca="1">IFERROR(__xludf.DUMMYFUNCTION("""COMPUTED_VALUE"""),"Dibromobenzophenone, 4,4`-")</f>
        <v>Dibromobenzophenone, 4,4`-</v>
      </c>
      <c r="B1661" t="str">
        <f ca="1">IFERROR(__xludf.DUMMYFUNCTION("""COMPUTED_VALUE"""),"RF-0598-001-PPP")</f>
        <v>RF-0598-001-PPP</v>
      </c>
    </row>
    <row r="1662" spans="1:2" ht="12.5" x14ac:dyDescent="0.25">
      <c r="A1662" t="str">
        <f ca="1">IFERROR(__xludf.DUMMYFUNCTION("""COMPUTED_VALUE"""),"Dibromochloromethane")</f>
        <v>Dibromochloromethane</v>
      </c>
      <c r="B1662" t="str">
        <f ca="1">IFERROR(__xludf.DUMMYFUNCTION("""COMPUTED_VALUE"""),"RF-00000039-ORG")</f>
        <v>RF-00000039-ORG</v>
      </c>
    </row>
    <row r="1663" spans="1:2" ht="12.5" x14ac:dyDescent="0.25">
      <c r="A1663" t="str">
        <f ca="1">IFERROR(__xludf.DUMMYFUNCTION("""COMPUTED_VALUE"""),"Dibutyl phthalate")</f>
        <v>Dibutyl phthalate</v>
      </c>
      <c r="B1663" t="str">
        <f ca="1">IFERROR(__xludf.DUMMYFUNCTION("""COMPUTED_VALUE"""),"RF-00000005-ORG")</f>
        <v>RF-00000005-ORG</v>
      </c>
    </row>
    <row r="1664" spans="1:2" ht="12.5" x14ac:dyDescent="0.25">
      <c r="A1664" t="str">
        <f ca="1">IFERROR(__xludf.DUMMYFUNCTION("""COMPUTED_VALUE"""),"Dibutyltin")</f>
        <v>Dibutyltin</v>
      </c>
      <c r="B1664" t="str">
        <f ca="1">IFERROR(__xludf.DUMMYFUNCTION("""COMPUTED_VALUE"""),"RF-00000268-CHE")</f>
        <v>RF-00000268-CHE</v>
      </c>
    </row>
    <row r="1665" spans="1:2" ht="12.5" x14ac:dyDescent="0.25">
      <c r="A1665" t="str">
        <f ca="1">IFERROR(__xludf.DUMMYFUNCTION("""COMPUTED_VALUE"""),"dicalcium phosphate")</f>
        <v>dicalcium phosphate</v>
      </c>
      <c r="B1665" t="str">
        <f ca="1">IFERROR(__xludf.DUMMYFUNCTION("""COMPUTED_VALUE"""),"RF-00000047-CHE")</f>
        <v>RF-00000047-CHE</v>
      </c>
    </row>
    <row r="1666" spans="1:2" ht="12.5" x14ac:dyDescent="0.25">
      <c r="A1666" t="str">
        <f ca="1">IFERROR(__xludf.DUMMYFUNCTION("""COMPUTED_VALUE"""),"Dicamba")</f>
        <v>Dicamba</v>
      </c>
      <c r="B1666" t="str">
        <f ca="1">IFERROR(__xludf.DUMMYFUNCTION("""COMPUTED_VALUE"""),"RF-0124-001-PPP")</f>
        <v>RF-0124-001-PPP</v>
      </c>
    </row>
    <row r="1667" spans="1:2" ht="12.5" x14ac:dyDescent="0.25">
      <c r="A1667" t="str">
        <f ca="1">IFERROR(__xludf.DUMMYFUNCTION("""COMPUTED_VALUE"""),"Dichlobenil")</f>
        <v>Dichlobenil</v>
      </c>
      <c r="B1667" t="str">
        <f ca="1">IFERROR(__xludf.DUMMYFUNCTION("""COMPUTED_VALUE"""),"RF-0125-001-PPP")</f>
        <v>RF-0125-001-PPP</v>
      </c>
    </row>
    <row r="1668" spans="1:2" ht="12.5" x14ac:dyDescent="0.25">
      <c r="A1668" t="str">
        <f ca="1">IFERROR(__xludf.DUMMYFUNCTION("""COMPUTED_VALUE"""),"Dichlofenthion")</f>
        <v>Dichlofenthion</v>
      </c>
      <c r="B1668" t="str">
        <f ca="1">IFERROR(__xludf.DUMMYFUNCTION("""COMPUTED_VALUE"""),"RF-0599-001-PPP")</f>
        <v>RF-0599-001-PPP</v>
      </c>
    </row>
    <row r="1669" spans="1:2" ht="12.5" x14ac:dyDescent="0.25">
      <c r="A1669" t="str">
        <f ca="1">IFERROR(__xludf.DUMMYFUNCTION("""COMPUTED_VALUE"""),"Dichlofluanid")</f>
        <v>Dichlofluanid</v>
      </c>
      <c r="B1669" t="str">
        <f ca="1">IFERROR(__xludf.DUMMYFUNCTION("""COMPUTED_VALUE"""),"RF-0453-001-PPP")</f>
        <v>RF-0453-001-PPP</v>
      </c>
    </row>
    <row r="1670" spans="1:2" ht="12.5" x14ac:dyDescent="0.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x14ac:dyDescent="0.25">
      <c r="A1671" t="str">
        <f ca="1">IFERROR(__xludf.DUMMYFUNCTION("""COMPUTED_VALUE"""),"Dichlone")</f>
        <v>Dichlone</v>
      </c>
      <c r="B1671" t="str">
        <f ca="1">IFERROR(__xludf.DUMMYFUNCTION("""COMPUTED_VALUE"""),"RF-0600-001-PPP")</f>
        <v>RF-0600-001-PPP</v>
      </c>
    </row>
    <row r="1672" spans="1:2" ht="12.5" x14ac:dyDescent="0.25">
      <c r="A1672" t="str">
        <f ca="1">IFERROR(__xludf.DUMMYFUNCTION("""COMPUTED_VALUE"""),"Dichlormid")</f>
        <v>Dichlormid</v>
      </c>
      <c r="B1672" t="str">
        <f ca="1">IFERROR(__xludf.DUMMYFUNCTION("""COMPUTED_VALUE"""),"RF-0601-001-PPP")</f>
        <v>RF-0601-001-PPP</v>
      </c>
    </row>
    <row r="1673" spans="1:2" ht="12.5" x14ac:dyDescent="0.25">
      <c r="A1673" t="str">
        <f ca="1">IFERROR(__xludf.DUMMYFUNCTION("""COMPUTED_VALUE"""),"Dichloro-p-Cresol, 2,6-")</f>
        <v>Dichloro-p-Cresol, 2,6-</v>
      </c>
      <c r="B1673" t="str">
        <f ca="1">IFERROR(__xludf.DUMMYFUNCTION("""COMPUTED_VALUE"""),"RF-0606-001-PPP")</f>
        <v>RF-0606-001-PPP</v>
      </c>
    </row>
    <row r="1674" spans="1:2" ht="12.5" x14ac:dyDescent="0.25">
      <c r="A1674" t="str">
        <f ca="1">IFERROR(__xludf.DUMMYFUNCTION("""COMPUTED_VALUE"""),"Dichloroaniline, 3,5-")</f>
        <v>Dichloroaniline, 3,5-</v>
      </c>
      <c r="B1674" t="str">
        <f ca="1">IFERROR(__xludf.DUMMYFUNCTION("""COMPUTED_VALUE"""),"RF-0450-002-PPP")</f>
        <v>RF-0450-002-PPP</v>
      </c>
    </row>
    <row r="1675" spans="1:2" ht="12.5" x14ac:dyDescent="0.25">
      <c r="A1675" t="str">
        <f ca="1">IFERROR(__xludf.DUMMYFUNCTION("""COMPUTED_VALUE"""),"Dichlorobenzamide, 2,6-")</f>
        <v>Dichlorobenzamide, 2,6-</v>
      </c>
      <c r="B1675" t="str">
        <f ca="1">IFERROR(__xludf.DUMMYFUNCTION("""COMPUTED_VALUE"""),"RF-0602-001-PPP")</f>
        <v>RF-0602-001-PPP</v>
      </c>
    </row>
    <row r="1676" spans="1:2" ht="12.5" x14ac:dyDescent="0.25">
      <c r="A1676" t="str">
        <f ca="1">IFERROR(__xludf.DUMMYFUNCTION("""COMPUTED_VALUE"""),"Dichlorobenzene, 1,4-")</f>
        <v>Dichlorobenzene, 1,4-</v>
      </c>
      <c r="B1676" t="str">
        <f ca="1">IFERROR(__xludf.DUMMYFUNCTION("""COMPUTED_VALUE"""),"RF-0603-001-PPP")</f>
        <v>RF-0603-001-PPP</v>
      </c>
    </row>
    <row r="1677" spans="1:2" ht="12.5" x14ac:dyDescent="0.25">
      <c r="A1677" t="str">
        <f ca="1">IFERROR(__xludf.DUMMYFUNCTION("""COMPUTED_VALUE"""),"Dichlorobenzoic acid, 2,4-")</f>
        <v>Dichlorobenzoic acid, 2,4-</v>
      </c>
      <c r="B1677" t="str">
        <f ca="1">IFERROR(__xludf.DUMMYFUNCTION("""COMPUTED_VALUE"""),"RF-0604-001-PPP")</f>
        <v>RF-0604-001-PPP</v>
      </c>
    </row>
    <row r="1678" spans="1:2" ht="12.5" x14ac:dyDescent="0.25">
      <c r="A1678" t="str">
        <f ca="1">IFERROR(__xludf.DUMMYFUNCTION("""COMPUTED_VALUE"""),"Dichlorobenzoic acid, 2,6-")</f>
        <v>Dichlorobenzoic acid, 2,6-</v>
      </c>
      <c r="B1678" t="str">
        <f ca="1">IFERROR(__xludf.DUMMYFUNCTION("""COMPUTED_VALUE"""),"RF-0604-002-PPP")</f>
        <v>RF-0604-002-PPP</v>
      </c>
    </row>
    <row r="1679" spans="1:2" ht="12.5" x14ac:dyDescent="0.25">
      <c r="A1679" t="str">
        <f ca="1">IFERROR(__xludf.DUMMYFUNCTION("""COMPUTED_VALUE"""),"Dichlorobenzophenone, 2,4-")</f>
        <v>Dichlorobenzophenone, 2,4-</v>
      </c>
      <c r="B1679" t="str">
        <f ca="1">IFERROR(__xludf.DUMMYFUNCTION("""COMPUTED_VALUE"""),"RF-00000017-PAR")</f>
        <v>RF-00000017-PAR</v>
      </c>
    </row>
    <row r="1680" spans="1:2" ht="12.5" x14ac:dyDescent="0.25">
      <c r="A1680" t="str">
        <f ca="1">IFERROR(__xludf.DUMMYFUNCTION("""COMPUTED_VALUE"""),"Dichlorobenzophenone, 4,4`-")</f>
        <v>Dichlorobenzophenone, 4,4`-</v>
      </c>
      <c r="B1680" t="str">
        <f ca="1">IFERROR(__xludf.DUMMYFUNCTION("""COMPUTED_VALUE"""),"RF-0605-001-PPP")</f>
        <v>RF-0605-001-PPP</v>
      </c>
    </row>
    <row r="1681" spans="1:2" ht="12.5" x14ac:dyDescent="0.25">
      <c r="A1681" t="str">
        <f ca="1">IFERROR(__xludf.DUMMYFUNCTION("""COMPUTED_VALUE"""),"Dichlorobromomethane")</f>
        <v>Dichlorobromomethane</v>
      </c>
      <c r="B1681" t="str">
        <f ca="1">IFERROR(__xludf.DUMMYFUNCTION("""COMPUTED_VALUE"""),"RF-00000038-ORG")</f>
        <v>RF-00000038-ORG</v>
      </c>
    </row>
    <row r="1682" spans="1:2" ht="12.5" x14ac:dyDescent="0.25">
      <c r="A1682" t="str">
        <f ca="1">IFERROR(__xludf.DUMMYFUNCTION("""COMPUTED_VALUE"""),"Dichlorophen")</f>
        <v>Dichlorophen</v>
      </c>
      <c r="B1682" t="str">
        <f ca="1">IFERROR(__xludf.DUMMYFUNCTION("""COMPUTED_VALUE"""),"RF-0607-001-PPP")</f>
        <v>RF-0607-001-PPP</v>
      </c>
    </row>
    <row r="1683" spans="1:2" ht="12.5" x14ac:dyDescent="0.25">
      <c r="A1683" t="str">
        <f ca="1">IFERROR(__xludf.DUMMYFUNCTION("""COMPUTED_VALUE"""),"Dichloropropane, 1,2-")</f>
        <v>Dichloropropane, 1,2-</v>
      </c>
      <c r="B1683" t="str">
        <f ca="1">IFERROR(__xludf.DUMMYFUNCTION("""COMPUTED_VALUE"""),"RF-0608-001-PPP")</f>
        <v>RF-0608-001-PPP</v>
      </c>
    </row>
    <row r="1684" spans="1:2" ht="12.5" x14ac:dyDescent="0.25">
      <c r="A1684" t="str">
        <f ca="1">IFERROR(__xludf.DUMMYFUNCTION("""COMPUTED_VALUE"""),"Dichlorprop")</f>
        <v>Dichlorprop</v>
      </c>
      <c r="B1684" t="str">
        <f ca="1">IFERROR(__xludf.DUMMYFUNCTION("""COMPUTED_VALUE"""),"RF-0126-002-PPP")</f>
        <v>RF-0126-002-PPP</v>
      </c>
    </row>
    <row r="1685" spans="1:2" ht="12.5" x14ac:dyDescent="0.25">
      <c r="A1685" t="str">
        <f ca="1">IFERROR(__xludf.DUMMYFUNCTION("""COMPUTED_VALUE"""),"Dichlorprop-p")</f>
        <v>Dichlorprop-p</v>
      </c>
      <c r="B1685" t="str">
        <f ca="1">IFERROR(__xludf.DUMMYFUNCTION("""COMPUTED_VALUE"""),"RF-0126-003-PPP")</f>
        <v>RF-0126-003-PPP</v>
      </c>
    </row>
    <row r="1686" spans="1:2" ht="12.5" x14ac:dyDescent="0.25">
      <c r="A1686" t="str">
        <f ca="1">IFERROR(__xludf.DUMMYFUNCTION("""COMPUTED_VALUE"""),"Dichlorprop, incl. Dichlorprop-p")</f>
        <v>Dichlorprop, incl. Dichlorprop-p</v>
      </c>
      <c r="B1686" t="str">
        <f ca="1">IFERROR(__xludf.DUMMYFUNCTION("""COMPUTED_VALUE"""),"RF-0126-001-PPP")</f>
        <v>RF-0126-001-PPP</v>
      </c>
    </row>
    <row r="1687" spans="1:2" ht="12.5" x14ac:dyDescent="0.25">
      <c r="A1687" t="str">
        <f ca="1">IFERROR(__xludf.DUMMYFUNCTION("""COMPUTED_VALUE"""),"Dichlorvos")</f>
        <v>Dichlorvos</v>
      </c>
      <c r="B1687" t="str">
        <f ca="1">IFERROR(__xludf.DUMMYFUNCTION("""COMPUTED_VALUE"""),"RF-0127-001-PPP")</f>
        <v>RF-0127-001-PPP</v>
      </c>
    </row>
    <row r="1688" spans="1:2" ht="12.5" x14ac:dyDescent="0.25">
      <c r="A1688" t="str">
        <f ca="1">IFERROR(__xludf.DUMMYFUNCTION("""COMPUTED_VALUE"""),"Dichlozoline")</f>
        <v>Dichlozoline</v>
      </c>
      <c r="B1688" t="str">
        <f ca="1">IFERROR(__xludf.DUMMYFUNCTION("""COMPUTED_VALUE"""),"RF-0609-001-PPP")</f>
        <v>RF-0609-001-PPP</v>
      </c>
    </row>
    <row r="1689" spans="1:2" ht="12.5" x14ac:dyDescent="0.25">
      <c r="A1689" t="str">
        <f ca="1">IFERROR(__xludf.DUMMYFUNCTION("""COMPUTED_VALUE"""),"Diclazuril")</f>
        <v>Diclazuril</v>
      </c>
      <c r="B1689" t="str">
        <f ca="1">IFERROR(__xludf.DUMMYFUNCTION("""COMPUTED_VALUE"""),"RF-00000068-VET")</f>
        <v>RF-00000068-VET</v>
      </c>
    </row>
    <row r="1690" spans="1:2" ht="12.5" x14ac:dyDescent="0.25">
      <c r="A1690" t="str">
        <f ca="1">IFERROR(__xludf.DUMMYFUNCTION("""COMPUTED_VALUE"""),"Diclobutrazol")</f>
        <v>Diclobutrazol</v>
      </c>
      <c r="B1690" t="str">
        <f ca="1">IFERROR(__xludf.DUMMYFUNCTION("""COMPUTED_VALUE"""),"RF-0610-001-PPP")</f>
        <v>RF-0610-001-PPP</v>
      </c>
    </row>
    <row r="1691" spans="1:2" ht="12.5" x14ac:dyDescent="0.25">
      <c r="A1691" t="str">
        <f ca="1">IFERROR(__xludf.DUMMYFUNCTION("""COMPUTED_VALUE"""),"Diclofen (Diclofenac)")</f>
        <v>Diclofen (Diclofenac)</v>
      </c>
      <c r="B1691" t="str">
        <f ca="1">IFERROR(__xludf.DUMMYFUNCTION("""COMPUTED_VALUE"""),"RF-00000239-VET")</f>
        <v>RF-00000239-VET</v>
      </c>
    </row>
    <row r="1692" spans="1:2" ht="12.5" x14ac:dyDescent="0.25">
      <c r="A1692" t="str">
        <f ca="1">IFERROR(__xludf.DUMMYFUNCTION("""COMPUTED_VALUE"""),"Diclofop")</f>
        <v>Diclofop</v>
      </c>
      <c r="B1692" t="str">
        <f ca="1">IFERROR(__xludf.DUMMYFUNCTION("""COMPUTED_VALUE"""),"RF-0128-002-PPP")</f>
        <v>RF-0128-002-PPP</v>
      </c>
    </row>
    <row r="1693" spans="1:2" ht="12.5" x14ac:dyDescent="0.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x14ac:dyDescent="0.25">
      <c r="A1694" t="str">
        <f ca="1">IFERROR(__xludf.DUMMYFUNCTION("""COMPUTED_VALUE"""),"Diclofop-Methyl")</f>
        <v>Diclofop-Methyl</v>
      </c>
      <c r="B1694" t="str">
        <f ca="1">IFERROR(__xludf.DUMMYFUNCTION("""COMPUTED_VALUE"""),"RF-0128-003-PPP")</f>
        <v>RF-0128-003-PPP</v>
      </c>
    </row>
    <row r="1695" spans="1:2" ht="12.5" x14ac:dyDescent="0.25">
      <c r="A1695" t="str">
        <f ca="1">IFERROR(__xludf.DUMMYFUNCTION("""COMPUTED_VALUE"""),"Dicloran")</f>
        <v>Dicloran</v>
      </c>
      <c r="B1695" t="str">
        <f ca="1">IFERROR(__xludf.DUMMYFUNCTION("""COMPUTED_VALUE"""),"RF-0129-001-PPP")</f>
        <v>RF-0129-001-PPP</v>
      </c>
    </row>
    <row r="1696" spans="1:2" ht="12.5" x14ac:dyDescent="0.25">
      <c r="A1696" t="str">
        <f ca="1">IFERROR(__xludf.DUMMYFUNCTION("""COMPUTED_VALUE"""),"Diclosulam")</f>
        <v>Diclosulam</v>
      </c>
      <c r="B1696" t="str">
        <f ca="1">IFERROR(__xludf.DUMMYFUNCTION("""COMPUTED_VALUE"""),"RF-0611-001-PPP")</f>
        <v>RF-0611-001-PPP</v>
      </c>
    </row>
    <row r="1697" spans="1:2" ht="12.5" x14ac:dyDescent="0.25">
      <c r="A1697" t="str">
        <f ca="1">IFERROR(__xludf.DUMMYFUNCTION("""COMPUTED_VALUE"""),"Dicloxacillin")</f>
        <v>Dicloxacillin</v>
      </c>
      <c r="B1697" t="str">
        <f ca="1">IFERROR(__xludf.DUMMYFUNCTION("""COMPUTED_VALUE"""),"RF-00000616-VET")</f>
        <v>RF-00000616-VET</v>
      </c>
    </row>
    <row r="1698" spans="1:2" ht="12.5" x14ac:dyDescent="0.25">
      <c r="A1698" t="str">
        <f ca="1">IFERROR(__xludf.DUMMYFUNCTION("""COMPUTED_VALUE"""),"Dicofol (sum of p, p' and o,p' isomers)")</f>
        <v>Dicofol (sum of p, p' and o,p' isomers)</v>
      </c>
      <c r="B1698" t="str">
        <f ca="1">IFERROR(__xludf.DUMMYFUNCTION("""COMPUTED_VALUE"""),"RF-0130-001-PPP")</f>
        <v>RF-0130-001-PPP</v>
      </c>
    </row>
    <row r="1699" spans="1:2" ht="12.5" x14ac:dyDescent="0.25">
      <c r="A1699" t="str">
        <f ca="1">IFERROR(__xludf.DUMMYFUNCTION("""COMPUTED_VALUE"""),"Dicofol o, p'")</f>
        <v>Dicofol o, p'</v>
      </c>
      <c r="B1699" t="str">
        <f ca="1">IFERROR(__xludf.DUMMYFUNCTION("""COMPUTED_VALUE"""),"RF-0130-003-PPP")</f>
        <v>RF-0130-003-PPP</v>
      </c>
    </row>
    <row r="1700" spans="1:2" ht="12.5" x14ac:dyDescent="0.25">
      <c r="A1700" t="str">
        <f ca="1">IFERROR(__xludf.DUMMYFUNCTION("""COMPUTED_VALUE"""),"Dicofol p, p'")</f>
        <v>Dicofol p, p'</v>
      </c>
      <c r="B1700" t="str">
        <f ca="1">IFERROR(__xludf.DUMMYFUNCTION("""COMPUTED_VALUE"""),"RF-0130-002-PPP")</f>
        <v>RF-0130-002-PPP</v>
      </c>
    </row>
    <row r="1701" spans="1:2" ht="12.5" x14ac:dyDescent="0.25">
      <c r="A1701" t="str">
        <f ca="1">IFERROR(__xludf.DUMMYFUNCTION("""COMPUTED_VALUE"""),"Dicrotophos")</f>
        <v>Dicrotophos</v>
      </c>
      <c r="B1701" t="str">
        <f ca="1">IFERROR(__xludf.DUMMYFUNCTION("""COMPUTED_VALUE"""),"RF-0612-001-PPP")</f>
        <v>RF-0612-001-PPP</v>
      </c>
    </row>
    <row r="1702" spans="1:2" ht="12.5" x14ac:dyDescent="0.25">
      <c r="A1702" t="str">
        <f ca="1">IFERROR(__xludf.DUMMYFUNCTION("""COMPUTED_VALUE"""),"Dicyclanil")</f>
        <v>Dicyclanil</v>
      </c>
      <c r="B1702" t="str">
        <f ca="1">IFERROR(__xludf.DUMMYFUNCTION("""COMPUTED_VALUE"""),"RF-00000260-VET")</f>
        <v>RF-00000260-VET</v>
      </c>
    </row>
    <row r="1703" spans="1:2" ht="12.5" x14ac:dyDescent="0.25">
      <c r="A1703" t="str">
        <f ca="1">IFERROR(__xludf.DUMMYFUNCTION("""COMPUTED_VALUE"""),"Dicyclanil")</f>
        <v>Dicyclanil</v>
      </c>
      <c r="B1703" t="str">
        <f ca="1">IFERROR(__xludf.DUMMYFUNCTION("""COMPUTED_VALUE"""),"RF-0613-001-PPP")</f>
        <v>RF-0613-001-PPP</v>
      </c>
    </row>
    <row r="1704" spans="1:2" ht="12.5" x14ac:dyDescent="0.25">
      <c r="A1704" t="str">
        <f ca="1">IFERROR(__xludf.DUMMYFUNCTION("""COMPUTED_VALUE"""),"Dicyclohexyl phthalate")</f>
        <v>Dicyclohexyl phthalate</v>
      </c>
      <c r="B1704" t="str">
        <f ca="1">IFERROR(__xludf.DUMMYFUNCTION("""COMPUTED_VALUE"""),"RF-00000454-ORG")</f>
        <v>RF-00000454-ORG</v>
      </c>
    </row>
    <row r="1705" spans="1:2" ht="12.5" x14ac:dyDescent="0.25">
      <c r="A1705" t="str">
        <f ca="1">IFERROR(__xludf.DUMMYFUNCTION("""COMPUTED_VALUE"""),"Dieldrin")</f>
        <v>Dieldrin</v>
      </c>
      <c r="B1705" t="str">
        <f ca="1">IFERROR(__xludf.DUMMYFUNCTION("""COMPUTED_VALUE"""),"RF-0021-003-PPP")</f>
        <v>RF-0021-003-PPP</v>
      </c>
    </row>
    <row r="1706" spans="1:2" ht="12.5" x14ac:dyDescent="0.25">
      <c r="A1706" t="str">
        <f ca="1">IFERROR(__xludf.DUMMYFUNCTION("""COMPUTED_VALUE"""),"Dienestrol")</f>
        <v>Dienestrol</v>
      </c>
      <c r="B1706" t="str">
        <f ca="1">IFERROR(__xludf.DUMMYFUNCTION("""COMPUTED_VALUE"""),"RF-00000291-VET")</f>
        <v>RF-00000291-VET</v>
      </c>
    </row>
    <row r="1707" spans="1:2" ht="12.5" x14ac:dyDescent="0.25">
      <c r="A1707" t="str">
        <f ca="1">IFERROR(__xludf.DUMMYFUNCTION("""COMPUTED_VALUE"""),"Dienochlor")</f>
        <v>Dienochlor</v>
      </c>
      <c r="B1707" t="str">
        <f ca="1">IFERROR(__xludf.DUMMYFUNCTION("""COMPUTED_VALUE"""),"RF-0614-001-PPP")</f>
        <v>RF-0614-001-PPP</v>
      </c>
    </row>
    <row r="1708" spans="1:2" ht="12.5" x14ac:dyDescent="0.25">
      <c r="A1708" t="str">
        <f ca="1">IFERROR(__xludf.DUMMYFUNCTION("""COMPUTED_VALUE"""),"Diethatyl")</f>
        <v>Diethatyl</v>
      </c>
      <c r="B1708" t="str">
        <f ca="1">IFERROR(__xludf.DUMMYFUNCTION("""COMPUTED_VALUE"""),"RF-0615-001-PPP")</f>
        <v>RF-0615-001-PPP</v>
      </c>
    </row>
    <row r="1709" spans="1:2" ht="12.5" x14ac:dyDescent="0.25">
      <c r="A1709" t="str">
        <f ca="1">IFERROR(__xludf.DUMMYFUNCTION("""COMPUTED_VALUE"""),"Diethofencarb")</f>
        <v>Diethofencarb</v>
      </c>
      <c r="B1709" t="str">
        <f ca="1">IFERROR(__xludf.DUMMYFUNCTION("""COMPUTED_VALUE"""),"RF-00000148-VET")</f>
        <v>RF-00000148-VET</v>
      </c>
    </row>
    <row r="1710" spans="1:2" ht="12.5" x14ac:dyDescent="0.25">
      <c r="A1710" t="str">
        <f ca="1">IFERROR(__xludf.DUMMYFUNCTION("""COMPUTED_VALUE"""),"Diethofencarb")</f>
        <v>Diethofencarb</v>
      </c>
      <c r="B1710" t="str">
        <f ca="1">IFERROR(__xludf.DUMMYFUNCTION("""COMPUTED_VALUE"""),"RF-0132-001-PPP")</f>
        <v>RF-0132-001-PPP</v>
      </c>
    </row>
    <row r="1711" spans="1:2" ht="12.5" x14ac:dyDescent="0.25">
      <c r="A1711" t="str">
        <f ca="1">IFERROR(__xludf.DUMMYFUNCTION("""COMPUTED_VALUE"""),"Diethyl-m-toluamid, N,N-")</f>
        <v>Diethyl-m-toluamid, N,N-</v>
      </c>
      <c r="B1711" t="str">
        <f ca="1">IFERROR(__xludf.DUMMYFUNCTION("""COMPUTED_VALUE"""),"RF-0616-001-PPP")</f>
        <v>RF-0616-001-PPP</v>
      </c>
    </row>
    <row r="1712" spans="1:2" ht="12.5" x14ac:dyDescent="0.25">
      <c r="A1712" t="str">
        <f ca="1">IFERROR(__xludf.DUMMYFUNCTION("""COMPUTED_VALUE"""),"Diethylstilbestrol (Stilbestrol)")</f>
        <v>Diethylstilbestrol (Stilbestrol)</v>
      </c>
      <c r="B1712" t="str">
        <f ca="1">IFERROR(__xludf.DUMMYFUNCTION("""COMPUTED_VALUE"""),"RF-00000289-VET")</f>
        <v>RF-00000289-VET</v>
      </c>
    </row>
    <row r="1713" spans="1:2" ht="12.5" x14ac:dyDescent="0.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x14ac:dyDescent="0.25">
      <c r="A1714" t="str">
        <f ca="1">IFERROR(__xludf.DUMMYFUNCTION("""COMPUTED_VALUE"""),"Difenacoum")</f>
        <v>Difenacoum</v>
      </c>
      <c r="B1714" t="str">
        <f ca="1">IFERROR(__xludf.DUMMYFUNCTION("""COMPUTED_VALUE"""),"RF-0617-001-PPP")</f>
        <v>RF-0617-001-PPP</v>
      </c>
    </row>
    <row r="1715" spans="1:2" ht="12.5" x14ac:dyDescent="0.25">
      <c r="A1715" t="str">
        <f ca="1">IFERROR(__xludf.DUMMYFUNCTION("""COMPUTED_VALUE"""),"Difenoconazole")</f>
        <v>Difenoconazole</v>
      </c>
      <c r="B1715" t="str">
        <f ca="1">IFERROR(__xludf.DUMMYFUNCTION("""COMPUTED_VALUE"""),"RF-0133-001-PPP")</f>
        <v>RF-0133-001-PPP</v>
      </c>
    </row>
    <row r="1716" spans="1:2" ht="12.5" x14ac:dyDescent="0.25">
      <c r="A1716" t="str">
        <f ca="1">IFERROR(__xludf.DUMMYFUNCTION("""COMPUTED_VALUE"""),"Difenoxuron")</f>
        <v>Difenoxuron</v>
      </c>
      <c r="B1716" t="str">
        <f ca="1">IFERROR(__xludf.DUMMYFUNCTION("""COMPUTED_VALUE"""),"RF-0618-001-PPP")</f>
        <v>RF-0618-001-PPP</v>
      </c>
    </row>
    <row r="1717" spans="1:2" ht="12.5" x14ac:dyDescent="0.25">
      <c r="A1717" t="str">
        <f ca="1">IFERROR(__xludf.DUMMYFUNCTION("""COMPUTED_VALUE"""),"Difenzoquat")</f>
        <v>Difenzoquat</v>
      </c>
      <c r="B1717" t="str">
        <f ca="1">IFERROR(__xludf.DUMMYFUNCTION("""COMPUTED_VALUE"""),"RF-0619-001-PPP")</f>
        <v>RF-0619-001-PPP</v>
      </c>
    </row>
    <row r="1718" spans="1:2" ht="12.5" x14ac:dyDescent="0.25">
      <c r="A1718" t="str">
        <f ca="1">IFERROR(__xludf.DUMMYFUNCTION("""COMPUTED_VALUE"""),"Difloxacin")</f>
        <v>Difloxacin</v>
      </c>
      <c r="B1718" t="str">
        <f ca="1">IFERROR(__xludf.DUMMYFUNCTION("""COMPUTED_VALUE"""),"RF-00000644-VET")</f>
        <v>RF-00000644-VET</v>
      </c>
    </row>
    <row r="1719" spans="1:2" ht="12.5" x14ac:dyDescent="0.25">
      <c r="A1719" t="str">
        <f ca="1">IFERROR(__xludf.DUMMYFUNCTION("""COMPUTED_VALUE"""),"Diflubenzuron")</f>
        <v>Diflubenzuron</v>
      </c>
      <c r="B1719" t="str">
        <f ca="1">IFERROR(__xludf.DUMMYFUNCTION("""COMPUTED_VALUE"""),"RF-00000259-VET")</f>
        <v>RF-00000259-VET</v>
      </c>
    </row>
    <row r="1720" spans="1:2" ht="12.5" x14ac:dyDescent="0.25">
      <c r="A1720" t="str">
        <f ca="1">IFERROR(__xludf.DUMMYFUNCTION("""COMPUTED_VALUE"""),"Diflubenzuron")</f>
        <v>Diflubenzuron</v>
      </c>
      <c r="B1720" t="str">
        <f ca="1">IFERROR(__xludf.DUMMYFUNCTION("""COMPUTED_VALUE"""),"RF-0134-001-PPP")</f>
        <v>RF-0134-001-PPP</v>
      </c>
    </row>
    <row r="1721" spans="1:2" ht="12.5" x14ac:dyDescent="0.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x14ac:dyDescent="0.25">
      <c r="A1722" t="str">
        <f ca="1">IFERROR(__xludf.DUMMYFUNCTION("""COMPUTED_VALUE"""),"Diflufenican")</f>
        <v>Diflufenican</v>
      </c>
      <c r="B1722" t="str">
        <f ca="1">IFERROR(__xludf.DUMMYFUNCTION("""COMPUTED_VALUE"""),"RF-0135-001-PPP")</f>
        <v>RF-0135-001-PPP</v>
      </c>
    </row>
    <row r="1723" spans="1:2" ht="12.5" x14ac:dyDescent="0.25">
      <c r="A1723" t="str">
        <f ca="1">IFERROR(__xludf.DUMMYFUNCTION("""COMPUTED_VALUE"""),"Diflufenzopyr")</f>
        <v>Diflufenzopyr</v>
      </c>
      <c r="B1723" t="str">
        <f ca="1">IFERROR(__xludf.DUMMYFUNCTION("""COMPUTED_VALUE"""),"RF-0620-001-PPP")</f>
        <v>RF-0620-001-PPP</v>
      </c>
    </row>
    <row r="1724" spans="1:2" ht="12.5" x14ac:dyDescent="0.25">
      <c r="A1724" t="str">
        <f ca="1">IFERROR(__xludf.DUMMYFUNCTION("""COMPUTED_VALUE"""),"dihydro-vitamin K-1")</f>
        <v>dihydro-vitamin K-1</v>
      </c>
      <c r="B1724" t="str">
        <f ca="1">IFERROR(__xludf.DUMMYFUNCTION("""COMPUTED_VALUE"""),"RF-00000072-NTR")</f>
        <v>RF-00000072-NTR</v>
      </c>
    </row>
    <row r="1725" spans="1:2" ht="12.5" x14ac:dyDescent="0.25">
      <c r="A1725" t="str">
        <f ca="1">IFERROR(__xludf.DUMMYFUNCTION("""COMPUTED_VALUE"""),"Dihydrostreptomycin")</f>
        <v>Dihydrostreptomycin</v>
      </c>
      <c r="B1725" t="str">
        <f ca="1">IFERROR(__xludf.DUMMYFUNCTION("""COMPUTED_VALUE"""),"RF-00000641-VET")</f>
        <v>RF-00000641-VET</v>
      </c>
    </row>
    <row r="1726" spans="1:2" ht="12.5" x14ac:dyDescent="0.25">
      <c r="A1726" t="str">
        <f ca="1">IFERROR(__xludf.DUMMYFUNCTION("""COMPUTED_VALUE"""),"Diisobutyl phthalate")</f>
        <v>Diisobutyl phthalate</v>
      </c>
      <c r="B1726" t="str">
        <f ca="1">IFERROR(__xludf.DUMMYFUNCTION("""COMPUTED_VALUE"""),"RF-00000006-ORG")</f>
        <v>RF-00000006-ORG</v>
      </c>
    </row>
    <row r="1727" spans="1:2" ht="12.5" x14ac:dyDescent="0.25">
      <c r="A1727" t="str">
        <f ca="1">IFERROR(__xludf.DUMMYFUNCTION("""COMPUTED_VALUE"""),"Diisodecylphthalate")</f>
        <v>Diisodecylphthalate</v>
      </c>
      <c r="B1727" t="str">
        <f ca="1">IFERROR(__xludf.DUMMYFUNCTION("""COMPUTED_VALUE"""),"RF-00000007-ORG")</f>
        <v>RF-00000007-ORG</v>
      </c>
    </row>
    <row r="1728" spans="1:2" ht="12.5" x14ac:dyDescent="0.25">
      <c r="A1728" t="str">
        <f ca="1">IFERROR(__xludf.DUMMYFUNCTION("""COMPUTED_VALUE"""),"Diisononylphthalate")</f>
        <v>Diisononylphthalate</v>
      </c>
      <c r="B1728" t="str">
        <f ca="1">IFERROR(__xludf.DUMMYFUNCTION("""COMPUTED_VALUE"""),"RF-00000008-ORG")</f>
        <v>RF-00000008-ORG</v>
      </c>
    </row>
    <row r="1729" spans="1:2" ht="12.5" x14ac:dyDescent="0.25">
      <c r="A1729" t="str">
        <f ca="1">IFERROR(__xludf.DUMMYFUNCTION("""COMPUTED_VALUE"""),"Diisopropyl phthalate")</f>
        <v>Diisopropyl phthalate</v>
      </c>
      <c r="B1729" t="str">
        <f ca="1">IFERROR(__xludf.DUMMYFUNCTION("""COMPUTED_VALUE"""),"RF-00000455-ORG")</f>
        <v>RF-00000455-ORG</v>
      </c>
    </row>
    <row r="1730" spans="1:2" ht="12.5" x14ac:dyDescent="0.25">
      <c r="A1730" t="str">
        <f ca="1">IFERROR(__xludf.DUMMYFUNCTION("""COMPUTED_VALUE"""),"Dikegulac")</f>
        <v>Dikegulac</v>
      </c>
      <c r="B1730" t="str">
        <f ca="1">IFERROR(__xludf.DUMMYFUNCTION("""COMPUTED_VALUE"""),"RF-0621-001-PPP")</f>
        <v>RF-0621-001-PPP</v>
      </c>
    </row>
    <row r="1731" spans="1:2" ht="12.5" x14ac:dyDescent="0.25">
      <c r="A1731" t="str">
        <f ca="1">IFERROR(__xludf.DUMMYFUNCTION("""COMPUTED_VALUE"""),"Dimefox")</f>
        <v>Dimefox</v>
      </c>
      <c r="B1731" t="str">
        <f ca="1">IFERROR(__xludf.DUMMYFUNCTION("""COMPUTED_VALUE"""),"RF-0622-001-PPP")</f>
        <v>RF-0622-001-PPP</v>
      </c>
    </row>
    <row r="1732" spans="1:2" ht="12.5" x14ac:dyDescent="0.25">
      <c r="A1732" t="str">
        <f ca="1">IFERROR(__xludf.DUMMYFUNCTION("""COMPUTED_VALUE"""),"Dimefuron")</f>
        <v>Dimefuron</v>
      </c>
      <c r="B1732" t="str">
        <f ca="1">IFERROR(__xludf.DUMMYFUNCTION("""COMPUTED_VALUE"""),"RF-0623-001-PPP")</f>
        <v>RF-0623-001-PPP</v>
      </c>
    </row>
    <row r="1733" spans="1:2" ht="12.5" x14ac:dyDescent="0.25">
      <c r="A1733" t="str">
        <f ca="1">IFERROR(__xludf.DUMMYFUNCTION("""COMPUTED_VALUE"""),"Dimepiperate")</f>
        <v>Dimepiperate</v>
      </c>
      <c r="B1733" t="str">
        <f ca="1">IFERROR(__xludf.DUMMYFUNCTION("""COMPUTED_VALUE"""),"RF-0624-001-PPP")</f>
        <v>RF-0624-001-PPP</v>
      </c>
    </row>
    <row r="1734" spans="1:2" ht="12.5" x14ac:dyDescent="0.25">
      <c r="A1734" t="str">
        <f ca="1">IFERROR(__xludf.DUMMYFUNCTION("""COMPUTED_VALUE"""),"Dimethachlor")</f>
        <v>Dimethachlor</v>
      </c>
      <c r="B1734" t="str">
        <f ca="1">IFERROR(__xludf.DUMMYFUNCTION("""COMPUTED_VALUE"""),"RF-0136-001-PPP")</f>
        <v>RF-0136-001-PPP</v>
      </c>
    </row>
    <row r="1735" spans="1:2" ht="12.5" x14ac:dyDescent="0.25">
      <c r="A1735" t="str">
        <f ca="1">IFERROR(__xludf.DUMMYFUNCTION("""COMPUTED_VALUE"""),"Dimethametryn")</f>
        <v>Dimethametryn</v>
      </c>
      <c r="B1735" t="str">
        <f ca="1">IFERROR(__xludf.DUMMYFUNCTION("""COMPUTED_VALUE"""),"RF-0625-001-PPP")</f>
        <v>RF-0625-001-PPP</v>
      </c>
    </row>
    <row r="1736" spans="1:2" ht="12.5" x14ac:dyDescent="0.25">
      <c r="A1736" t="str">
        <f ca="1">IFERROR(__xludf.DUMMYFUNCTION("""COMPUTED_VALUE"""),"Dimethenamid")</f>
        <v>Dimethenamid</v>
      </c>
      <c r="B1736" t="str">
        <f ca="1">IFERROR(__xludf.DUMMYFUNCTION("""COMPUTED_VALUE"""),"RF-1058-001-PPP")</f>
        <v>RF-1058-001-PPP</v>
      </c>
    </row>
    <row r="1737" spans="1:2" ht="12.5" x14ac:dyDescent="0.25">
      <c r="A1737" t="str">
        <f ca="1">IFERROR(__xludf.DUMMYFUNCTION("""COMPUTED_VALUE"""),"Dimethenamid–p")</f>
        <v>Dimethenamid–p</v>
      </c>
      <c r="B1737" t="str">
        <f ca="1">IFERROR(__xludf.DUMMYFUNCTION("""COMPUTED_VALUE"""),"RF-0137-001-PPP")</f>
        <v>RF-0137-001-PPP</v>
      </c>
    </row>
    <row r="1738" spans="1:2" ht="12.5" x14ac:dyDescent="0.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x14ac:dyDescent="0.25">
      <c r="A1739" t="str">
        <f ca="1">IFERROR(__xludf.DUMMYFUNCTION("""COMPUTED_VALUE"""),"Dimethipin")</f>
        <v>Dimethipin</v>
      </c>
      <c r="B1739" t="str">
        <f ca="1">IFERROR(__xludf.DUMMYFUNCTION("""COMPUTED_VALUE"""),"RF-0138-001-PPP")</f>
        <v>RF-0138-001-PPP</v>
      </c>
    </row>
    <row r="1740" spans="1:2" ht="12.5" x14ac:dyDescent="0.25">
      <c r="A1740" t="str">
        <f ca="1">IFERROR(__xludf.DUMMYFUNCTION("""COMPUTED_VALUE"""),"Dimethirimol")</f>
        <v>Dimethirimol</v>
      </c>
      <c r="B1740" t="str">
        <f ca="1">IFERROR(__xludf.DUMMYFUNCTION("""COMPUTED_VALUE"""),"RF-0626-001-PPP")</f>
        <v>RF-0626-001-PPP</v>
      </c>
    </row>
    <row r="1741" spans="1:2" ht="12.5" x14ac:dyDescent="0.25">
      <c r="A1741" t="str">
        <f ca="1">IFERROR(__xludf.DUMMYFUNCTION("""COMPUTED_VALUE"""),"Dimethisterone")</f>
        <v>Dimethisterone</v>
      </c>
      <c r="B1741" t="str">
        <f ca="1">IFERROR(__xludf.DUMMYFUNCTION("""COMPUTED_VALUE"""),"RF-00000406-VET")</f>
        <v>RF-00000406-VET</v>
      </c>
    </row>
    <row r="1742" spans="1:2" ht="12.5" x14ac:dyDescent="0.25">
      <c r="A1742" t="str">
        <f ca="1">IFERROR(__xludf.DUMMYFUNCTION("""COMPUTED_VALUE"""),"Dimethoate")</f>
        <v>Dimethoate</v>
      </c>
      <c r="B1742" t="str">
        <f ca="1">IFERROR(__xludf.DUMMYFUNCTION("""COMPUTED_VALUE"""),"RF-0139-003-PPP")</f>
        <v>RF-0139-003-PPP</v>
      </c>
    </row>
    <row r="1743" spans="1:2" ht="12.5" x14ac:dyDescent="0.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x14ac:dyDescent="0.25">
      <c r="A1744" t="str">
        <f ca="1">IFERROR(__xludf.DUMMYFUNCTION("""COMPUTED_VALUE"""),"Dimethomorph")</f>
        <v>Dimethomorph</v>
      </c>
      <c r="B1744" t="str">
        <f ca="1">IFERROR(__xludf.DUMMYFUNCTION("""COMPUTED_VALUE"""),"RF-0140-001-PPP")</f>
        <v>RF-0140-001-PPP</v>
      </c>
    </row>
    <row r="1745" spans="1:2" ht="12.5" x14ac:dyDescent="0.25">
      <c r="A1745" t="str">
        <f ca="1">IFERROR(__xludf.DUMMYFUNCTION("""COMPUTED_VALUE"""),"Dimethyl dicarbonate")</f>
        <v>Dimethyl dicarbonate</v>
      </c>
      <c r="B1745" t="str">
        <f ca="1">IFERROR(__xludf.DUMMYFUNCTION("""COMPUTED_VALUE"""),"RF-00000111-ADD")</f>
        <v>RF-00000111-ADD</v>
      </c>
    </row>
    <row r="1746" spans="1:2" ht="12.5" x14ac:dyDescent="0.25">
      <c r="A1746" t="str">
        <f ca="1">IFERROR(__xludf.DUMMYFUNCTION("""COMPUTED_VALUE"""),"Dimethyl fumarate")</f>
        <v>Dimethyl fumarate</v>
      </c>
      <c r="B1746" t="str">
        <f ca="1">IFERROR(__xludf.DUMMYFUNCTION("""COMPUTED_VALUE"""),"RF-1067-001-PPP")</f>
        <v>RF-1067-001-PPP</v>
      </c>
    </row>
    <row r="1747" spans="1:2" ht="12.5" x14ac:dyDescent="0.25">
      <c r="A1747" t="str">
        <f ca="1">IFERROR(__xludf.DUMMYFUNCTION("""COMPUTED_VALUE"""),"Dimethyl phthalate")</f>
        <v>Dimethyl phthalate</v>
      </c>
      <c r="B1747" t="str">
        <f ca="1">IFERROR(__xludf.DUMMYFUNCTION("""COMPUTED_VALUE"""),"RF-00000456-ORG")</f>
        <v>RF-00000456-ORG</v>
      </c>
    </row>
    <row r="1748" spans="1:2" ht="12.5" x14ac:dyDescent="0.25">
      <c r="A1748" t="str">
        <f ca="1">IFERROR(__xludf.DUMMYFUNCTION("""COMPUTED_VALUE"""),"Dimethyl polysiloxane")</f>
        <v>Dimethyl polysiloxane</v>
      </c>
      <c r="B1748" t="str">
        <f ca="1">IFERROR(__xludf.DUMMYFUNCTION("""COMPUTED_VALUE"""),"RF-00000112-ADD")</f>
        <v>RF-00000112-ADD</v>
      </c>
    </row>
    <row r="1749" spans="1:2" ht="12.5" x14ac:dyDescent="0.25">
      <c r="A1749" t="str">
        <f ca="1">IFERROR(__xludf.DUMMYFUNCTION("""COMPUTED_VALUE"""),"Dimethylanilin")</f>
        <v>Dimethylanilin</v>
      </c>
      <c r="B1749" t="str">
        <f ca="1">IFERROR(__xludf.DUMMYFUNCTION("""COMPUTED_VALUE"""),"RF-00000171-VET")</f>
        <v>RF-00000171-VET</v>
      </c>
    </row>
    <row r="1750" spans="1:2" ht="12.5" x14ac:dyDescent="0.25">
      <c r="A1750" t="str">
        <f ca="1">IFERROR(__xludf.DUMMYFUNCTION("""COMPUTED_VALUE"""),"Dimethylanilin-2,4")</f>
        <v>Dimethylanilin-2,4</v>
      </c>
      <c r="B1750" t="str">
        <f ca="1">IFERROR(__xludf.DUMMYFUNCTION("""COMPUTED_VALUE"""),"RF-00000250-VET")</f>
        <v>RF-00000250-VET</v>
      </c>
    </row>
    <row r="1751" spans="1:2" ht="12.5" x14ac:dyDescent="0.25">
      <c r="A1751" t="str">
        <f ca="1">IFERROR(__xludf.DUMMYFUNCTION("""COMPUTED_VALUE"""),"Dimethylarsinate (DMA))")</f>
        <v>Dimethylarsinate (DMA))</v>
      </c>
      <c r="B1751" t="str">
        <f ca="1">IFERROR(__xludf.DUMMYFUNCTION("""COMPUTED_VALUE"""),"RF-00000136-CHE")</f>
        <v>RF-00000136-CHE</v>
      </c>
    </row>
    <row r="1752" spans="1:2" ht="12.5" x14ac:dyDescent="0.25">
      <c r="A1752" t="str">
        <f ca="1">IFERROR(__xludf.DUMMYFUNCTION("""COMPUTED_VALUE"""),"Dimethylarsinite (DMA(III))")</f>
        <v>Dimethylarsinite (DMA(III))</v>
      </c>
      <c r="B1752" t="str">
        <f ca="1">IFERROR(__xludf.DUMMYFUNCTION("""COMPUTED_VALUE"""),"RF-00000137-CHE")</f>
        <v>RF-00000137-CHE</v>
      </c>
    </row>
    <row r="1753" spans="1:2" ht="12.5" x14ac:dyDescent="0.25">
      <c r="A1753" t="str">
        <f ca="1">IFERROR(__xludf.DUMMYFUNCTION("""COMPUTED_VALUE"""),"Dimethylphenyl-N-methylformamidine, N-2,4-")</f>
        <v>Dimethylphenyl-N-methylformamidine, N-2,4-</v>
      </c>
      <c r="B1753" t="str">
        <f ca="1">IFERROR(__xludf.DUMMYFUNCTION("""COMPUTED_VALUE"""),"RF-0024-004-PPP")</f>
        <v>RF-0024-004-PPP</v>
      </c>
    </row>
    <row r="1754" spans="1:2" ht="12.5" x14ac:dyDescent="0.25">
      <c r="A1754" t="str">
        <f ca="1">IFERROR(__xludf.DUMMYFUNCTION("""COMPUTED_VALUE"""),"Dimethylphenylformamide, 2,4-")</f>
        <v>Dimethylphenylformamide, 2,4-</v>
      </c>
      <c r="B1754" t="str">
        <f ca="1">IFERROR(__xludf.DUMMYFUNCTION("""COMPUTED_VALUE"""),"RF-0024-003-PPP")</f>
        <v>RF-0024-003-PPP</v>
      </c>
    </row>
    <row r="1755" spans="1:2" ht="12.5" x14ac:dyDescent="0.25">
      <c r="A1755" t="str">
        <f ca="1">IFERROR(__xludf.DUMMYFUNCTION("""COMPUTED_VALUE"""),"Dimethylthiouracil")</f>
        <v>Dimethylthiouracil</v>
      </c>
      <c r="B1755" t="str">
        <f ca="1">IFERROR(__xludf.DUMMYFUNCTION("""COMPUTED_VALUE"""),"RF-00000294-VET")</f>
        <v>RF-00000294-VET</v>
      </c>
    </row>
    <row r="1756" spans="1:2" ht="12.5" x14ac:dyDescent="0.25">
      <c r="A1756" t="str">
        <f ca="1">IFERROR(__xludf.DUMMYFUNCTION("""COMPUTED_VALUE"""),"Dimethylvinphos")</f>
        <v>Dimethylvinphos</v>
      </c>
      <c r="B1756" t="str">
        <f ca="1">IFERROR(__xludf.DUMMYFUNCTION("""COMPUTED_VALUE"""),"RF-0627-001-PPP")</f>
        <v>RF-0627-001-PPP</v>
      </c>
    </row>
    <row r="1757" spans="1:2" ht="12.5" x14ac:dyDescent="0.25">
      <c r="A1757" t="str">
        <f ca="1">IFERROR(__xludf.DUMMYFUNCTION("""COMPUTED_VALUE"""),"Dimetilan")</f>
        <v>Dimetilan</v>
      </c>
      <c r="B1757" t="str">
        <f ca="1">IFERROR(__xludf.DUMMYFUNCTION("""COMPUTED_VALUE"""),"RF-0628-001-PPP")</f>
        <v>RF-0628-001-PPP</v>
      </c>
    </row>
    <row r="1758" spans="1:2" ht="12.5" x14ac:dyDescent="0.25">
      <c r="A1758" t="str">
        <f ca="1">IFERROR(__xludf.DUMMYFUNCTION("""COMPUTED_VALUE"""),"Dimetridazole")</f>
        <v>Dimetridazole</v>
      </c>
      <c r="B1758" t="str">
        <f ca="1">IFERROR(__xludf.DUMMYFUNCTION("""COMPUTED_VALUE"""),"RF-00000522-VET")</f>
        <v>RF-00000522-VET</v>
      </c>
    </row>
    <row r="1759" spans="1:2" ht="12.5" x14ac:dyDescent="0.25">
      <c r="A1759" t="str">
        <f ca="1">IFERROR(__xludf.DUMMYFUNCTION("""COMPUTED_VALUE"""),"Dimexano")</f>
        <v>Dimexano</v>
      </c>
      <c r="B1759" t="str">
        <f ca="1">IFERROR(__xludf.DUMMYFUNCTION("""COMPUTED_VALUE"""),"RF-0629-001-PPP")</f>
        <v>RF-0629-001-PPP</v>
      </c>
    </row>
    <row r="1760" spans="1:2" ht="12.5" x14ac:dyDescent="0.25">
      <c r="A1760" t="str">
        <f ca="1">IFERROR(__xludf.DUMMYFUNCTION("""COMPUTED_VALUE"""),"Dimoxystrobin")</f>
        <v>Dimoxystrobin</v>
      </c>
      <c r="B1760" t="str">
        <f ca="1">IFERROR(__xludf.DUMMYFUNCTION("""COMPUTED_VALUE"""),"RF-0141-001-PPP")</f>
        <v>RF-0141-001-PPP</v>
      </c>
    </row>
    <row r="1761" spans="1:2" ht="12.5" x14ac:dyDescent="0.25">
      <c r="A1761" t="str">
        <f ca="1">IFERROR(__xludf.DUMMYFUNCTION("""COMPUTED_VALUE"""),"Diniconazole")</f>
        <v>Diniconazole</v>
      </c>
      <c r="B1761" t="str">
        <f ca="1">IFERROR(__xludf.DUMMYFUNCTION("""COMPUTED_VALUE"""),"RF-0142-001-PPP")</f>
        <v>RF-0142-001-PPP</v>
      </c>
    </row>
    <row r="1762" spans="1:2" ht="12.5" x14ac:dyDescent="0.25">
      <c r="A1762" t="str">
        <f ca="1">IFERROR(__xludf.DUMMYFUNCTION("""COMPUTED_VALUE"""),"Dinitolmid")</f>
        <v>Dinitolmid</v>
      </c>
      <c r="B1762" t="str">
        <f ca="1">IFERROR(__xludf.DUMMYFUNCTION("""COMPUTED_VALUE"""),"RF-00000058-VET")</f>
        <v>RF-00000058-VET</v>
      </c>
    </row>
    <row r="1763" spans="1:2" ht="12.5" x14ac:dyDescent="0.25">
      <c r="A1763" t="str">
        <f ca="1">IFERROR(__xludf.DUMMYFUNCTION("""COMPUTED_VALUE"""),"Dinitramine")</f>
        <v>Dinitramine</v>
      </c>
      <c r="B1763" t="str">
        <f ca="1">IFERROR(__xludf.DUMMYFUNCTION("""COMPUTED_VALUE"""),"RF-0630-001-PPP")</f>
        <v>RF-0630-001-PPP</v>
      </c>
    </row>
    <row r="1764" spans="1:2" ht="12.5" x14ac:dyDescent="0.25">
      <c r="A1764" t="str">
        <f ca="1">IFERROR(__xludf.DUMMYFUNCTION("""COMPUTED_VALUE"""),"Dinitrocarbanilide")</f>
        <v>Dinitrocarbanilide</v>
      </c>
      <c r="B1764" t="str">
        <f ca="1">IFERROR(__xludf.DUMMYFUNCTION("""COMPUTED_VALUE"""),"RF-00000095-VET")</f>
        <v>RF-00000095-VET</v>
      </c>
    </row>
    <row r="1765" spans="1:2" ht="12.5" x14ac:dyDescent="0.25">
      <c r="A1765" t="str">
        <f ca="1">IFERROR(__xludf.DUMMYFUNCTION("""COMPUTED_VALUE"""),"Dinobuton")</f>
        <v>Dinobuton</v>
      </c>
      <c r="B1765" t="str">
        <f ca="1">IFERROR(__xludf.DUMMYFUNCTION("""COMPUTED_VALUE"""),"RF-0631-001-PPP")</f>
        <v>RF-0631-001-PPP</v>
      </c>
    </row>
    <row r="1766" spans="1:2" ht="12.5" x14ac:dyDescent="0.25">
      <c r="A1766" t="str">
        <f ca="1">IFERROR(__xludf.DUMMYFUNCTION("""COMPUTED_VALUE"""),"Dinobuton sulfone")</f>
        <v>Dinobuton sulfone</v>
      </c>
      <c r="B1766" t="str">
        <f ca="1">IFERROR(__xludf.DUMMYFUNCTION("""COMPUTED_VALUE"""),"RF-00000018-PAR")</f>
        <v>RF-00000018-PAR</v>
      </c>
    </row>
    <row r="1767" spans="1:2" ht="12.5" x14ac:dyDescent="0.25">
      <c r="A1767" t="str">
        <f ca="1">IFERROR(__xludf.DUMMYFUNCTION("""COMPUTED_VALUE"""),"Dinocap")</f>
        <v>Dinocap</v>
      </c>
      <c r="B1767" t="str">
        <f ca="1">IFERROR(__xludf.DUMMYFUNCTION("""COMPUTED_VALUE"""),"RF-0143-002-PPP")</f>
        <v>RF-0143-002-PPP</v>
      </c>
    </row>
    <row r="1768" spans="1:2" ht="12.5" x14ac:dyDescent="0.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x14ac:dyDescent="0.25">
      <c r="A1769" t="str">
        <f ca="1">IFERROR(__xludf.DUMMYFUNCTION("""COMPUTED_VALUE"""),"Dinophysistoxins 1 (DTX1 )")</f>
        <v>Dinophysistoxins 1 (DTX1 )</v>
      </c>
      <c r="B1769" t="str">
        <f ca="1">IFERROR(__xludf.DUMMYFUNCTION("""COMPUTED_VALUE"""),"RF-00000066-TOX")</f>
        <v>RF-00000066-TOX</v>
      </c>
    </row>
    <row r="1770" spans="1:2" ht="12.5" x14ac:dyDescent="0.25">
      <c r="A1770" t="str">
        <f ca="1">IFERROR(__xludf.DUMMYFUNCTION("""COMPUTED_VALUE"""),"Dinophysistoxins 2 (DTX2)")</f>
        <v>Dinophysistoxins 2 (DTX2)</v>
      </c>
      <c r="B1770" t="str">
        <f ca="1">IFERROR(__xludf.DUMMYFUNCTION("""COMPUTED_VALUE"""),"RF-00000067-TOX")</f>
        <v>RF-00000067-TOX</v>
      </c>
    </row>
    <row r="1771" spans="1:2" ht="12.5" x14ac:dyDescent="0.25">
      <c r="A1771" t="str">
        <f ca="1">IFERROR(__xludf.DUMMYFUNCTION("""COMPUTED_VALUE"""),"Dinoseb")</f>
        <v>Dinoseb</v>
      </c>
      <c r="B1771" t="str">
        <f ca="1">IFERROR(__xludf.DUMMYFUNCTION("""COMPUTED_VALUE"""),"RF-0144-001-PPP")</f>
        <v>RF-0144-001-PPP</v>
      </c>
    </row>
    <row r="1772" spans="1:2" ht="12.5" x14ac:dyDescent="0.25">
      <c r="A1772" t="str">
        <f ca="1">IFERROR(__xludf.DUMMYFUNCTION("""COMPUTED_VALUE"""),"Dinoseb Acetate")</f>
        <v>Dinoseb Acetate</v>
      </c>
      <c r="B1772" t="str">
        <f ca="1">IFERROR(__xludf.DUMMYFUNCTION("""COMPUTED_VALUE"""),"RF-0632-001-PPP")</f>
        <v>RF-0632-001-PPP</v>
      </c>
    </row>
    <row r="1773" spans="1:2" ht="12.5" x14ac:dyDescent="0.25">
      <c r="A1773" t="str">
        <f ca="1">IFERROR(__xludf.DUMMYFUNCTION("""COMPUTED_VALUE"""),"Dinotefuran")</f>
        <v>Dinotefuran</v>
      </c>
      <c r="B1773" t="str">
        <f ca="1">IFERROR(__xludf.DUMMYFUNCTION("""COMPUTED_VALUE"""),"RF-0633-001-PPP")</f>
        <v>RF-0633-001-PPP</v>
      </c>
    </row>
    <row r="1774" spans="1:2" ht="12.5" x14ac:dyDescent="0.25">
      <c r="A1774" t="str">
        <f ca="1">IFERROR(__xludf.DUMMYFUNCTION("""COMPUTED_VALUE"""),"Dinoterb")</f>
        <v>Dinoterb</v>
      </c>
      <c r="B1774" t="str">
        <f ca="1">IFERROR(__xludf.DUMMYFUNCTION("""COMPUTED_VALUE"""),"RF-0145-001-PPP")</f>
        <v>RF-0145-001-PPP</v>
      </c>
    </row>
    <row r="1775" spans="1:2" ht="12.5" x14ac:dyDescent="0.25">
      <c r="A1775" t="str">
        <f ca="1">IFERROR(__xludf.DUMMYFUNCTION("""COMPUTED_VALUE"""),"Dioctyltin")</f>
        <v>Dioctyltin</v>
      </c>
      <c r="B1775" t="str">
        <f ca="1">IFERROR(__xludf.DUMMYFUNCTION("""COMPUTED_VALUE"""),"RF-00000273-CHE")</f>
        <v>RF-00000273-CHE</v>
      </c>
    </row>
    <row r="1776" spans="1:2" ht="12.5" x14ac:dyDescent="0.25">
      <c r="A1776" t="str">
        <f ca="1">IFERROR(__xludf.DUMMYFUNCTION("""COMPUTED_VALUE"""),"Diofenolan")</f>
        <v>Diofenolan</v>
      </c>
      <c r="B1776" t="str">
        <f ca="1">IFERROR(__xludf.DUMMYFUNCTION("""COMPUTED_VALUE"""),"RF-0634-001-PPP")</f>
        <v>RF-0634-001-PPP</v>
      </c>
    </row>
    <row r="1777" spans="1:2" ht="12.5" x14ac:dyDescent="0.25">
      <c r="A1777" t="str">
        <f ca="1">IFERROR(__xludf.DUMMYFUNCTION("""COMPUTED_VALUE"""),"Dioxabenzofos")</f>
        <v>Dioxabenzofos</v>
      </c>
      <c r="B1777" t="str">
        <f ca="1">IFERROR(__xludf.DUMMYFUNCTION("""COMPUTED_VALUE"""),"RF-0635-001-PPP")</f>
        <v>RF-0635-001-PPP</v>
      </c>
    </row>
    <row r="1778" spans="1:2" ht="12.5" x14ac:dyDescent="0.25">
      <c r="A1778" t="str">
        <f ca="1">IFERROR(__xludf.DUMMYFUNCTION("""COMPUTED_VALUE"""),"Dioxacarb")</f>
        <v>Dioxacarb</v>
      </c>
      <c r="B1778" t="str">
        <f ca="1">IFERROR(__xludf.DUMMYFUNCTION("""COMPUTED_VALUE"""),"RF-00000163-VET")</f>
        <v>RF-00000163-VET</v>
      </c>
    </row>
    <row r="1779" spans="1:2" ht="12.5" x14ac:dyDescent="0.25">
      <c r="A1779" t="str">
        <f ca="1">IFERROR(__xludf.DUMMYFUNCTION("""COMPUTED_VALUE"""),"Dioxacarb")</f>
        <v>Dioxacarb</v>
      </c>
      <c r="B1779" t="str">
        <f ca="1">IFERROR(__xludf.DUMMYFUNCTION("""COMPUTED_VALUE"""),"RF-0636-001-PPP")</f>
        <v>RF-0636-001-PPP</v>
      </c>
    </row>
    <row r="1780" spans="1:2" ht="12.5" x14ac:dyDescent="0.25">
      <c r="A1780" t="str">
        <f ca="1">IFERROR(__xludf.DUMMYFUNCTION("""COMPUTED_VALUE"""),"Dioxathion")</f>
        <v>Dioxathion</v>
      </c>
      <c r="B1780" t="str">
        <f ca="1">IFERROR(__xludf.DUMMYFUNCTION("""COMPUTED_VALUE"""),"RF-0146-001-PPP")</f>
        <v>RF-0146-001-PPP</v>
      </c>
    </row>
    <row r="1781" spans="1:2" ht="12.5" x14ac:dyDescent="0.25">
      <c r="A1781" t="str">
        <f ca="1">IFERROR(__xludf.DUMMYFUNCTION("""COMPUTED_VALUE"""),"Dioxins")</f>
        <v>Dioxins</v>
      </c>
      <c r="B1781" t="str">
        <f ca="1">IFERROR(__xludf.DUMMYFUNCTION("""COMPUTED_VALUE"""),"RF-00000328-ORG")</f>
        <v>RF-00000328-ORG</v>
      </c>
    </row>
    <row r="1782" spans="1:2" ht="12.5" x14ac:dyDescent="0.25">
      <c r="A1782" t="str">
        <f ca="1">IFERROR(__xludf.DUMMYFUNCTION("""COMPUTED_VALUE"""),"Dioxins and PCBs")</f>
        <v>Dioxins and PCBs</v>
      </c>
      <c r="B1782" t="str">
        <f ca="1">IFERROR(__xludf.DUMMYFUNCTION("""COMPUTED_VALUE"""),"RF-00000114-ORG")</f>
        <v>RF-00000114-ORG</v>
      </c>
    </row>
    <row r="1783" spans="1:2" ht="12.5" x14ac:dyDescent="0.25">
      <c r="A1783" t="str">
        <f ca="1">IFERROR(__xludf.DUMMYFUNCTION("""COMPUTED_VALUE"""),"Diphacinone")</f>
        <v>Diphacinone</v>
      </c>
      <c r="B1783" t="str">
        <f ca="1">IFERROR(__xludf.DUMMYFUNCTION("""COMPUTED_VALUE"""),"RF-0637-001-PPP")</f>
        <v>RF-0637-001-PPP</v>
      </c>
    </row>
    <row r="1784" spans="1:2" ht="12.5" x14ac:dyDescent="0.25">
      <c r="A1784" t="str">
        <f ca="1">IFERROR(__xludf.DUMMYFUNCTION("""COMPUTED_VALUE"""),"Diphenamid")</f>
        <v>Diphenamid</v>
      </c>
      <c r="B1784" t="str">
        <f ca="1">IFERROR(__xludf.DUMMYFUNCTION("""COMPUTED_VALUE"""),"RF-0638-001-PPP")</f>
        <v>RF-0638-001-PPP</v>
      </c>
    </row>
    <row r="1785" spans="1:2" ht="12.5" x14ac:dyDescent="0.25">
      <c r="A1785" t="str">
        <f ca="1">IFERROR(__xludf.DUMMYFUNCTION("""COMPUTED_VALUE"""),"Diphenylamine")</f>
        <v>Diphenylamine</v>
      </c>
      <c r="B1785" t="str">
        <f ca="1">IFERROR(__xludf.DUMMYFUNCTION("""COMPUTED_VALUE"""),"RF-0147-001-PPP")</f>
        <v>RF-0147-001-PPP</v>
      </c>
    </row>
    <row r="1786" spans="1:2" ht="12.5" x14ac:dyDescent="0.25">
      <c r="A1786" t="str">
        <f ca="1">IFERROR(__xludf.DUMMYFUNCTION("""COMPUTED_VALUE"""),"Diphenylsulfon")</f>
        <v>Diphenylsulfon</v>
      </c>
      <c r="B1786" t="str">
        <f ca="1">IFERROR(__xludf.DUMMYFUNCTION("""COMPUTED_VALUE"""),"RF-1063-001-PPP")</f>
        <v>RF-1063-001-PPP</v>
      </c>
    </row>
    <row r="1787" spans="1:2" ht="12.5" x14ac:dyDescent="0.25">
      <c r="A1787" t="str">
        <f ca="1">IFERROR(__xludf.DUMMYFUNCTION("""COMPUTED_VALUE"""),"Diphenyltin")</f>
        <v>Diphenyltin</v>
      </c>
      <c r="B1787" t="str">
        <f ca="1">IFERROR(__xludf.DUMMYFUNCTION("""COMPUTED_VALUE"""),"RF-00000271-CHE")</f>
        <v>RF-00000271-CHE</v>
      </c>
    </row>
    <row r="1788" spans="1:2" ht="12.5" x14ac:dyDescent="0.25">
      <c r="A1788" t="str">
        <f ca="1">IFERROR(__xludf.DUMMYFUNCTION("""COMPUTED_VALUE"""),"Diphosphates")</f>
        <v>Diphosphates</v>
      </c>
      <c r="B1788" t="str">
        <f ca="1">IFERROR(__xludf.DUMMYFUNCTION("""COMPUTED_VALUE"""),"RF-00000113-ADD")</f>
        <v>RF-00000113-ADD</v>
      </c>
    </row>
    <row r="1789" spans="1:2" ht="12.5" x14ac:dyDescent="0.25">
      <c r="A1789" t="str">
        <f ca="1">IFERROR(__xludf.DUMMYFUNCTION("""COMPUTED_VALUE"""),"Diphyllobothrium")</f>
        <v>Diphyllobothrium</v>
      </c>
      <c r="B1789" t="str">
        <f ca="1">IFERROR(__xludf.DUMMYFUNCTION("""COMPUTED_VALUE"""),"RF-00000096-MCG")</f>
        <v>RF-00000096-MCG</v>
      </c>
    </row>
    <row r="1790" spans="1:2" ht="12.5" x14ac:dyDescent="0.25">
      <c r="A1790" t="str">
        <f ca="1">IFERROR(__xludf.DUMMYFUNCTION("""COMPUTED_VALUE"""),"Diphyllobothrium latum")</f>
        <v>Diphyllobothrium latum</v>
      </c>
      <c r="B1790" t="str">
        <f ca="1">IFERROR(__xludf.DUMMYFUNCTION("""COMPUTED_VALUE"""),"RF-00000097-MCG")</f>
        <v>RF-00000097-MCG</v>
      </c>
    </row>
    <row r="1791" spans="1:2" ht="12.5" x14ac:dyDescent="0.25">
      <c r="A1791" t="str">
        <f ca="1">IFERROR(__xludf.DUMMYFUNCTION("""COMPUTED_VALUE"""),"Dipotassium guanylate")</f>
        <v>Dipotassium guanylate</v>
      </c>
      <c r="B1791" t="str">
        <f ca="1">IFERROR(__xludf.DUMMYFUNCTION("""COMPUTED_VALUE"""),"RF-00000114-ADD")</f>
        <v>RF-00000114-ADD</v>
      </c>
    </row>
    <row r="1792" spans="1:2" ht="12.5" x14ac:dyDescent="0.25">
      <c r="A1792" t="str">
        <f ca="1">IFERROR(__xludf.DUMMYFUNCTION("""COMPUTED_VALUE"""),"Dipotassium inosinate")</f>
        <v>Dipotassium inosinate</v>
      </c>
      <c r="B1792" t="str">
        <f ca="1">IFERROR(__xludf.DUMMYFUNCTION("""COMPUTED_VALUE"""),"RF-00000115-ADD")</f>
        <v>RF-00000115-ADD</v>
      </c>
    </row>
    <row r="1793" spans="1:2" ht="12.5" x14ac:dyDescent="0.25">
      <c r="A1793" t="str">
        <f ca="1">IFERROR(__xludf.DUMMYFUNCTION("""COMPUTED_VALUE"""),"Dipotassium tin trioxide")</f>
        <v>Dipotassium tin trioxide</v>
      </c>
      <c r="B1793" t="str">
        <f ca="1">IFERROR(__xludf.DUMMYFUNCTION("""COMPUTED_VALUE"""),"RF-00000260-CHE")</f>
        <v>RF-00000260-CHE</v>
      </c>
    </row>
    <row r="1794" spans="1:2" ht="12.5" x14ac:dyDescent="0.25">
      <c r="A1794" t="str">
        <f ca="1">IFERROR(__xludf.DUMMYFUNCTION("""COMPUTED_VALUE"""),"Dipropetryn")</f>
        <v>Dipropetryn</v>
      </c>
      <c r="B1794" t="str">
        <f ca="1">IFERROR(__xludf.DUMMYFUNCTION("""COMPUTED_VALUE"""),"RF-1030-001-PPP")</f>
        <v>RF-1030-001-PPP</v>
      </c>
    </row>
    <row r="1795" spans="1:2" ht="12.5" x14ac:dyDescent="0.25">
      <c r="A1795" t="str">
        <f ca="1">IFERROR(__xludf.DUMMYFUNCTION("""COMPUTED_VALUE"""),"Dipropyl isocinchomeronate")</f>
        <v>Dipropyl isocinchomeronate</v>
      </c>
      <c r="B1795" t="str">
        <f ca="1">IFERROR(__xludf.DUMMYFUNCTION("""COMPUTED_VALUE"""),"RF-0982-001-PPP")</f>
        <v>RF-0982-001-PPP</v>
      </c>
    </row>
    <row r="1796" spans="1:2" ht="12.5" x14ac:dyDescent="0.25">
      <c r="A1796" t="str">
        <f ca="1">IFERROR(__xludf.DUMMYFUNCTION("""COMPUTED_VALUE"""),"Dipyrone")</f>
        <v>Dipyrone</v>
      </c>
      <c r="B1796" t="str">
        <f ca="1">IFERROR(__xludf.DUMMYFUNCTION("""COMPUTED_VALUE"""),"RF-00000223-VET")</f>
        <v>RF-00000223-VET</v>
      </c>
    </row>
    <row r="1797" spans="1:2" ht="12.5" x14ac:dyDescent="0.25">
      <c r="A1797" t="str">
        <f ca="1">IFERROR(__xludf.DUMMYFUNCTION("""COMPUTED_VALUE"""),"Diquat")</f>
        <v>Diquat</v>
      </c>
      <c r="B1797" t="str">
        <f ca="1">IFERROR(__xludf.DUMMYFUNCTION("""COMPUTED_VALUE"""),"RF-0148-001-PPP")</f>
        <v>RF-0148-001-PPP</v>
      </c>
    </row>
    <row r="1798" spans="1:2" ht="12.5" x14ac:dyDescent="0.25">
      <c r="A1798" t="str">
        <f ca="1">IFERROR(__xludf.DUMMYFUNCTION("""COMPUTED_VALUE"""),"disaccharides, total")</f>
        <v>disaccharides, total</v>
      </c>
      <c r="B1798" t="str">
        <f ca="1">IFERROR(__xludf.DUMMYFUNCTION("""COMPUTED_VALUE"""),"RF-00000074-NTR")</f>
        <v>RF-00000074-NTR</v>
      </c>
    </row>
    <row r="1799" spans="1:2" ht="12.5" x14ac:dyDescent="0.25">
      <c r="A1799" t="str">
        <f ca="1">IFERROR(__xludf.DUMMYFUNCTION("""COMPUTED_VALUE"""),"Disodium 5'-ribonucleotides")</f>
        <v>Disodium 5'-ribonucleotides</v>
      </c>
      <c r="B1799" t="str">
        <f ca="1">IFERROR(__xludf.DUMMYFUNCTION("""COMPUTED_VALUE"""),"RF-00000116-ADD")</f>
        <v>RF-00000116-ADD</v>
      </c>
    </row>
    <row r="1800" spans="1:2" ht="12.5" x14ac:dyDescent="0.25">
      <c r="A1800" t="str">
        <f ca="1">IFERROR(__xludf.DUMMYFUNCTION("""COMPUTED_VALUE"""),"Disodium guanylate")</f>
        <v>Disodium guanylate</v>
      </c>
      <c r="B1800" t="str">
        <f ca="1">IFERROR(__xludf.DUMMYFUNCTION("""COMPUTED_VALUE"""),"RF-00000117-ADD")</f>
        <v>RF-00000117-ADD</v>
      </c>
    </row>
    <row r="1801" spans="1:2" ht="12.5" x14ac:dyDescent="0.25">
      <c r="A1801" t="str">
        <f ca="1">IFERROR(__xludf.DUMMYFUNCTION("""COMPUTED_VALUE"""),"Disodium inosinate")</f>
        <v>Disodium inosinate</v>
      </c>
      <c r="B1801" t="str">
        <f ca="1">IFERROR(__xludf.DUMMYFUNCTION("""COMPUTED_VALUE"""),"RF-00000118-ADD")</f>
        <v>RF-00000118-ADD</v>
      </c>
    </row>
    <row r="1802" spans="1:2" ht="12.5" x14ac:dyDescent="0.25">
      <c r="A1802" t="str">
        <f ca="1">IFERROR(__xludf.DUMMYFUNCTION("""COMPUTED_VALUE"""),"Disodium tin trioxide")</f>
        <v>Disodium tin trioxide</v>
      </c>
      <c r="B1802" t="str">
        <f ca="1">IFERROR(__xludf.DUMMYFUNCTION("""COMPUTED_VALUE"""),"RF-00000262-CHE")</f>
        <v>RF-00000262-CHE</v>
      </c>
    </row>
    <row r="1803" spans="1:2" ht="12.5" x14ac:dyDescent="0.25">
      <c r="A1803" t="str">
        <f ca="1">IFERROR(__xludf.DUMMYFUNCTION("""COMPUTED_VALUE"""),"Distarch phosphate")</f>
        <v>Distarch phosphate</v>
      </c>
      <c r="B1803" t="str">
        <f ca="1">IFERROR(__xludf.DUMMYFUNCTION("""COMPUTED_VALUE"""),"RF-00000119-ADD")</f>
        <v>RF-00000119-ADD</v>
      </c>
    </row>
    <row r="1804" spans="1:2" ht="12.5" x14ac:dyDescent="0.25">
      <c r="A1804" t="str">
        <f ca="1">IFERROR(__xludf.DUMMYFUNCTION("""COMPUTED_VALUE"""),"Disulfiram")</f>
        <v>Disulfiram</v>
      </c>
      <c r="B1804" t="str">
        <f ca="1">IFERROR(__xludf.DUMMYFUNCTION("""COMPUTED_VALUE"""),"RF-0639-001-PPP")</f>
        <v>RF-0639-001-PPP</v>
      </c>
    </row>
    <row r="1805" spans="1:2" ht="12.5" x14ac:dyDescent="0.25">
      <c r="A1805" t="str">
        <f ca="1">IFERROR(__xludf.DUMMYFUNCTION("""COMPUTED_VALUE"""),"Disulfoton")</f>
        <v>Disulfoton</v>
      </c>
      <c r="B1805" t="str">
        <f ca="1">IFERROR(__xludf.DUMMYFUNCTION("""COMPUTED_VALUE"""),"RF-0149-002-PPP")</f>
        <v>RF-0149-002-PPP</v>
      </c>
    </row>
    <row r="1806" spans="1:2" ht="12.5" x14ac:dyDescent="0.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x14ac:dyDescent="0.25">
      <c r="A1807" t="str">
        <f ca="1">IFERROR(__xludf.DUMMYFUNCTION("""COMPUTED_VALUE"""),"Disulfoton-Sulfon")</f>
        <v>Disulfoton-Sulfon</v>
      </c>
      <c r="B1807" t="str">
        <f ca="1">IFERROR(__xludf.DUMMYFUNCTION("""COMPUTED_VALUE"""),"RF-0149-004-PPP")</f>
        <v>RF-0149-004-PPP</v>
      </c>
    </row>
    <row r="1808" spans="1:2" ht="12.5" x14ac:dyDescent="0.25">
      <c r="A1808" t="str">
        <f ca="1">IFERROR(__xludf.DUMMYFUNCTION("""COMPUTED_VALUE"""),"Disulfoton-Sulfoxid")</f>
        <v>Disulfoton-Sulfoxid</v>
      </c>
      <c r="B1808" t="str">
        <f ca="1">IFERROR(__xludf.DUMMYFUNCTION("""COMPUTED_VALUE"""),"RF-0149-003-PPP")</f>
        <v>RF-0149-003-PPP</v>
      </c>
    </row>
    <row r="1809" spans="1:2" ht="12.5" x14ac:dyDescent="0.25">
      <c r="A1809" t="str">
        <f ca="1">IFERROR(__xludf.DUMMYFUNCTION("""COMPUTED_VALUE"""),"Ditalimfos")</f>
        <v>Ditalimfos</v>
      </c>
      <c r="B1809" t="str">
        <f ca="1">IFERROR(__xludf.DUMMYFUNCTION("""COMPUTED_VALUE"""),"RF-0640-001-PPP")</f>
        <v>RF-0640-001-PPP</v>
      </c>
    </row>
    <row r="1810" spans="1:2" ht="12.5" x14ac:dyDescent="0.25">
      <c r="A1810" t="str">
        <f ca="1">IFERROR(__xludf.DUMMYFUNCTION("""COMPUTED_VALUE"""),"Dithianon")</f>
        <v>Dithianon</v>
      </c>
      <c r="B1810" t="str">
        <f ca="1">IFERROR(__xludf.DUMMYFUNCTION("""COMPUTED_VALUE"""),"RF-0150-001-PPP")</f>
        <v>RF-0150-001-PPP</v>
      </c>
    </row>
    <row r="1811" spans="1:2" ht="12.5" x14ac:dyDescent="0.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x14ac:dyDescent="0.25">
      <c r="A1812" t="str">
        <f ca="1">IFERROR(__xludf.DUMMYFUNCTION("""COMPUTED_VALUE"""),"Dithiopyr")</f>
        <v>Dithiopyr</v>
      </c>
      <c r="B1812" t="str">
        <f ca="1">IFERROR(__xludf.DUMMYFUNCTION("""COMPUTED_VALUE"""),"RF-0641-001-PPP")</f>
        <v>RF-0641-001-PPP</v>
      </c>
    </row>
    <row r="1813" spans="1:2" ht="12.5" x14ac:dyDescent="0.25">
      <c r="A1813" t="str">
        <f ca="1">IFERROR(__xludf.DUMMYFUNCTION("""COMPUTED_VALUE"""),"Diuron")</f>
        <v>Diuron</v>
      </c>
      <c r="B1813" t="str">
        <f ca="1">IFERROR(__xludf.DUMMYFUNCTION("""COMPUTED_VALUE"""),"RF-0152-002-PPP")</f>
        <v>RF-0152-002-PPP</v>
      </c>
    </row>
    <row r="1814" spans="1:2" ht="12.5" x14ac:dyDescent="0.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x14ac:dyDescent="0.25">
      <c r="A1815" t="str">
        <f ca="1">IFERROR(__xludf.DUMMYFUNCTION("""COMPUTED_VALUE"""),"DMS")</f>
        <v>DMS</v>
      </c>
      <c r="B1815" t="str">
        <f ca="1">IFERROR(__xludf.DUMMYFUNCTION("""COMPUTED_VALUE"""),"RF-0642-001-PPP")</f>
        <v>RF-0642-001-PPP</v>
      </c>
    </row>
    <row r="1816" spans="1:2" ht="12.5" x14ac:dyDescent="0.25">
      <c r="A1816" t="str">
        <f ca="1">IFERROR(__xludf.DUMMYFUNCTION("""COMPUTED_VALUE"""),"DMSA")</f>
        <v>DMSA</v>
      </c>
      <c r="B1816" t="str">
        <f ca="1">IFERROR(__xludf.DUMMYFUNCTION("""COMPUTED_VALUE"""),"RF-0643-001-PPP")</f>
        <v>RF-0643-001-PPP</v>
      </c>
    </row>
    <row r="1817" spans="1:2" ht="12.5" x14ac:dyDescent="0.25">
      <c r="A1817" t="str">
        <f ca="1">IFERROR(__xludf.DUMMYFUNCTION("""COMPUTED_VALUE"""),"DMST")</f>
        <v>DMST</v>
      </c>
      <c r="B1817" t="str">
        <f ca="1">IFERROR(__xludf.DUMMYFUNCTION("""COMPUTED_VALUE"""),"RF-0644-001-PPP")</f>
        <v>RF-0644-001-PPP</v>
      </c>
    </row>
    <row r="1818" spans="1:2" ht="12.5" x14ac:dyDescent="0.25">
      <c r="A1818" t="str">
        <f ca="1">IFERROR(__xludf.DUMMYFUNCTION("""COMPUTED_VALUE"""),"DNOC")</f>
        <v>DNOC</v>
      </c>
      <c r="B1818" t="str">
        <f ca="1">IFERROR(__xludf.DUMMYFUNCTION("""COMPUTED_VALUE"""),"RF-0153-001-PPP")</f>
        <v>RF-0153-001-PPP</v>
      </c>
    </row>
    <row r="1819" spans="1:2" ht="12.5" x14ac:dyDescent="0.25">
      <c r="A1819" t="str">
        <f ca="1">IFERROR(__xludf.DUMMYFUNCTION("""COMPUTED_VALUE"""),"Dodecyl gallate")</f>
        <v>Dodecyl gallate</v>
      </c>
      <c r="B1819" t="str">
        <f ca="1">IFERROR(__xludf.DUMMYFUNCTION("""COMPUTED_VALUE"""),"RF-00000120-ADD")</f>
        <v>RF-00000120-ADD</v>
      </c>
    </row>
    <row r="1820" spans="1:2" ht="12.5" x14ac:dyDescent="0.25">
      <c r="A1820" t="str">
        <f ca="1">IFERROR(__xludf.DUMMYFUNCTION("""COMPUTED_VALUE"""),"Dodemorph")</f>
        <v>Dodemorph</v>
      </c>
      <c r="B1820" t="str">
        <f ca="1">IFERROR(__xludf.DUMMYFUNCTION("""COMPUTED_VALUE"""),"RF-0645-001-PPP")</f>
        <v>RF-0645-001-PPP</v>
      </c>
    </row>
    <row r="1821" spans="1:2" ht="12.5" x14ac:dyDescent="0.25">
      <c r="A1821" t="str">
        <f ca="1">IFERROR(__xludf.DUMMYFUNCTION("""COMPUTED_VALUE"""),"Dodine")</f>
        <v>Dodine</v>
      </c>
      <c r="B1821" t="str">
        <f ca="1">IFERROR(__xludf.DUMMYFUNCTION("""COMPUTED_VALUE"""),"RF-0154-001-PPP")</f>
        <v>RF-0154-001-PPP</v>
      </c>
    </row>
    <row r="1822" spans="1:2" ht="12.5" x14ac:dyDescent="0.25">
      <c r="A1822" t="str">
        <f ca="1">IFERROR(__xludf.DUMMYFUNCTION("""COMPUTED_VALUE"""),"Domoic acid C5'-diastereomer")</f>
        <v>Domoic acid C5'-diastereomer</v>
      </c>
      <c r="B1822" t="str">
        <f ca="1">IFERROR(__xludf.DUMMYFUNCTION("""COMPUTED_VALUE"""),"RF-00000054-TOX")</f>
        <v>RF-00000054-TOX</v>
      </c>
    </row>
    <row r="1823" spans="1:2" ht="12.5" x14ac:dyDescent="0.25">
      <c r="A1823" t="str">
        <f ca="1">IFERROR(__xludf.DUMMYFUNCTION("""COMPUTED_VALUE"""),"Domoic acid group toxins")</f>
        <v>Domoic acid group toxins</v>
      </c>
      <c r="B1823" t="str">
        <f ca="1">IFERROR(__xludf.DUMMYFUNCTION("""COMPUTED_VALUE"""),"RF-00000052-TOX")</f>
        <v>RF-00000052-TOX</v>
      </c>
    </row>
    <row r="1824" spans="1:2" ht="12.5" x14ac:dyDescent="0.25">
      <c r="A1824" t="str">
        <f ca="1">IFERROR(__xludf.DUMMYFUNCTION("""COMPUTED_VALUE"""),"dopamine")</f>
        <v>dopamine</v>
      </c>
      <c r="B1824" t="str">
        <f ca="1">IFERROR(__xludf.DUMMYFUNCTION("""COMPUTED_VALUE"""),"RF-00000076-NTR")</f>
        <v>RF-00000076-NTR</v>
      </c>
    </row>
    <row r="1825" spans="1:2" ht="12.5" x14ac:dyDescent="0.25">
      <c r="A1825" t="str">
        <f ca="1">IFERROR(__xludf.DUMMYFUNCTION("""COMPUTED_VALUE"""),"Doramectin")</f>
        <v>Doramectin</v>
      </c>
      <c r="B1825" t="str">
        <f ca="1">IFERROR(__xludf.DUMMYFUNCTION("""COMPUTED_VALUE"""),"RF-00000025-VET")</f>
        <v>RF-00000025-VET</v>
      </c>
    </row>
    <row r="1826" spans="1:2" ht="12.5" x14ac:dyDescent="0.25">
      <c r="A1826" t="str">
        <f ca="1">IFERROR(__xludf.DUMMYFUNCTION("""COMPUTED_VALUE"""),"Doronenine")</f>
        <v>Doronenine</v>
      </c>
      <c r="B1826" t="str">
        <f ca="1">IFERROR(__xludf.DUMMYFUNCTION("""COMPUTED_VALUE"""),"RF-00000274-TOX")</f>
        <v>RF-00000274-TOX</v>
      </c>
    </row>
    <row r="1827" spans="1:2" ht="12.5" x14ac:dyDescent="0.25">
      <c r="A1827" t="str">
        <f ca="1">IFERROR(__xludf.DUMMYFUNCTION("""COMPUTED_VALUE"""),"Doronine")</f>
        <v>Doronine</v>
      </c>
      <c r="B1827" t="str">
        <f ca="1">IFERROR(__xludf.DUMMYFUNCTION("""COMPUTED_VALUE"""),"RF-00000275-TOX")</f>
        <v>RF-00000275-TOX</v>
      </c>
    </row>
    <row r="1828" spans="1:2" ht="12.5" x14ac:dyDescent="0.25">
      <c r="A1828" t="str">
        <f ca="1">IFERROR(__xludf.DUMMYFUNCTION("""COMPUTED_VALUE"""),"Doxycycline")</f>
        <v>Doxycycline</v>
      </c>
      <c r="B1828" t="str">
        <f ca="1">IFERROR(__xludf.DUMMYFUNCTION("""COMPUTED_VALUE"""),"RF-00000678-VET")</f>
        <v>RF-00000678-VET</v>
      </c>
    </row>
    <row r="1829" spans="1:2" ht="12.5" x14ac:dyDescent="0.25">
      <c r="A1829" t="str">
        <f ca="1">IFERROR(__xludf.DUMMYFUNCTION("""COMPUTED_VALUE"""),"Drazoxolon")</f>
        <v>Drazoxolon</v>
      </c>
      <c r="B1829" t="str">
        <f ca="1">IFERROR(__xludf.DUMMYFUNCTION("""COMPUTED_VALUE"""),"RF-0646-001-PPP")</f>
        <v>RF-0646-001-PPP</v>
      </c>
    </row>
    <row r="1830" spans="1:2" ht="12.5" x14ac:dyDescent="0.25">
      <c r="A1830" t="str">
        <f ca="1">IFERROR(__xludf.DUMMYFUNCTION("""COMPUTED_VALUE"""),"Drostanolone")</f>
        <v>Drostanolone</v>
      </c>
      <c r="B1830" t="str">
        <f ca="1">IFERROR(__xludf.DUMMYFUNCTION("""COMPUTED_VALUE"""),"RF-00000341-VET")</f>
        <v>RF-00000341-VET</v>
      </c>
    </row>
    <row r="1831" spans="1:2" ht="12.5" x14ac:dyDescent="0.25">
      <c r="A1831" t="str">
        <f ca="1">IFERROR(__xludf.DUMMYFUNCTION("""COMPUTED_VALUE"""),"dry matter")</f>
        <v>dry matter</v>
      </c>
      <c r="B1831" t="str">
        <f ca="1">IFERROR(__xludf.DUMMYFUNCTION("""COMPUTED_VALUE"""),"RF-00000077-NTR")</f>
        <v>RF-00000077-NTR</v>
      </c>
    </row>
    <row r="1832" spans="1:2" ht="12.5" x14ac:dyDescent="0.25">
      <c r="A1832" t="str">
        <f ca="1">IFERROR(__xludf.DUMMYFUNCTION("""COMPUTED_VALUE"""),"DSH (2-Hydroxy-3,5-dinitrobenzohydrazid)")</f>
        <v>DSH (2-Hydroxy-3,5-dinitrobenzohydrazid)</v>
      </c>
      <c r="B1832" t="str">
        <f ca="1">IFERROR(__xludf.DUMMYFUNCTION("""COMPUTED_VALUE"""),"RF-00000515-VET")</f>
        <v>RF-00000515-VET</v>
      </c>
    </row>
    <row r="1833" spans="1:2" ht="12.5" x14ac:dyDescent="0.25">
      <c r="A1833" t="str">
        <f ca="1">IFERROR(__xludf.DUMMYFUNCTION("""COMPUTED_VALUE"""),"Dulcoside A")</f>
        <v>Dulcoside A</v>
      </c>
      <c r="B1833" t="str">
        <f ca="1">IFERROR(__xludf.DUMMYFUNCTION("""COMPUTED_VALUE"""),"RF-00000005-ADD")</f>
        <v>RF-00000005-ADD</v>
      </c>
    </row>
    <row r="1834" spans="1:2" ht="12.5" x14ac:dyDescent="0.25">
      <c r="A1834" t="str">
        <f ca="1">IFERROR(__xludf.DUMMYFUNCTION("""COMPUTED_VALUE"""),"Duvenhage virus")</f>
        <v>Duvenhage virus</v>
      </c>
      <c r="B1834" t="str">
        <f ca="1">IFERROR(__xludf.DUMMYFUNCTION("""COMPUTED_VALUE"""),"RF-00000263-MCG")</f>
        <v>RF-00000263-MCG</v>
      </c>
    </row>
    <row r="1835" spans="1:2" ht="12.5" x14ac:dyDescent="0.25">
      <c r="A1835" t="str">
        <f ca="1">IFERROR(__xludf.DUMMYFUNCTION("""COMPUTED_VALUE"""),"Ecetylechiumine-N-oxide")</f>
        <v>Ecetylechiumine-N-oxide</v>
      </c>
      <c r="B1835" t="str">
        <f ca="1">IFERROR(__xludf.DUMMYFUNCTION("""COMPUTED_VALUE"""),"RF-00000355-TOX")</f>
        <v>RF-00000355-TOX</v>
      </c>
    </row>
    <row r="1836" spans="1:2" ht="12.5" x14ac:dyDescent="0.25">
      <c r="A1836" t="str">
        <f ca="1">IFERROR(__xludf.DUMMYFUNCTION("""COMPUTED_VALUE"""),"Echimidine")</f>
        <v>Echimidine</v>
      </c>
      <c r="B1836" t="str">
        <f ca="1">IFERROR(__xludf.DUMMYFUNCTION("""COMPUTED_VALUE"""),"RF-00000276-TOX")</f>
        <v>RF-00000276-TOX</v>
      </c>
    </row>
    <row r="1837" spans="1:2" ht="12.5" x14ac:dyDescent="0.25">
      <c r="A1837" t="str">
        <f ca="1">IFERROR(__xludf.DUMMYFUNCTION("""COMPUTED_VALUE"""),"Echimidine-N-oxide")</f>
        <v>Echimidine-N-oxide</v>
      </c>
      <c r="B1837" t="str">
        <f ca="1">IFERROR(__xludf.DUMMYFUNCTION("""COMPUTED_VALUE"""),"RF-00000350-TOX")</f>
        <v>RF-00000350-TOX</v>
      </c>
    </row>
    <row r="1838" spans="1:2" ht="12.5" x14ac:dyDescent="0.25">
      <c r="A1838" t="str">
        <f ca="1">IFERROR(__xludf.DUMMYFUNCTION("""COMPUTED_VALUE"""),"Echinatine")</f>
        <v>Echinatine</v>
      </c>
      <c r="B1838" t="str">
        <f ca="1">IFERROR(__xludf.DUMMYFUNCTION("""COMPUTED_VALUE"""),"RF-00000277-TOX")</f>
        <v>RF-00000277-TOX</v>
      </c>
    </row>
    <row r="1839" spans="1:2" ht="12.5" x14ac:dyDescent="0.25">
      <c r="A1839" t="str">
        <f ca="1">IFERROR(__xludf.DUMMYFUNCTION("""COMPUTED_VALUE"""),"Echinococcus")</f>
        <v>Echinococcus</v>
      </c>
      <c r="B1839" t="str">
        <f ca="1">IFERROR(__xludf.DUMMYFUNCTION("""COMPUTED_VALUE"""),"RF-00000098-MCG")</f>
        <v>RF-00000098-MCG</v>
      </c>
    </row>
    <row r="1840" spans="1:2" ht="12.5" x14ac:dyDescent="0.25">
      <c r="A1840" t="str">
        <f ca="1">IFERROR(__xludf.DUMMYFUNCTION("""COMPUTED_VALUE"""),"Echinococcus - E. granulosus - Genotype G1")</f>
        <v>Echinococcus - E. granulosus - Genotype G1</v>
      </c>
      <c r="B1840" t="str">
        <f ca="1">IFERROR(__xludf.DUMMYFUNCTION("""COMPUTED_VALUE"""),"RF-00003545-MCG")</f>
        <v>RF-00003545-MCG</v>
      </c>
    </row>
    <row r="1841" spans="1:2" ht="12.5" x14ac:dyDescent="0.25">
      <c r="A1841" t="str">
        <f ca="1">IFERROR(__xludf.DUMMYFUNCTION("""COMPUTED_VALUE"""),"Echinococcus - E. granulosus - Genotype G2")</f>
        <v>Echinococcus - E. granulosus - Genotype G2</v>
      </c>
      <c r="B1841" t="str">
        <f ca="1">IFERROR(__xludf.DUMMYFUNCTION("""COMPUTED_VALUE"""),"RF-00003546-MCG")</f>
        <v>RF-00003546-MCG</v>
      </c>
    </row>
    <row r="1842" spans="1:2" ht="12.5" x14ac:dyDescent="0.25">
      <c r="A1842" t="str">
        <f ca="1">IFERROR(__xludf.DUMMYFUNCTION("""COMPUTED_VALUE"""),"Echinococcus - E. granulosus - Genotype G3")</f>
        <v>Echinococcus - E. granulosus - Genotype G3</v>
      </c>
      <c r="B1842" t="str">
        <f ca="1">IFERROR(__xludf.DUMMYFUNCTION("""COMPUTED_VALUE"""),"RF-00003547-MCG")</f>
        <v>RF-00003547-MCG</v>
      </c>
    </row>
    <row r="1843" spans="1:2" ht="12.5" x14ac:dyDescent="0.25">
      <c r="A1843" t="str">
        <f ca="1">IFERROR(__xludf.DUMMYFUNCTION("""COMPUTED_VALUE"""),"Echinococcus - E. granulosus - Genotype G6")</f>
        <v>Echinococcus - E. granulosus - Genotype G6</v>
      </c>
      <c r="B1843" t="str">
        <f ca="1">IFERROR(__xludf.DUMMYFUNCTION("""COMPUTED_VALUE"""),"RF-00003548-MCG")</f>
        <v>RF-00003548-MCG</v>
      </c>
    </row>
    <row r="1844" spans="1:2" ht="12.5" x14ac:dyDescent="0.25">
      <c r="A1844" t="str">
        <f ca="1">IFERROR(__xludf.DUMMYFUNCTION("""COMPUTED_VALUE"""),"Echinococcus - E. granulosus - Genotype G7")</f>
        <v>Echinococcus - E. granulosus - Genotype G7</v>
      </c>
      <c r="B1844" t="str">
        <f ca="1">IFERROR(__xludf.DUMMYFUNCTION("""COMPUTED_VALUE"""),"RF-00003549-MCG")</f>
        <v>RF-00003549-MCG</v>
      </c>
    </row>
    <row r="1845" spans="1:2" ht="12.5" x14ac:dyDescent="0.25">
      <c r="A1845" t="str">
        <f ca="1">IFERROR(__xludf.DUMMYFUNCTION("""COMPUTED_VALUE"""),"Echinococcus granulosus")</f>
        <v>Echinococcus granulosus</v>
      </c>
      <c r="B1845" t="str">
        <f ca="1">IFERROR(__xludf.DUMMYFUNCTION("""COMPUTED_VALUE"""),"RF-00000099-MCG")</f>
        <v>RF-00000099-MCG</v>
      </c>
    </row>
    <row r="1846" spans="1:2" ht="12.5" x14ac:dyDescent="0.25">
      <c r="A1846" t="str">
        <f ca="1">IFERROR(__xludf.DUMMYFUNCTION("""COMPUTED_VALUE"""),"Echinococcus multilocularis")</f>
        <v>Echinococcus multilocularis</v>
      </c>
      <c r="B1846" t="str">
        <f ca="1">IFERROR(__xludf.DUMMYFUNCTION("""COMPUTED_VALUE"""),"RF-00000102-MCG")</f>
        <v>RF-00000102-MCG</v>
      </c>
    </row>
    <row r="1847" spans="1:2" ht="12.5" x14ac:dyDescent="0.25">
      <c r="A1847" t="str">
        <f ca="1">IFERROR(__xludf.DUMMYFUNCTION("""COMPUTED_VALUE"""),"Echinococcus oligarthrus")</f>
        <v>Echinococcus oligarthrus</v>
      </c>
      <c r="B1847" t="str">
        <f ca="1">IFERROR(__xludf.DUMMYFUNCTION("""COMPUTED_VALUE"""),"RF-00000100-MCG")</f>
        <v>RF-00000100-MCG</v>
      </c>
    </row>
    <row r="1848" spans="1:2" ht="12.5" x14ac:dyDescent="0.25">
      <c r="A1848" t="str">
        <f ca="1">IFERROR(__xludf.DUMMYFUNCTION("""COMPUTED_VALUE"""),"Echinococcus spp., unspecified")</f>
        <v>Echinococcus spp., unspecified</v>
      </c>
      <c r="B1848" t="str">
        <f ca="1">IFERROR(__xludf.DUMMYFUNCTION("""COMPUTED_VALUE"""),"RF-00000101-MCG")</f>
        <v>RF-00000101-MCG</v>
      </c>
    </row>
    <row r="1849" spans="1:2" ht="12.5" x14ac:dyDescent="0.25">
      <c r="A1849" t="str">
        <f ca="1">IFERROR(__xludf.DUMMYFUNCTION("""COMPUTED_VALUE"""),"Echiumine")</f>
        <v>Echiumine</v>
      </c>
      <c r="B1849" t="str">
        <f ca="1">IFERROR(__xludf.DUMMYFUNCTION("""COMPUTED_VALUE"""),"RF-00000353-TOX")</f>
        <v>RF-00000353-TOX</v>
      </c>
    </row>
    <row r="1850" spans="1:2" ht="12.5" x14ac:dyDescent="0.25">
      <c r="A1850" t="str">
        <f ca="1">IFERROR(__xludf.DUMMYFUNCTION("""COMPUTED_VALUE"""),"Echiumine-N-oxide")</f>
        <v>Echiumine-N-oxide</v>
      </c>
      <c r="B1850" t="str">
        <f ca="1">IFERROR(__xludf.DUMMYFUNCTION("""COMPUTED_VALUE"""),"RF-00000354-TOX")</f>
        <v>RF-00000354-TOX</v>
      </c>
    </row>
    <row r="1851" spans="1:2" ht="12.5" x14ac:dyDescent="0.25">
      <c r="A1851" t="str">
        <f ca="1">IFERROR(__xludf.DUMMYFUNCTION("""COMPUTED_VALUE"""),"Echiuplatine")</f>
        <v>Echiuplatine</v>
      </c>
      <c r="B1851" t="str">
        <f ca="1">IFERROR(__xludf.DUMMYFUNCTION("""COMPUTED_VALUE"""),"RF-00000356-TOX")</f>
        <v>RF-00000356-TOX</v>
      </c>
    </row>
    <row r="1852" spans="1:2" ht="12.5" x14ac:dyDescent="0.25">
      <c r="A1852" t="str">
        <f ca="1">IFERROR(__xludf.DUMMYFUNCTION("""COMPUTED_VALUE"""),"Echiuplatine-N-oxide")</f>
        <v>Echiuplatine-N-oxide</v>
      </c>
      <c r="B1852" t="str">
        <f ca="1">IFERROR(__xludf.DUMMYFUNCTION("""COMPUTED_VALUE"""),"RF-00000357-TOX")</f>
        <v>RF-00000357-TOX</v>
      </c>
    </row>
    <row r="1853" spans="1:2" ht="12.5" x14ac:dyDescent="0.25">
      <c r="A1853" t="str">
        <f ca="1">IFERROR(__xludf.DUMMYFUNCTION("""COMPUTED_VALUE"""),"Echivulgarine")</f>
        <v>Echivulgarine</v>
      </c>
      <c r="B1853" t="str">
        <f ca="1">IFERROR(__xludf.DUMMYFUNCTION("""COMPUTED_VALUE"""),"RF-00000358-TOX")</f>
        <v>RF-00000358-TOX</v>
      </c>
    </row>
    <row r="1854" spans="1:2" ht="12.5" x14ac:dyDescent="0.25">
      <c r="A1854" t="str">
        <f ca="1">IFERROR(__xludf.DUMMYFUNCTION("""COMPUTED_VALUE"""),"Echivulgarine-N-oxide")</f>
        <v>Echivulgarine-N-oxide</v>
      </c>
      <c r="B1854" t="str">
        <f ca="1">IFERROR(__xludf.DUMMYFUNCTION("""COMPUTED_VALUE"""),"RF-00000359-TOX")</f>
        <v>RF-00000359-TOX</v>
      </c>
    </row>
    <row r="1855" spans="1:2" ht="12.5" x14ac:dyDescent="0.25">
      <c r="A1855" t="str">
        <f ca="1">IFERROR(__xludf.DUMMYFUNCTION("""COMPUTED_VALUE"""),"edible portion")</f>
        <v>edible portion</v>
      </c>
      <c r="B1855" t="str">
        <f ca="1">IFERROR(__xludf.DUMMYFUNCTION("""COMPUTED_VALUE"""),"RF-00000078-NTR")</f>
        <v>RF-00000078-NTR</v>
      </c>
    </row>
    <row r="1856" spans="1:2" ht="12.5" x14ac:dyDescent="0.25">
      <c r="A1856" t="str">
        <f ca="1">IFERROR(__xludf.DUMMYFUNCTION("""COMPUTED_VALUE"""),"Edifenphos")</f>
        <v>Edifenphos</v>
      </c>
      <c r="B1856" t="str">
        <f ca="1">IFERROR(__xludf.DUMMYFUNCTION("""COMPUTED_VALUE"""),"RF-0647-001-PPP")</f>
        <v>RF-0647-001-PPP</v>
      </c>
    </row>
    <row r="1857" spans="1:2" ht="12.5" x14ac:dyDescent="0.25">
      <c r="A1857" t="str">
        <f ca="1">IFERROR(__xludf.DUMMYFUNCTION("""COMPUTED_VALUE"""),"Efrotomycin")</f>
        <v>Efrotomycin</v>
      </c>
      <c r="B1857" t="str">
        <f ca="1">IFERROR(__xludf.DUMMYFUNCTION("""COMPUTED_VALUE"""),"RF-00000729-VET")</f>
        <v>RF-00000729-VET</v>
      </c>
    </row>
    <row r="1858" spans="1:2" ht="12.5" x14ac:dyDescent="0.25">
      <c r="A1858" t="str">
        <f ca="1">IFERROR(__xludf.DUMMYFUNCTION("""COMPUTED_VALUE"""),"Ehrlichia")</f>
        <v>Ehrlichia</v>
      </c>
      <c r="B1858" t="str">
        <f ca="1">IFERROR(__xludf.DUMMYFUNCTION("""COMPUTED_VALUE"""),"RF-00000103-MCG")</f>
        <v>RF-00000103-MCG</v>
      </c>
    </row>
    <row r="1859" spans="1:2" ht="12.5" x14ac:dyDescent="0.25">
      <c r="A1859" t="str">
        <f ca="1">IFERROR(__xludf.DUMMYFUNCTION("""COMPUTED_VALUE"""),"Ehrlichia canis")</f>
        <v>Ehrlichia canis</v>
      </c>
      <c r="B1859" t="str">
        <f ca="1">IFERROR(__xludf.DUMMYFUNCTION("""COMPUTED_VALUE"""),"RF-00002745-MCG")</f>
        <v>RF-00002745-MCG</v>
      </c>
    </row>
    <row r="1860" spans="1:2" ht="12.5" x14ac:dyDescent="0.25">
      <c r="A1860" t="str">
        <f ca="1">IFERROR(__xludf.DUMMYFUNCTION("""COMPUTED_VALUE"""),"Ehrlichia chaffeensis")</f>
        <v>Ehrlichia chaffeensis</v>
      </c>
      <c r="B1860" t="str">
        <f ca="1">IFERROR(__xludf.DUMMYFUNCTION("""COMPUTED_VALUE"""),"RF-00000105-MCG")</f>
        <v>RF-00000105-MCG</v>
      </c>
    </row>
    <row r="1861" spans="1:2" ht="12.5" x14ac:dyDescent="0.25">
      <c r="A1861" t="str">
        <f ca="1">IFERROR(__xludf.DUMMYFUNCTION("""COMPUTED_VALUE"""),"Ehrlichia ewingii")</f>
        <v>Ehrlichia ewingii</v>
      </c>
      <c r="B1861" t="str">
        <f ca="1">IFERROR(__xludf.DUMMYFUNCTION("""COMPUTED_VALUE"""),"RF-00002747-MCG")</f>
        <v>RF-00002747-MCG</v>
      </c>
    </row>
    <row r="1862" spans="1:2" ht="12.5" x14ac:dyDescent="0.25">
      <c r="A1862" t="str">
        <f ca="1">IFERROR(__xludf.DUMMYFUNCTION("""COMPUTED_VALUE"""),"Ehrlichia muris")</f>
        <v>Ehrlichia muris</v>
      </c>
      <c r="B1862" t="str">
        <f ca="1">IFERROR(__xludf.DUMMYFUNCTION("""COMPUTED_VALUE"""),"RF-00002748-MCG")</f>
        <v>RF-00002748-MCG</v>
      </c>
    </row>
    <row r="1863" spans="1:2" ht="12.5" x14ac:dyDescent="0.25">
      <c r="A1863" t="str">
        <f ca="1">IFERROR(__xludf.DUMMYFUNCTION("""COMPUTED_VALUE"""),"Ehrlichia ruminantium")</f>
        <v>Ehrlichia ruminantium</v>
      </c>
      <c r="B1863" t="str">
        <f ca="1">IFERROR(__xludf.DUMMYFUNCTION("""COMPUTED_VALUE"""),"RF-00002749-MCG")</f>
        <v>RF-00002749-MCG</v>
      </c>
    </row>
    <row r="1864" spans="1:2" ht="12.5" x14ac:dyDescent="0.25">
      <c r="A1864" t="str">
        <f ca="1">IFERROR(__xludf.DUMMYFUNCTION("""COMPUTED_VALUE"""),"Ehrlichia spp., unspecified")</f>
        <v>Ehrlichia spp., unspecified</v>
      </c>
      <c r="B1864" t="str">
        <f ca="1">IFERROR(__xludf.DUMMYFUNCTION("""COMPUTED_VALUE"""),"RF-00000104-MCG")</f>
        <v>RF-00000104-MCG</v>
      </c>
    </row>
    <row r="1865" spans="1:2" ht="12.5" x14ac:dyDescent="0.25">
      <c r="A1865" t="str">
        <f ca="1">IFERROR(__xludf.DUMMYFUNCTION("""COMPUTED_VALUE"""),"Elemental sulfur")</f>
        <v>Elemental sulfur</v>
      </c>
      <c r="B1865" t="str">
        <f ca="1">IFERROR(__xludf.DUMMYFUNCTION("""COMPUTED_VALUE"""),"RF-00000118-CHE")</f>
        <v>RF-00000118-CHE</v>
      </c>
    </row>
    <row r="1866" spans="1:2" ht="12.5" x14ac:dyDescent="0.25">
      <c r="A1866" t="str">
        <f ca="1">IFERROR(__xludf.DUMMYFUNCTION("""COMPUTED_VALUE"""),"Elfamycin")</f>
        <v>Elfamycin</v>
      </c>
      <c r="B1866" t="str">
        <f ca="1">IFERROR(__xludf.DUMMYFUNCTION("""COMPUTED_VALUE"""),"RF-00000728-VET")</f>
        <v>RF-00000728-VET</v>
      </c>
    </row>
    <row r="1867" spans="1:2" ht="12.5" x14ac:dyDescent="0.25">
      <c r="A1867" t="str">
        <f ca="1">IFERROR(__xludf.DUMMYFUNCTION("""COMPUTED_VALUE"""),"Elymoclavine")</f>
        <v>Elymoclavine</v>
      </c>
      <c r="B1867" t="str">
        <f ca="1">IFERROR(__xludf.DUMMYFUNCTION("""COMPUTED_VALUE"""),"RF-00000384-TOX")</f>
        <v>RF-00000384-TOX</v>
      </c>
    </row>
    <row r="1868" spans="1:2" ht="12.5" x14ac:dyDescent="0.25">
      <c r="A1868" t="str">
        <f ca="1">IFERROR(__xludf.DUMMYFUNCTION("""COMPUTED_VALUE"""),"Emamectin B1a")</f>
        <v>Emamectin B1a</v>
      </c>
      <c r="B1868" t="str">
        <f ca="1">IFERROR(__xludf.DUMMYFUNCTION("""COMPUTED_VALUE"""),"RF-00000008-VET")</f>
        <v>RF-00000008-VET</v>
      </c>
    </row>
    <row r="1869" spans="1:2" ht="12.5" x14ac:dyDescent="0.25">
      <c r="A1869" t="str">
        <f ca="1">IFERROR(__xludf.DUMMYFUNCTION("""COMPUTED_VALUE"""),"Emamectin B1a")</f>
        <v>Emamectin B1a</v>
      </c>
      <c r="B1869" t="str">
        <f ca="1">IFERROR(__xludf.DUMMYFUNCTION("""COMPUTED_VALUE"""),"RF-0649-001-PPP")</f>
        <v>RF-0649-001-PPP</v>
      </c>
    </row>
    <row r="1870" spans="1:2" ht="12.5" x14ac:dyDescent="0.25">
      <c r="A1870" t="str">
        <f ca="1">IFERROR(__xludf.DUMMYFUNCTION("""COMPUTED_VALUE"""),"Emamectin B1a - B1b")</f>
        <v>Emamectin B1a - B1b</v>
      </c>
      <c r="B1870" t="str">
        <f ca="1">IFERROR(__xludf.DUMMYFUNCTION("""COMPUTED_VALUE"""),"RF-00000016-VET")</f>
        <v>RF-00000016-VET</v>
      </c>
    </row>
    <row r="1871" spans="1:2" ht="12.5" x14ac:dyDescent="0.25">
      <c r="A1871" t="str">
        <f ca="1">IFERROR(__xludf.DUMMYFUNCTION("""COMPUTED_VALUE"""),"Emamectin B1b")</f>
        <v>Emamectin B1b</v>
      </c>
      <c r="B1871" t="str">
        <f ca="1">IFERROR(__xludf.DUMMYFUNCTION("""COMPUTED_VALUE"""),"RF-00000005-VET")</f>
        <v>RF-00000005-VET</v>
      </c>
    </row>
    <row r="1872" spans="1:2" ht="12.5" x14ac:dyDescent="0.25">
      <c r="A1872" t="str">
        <f ca="1">IFERROR(__xludf.DUMMYFUNCTION("""COMPUTED_VALUE"""),"Emamectin B1b")</f>
        <v>Emamectin B1b</v>
      </c>
      <c r="B1872" t="str">
        <f ca="1">IFERROR(__xludf.DUMMYFUNCTION("""COMPUTED_VALUE"""),"RF-0650-001-PPP")</f>
        <v>RF-0650-001-PPP</v>
      </c>
    </row>
    <row r="1873" spans="1:2" ht="12.5" x14ac:dyDescent="0.25">
      <c r="A1873" t="str">
        <f ca="1">IFERROR(__xludf.DUMMYFUNCTION("""COMPUTED_VALUE"""),"Emamectin benzoate")</f>
        <v>Emamectin benzoate</v>
      </c>
      <c r="B1873" t="str">
        <f ca="1">IFERROR(__xludf.DUMMYFUNCTION("""COMPUTED_VALUE"""),"RF-00000051-VET")</f>
        <v>RF-00000051-VET</v>
      </c>
    </row>
    <row r="1874" spans="1:2" ht="12.5" x14ac:dyDescent="0.25">
      <c r="A1874" t="str">
        <f ca="1">IFERROR(__xludf.DUMMYFUNCTION("""COMPUTED_VALUE"""),"Emamectin benzoate B1a, expressed as emamectin")</f>
        <v>Emamectin benzoate B1a, expressed as emamectin</v>
      </c>
      <c r="B1874" t="str">
        <f ca="1">IFERROR(__xludf.DUMMYFUNCTION("""COMPUTED_VALUE"""),"RF-0648-001-PPP")</f>
        <v>RF-0648-001-PPP</v>
      </c>
    </row>
    <row r="1875" spans="1:2" ht="12.5" x14ac:dyDescent="0.25">
      <c r="A1875" t="str">
        <f ca="1">IFERROR(__xludf.DUMMYFUNCTION("""COMPUTED_VALUE"""),"Embutramid")</f>
        <v>Embutramid</v>
      </c>
      <c r="B1875" t="str">
        <f ca="1">IFERROR(__xludf.DUMMYFUNCTION("""COMPUTED_VALUE"""),"RF-00000184-VET")</f>
        <v>RF-00000184-VET</v>
      </c>
    </row>
    <row r="1876" spans="1:2" ht="12.5" x14ac:dyDescent="0.25">
      <c r="A1876" t="str">
        <f ca="1">IFERROR(__xludf.DUMMYFUNCTION("""COMPUTED_VALUE"""),"Empenthrin")</f>
        <v>Empenthrin</v>
      </c>
      <c r="B1876" t="str">
        <f ca="1">IFERROR(__xludf.DUMMYFUNCTION("""COMPUTED_VALUE"""),"RF-0651-001-PPP")</f>
        <v>RF-0651-001-PPP</v>
      </c>
    </row>
    <row r="1877" spans="1:2" ht="12.5" x14ac:dyDescent="0.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x14ac:dyDescent="0.25">
      <c r="A1878" t="str">
        <f ca="1">IFERROR(__xludf.DUMMYFUNCTION("""COMPUTED_VALUE"""),"Endosulfan ether")</f>
        <v>Endosulfan ether</v>
      </c>
      <c r="B1878" t="str">
        <f ca="1">IFERROR(__xludf.DUMMYFUNCTION("""COMPUTED_VALUE"""),"RF-00000019-PAR")</f>
        <v>RF-00000019-PAR</v>
      </c>
    </row>
    <row r="1879" spans="1:2" ht="12.5" x14ac:dyDescent="0.25">
      <c r="A1879" t="str">
        <f ca="1">IFERROR(__xludf.DUMMYFUNCTION("""COMPUTED_VALUE"""),"Endosulfan lactone")</f>
        <v>Endosulfan lactone</v>
      </c>
      <c r="B1879" t="str">
        <f ca="1">IFERROR(__xludf.DUMMYFUNCTION("""COMPUTED_VALUE"""),"RF-00000020-PAR")</f>
        <v>RF-00000020-PAR</v>
      </c>
    </row>
    <row r="1880" spans="1:2" ht="12.5" x14ac:dyDescent="0.25">
      <c r="A1880" t="str">
        <f ca="1">IFERROR(__xludf.DUMMYFUNCTION("""COMPUTED_VALUE"""),"Endosulfan, alpha-")</f>
        <v>Endosulfan, alpha-</v>
      </c>
      <c r="B1880" t="str">
        <f ca="1">IFERROR(__xludf.DUMMYFUNCTION("""COMPUTED_VALUE"""),"RF-0155-004-PPP")</f>
        <v>RF-0155-004-PPP</v>
      </c>
    </row>
    <row r="1881" spans="1:2" ht="12.5" x14ac:dyDescent="0.25">
      <c r="A1881" t="str">
        <f ca="1">IFERROR(__xludf.DUMMYFUNCTION("""COMPUTED_VALUE"""),"Endosulfan, beta-")</f>
        <v>Endosulfan, beta-</v>
      </c>
      <c r="B1881" t="str">
        <f ca="1">IFERROR(__xludf.DUMMYFUNCTION("""COMPUTED_VALUE"""),"RF-0155-003-PPP")</f>
        <v>RF-0155-003-PPP</v>
      </c>
    </row>
    <row r="1882" spans="1:2" ht="12.5" x14ac:dyDescent="0.25">
      <c r="A1882" t="str">
        <f ca="1">IFERROR(__xludf.DUMMYFUNCTION("""COMPUTED_VALUE"""),"Endosulfandiol")</f>
        <v>Endosulfandiol</v>
      </c>
      <c r="B1882" t="str">
        <f ca="1">IFERROR(__xludf.DUMMYFUNCTION("""COMPUTED_VALUE"""),"RF-1068-001-PPP")</f>
        <v>RF-1068-001-PPP</v>
      </c>
    </row>
    <row r="1883" spans="1:2" ht="12.5" x14ac:dyDescent="0.25">
      <c r="A1883" t="str">
        <f ca="1">IFERROR(__xludf.DUMMYFUNCTION("""COMPUTED_VALUE"""),"Endosulfansulfate")</f>
        <v>Endosulfansulfate</v>
      </c>
      <c r="B1883" t="str">
        <f ca="1">IFERROR(__xludf.DUMMYFUNCTION("""COMPUTED_VALUE"""),"RF-0155-002-PPP")</f>
        <v>RF-0155-002-PPP</v>
      </c>
    </row>
    <row r="1884" spans="1:2" ht="12.5" x14ac:dyDescent="0.25">
      <c r="A1884" t="str">
        <f ca="1">IFERROR(__xludf.DUMMYFUNCTION("""COMPUTED_VALUE"""),"Endothal")</f>
        <v>Endothal</v>
      </c>
      <c r="B1884" t="str">
        <f ca="1">IFERROR(__xludf.DUMMYFUNCTION("""COMPUTED_VALUE"""),"RF-0652-001-PPP")</f>
        <v>RF-0652-001-PPP</v>
      </c>
    </row>
    <row r="1885" spans="1:2" ht="12.5" x14ac:dyDescent="0.25">
      <c r="A1885" t="str">
        <f ca="1">IFERROR(__xludf.DUMMYFUNCTION("""COMPUTED_VALUE"""),"Endrin")</f>
        <v>Endrin</v>
      </c>
      <c r="B1885" t="str">
        <f ca="1">IFERROR(__xludf.DUMMYFUNCTION("""COMPUTED_VALUE"""),"RF-0156-001-PPP")</f>
        <v>RF-0156-001-PPP</v>
      </c>
    </row>
    <row r="1886" spans="1:2" ht="12.5" x14ac:dyDescent="0.25">
      <c r="A1886" t="str">
        <f ca="1">IFERROR(__xludf.DUMMYFUNCTION("""COMPUTED_VALUE"""),"Endrin aldehyde")</f>
        <v>Endrin aldehyde</v>
      </c>
      <c r="B1886" t="str">
        <f ca="1">IFERROR(__xludf.DUMMYFUNCTION("""COMPUTED_VALUE"""),"RF-0997-001-PPP")</f>
        <v>RF-0997-001-PPP</v>
      </c>
    </row>
    <row r="1887" spans="1:2" ht="12.5" x14ac:dyDescent="0.25">
      <c r="A1887" t="str">
        <f ca="1">IFERROR(__xludf.DUMMYFUNCTION("""COMPUTED_VALUE"""),"Endrin, Keto-")</f>
        <v>Endrin, Keto-</v>
      </c>
      <c r="B1887" t="str">
        <f ca="1">IFERROR(__xludf.DUMMYFUNCTION("""COMPUTED_VALUE"""),"RF-0653-001-PPP")</f>
        <v>RF-0653-001-PPP</v>
      </c>
    </row>
    <row r="1888" spans="1:2" ht="12.5" x14ac:dyDescent="0.25">
      <c r="A1888" t="str">
        <f ca="1">IFERROR(__xludf.DUMMYFUNCTION("""COMPUTED_VALUE"""),"Energy and macronutrients")</f>
        <v>Energy and macronutrients</v>
      </c>
      <c r="B1888" t="str">
        <f ca="1">IFERROR(__xludf.DUMMYFUNCTION("""COMPUTED_VALUE"""),"RF-00000436-NTR")</f>
        <v>RF-00000436-NTR</v>
      </c>
    </row>
    <row r="1889" spans="1:2" ht="12.5" x14ac:dyDescent="0.25">
      <c r="A1889" t="str">
        <f ca="1">IFERROR(__xludf.DUMMYFUNCTION("""COMPUTED_VALUE"""),"energy, gross, determined by direct analysis")</f>
        <v>energy, gross, determined by direct analysis</v>
      </c>
      <c r="B1889" t="str">
        <f ca="1">IFERROR(__xludf.DUMMYFUNCTION("""COMPUTED_VALUE"""),"RF-00000079-NTR")</f>
        <v>RF-00000079-NTR</v>
      </c>
    </row>
    <row r="1890" spans="1:2" ht="12.5" x14ac:dyDescent="0.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x14ac:dyDescent="0.25">
      <c r="A1891" t="str">
        <f ca="1">IFERROR(__xludf.DUMMYFUNCTION("""COMPUTED_VALUE"""),"Enniatin  C")</f>
        <v>Enniatin  C</v>
      </c>
      <c r="B1891" t="str">
        <f ca="1">IFERROR(__xludf.DUMMYFUNCTION("""COMPUTED_VALUE"""),"RF-00000215-TOX")</f>
        <v>RF-00000215-TOX</v>
      </c>
    </row>
    <row r="1892" spans="1:2" ht="12.5" x14ac:dyDescent="0.25">
      <c r="A1892" t="str">
        <f ca="1">IFERROR(__xludf.DUMMYFUNCTION("""COMPUTED_VALUE"""),"Enniatin A")</f>
        <v>Enniatin A</v>
      </c>
      <c r="B1892" t="str">
        <f ca="1">IFERROR(__xludf.DUMMYFUNCTION("""COMPUTED_VALUE"""),"RF-00000211-TOX")</f>
        <v>RF-00000211-TOX</v>
      </c>
    </row>
    <row r="1893" spans="1:2" ht="12.5" x14ac:dyDescent="0.25">
      <c r="A1893" t="str">
        <f ca="1">IFERROR(__xludf.DUMMYFUNCTION("""COMPUTED_VALUE"""),"Enniatin A1")</f>
        <v>Enniatin A1</v>
      </c>
      <c r="B1893" t="str">
        <f ca="1">IFERROR(__xludf.DUMMYFUNCTION("""COMPUTED_VALUE"""),"RF-00000212-TOX")</f>
        <v>RF-00000212-TOX</v>
      </c>
    </row>
    <row r="1894" spans="1:2" ht="12.5" x14ac:dyDescent="0.25">
      <c r="A1894" t="str">
        <f ca="1">IFERROR(__xludf.DUMMYFUNCTION("""COMPUTED_VALUE"""),"Enniatin B")</f>
        <v>Enniatin B</v>
      </c>
      <c r="B1894" t="str">
        <f ca="1">IFERROR(__xludf.DUMMYFUNCTION("""COMPUTED_VALUE"""),"RF-00000213-TOX")</f>
        <v>RF-00000213-TOX</v>
      </c>
    </row>
    <row r="1895" spans="1:2" ht="12.5" x14ac:dyDescent="0.25">
      <c r="A1895" t="str">
        <f ca="1">IFERROR(__xludf.DUMMYFUNCTION("""COMPUTED_VALUE"""),"Enniatin B1")</f>
        <v>Enniatin B1</v>
      </c>
      <c r="B1895" t="str">
        <f ca="1">IFERROR(__xludf.DUMMYFUNCTION("""COMPUTED_VALUE"""),"RF-00000214-TOX")</f>
        <v>RF-00000214-TOX</v>
      </c>
    </row>
    <row r="1896" spans="1:2" ht="12.5" x14ac:dyDescent="0.25">
      <c r="A1896" t="str">
        <f ca="1">IFERROR(__xludf.DUMMYFUNCTION("""COMPUTED_VALUE"""),"Enniatin D")</f>
        <v>Enniatin D</v>
      </c>
      <c r="B1896" t="str">
        <f ca="1">IFERROR(__xludf.DUMMYFUNCTION("""COMPUTED_VALUE"""),"RF-00000216-TOX")</f>
        <v>RF-00000216-TOX</v>
      </c>
    </row>
    <row r="1897" spans="1:2" ht="12.5" x14ac:dyDescent="0.25">
      <c r="A1897" t="str">
        <f ca="1">IFERROR(__xludf.DUMMYFUNCTION("""COMPUTED_VALUE"""),"Enniatin E")</f>
        <v>Enniatin E</v>
      </c>
      <c r="B1897" t="str">
        <f ca="1">IFERROR(__xludf.DUMMYFUNCTION("""COMPUTED_VALUE"""),"RF-00000217-TOX")</f>
        <v>RF-00000217-TOX</v>
      </c>
    </row>
    <row r="1898" spans="1:2" ht="12.5" x14ac:dyDescent="0.25">
      <c r="A1898" t="str">
        <f ca="1">IFERROR(__xludf.DUMMYFUNCTION("""COMPUTED_VALUE"""),"Enniatin F")</f>
        <v>Enniatin F</v>
      </c>
      <c r="B1898" t="str">
        <f ca="1">IFERROR(__xludf.DUMMYFUNCTION("""COMPUTED_VALUE"""),"RF-00000218-TOX")</f>
        <v>RF-00000218-TOX</v>
      </c>
    </row>
    <row r="1899" spans="1:2" ht="12.5" x14ac:dyDescent="0.25">
      <c r="A1899" t="str">
        <f ca="1">IFERROR(__xludf.DUMMYFUNCTION("""COMPUTED_VALUE"""),"Enniatins")</f>
        <v>Enniatins</v>
      </c>
      <c r="B1899" t="str">
        <f ca="1">IFERROR(__xludf.DUMMYFUNCTION("""COMPUTED_VALUE"""),"RF-00000209-TOX")</f>
        <v>RF-00000209-TOX</v>
      </c>
    </row>
    <row r="1900" spans="1:2" ht="12.5" x14ac:dyDescent="0.25">
      <c r="A1900" t="str">
        <f ca="1">IFERROR(__xludf.DUMMYFUNCTION("""COMPUTED_VALUE"""),"Enrofloxacin")</f>
        <v>Enrofloxacin</v>
      </c>
      <c r="B1900" t="str">
        <f ca="1">IFERROR(__xludf.DUMMYFUNCTION("""COMPUTED_VALUE"""),"RF-00000551-VET")</f>
        <v>RF-00000551-VET</v>
      </c>
    </row>
    <row r="1901" spans="1:2" ht="12.5" x14ac:dyDescent="0.25">
      <c r="A1901" t="str">
        <f ca="1">IFERROR(__xludf.DUMMYFUNCTION("""COMPUTED_VALUE"""),"Entamoeba")</f>
        <v>Entamoeba</v>
      </c>
      <c r="B1901" t="str">
        <f ca="1">IFERROR(__xludf.DUMMYFUNCTION("""COMPUTED_VALUE"""),"RF-00000106-MCG")</f>
        <v>RF-00000106-MCG</v>
      </c>
    </row>
    <row r="1902" spans="1:2" ht="12.5" x14ac:dyDescent="0.25">
      <c r="A1902" t="str">
        <f ca="1">IFERROR(__xludf.DUMMYFUNCTION("""COMPUTED_VALUE"""),"Entamoeba histolytica")</f>
        <v>Entamoeba histolytica</v>
      </c>
      <c r="B1902" t="str">
        <f ca="1">IFERROR(__xludf.DUMMYFUNCTION("""COMPUTED_VALUE"""),"RF-00000107-MCG")</f>
        <v>RF-00000107-MCG</v>
      </c>
    </row>
    <row r="1903" spans="1:2" ht="12.5" x14ac:dyDescent="0.25">
      <c r="A1903" t="str">
        <f ca="1">IFERROR(__xludf.DUMMYFUNCTION("""COMPUTED_VALUE"""),"Entamoeba spp.,  unspecified")</f>
        <v>Entamoeba spp.,  unspecified</v>
      </c>
      <c r="B1903" t="str">
        <f ca="1">IFERROR(__xludf.DUMMYFUNCTION("""COMPUTED_VALUE"""),"RF-00000108-MCG")</f>
        <v>RF-00000108-MCG</v>
      </c>
    </row>
    <row r="1904" spans="1:2" ht="12.5" x14ac:dyDescent="0.25">
      <c r="A1904" t="str">
        <f ca="1">IFERROR(__xludf.DUMMYFUNCTION("""COMPUTED_VALUE"""),"Enterococcus")</f>
        <v>Enterococcus</v>
      </c>
      <c r="B1904" t="str">
        <f ca="1">IFERROR(__xludf.DUMMYFUNCTION("""COMPUTED_VALUE"""),"RF-00002665-MCG")</f>
        <v>RF-00002665-MCG</v>
      </c>
    </row>
    <row r="1905" spans="1:2" ht="12.5" x14ac:dyDescent="0.25">
      <c r="A1905" t="str">
        <f ca="1">IFERROR(__xludf.DUMMYFUNCTION("""COMPUTED_VALUE"""),"Enterococcus  spp., unspecified")</f>
        <v>Enterococcus  spp., unspecified</v>
      </c>
      <c r="B1905" t="str">
        <f ca="1">IFERROR(__xludf.DUMMYFUNCTION("""COMPUTED_VALUE"""),"RF-00000119-MCG")</f>
        <v>RF-00000119-MCG</v>
      </c>
    </row>
    <row r="1906" spans="1:2" ht="12.5" x14ac:dyDescent="0.25">
      <c r="A1906" t="str">
        <f ca="1">IFERROR(__xludf.DUMMYFUNCTION("""COMPUTED_VALUE"""),"Enterococcus faecalis")</f>
        <v>Enterococcus faecalis</v>
      </c>
      <c r="B1906" t="str">
        <f ca="1">IFERROR(__xludf.DUMMYFUNCTION("""COMPUTED_VALUE"""),"RF-00000118-MCG")</f>
        <v>RF-00000118-MCG</v>
      </c>
    </row>
    <row r="1907" spans="1:2" ht="12.5" x14ac:dyDescent="0.25">
      <c r="A1907" t="str">
        <f ca="1">IFERROR(__xludf.DUMMYFUNCTION("""COMPUTED_VALUE"""),"Enterococcus faecium")</f>
        <v>Enterococcus faecium</v>
      </c>
      <c r="B1907" t="str">
        <f ca="1">IFERROR(__xludf.DUMMYFUNCTION("""COMPUTED_VALUE"""),"RF-00000117-MCG")</f>
        <v>RF-00000117-MCG</v>
      </c>
    </row>
    <row r="1908" spans="1:2" ht="12.5" x14ac:dyDescent="0.25">
      <c r="A1908" t="str">
        <f ca="1">IFERROR(__xludf.DUMMYFUNCTION("""COMPUTED_VALUE"""),"Enterococcus, non-pathogenic")</f>
        <v>Enterococcus, non-pathogenic</v>
      </c>
      <c r="B1908" t="str">
        <f ca="1">IFERROR(__xludf.DUMMYFUNCTION("""COMPUTED_VALUE"""),"RF-00000112-MCG")</f>
        <v>RF-00000112-MCG</v>
      </c>
    </row>
    <row r="1909" spans="1:2" ht="12.5" x14ac:dyDescent="0.25">
      <c r="A1909" t="str">
        <f ca="1">IFERROR(__xludf.DUMMYFUNCTION("""COMPUTED_VALUE"""),"Enterococcus, non-pathogenic - E. Faecalis")</f>
        <v>Enterococcus, non-pathogenic - E. Faecalis</v>
      </c>
      <c r="B1909" t="str">
        <f ca="1">IFERROR(__xludf.DUMMYFUNCTION("""COMPUTED_VALUE"""),"RF-00000113-MCG")</f>
        <v>RF-00000113-MCG</v>
      </c>
    </row>
    <row r="1910" spans="1:2" ht="12.5" x14ac:dyDescent="0.25">
      <c r="A1910" t="str">
        <f ca="1">IFERROR(__xludf.DUMMYFUNCTION("""COMPUTED_VALUE"""),"Enterococcus, non-pathogenic - E. faecium")</f>
        <v>Enterococcus, non-pathogenic - E. faecium</v>
      </c>
      <c r="B1910" t="str">
        <f ca="1">IFERROR(__xludf.DUMMYFUNCTION("""COMPUTED_VALUE"""),"RF-00000114-MCG")</f>
        <v>RF-00000114-MCG</v>
      </c>
    </row>
    <row r="1911" spans="1:2" ht="12.5" x14ac:dyDescent="0.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x14ac:dyDescent="0.25">
      <c r="A1912" t="str">
        <f ca="1">IFERROR(__xludf.DUMMYFUNCTION("""COMPUTED_VALUE"""),"Enterococcus, pathogenic")</f>
        <v>Enterococcus, pathogenic</v>
      </c>
      <c r="B1912" t="str">
        <f ca="1">IFERROR(__xludf.DUMMYFUNCTION("""COMPUTED_VALUE"""),"RF-00000116-MCG")</f>
        <v>RF-00000116-MCG</v>
      </c>
    </row>
    <row r="1913" spans="1:2" ht="12.5" x14ac:dyDescent="0.25">
      <c r="A1913" t="str">
        <f ca="1">IFERROR(__xludf.DUMMYFUNCTION("""COMPUTED_VALUE"""),"Enterococcus, pathogenic - E. faecalis")</f>
        <v>Enterococcus, pathogenic - E. faecalis</v>
      </c>
      <c r="B1913" t="str">
        <f ca="1">IFERROR(__xludf.DUMMYFUNCTION("""COMPUTED_VALUE"""),"RF-00004076-MCG")</f>
        <v>RF-00004076-MCG</v>
      </c>
    </row>
    <row r="1914" spans="1:2" ht="12.5" x14ac:dyDescent="0.25">
      <c r="A1914" t="str">
        <f ca="1">IFERROR(__xludf.DUMMYFUNCTION("""COMPUTED_VALUE"""),"Enterococcus, pathogenic - E. faecium")</f>
        <v>Enterococcus, pathogenic - E. faecium</v>
      </c>
      <c r="B1914" t="str">
        <f ca="1">IFERROR(__xludf.DUMMYFUNCTION("""COMPUTED_VALUE"""),"RF-00004078-MCG")</f>
        <v>RF-00004078-MCG</v>
      </c>
    </row>
    <row r="1915" spans="1:2" ht="12.5" x14ac:dyDescent="0.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x14ac:dyDescent="0.25">
      <c r="A1916" t="str">
        <f ca="1">IFERROR(__xludf.DUMMYFUNCTION("""COMPUTED_VALUE"""),"Enteroinvasive E. coli (EIEC)")</f>
        <v>Enteroinvasive E. coli (EIEC)</v>
      </c>
      <c r="B1916" t="str">
        <f ca="1">IFERROR(__xludf.DUMMYFUNCTION("""COMPUTED_VALUE"""),"RF-00000130-MCG")</f>
        <v>RF-00000130-MCG</v>
      </c>
    </row>
    <row r="1917" spans="1:2" ht="12.5" x14ac:dyDescent="0.25">
      <c r="A1917" t="str">
        <f ca="1">IFERROR(__xludf.DUMMYFUNCTION("""COMPUTED_VALUE"""),"Enteropathogenic E. coli (EPEC)")</f>
        <v>Enteropathogenic E. coli (EPEC)</v>
      </c>
      <c r="B1917" t="str">
        <f ca="1">IFERROR(__xludf.DUMMYFUNCTION("""COMPUTED_VALUE"""),"RF-00000128-MCG")</f>
        <v>RF-00000128-MCG</v>
      </c>
    </row>
    <row r="1918" spans="1:2" ht="12.5" x14ac:dyDescent="0.25">
      <c r="A1918" t="str">
        <f ca="1">IFERROR(__xludf.DUMMYFUNCTION("""COMPUTED_VALUE"""),"Enterotoxigenic E. coli (ETEC)")</f>
        <v>Enterotoxigenic E. coli (ETEC)</v>
      </c>
      <c r="B1918" t="str">
        <f ca="1">IFERROR(__xludf.DUMMYFUNCTION("""COMPUTED_VALUE"""),"RF-00000129-MCG")</f>
        <v>RF-00000129-MCG</v>
      </c>
    </row>
    <row r="1919" spans="1:2" ht="12.5" x14ac:dyDescent="0.25">
      <c r="A1919" t="str">
        <f ca="1">IFERROR(__xludf.DUMMYFUNCTION("""COMPUTED_VALUE"""),"Enterotoxin A")</f>
        <v>Enterotoxin A</v>
      </c>
      <c r="B1919" t="str">
        <f ca="1">IFERROR(__xludf.DUMMYFUNCTION("""COMPUTED_VALUE"""),"RF-00002486-MCG")</f>
        <v>RF-00002486-MCG</v>
      </c>
    </row>
    <row r="1920" spans="1:2" ht="12.5" x14ac:dyDescent="0.25">
      <c r="A1920" t="str">
        <f ca="1">IFERROR(__xludf.DUMMYFUNCTION("""COMPUTED_VALUE"""),"Enterotoxin B")</f>
        <v>Enterotoxin B</v>
      </c>
      <c r="B1920" t="str">
        <f ca="1">IFERROR(__xludf.DUMMYFUNCTION("""COMPUTED_VALUE"""),"RF-00002487-MCG")</f>
        <v>RF-00002487-MCG</v>
      </c>
    </row>
    <row r="1921" spans="1:2" ht="12.5" x14ac:dyDescent="0.25">
      <c r="A1921" t="str">
        <f ca="1">IFERROR(__xludf.DUMMYFUNCTION("""COMPUTED_VALUE"""),"Enterotoxin C")</f>
        <v>Enterotoxin C</v>
      </c>
      <c r="B1921" t="str">
        <f ca="1">IFERROR(__xludf.DUMMYFUNCTION("""COMPUTED_VALUE"""),"RF-00002489-MCG")</f>
        <v>RF-00002489-MCG</v>
      </c>
    </row>
    <row r="1922" spans="1:2" ht="12.5" x14ac:dyDescent="0.25">
      <c r="A1922" t="str">
        <f ca="1">IFERROR(__xludf.DUMMYFUNCTION("""COMPUTED_VALUE"""),"Enterotoxin D")</f>
        <v>Enterotoxin D</v>
      </c>
      <c r="B1922" t="str">
        <f ca="1">IFERROR(__xludf.DUMMYFUNCTION("""COMPUTED_VALUE"""),"RF-00002491-MCG")</f>
        <v>RF-00002491-MCG</v>
      </c>
    </row>
    <row r="1923" spans="1:2" ht="12.5" x14ac:dyDescent="0.25">
      <c r="A1923" t="str">
        <f ca="1">IFERROR(__xludf.DUMMYFUNCTION("""COMPUTED_VALUE"""),"Enterotoxin E")</f>
        <v>Enterotoxin E</v>
      </c>
      <c r="B1923" t="str">
        <f ca="1">IFERROR(__xludf.DUMMYFUNCTION("""COMPUTED_VALUE"""),"RF-00002488-MCG")</f>
        <v>RF-00002488-MCG</v>
      </c>
    </row>
    <row r="1924" spans="1:2" ht="12.5" x14ac:dyDescent="0.25">
      <c r="A1924" t="str">
        <f ca="1">IFERROR(__xludf.DUMMYFUNCTION("""COMPUTED_VALUE"""),"Enterotoxin H")</f>
        <v>Enterotoxin H</v>
      </c>
      <c r="B1924" t="str">
        <f ca="1">IFERROR(__xludf.DUMMYFUNCTION("""COMPUTED_VALUE"""),"RF-00002490-MCG")</f>
        <v>RF-00002490-MCG</v>
      </c>
    </row>
    <row r="1925" spans="1:2" ht="12.5" x14ac:dyDescent="0.25">
      <c r="A1925" t="str">
        <f ca="1">IFERROR(__xludf.DUMMYFUNCTION("""COMPUTED_VALUE"""),"Enterovirus")</f>
        <v>Enterovirus</v>
      </c>
      <c r="B1925" t="str">
        <f ca="1">IFERROR(__xludf.DUMMYFUNCTION("""COMPUTED_VALUE"""),"RF-00000120-MCG")</f>
        <v>RF-00000120-MCG</v>
      </c>
    </row>
    <row r="1926" spans="1:2" ht="12.5" x14ac:dyDescent="0.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x14ac:dyDescent="0.25">
      <c r="A1927" t="str">
        <f ca="1">IFERROR(__xludf.DUMMYFUNCTION("""COMPUTED_VALUE"""),"Epi-Chlortetracycline")</f>
        <v>Epi-Chlortetracycline</v>
      </c>
      <c r="B1927" t="str">
        <f ca="1">IFERROR(__xludf.DUMMYFUNCTION("""COMPUTED_VALUE"""),"RF-00000579-VET")</f>
        <v>RF-00000579-VET</v>
      </c>
    </row>
    <row r="1928" spans="1:2" ht="12.5" x14ac:dyDescent="0.25">
      <c r="A1928" t="str">
        <f ca="1">IFERROR(__xludf.DUMMYFUNCTION("""COMPUTED_VALUE"""),"Epi-domoic acid")</f>
        <v>Epi-domoic acid</v>
      </c>
      <c r="B1928" t="str">
        <f ca="1">IFERROR(__xludf.DUMMYFUNCTION("""COMPUTED_VALUE"""),"RF-00000053-TOX")</f>
        <v>RF-00000053-TOX</v>
      </c>
    </row>
    <row r="1929" spans="1:2" ht="12.5" x14ac:dyDescent="0.25">
      <c r="A1929" t="str">
        <f ca="1">IFERROR(__xludf.DUMMYFUNCTION("""COMPUTED_VALUE"""),"Epi-Oxytetracycline")</f>
        <v>Epi-Oxytetracycline</v>
      </c>
      <c r="B1929" t="str">
        <f ca="1">IFERROR(__xludf.DUMMYFUNCTION("""COMPUTED_VALUE"""),"RF-00000586-VET")</f>
        <v>RF-00000586-VET</v>
      </c>
    </row>
    <row r="1930" spans="1:2" ht="12.5" x14ac:dyDescent="0.25">
      <c r="A1930" t="str">
        <f ca="1">IFERROR(__xludf.DUMMYFUNCTION("""COMPUTED_VALUE"""),"Epi-Tetracycline")</f>
        <v>Epi-Tetracycline</v>
      </c>
      <c r="B1930" t="str">
        <f ca="1">IFERROR(__xludf.DUMMYFUNCTION("""COMPUTED_VALUE"""),"RF-00000588-VET")</f>
        <v>RF-00000588-VET</v>
      </c>
    </row>
    <row r="1931" spans="1:2" ht="12.5" x14ac:dyDescent="0.25">
      <c r="A1931" t="str">
        <f ca="1">IFERROR(__xludf.DUMMYFUNCTION("""COMPUTED_VALUE"""),"Epiandrosterone")</f>
        <v>Epiandrosterone</v>
      </c>
      <c r="B1931" t="str">
        <f ca="1">IFERROR(__xludf.DUMMYFUNCTION("""COMPUTED_VALUE"""),"RF-00000438-VET")</f>
        <v>RF-00000438-VET</v>
      </c>
    </row>
    <row r="1932" spans="1:2" ht="12.5" x14ac:dyDescent="0.25">
      <c r="A1932" t="str">
        <f ca="1">IFERROR(__xludf.DUMMYFUNCTION("""COMPUTED_VALUE"""),"epicatechin")</f>
        <v>epicatechin</v>
      </c>
      <c r="B1932" t="str">
        <f ca="1">IFERROR(__xludf.DUMMYFUNCTION("""COMPUTED_VALUE"""),"RF-00000081-NTR")</f>
        <v>RF-00000081-NTR</v>
      </c>
    </row>
    <row r="1933" spans="1:2" ht="12.5" x14ac:dyDescent="0.25">
      <c r="A1933" t="str">
        <f ca="1">IFERROR(__xludf.DUMMYFUNCTION("""COMPUTED_VALUE"""),"Epinandrolone (19-Norepitestosterone)")</f>
        <v>Epinandrolone (19-Norepitestosterone)</v>
      </c>
      <c r="B1933" t="str">
        <f ca="1">IFERROR(__xludf.DUMMYFUNCTION("""COMPUTED_VALUE"""),"RF-00000428-VET")</f>
        <v>RF-00000428-VET</v>
      </c>
    </row>
    <row r="1934" spans="1:2" ht="12.5" x14ac:dyDescent="0.25">
      <c r="A1934" t="str">
        <f ca="1">IFERROR(__xludf.DUMMYFUNCTION("""COMPUTED_VALUE"""),"Epitrenbolone")</f>
        <v>Epitrenbolone</v>
      </c>
      <c r="B1934" t="str">
        <f ca="1">IFERROR(__xludf.DUMMYFUNCTION("""COMPUTED_VALUE"""),"RF-00000434-VET")</f>
        <v>RF-00000434-VET</v>
      </c>
    </row>
    <row r="1935" spans="1:2" ht="12.5" x14ac:dyDescent="0.25">
      <c r="A1935" t="str">
        <f ca="1">IFERROR(__xludf.DUMMYFUNCTION("""COMPUTED_VALUE"""),"EPN")</f>
        <v>EPN</v>
      </c>
      <c r="B1935" t="str">
        <f ca="1">IFERROR(__xludf.DUMMYFUNCTION("""COMPUTED_VALUE"""),"RF-0654-001-PPP")</f>
        <v>RF-0654-001-PPP</v>
      </c>
    </row>
    <row r="1936" spans="1:2" ht="12.5" x14ac:dyDescent="0.25">
      <c r="A1936" t="str">
        <f ca="1">IFERROR(__xludf.DUMMYFUNCTION("""COMPUTED_VALUE"""),"Epoxiconazole")</f>
        <v>Epoxiconazole</v>
      </c>
      <c r="B1936" t="str">
        <f ca="1">IFERROR(__xludf.DUMMYFUNCTION("""COMPUTED_VALUE"""),"RF-0157-001-PPP")</f>
        <v>RF-0157-001-PPP</v>
      </c>
    </row>
    <row r="1937" spans="1:2" ht="12.5" x14ac:dyDescent="0.25">
      <c r="A1937" t="str">
        <f ca="1">IFERROR(__xludf.DUMMYFUNCTION("""COMPUTED_VALUE"""),"Eprinomectin")</f>
        <v>Eprinomectin</v>
      </c>
      <c r="B1937" t="str">
        <f ca="1">IFERROR(__xludf.DUMMYFUNCTION("""COMPUTED_VALUE"""),"RF-00000006-VET")</f>
        <v>RF-00000006-VET</v>
      </c>
    </row>
    <row r="1938" spans="1:2" ht="12.5" x14ac:dyDescent="0.25">
      <c r="A1938" t="str">
        <f ca="1">IFERROR(__xludf.DUMMYFUNCTION("""COMPUTED_VALUE"""),"Eprinomectin B1a")</f>
        <v>Eprinomectin B1a</v>
      </c>
      <c r="B1938" t="str">
        <f ca="1">IFERROR(__xludf.DUMMYFUNCTION("""COMPUTED_VALUE"""),"RF-00000003-VET")</f>
        <v>RF-00000003-VET</v>
      </c>
    </row>
    <row r="1939" spans="1:2" ht="12.5" x14ac:dyDescent="0.25">
      <c r="A1939" t="str">
        <f ca="1">IFERROR(__xludf.DUMMYFUNCTION("""COMPUTED_VALUE"""),"EPTC (ethyl dipropylthiocarbamate)")</f>
        <v>EPTC (ethyl dipropylthiocarbamate)</v>
      </c>
      <c r="B1939" t="str">
        <f ca="1">IFERROR(__xludf.DUMMYFUNCTION("""COMPUTED_VALUE"""),"RF-0158-001-PPP")</f>
        <v>RF-0158-001-PPP</v>
      </c>
    </row>
    <row r="1940" spans="1:2" ht="12.5" x14ac:dyDescent="0.25">
      <c r="A1940" t="str">
        <f ca="1">IFERROR(__xludf.DUMMYFUNCTION("""COMPUTED_VALUE"""),"Equilenin")</f>
        <v>Equilenin</v>
      </c>
      <c r="B1940" t="str">
        <f ca="1">IFERROR(__xludf.DUMMYFUNCTION("""COMPUTED_VALUE"""),"RF-00000441-VET")</f>
        <v>RF-00000441-VET</v>
      </c>
    </row>
    <row r="1941" spans="1:2" ht="12.5" x14ac:dyDescent="0.25">
      <c r="A1941" t="str">
        <f ca="1">IFERROR(__xludf.DUMMYFUNCTION("""COMPUTED_VALUE"""),"Equilenin-16-Hydroxy")</f>
        <v>Equilenin-16-Hydroxy</v>
      </c>
      <c r="B1941" t="str">
        <f ca="1">IFERROR(__xludf.DUMMYFUNCTION("""COMPUTED_VALUE"""),"RF-00000371-VET")</f>
        <v>RF-00000371-VET</v>
      </c>
    </row>
    <row r="1942" spans="1:2" ht="12.5" x14ac:dyDescent="0.25">
      <c r="A1942" t="str">
        <f ca="1">IFERROR(__xludf.DUMMYFUNCTION("""COMPUTED_VALUE"""),"Equilenin-17-Dihydro")</f>
        <v>Equilenin-17-Dihydro</v>
      </c>
      <c r="B1942" t="str">
        <f ca="1">IFERROR(__xludf.DUMMYFUNCTION("""COMPUTED_VALUE"""),"RF-00000399-VET")</f>
        <v>RF-00000399-VET</v>
      </c>
    </row>
    <row r="1943" spans="1:2" ht="12.5" x14ac:dyDescent="0.25">
      <c r="A1943" t="str">
        <f ca="1">IFERROR(__xludf.DUMMYFUNCTION("""COMPUTED_VALUE"""),"Equilenin-4-Hydroxy")</f>
        <v>Equilenin-4-Hydroxy</v>
      </c>
      <c r="B1943" t="str">
        <f ca="1">IFERROR(__xludf.DUMMYFUNCTION("""COMPUTED_VALUE"""),"RF-00000366-VET")</f>
        <v>RF-00000366-VET</v>
      </c>
    </row>
    <row r="1944" spans="1:2" ht="12.5" x14ac:dyDescent="0.25">
      <c r="A1944" t="str">
        <f ca="1">IFERROR(__xludf.DUMMYFUNCTION("""COMPUTED_VALUE"""),"Equilin")</f>
        <v>Equilin</v>
      </c>
      <c r="B1944" t="str">
        <f ca="1">IFERROR(__xludf.DUMMYFUNCTION("""COMPUTED_VALUE"""),"RF-00000365-VET")</f>
        <v>RF-00000365-VET</v>
      </c>
    </row>
    <row r="1945" spans="1:2" ht="12.5" x14ac:dyDescent="0.25">
      <c r="A1945" t="str">
        <f ca="1">IFERROR(__xludf.DUMMYFUNCTION("""COMPUTED_VALUE"""),"Ergine")</f>
        <v>Ergine</v>
      </c>
      <c r="B1945" t="str">
        <f ca="1">IFERROR(__xludf.DUMMYFUNCTION("""COMPUTED_VALUE"""),"RF-00000385-TOX")</f>
        <v>RF-00000385-TOX</v>
      </c>
    </row>
    <row r="1946" spans="1:2" ht="12.5" x14ac:dyDescent="0.25">
      <c r="A1946" t="str">
        <f ca="1">IFERROR(__xludf.DUMMYFUNCTION("""COMPUTED_VALUE"""),"Erginine")</f>
        <v>Erginine</v>
      </c>
      <c r="B1946" t="str">
        <f ca="1">IFERROR(__xludf.DUMMYFUNCTION("""COMPUTED_VALUE"""),"RF-00000386-TOX")</f>
        <v>RF-00000386-TOX</v>
      </c>
    </row>
    <row r="1947" spans="1:2" ht="12.5" x14ac:dyDescent="0.25">
      <c r="A1947" t="str">
        <f ca="1">IFERROR(__xludf.DUMMYFUNCTION("""COMPUTED_VALUE"""),"ergocalciferol")</f>
        <v>ergocalciferol</v>
      </c>
      <c r="B1947" t="str">
        <f ca="1">IFERROR(__xludf.DUMMYFUNCTION("""COMPUTED_VALUE"""),"RF-00000082-NTR")</f>
        <v>RF-00000082-NTR</v>
      </c>
    </row>
    <row r="1948" spans="1:2" ht="12.5" x14ac:dyDescent="0.25">
      <c r="A1948" t="str">
        <f ca="1">IFERROR(__xludf.DUMMYFUNCTION("""COMPUTED_VALUE"""),"Ergocornine")</f>
        <v>Ergocornine</v>
      </c>
      <c r="B1948" t="str">
        <f ca="1">IFERROR(__xludf.DUMMYFUNCTION("""COMPUTED_VALUE"""),"RF-00000136-TOX")</f>
        <v>RF-00000136-TOX</v>
      </c>
    </row>
    <row r="1949" spans="1:2" ht="12.5" x14ac:dyDescent="0.25">
      <c r="A1949" t="str">
        <f ca="1">IFERROR(__xludf.DUMMYFUNCTION("""COMPUTED_VALUE"""),"Ergocorninine")</f>
        <v>Ergocorninine</v>
      </c>
      <c r="B1949" t="str">
        <f ca="1">IFERROR(__xludf.DUMMYFUNCTION("""COMPUTED_VALUE"""),"RF-00000143-TOX")</f>
        <v>RF-00000143-TOX</v>
      </c>
    </row>
    <row r="1950" spans="1:2" ht="12.5" x14ac:dyDescent="0.25">
      <c r="A1950" t="str">
        <f ca="1">IFERROR(__xludf.DUMMYFUNCTION("""COMPUTED_VALUE"""),"Ergocristine")</f>
        <v>Ergocristine</v>
      </c>
      <c r="B1950" t="str">
        <f ca="1">IFERROR(__xludf.DUMMYFUNCTION("""COMPUTED_VALUE"""),"RF-00000140-TOX")</f>
        <v>RF-00000140-TOX</v>
      </c>
    </row>
    <row r="1951" spans="1:2" ht="12.5" x14ac:dyDescent="0.25">
      <c r="A1951" t="str">
        <f ca="1">IFERROR(__xludf.DUMMYFUNCTION("""COMPUTED_VALUE"""),"Ergocristinine")</f>
        <v>Ergocristinine</v>
      </c>
      <c r="B1951" t="str">
        <f ca="1">IFERROR(__xludf.DUMMYFUNCTION("""COMPUTED_VALUE"""),"RF-00000147-TOX")</f>
        <v>RF-00000147-TOX</v>
      </c>
    </row>
    <row r="1952" spans="1:2" ht="12.5" x14ac:dyDescent="0.25">
      <c r="A1952" t="str">
        <f ca="1">IFERROR(__xludf.DUMMYFUNCTION("""COMPUTED_VALUE"""),"Ergocryptine (sum of alpha and beta epimers)")</f>
        <v>Ergocryptine (sum of alpha and beta epimers)</v>
      </c>
      <c r="B1952" t="str">
        <f ca="1">IFERROR(__xludf.DUMMYFUNCTION("""COMPUTED_VALUE"""),"RF-00000256-TOX")</f>
        <v>RF-00000256-TOX</v>
      </c>
    </row>
    <row r="1953" spans="1:2" ht="12.5" x14ac:dyDescent="0.25">
      <c r="A1953" t="str">
        <f ca="1">IFERROR(__xludf.DUMMYFUNCTION("""COMPUTED_VALUE"""),"Ergocryptinine (sum of alpha and beta epimers)")</f>
        <v>Ergocryptinine (sum of alpha and beta epimers)</v>
      </c>
      <c r="B1953" t="str">
        <f ca="1">IFERROR(__xludf.DUMMYFUNCTION("""COMPUTED_VALUE"""),"RF-00000257-TOX")</f>
        <v>RF-00000257-TOX</v>
      </c>
    </row>
    <row r="1954" spans="1:2" ht="12.5" x14ac:dyDescent="0.25">
      <c r="A1954" t="str">
        <f ca="1">IFERROR(__xludf.DUMMYFUNCTION("""COMPUTED_VALUE"""),"Ergometrine")</f>
        <v>Ergometrine</v>
      </c>
      <c r="B1954" t="str">
        <f ca="1">IFERROR(__xludf.DUMMYFUNCTION("""COMPUTED_VALUE"""),"RF-00000134-TOX")</f>
        <v>RF-00000134-TOX</v>
      </c>
    </row>
    <row r="1955" spans="1:2" ht="12.5" x14ac:dyDescent="0.25">
      <c r="A1955" t="str">
        <f ca="1">IFERROR(__xludf.DUMMYFUNCTION("""COMPUTED_VALUE"""),"Ergometrinine")</f>
        <v>Ergometrinine</v>
      </c>
      <c r="B1955" t="str">
        <f ca="1">IFERROR(__xludf.DUMMYFUNCTION("""COMPUTED_VALUE"""),"RF-00000141-TOX")</f>
        <v>RF-00000141-TOX</v>
      </c>
    </row>
    <row r="1956" spans="1:2" ht="12.5" x14ac:dyDescent="0.25">
      <c r="A1956" t="str">
        <f ca="1">IFERROR(__xludf.DUMMYFUNCTION("""COMPUTED_VALUE"""),"Ergonovine")</f>
        <v>Ergonovine</v>
      </c>
      <c r="B1956" t="str">
        <f ca="1">IFERROR(__xludf.DUMMYFUNCTION("""COMPUTED_VALUE"""),"RF-00000387-TOX")</f>
        <v>RF-00000387-TOX</v>
      </c>
    </row>
    <row r="1957" spans="1:2" ht="12.5" x14ac:dyDescent="0.25">
      <c r="A1957" t="str">
        <f ca="1">IFERROR(__xludf.DUMMYFUNCTION("""COMPUTED_VALUE"""),"Ergonovinine")</f>
        <v>Ergonovinine</v>
      </c>
      <c r="B1957" t="str">
        <f ca="1">IFERROR(__xludf.DUMMYFUNCTION("""COMPUTED_VALUE"""),"RF-00000388-TOX")</f>
        <v>RF-00000388-TOX</v>
      </c>
    </row>
    <row r="1958" spans="1:2" ht="12.5" x14ac:dyDescent="0.25">
      <c r="A1958" t="str">
        <f ca="1">IFERROR(__xludf.DUMMYFUNCTION("""COMPUTED_VALUE"""),"Ergosine")</f>
        <v>Ergosine</v>
      </c>
      <c r="B1958" t="str">
        <f ca="1">IFERROR(__xludf.DUMMYFUNCTION("""COMPUTED_VALUE"""),"RF-00000135-TOX")</f>
        <v>RF-00000135-TOX</v>
      </c>
    </row>
    <row r="1959" spans="1:2" ht="12.5" x14ac:dyDescent="0.25">
      <c r="A1959" t="str">
        <f ca="1">IFERROR(__xludf.DUMMYFUNCTION("""COMPUTED_VALUE"""),"Ergosinine")</f>
        <v>Ergosinine</v>
      </c>
      <c r="B1959" t="str">
        <f ca="1">IFERROR(__xludf.DUMMYFUNCTION("""COMPUTED_VALUE"""),"RF-00000142-TOX")</f>
        <v>RF-00000142-TOX</v>
      </c>
    </row>
    <row r="1960" spans="1:2" ht="12.5" x14ac:dyDescent="0.25">
      <c r="A1960" t="str">
        <f ca="1">IFERROR(__xludf.DUMMYFUNCTION("""COMPUTED_VALUE"""),"ergosterol")</f>
        <v>ergosterol</v>
      </c>
      <c r="B1960" t="str">
        <f ca="1">IFERROR(__xludf.DUMMYFUNCTION("""COMPUTED_VALUE"""),"RF-00000083-NTR")</f>
        <v>RF-00000083-NTR</v>
      </c>
    </row>
    <row r="1961" spans="1:2" ht="12.5" x14ac:dyDescent="0.25">
      <c r="A1961" t="str">
        <f ca="1">IFERROR(__xludf.DUMMYFUNCTION("""COMPUTED_VALUE"""),"Ergot alkaloids")</f>
        <v>Ergot alkaloids</v>
      </c>
      <c r="B1961" t="str">
        <f ca="1">IFERROR(__xludf.DUMMYFUNCTION("""COMPUTED_VALUE"""),"RF-00000133-TOX")</f>
        <v>RF-00000133-TOX</v>
      </c>
    </row>
    <row r="1962" spans="1:2" ht="12.5" x14ac:dyDescent="0.25">
      <c r="A1962" t="str">
        <f ca="1">IFERROR(__xludf.DUMMYFUNCTION("""COMPUTED_VALUE"""),"Ergotamine")</f>
        <v>Ergotamine</v>
      </c>
      <c r="B1962" t="str">
        <f ca="1">IFERROR(__xludf.DUMMYFUNCTION("""COMPUTED_VALUE"""),"RF-00000137-TOX")</f>
        <v>RF-00000137-TOX</v>
      </c>
    </row>
    <row r="1963" spans="1:2" ht="12.5" x14ac:dyDescent="0.25">
      <c r="A1963" t="str">
        <f ca="1">IFERROR(__xludf.DUMMYFUNCTION("""COMPUTED_VALUE"""),"Ergotaminine")</f>
        <v>Ergotaminine</v>
      </c>
      <c r="B1963" t="str">
        <f ca="1">IFERROR(__xludf.DUMMYFUNCTION("""COMPUTED_VALUE"""),"RF-00000144-TOX")</f>
        <v>RF-00000144-TOX</v>
      </c>
    </row>
    <row r="1964" spans="1:2" ht="12.5" x14ac:dyDescent="0.25">
      <c r="A1964" t="str">
        <f ca="1">IFERROR(__xludf.DUMMYFUNCTION("""COMPUTED_VALUE"""),"Ergovaline")</f>
        <v>Ergovaline</v>
      </c>
      <c r="B1964" t="str">
        <f ca="1">IFERROR(__xludf.DUMMYFUNCTION("""COMPUTED_VALUE"""),"RF-00000389-TOX")</f>
        <v>RF-00000389-TOX</v>
      </c>
    </row>
    <row r="1965" spans="1:2" ht="12.5" x14ac:dyDescent="0.25">
      <c r="A1965" t="str">
        <f ca="1">IFERROR(__xludf.DUMMYFUNCTION("""COMPUTED_VALUE"""),"Ertapenem")</f>
        <v>Ertapenem</v>
      </c>
      <c r="B1965" t="str">
        <f ca="1">IFERROR(__xludf.DUMMYFUNCTION("""COMPUTED_VALUE"""),"RF-00000143-PAR")</f>
        <v>RF-00000143-PAR</v>
      </c>
    </row>
    <row r="1966" spans="1:2" ht="12.5" x14ac:dyDescent="0.25">
      <c r="A1966" t="str">
        <f ca="1">IFERROR(__xludf.DUMMYFUNCTION("""COMPUTED_VALUE"""),"Eruciflorine")</f>
        <v>Eruciflorine</v>
      </c>
      <c r="B1966" t="str">
        <f ca="1">IFERROR(__xludf.DUMMYFUNCTION("""COMPUTED_VALUE"""),"RF-00000278-TOX")</f>
        <v>RF-00000278-TOX</v>
      </c>
    </row>
    <row r="1967" spans="1:2" ht="12.5" x14ac:dyDescent="0.25">
      <c r="A1967" t="str">
        <f ca="1">IFERROR(__xludf.DUMMYFUNCTION("""COMPUTED_VALUE"""),"Erucifoline")</f>
        <v>Erucifoline</v>
      </c>
      <c r="B1967" t="str">
        <f ca="1">IFERROR(__xludf.DUMMYFUNCTION("""COMPUTED_VALUE"""),"RF-00000279-TOX")</f>
        <v>RF-00000279-TOX</v>
      </c>
    </row>
    <row r="1968" spans="1:2" ht="12.5" x14ac:dyDescent="0.25">
      <c r="A1968" t="str">
        <f ca="1">IFERROR(__xludf.DUMMYFUNCTION("""COMPUTED_VALUE"""),"Erucifoline-N-oxide")</f>
        <v>Erucifoline-N-oxide</v>
      </c>
      <c r="B1968" t="str">
        <f ca="1">IFERROR(__xludf.DUMMYFUNCTION("""COMPUTED_VALUE"""),"RF-00000424-TOX")</f>
        <v>RF-00000424-TOX</v>
      </c>
    </row>
    <row r="1969" spans="1:2" ht="12.5" x14ac:dyDescent="0.25">
      <c r="A1969" t="str">
        <f ca="1">IFERROR(__xludf.DUMMYFUNCTION("""COMPUTED_VALUE"""),"Erysipelothrix")</f>
        <v>Erysipelothrix</v>
      </c>
      <c r="B1969" t="str">
        <f ca="1">IFERROR(__xludf.DUMMYFUNCTION("""COMPUTED_VALUE"""),"RF-00000122-MCG")</f>
        <v>RF-00000122-MCG</v>
      </c>
    </row>
    <row r="1970" spans="1:2" ht="12.5" x14ac:dyDescent="0.25">
      <c r="A1970" t="str">
        <f ca="1">IFERROR(__xludf.DUMMYFUNCTION("""COMPUTED_VALUE"""),"Erysipelothrix rhusiopathiae")</f>
        <v>Erysipelothrix rhusiopathiae</v>
      </c>
      <c r="B1970" t="str">
        <f ca="1">IFERROR(__xludf.DUMMYFUNCTION("""COMPUTED_VALUE"""),"RF-00000124-MCG")</f>
        <v>RF-00000124-MCG</v>
      </c>
    </row>
    <row r="1971" spans="1:2" ht="12.5" x14ac:dyDescent="0.25">
      <c r="A1971" t="str">
        <f ca="1">IFERROR(__xludf.DUMMYFUNCTION("""COMPUTED_VALUE"""),"Erysipelothrix spp., unspecified")</f>
        <v>Erysipelothrix spp., unspecified</v>
      </c>
      <c r="B1971" t="str">
        <f ca="1">IFERROR(__xludf.DUMMYFUNCTION("""COMPUTED_VALUE"""),"RF-00000123-MCG")</f>
        <v>RF-00000123-MCG</v>
      </c>
    </row>
    <row r="1972" spans="1:2" ht="12.5" x14ac:dyDescent="0.25">
      <c r="A1972" t="str">
        <f ca="1">IFERROR(__xludf.DUMMYFUNCTION("""COMPUTED_VALUE"""),"Erythorbic acid")</f>
        <v>Erythorbic acid</v>
      </c>
      <c r="B1972" t="str">
        <f ca="1">IFERROR(__xludf.DUMMYFUNCTION("""COMPUTED_VALUE"""),"RF-00000123-ADD")</f>
        <v>RF-00000123-ADD</v>
      </c>
    </row>
    <row r="1973" spans="1:2" ht="12.5" x14ac:dyDescent="0.25">
      <c r="A1973" t="str">
        <f ca="1">IFERROR(__xludf.DUMMYFUNCTION("""COMPUTED_VALUE"""),"Erythritol")</f>
        <v>Erythritol</v>
      </c>
      <c r="B1973" t="str">
        <f ca="1">IFERROR(__xludf.DUMMYFUNCTION("""COMPUTED_VALUE"""),"RF-00000124-ADD")</f>
        <v>RF-00000124-ADD</v>
      </c>
    </row>
    <row r="1974" spans="1:2" ht="12.5" x14ac:dyDescent="0.25">
      <c r="A1974" t="str">
        <f ca="1">IFERROR(__xludf.DUMMYFUNCTION("""COMPUTED_VALUE"""),"Erythromycin (Erythromycin A)")</f>
        <v>Erythromycin (Erythromycin A)</v>
      </c>
      <c r="B1974" t="str">
        <f ca="1">IFERROR(__xludf.DUMMYFUNCTION("""COMPUTED_VALUE"""),"RF-00000589-VET")</f>
        <v>RF-00000589-VET</v>
      </c>
    </row>
    <row r="1975" spans="1:2" ht="12.5" x14ac:dyDescent="0.25">
      <c r="A1975" t="str">
        <f ca="1">IFERROR(__xludf.DUMMYFUNCTION("""COMPUTED_VALUE"""),"Erythrosine B")</f>
        <v>Erythrosine B</v>
      </c>
      <c r="B1975" t="str">
        <f ca="1">IFERROR(__xludf.DUMMYFUNCTION("""COMPUTED_VALUE"""),"RF-00000125-ADD")</f>
        <v>RF-00000125-ADD</v>
      </c>
    </row>
    <row r="1976" spans="1:2" ht="12.5" x14ac:dyDescent="0.25">
      <c r="A1976" t="str">
        <f ca="1">IFERROR(__xludf.DUMMYFUNCTION("""COMPUTED_VALUE"""),"ESBL phenotype")</f>
        <v>ESBL phenotype</v>
      </c>
      <c r="B1976" t="str">
        <f ca="1">IFERROR(__xludf.DUMMYFUNCTION("""COMPUTED_VALUE"""),"RF-00000156-PAR")</f>
        <v>RF-00000156-PAR</v>
      </c>
    </row>
    <row r="1977" spans="1:2" ht="12.5" x14ac:dyDescent="0.25">
      <c r="A1977" t="str">
        <f ca="1">IFERROR(__xludf.DUMMYFUNCTION("""COMPUTED_VALUE"""),"Escherichia coli")</f>
        <v>Escherichia coli</v>
      </c>
      <c r="B1977" t="str">
        <f ca="1">IFERROR(__xludf.DUMMYFUNCTION("""COMPUTED_VALUE"""),"RF-00000126-MCG")</f>
        <v>RF-00000126-MCG</v>
      </c>
    </row>
    <row r="1978" spans="1:2" ht="12.5" x14ac:dyDescent="0.25">
      <c r="A1978" t="str">
        <f ca="1">IFERROR(__xludf.DUMMYFUNCTION("""COMPUTED_VALUE"""),"Escherichia coli O: 157 Enterotoxins")</f>
        <v>Escherichia coli O: 157 Enterotoxins</v>
      </c>
      <c r="B1978" t="str">
        <f ca="1">IFERROR(__xludf.DUMMYFUNCTION("""COMPUTED_VALUE"""),"RF-00000005-TOX")</f>
        <v>RF-00000005-TOX</v>
      </c>
    </row>
    <row r="1979" spans="1:2" ht="12.5" x14ac:dyDescent="0.25">
      <c r="A1979" t="str">
        <f ca="1">IFERROR(__xludf.DUMMYFUNCTION("""COMPUTED_VALUE"""),"Escherichia coli O128")</f>
        <v>Escherichia coli O128</v>
      </c>
      <c r="B1979" t="str">
        <f ca="1">IFERROR(__xludf.DUMMYFUNCTION("""COMPUTED_VALUE"""),"RF-00000194-MCG")</f>
        <v>RF-00000194-MCG</v>
      </c>
    </row>
    <row r="1980" spans="1:2" ht="12.5" x14ac:dyDescent="0.25">
      <c r="A1980" t="str">
        <f ca="1">IFERROR(__xludf.DUMMYFUNCTION("""COMPUTED_VALUE"""),"Escherichia coli VTEC  - O124:H28")</f>
        <v>Escherichia coli VTEC  - O124:H28</v>
      </c>
      <c r="B1980" t="str">
        <f ca="1">IFERROR(__xludf.DUMMYFUNCTION("""COMPUTED_VALUE"""),"RF-00001311-PAR")</f>
        <v>RF-00001311-PAR</v>
      </c>
    </row>
    <row r="1981" spans="1:2" ht="12.5" x14ac:dyDescent="0.25">
      <c r="A1981" t="str">
        <f ca="1">IFERROR(__xludf.DUMMYFUNCTION("""COMPUTED_VALUE"""),"Escherichia coli VTEC  O107:H4")</f>
        <v>Escherichia coli VTEC  O107:H4</v>
      </c>
      <c r="B1981" t="str">
        <f ca="1">IFERROR(__xludf.DUMMYFUNCTION("""COMPUTED_VALUE"""),"RF-00001309-PAR")</f>
        <v>RF-00001309-PAR</v>
      </c>
    </row>
    <row r="1982" spans="1:2" ht="12.5" x14ac:dyDescent="0.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x14ac:dyDescent="0.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x14ac:dyDescent="0.25">
      <c r="A1984" t="str">
        <f ca="1">IFERROR(__xludf.DUMMYFUNCTION("""COMPUTED_VALUE"""),"Escherichia coli VTEC  O146:HNM")</f>
        <v>Escherichia coli VTEC  O146:HNM</v>
      </c>
      <c r="B1984" t="str">
        <f ca="1">IFERROR(__xludf.DUMMYFUNCTION("""COMPUTED_VALUE"""),"RF-00001307-PAR")</f>
        <v>RF-00001307-PAR</v>
      </c>
    </row>
    <row r="1985" spans="1:2" ht="12.5" x14ac:dyDescent="0.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x14ac:dyDescent="0.25">
      <c r="A1986" t="str">
        <f ca="1">IFERROR(__xludf.DUMMYFUNCTION("""COMPUTED_VALUE"""),"Escherichia coli VTEC  O51:H49")</f>
        <v>Escherichia coli VTEC  O51:H49</v>
      </c>
      <c r="B1986" t="str">
        <f ca="1">IFERROR(__xludf.DUMMYFUNCTION("""COMPUTED_VALUE"""),"RF-00001303-PAR")</f>
        <v>RF-00001303-PAR</v>
      </c>
    </row>
    <row r="1987" spans="1:2" ht="12.5" x14ac:dyDescent="0.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x14ac:dyDescent="0.25">
      <c r="A1988" t="str">
        <f ca="1">IFERROR(__xludf.DUMMYFUNCTION("""COMPUTED_VALUE"""),"Escherichia coli VTEC  OX185:H16")</f>
        <v>Escherichia coli VTEC  OX185:H16</v>
      </c>
      <c r="B1988" t="str">
        <f ca="1">IFERROR(__xludf.DUMMYFUNCTION("""COMPUTED_VALUE"""),"RF-00001305-PAR")</f>
        <v>RF-00001305-PAR</v>
      </c>
    </row>
    <row r="1989" spans="1:2" ht="12.5" x14ac:dyDescent="0.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x14ac:dyDescent="0.25">
      <c r="A1990" t="str">
        <f ca="1">IFERROR(__xludf.DUMMYFUNCTION("""COMPUTED_VALUE"""),"Escherichia coli VTEC non-O157")</f>
        <v>Escherichia coli VTEC non-O157</v>
      </c>
      <c r="B1990" t="str">
        <f ca="1">IFERROR(__xludf.DUMMYFUNCTION("""COMPUTED_VALUE"""),"RF-00000193-MCG")</f>
        <v>RF-00000193-MCG</v>
      </c>
    </row>
    <row r="1991" spans="1:2" ht="12.5" x14ac:dyDescent="0.25">
      <c r="A1991" t="str">
        <f ca="1">IFERROR(__xludf.DUMMYFUNCTION("""COMPUTED_VALUE"""),"Escherichia coli VTEC non-O157 - eae negative")</f>
        <v>Escherichia coli VTEC non-O157 - eae negative</v>
      </c>
      <c r="B1991" t="str">
        <f ca="1">IFERROR(__xludf.DUMMYFUNCTION("""COMPUTED_VALUE"""),"RF-00003928-MCG")</f>
        <v>RF-00003928-MCG</v>
      </c>
    </row>
    <row r="1992" spans="1:2" ht="12.5" x14ac:dyDescent="0.25">
      <c r="A1992" t="str">
        <f ca="1">IFERROR(__xludf.DUMMYFUNCTION("""COMPUTED_VALUE"""),"Escherichia coli VTEC non-O157 - eae positive")</f>
        <v>Escherichia coli VTEC non-O157 - eae positive</v>
      </c>
      <c r="B1992" t="str">
        <f ca="1">IFERROR(__xludf.DUMMYFUNCTION("""COMPUTED_VALUE"""),"RF-00003929-MCG")</f>
        <v>RF-00003929-MCG</v>
      </c>
    </row>
    <row r="1993" spans="1:2" ht="12.5" x14ac:dyDescent="0.25">
      <c r="A1993" t="str">
        <f ca="1">IFERROR(__xludf.DUMMYFUNCTION("""COMPUTED_VALUE"""),"Escherichia coli VTEC NT (Not Typeable)")</f>
        <v>Escherichia coli VTEC NT (Not Typeable)</v>
      </c>
      <c r="B1993" t="str">
        <f ca="1">IFERROR(__xludf.DUMMYFUNCTION("""COMPUTED_VALUE"""),"RF-00000192-MCG")</f>
        <v>RF-00000192-MCG</v>
      </c>
    </row>
    <row r="1994" spans="1:2" ht="12.5" x14ac:dyDescent="0.25">
      <c r="A1994" t="str">
        <f ca="1">IFERROR(__xludf.DUMMYFUNCTION("""COMPUTED_VALUE"""),"Escherichia coli VTEC O1")</f>
        <v>Escherichia coli VTEC O1</v>
      </c>
      <c r="B1994" t="str">
        <f ca="1">IFERROR(__xludf.DUMMYFUNCTION("""COMPUTED_VALUE"""),"RF-00000191-MCG")</f>
        <v>RF-00000191-MCG</v>
      </c>
    </row>
    <row r="1995" spans="1:2" ht="12.5" x14ac:dyDescent="0.25">
      <c r="A1995" t="str">
        <f ca="1">IFERROR(__xludf.DUMMYFUNCTION("""COMPUTED_VALUE"""),"Escherichia coli VTEC O1:H10")</f>
        <v>Escherichia coli VTEC O1:H10</v>
      </c>
      <c r="B1995" t="str">
        <f ca="1">IFERROR(__xludf.DUMMYFUNCTION("""COMPUTED_VALUE"""),"RF-00000190-MCG")</f>
        <v>RF-00000190-MCG</v>
      </c>
    </row>
    <row r="1996" spans="1:2" ht="12.5" x14ac:dyDescent="0.25">
      <c r="A1996" t="str">
        <f ca="1">IFERROR(__xludf.DUMMYFUNCTION("""COMPUTED_VALUE"""),"Escherichia coli VTEC O100")</f>
        <v>Escherichia coli VTEC O100</v>
      </c>
      <c r="B1996" t="str">
        <f ca="1">IFERROR(__xludf.DUMMYFUNCTION("""COMPUTED_VALUE"""),"RF-00000189-MCG")</f>
        <v>RF-00000189-MCG</v>
      </c>
    </row>
    <row r="1997" spans="1:2" ht="12.5" x14ac:dyDescent="0.25">
      <c r="A1997" t="str">
        <f ca="1">IFERROR(__xludf.DUMMYFUNCTION("""COMPUTED_VALUE"""),"Escherichia coli VTEC O100:H-")</f>
        <v>Escherichia coli VTEC O100:H-</v>
      </c>
      <c r="B1997" t="str">
        <f ca="1">IFERROR(__xludf.DUMMYFUNCTION("""COMPUTED_VALUE"""),"RF-00000188-MCG")</f>
        <v>RF-00000188-MCG</v>
      </c>
    </row>
    <row r="1998" spans="1:2" ht="12.5" x14ac:dyDescent="0.25">
      <c r="A1998" t="str">
        <f ca="1">IFERROR(__xludf.DUMMYFUNCTION("""COMPUTED_VALUE"""),"Escherichia coli VTEC O100:H8")</f>
        <v>Escherichia coli VTEC O100:H8</v>
      </c>
      <c r="B1998" t="str">
        <f ca="1">IFERROR(__xludf.DUMMYFUNCTION("""COMPUTED_VALUE"""),"RF-00003551-MCG")</f>
        <v>RF-00003551-MCG</v>
      </c>
    </row>
    <row r="1999" spans="1:2" ht="12.5" x14ac:dyDescent="0.25">
      <c r="A1999" t="str">
        <f ca="1">IFERROR(__xludf.DUMMYFUNCTION("""COMPUTED_VALUE"""),"Escherichia coli VTEC O102")</f>
        <v>Escherichia coli VTEC O102</v>
      </c>
      <c r="B1999" t="str">
        <f ca="1">IFERROR(__xludf.DUMMYFUNCTION("""COMPUTED_VALUE"""),"RF-00000208-MCG")</f>
        <v>RF-00000208-MCG</v>
      </c>
    </row>
    <row r="2000" spans="1:2" ht="12.5" x14ac:dyDescent="0.25">
      <c r="A2000" t="str">
        <f ca="1">IFERROR(__xludf.DUMMYFUNCTION("""COMPUTED_VALUE"""),"Escherichia coli VTEC O103")</f>
        <v>Escherichia coli VTEC O103</v>
      </c>
      <c r="B2000" t="str">
        <f ca="1">IFERROR(__xludf.DUMMYFUNCTION("""COMPUTED_VALUE"""),"RF-00000175-MCG")</f>
        <v>RF-00000175-MCG</v>
      </c>
    </row>
    <row r="2001" spans="1:2" ht="12.5" x14ac:dyDescent="0.25">
      <c r="A2001" t="str">
        <f ca="1">IFERROR(__xludf.DUMMYFUNCTION("""COMPUTED_VALUE"""),"Escherichia coli VTEC O103 - eae negative")</f>
        <v>Escherichia coli VTEC O103 - eae negative</v>
      </c>
      <c r="B2001" t="str">
        <f ca="1">IFERROR(__xludf.DUMMYFUNCTION("""COMPUTED_VALUE"""),"RF-00003690-MCG")</f>
        <v>RF-00003690-MCG</v>
      </c>
    </row>
    <row r="2002" spans="1:2" ht="12.5" x14ac:dyDescent="0.25">
      <c r="A2002" t="str">
        <f ca="1">IFERROR(__xludf.DUMMYFUNCTION("""COMPUTED_VALUE"""),"Escherichia coli VTEC O103 - eae positive")</f>
        <v>Escherichia coli VTEC O103 - eae positive</v>
      </c>
      <c r="B2002" t="str">
        <f ca="1">IFERROR(__xludf.DUMMYFUNCTION("""COMPUTED_VALUE"""),"RF-00003691-MCG")</f>
        <v>RF-00003691-MCG</v>
      </c>
    </row>
    <row r="2003" spans="1:2" ht="12.5" x14ac:dyDescent="0.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x14ac:dyDescent="0.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x14ac:dyDescent="0.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x14ac:dyDescent="0.25">
      <c r="A2006" t="str">
        <f ca="1">IFERROR(__xludf.DUMMYFUNCTION("""COMPUTED_VALUE"""),"Escherichia coli VTEC O103:H-")</f>
        <v>Escherichia coli VTEC O103:H-</v>
      </c>
      <c r="B2006" t="str">
        <f ca="1">IFERROR(__xludf.DUMMYFUNCTION("""COMPUTED_VALUE"""),"RF-00003552-MCG")</f>
        <v>RF-00003552-MCG</v>
      </c>
    </row>
    <row r="2007" spans="1:2" ht="12.5" x14ac:dyDescent="0.25">
      <c r="A2007" t="str">
        <f ca="1">IFERROR(__xludf.DUMMYFUNCTION("""COMPUTED_VALUE"""),"Escherichia coli VTEC O103:H2")</f>
        <v>Escherichia coli VTEC O103:H2</v>
      </c>
      <c r="B2007" t="str">
        <f ca="1">IFERROR(__xludf.DUMMYFUNCTION("""COMPUTED_VALUE"""),"RF-00000186-MCG")</f>
        <v>RF-00000186-MCG</v>
      </c>
    </row>
    <row r="2008" spans="1:2" ht="12.5" x14ac:dyDescent="0.25">
      <c r="A2008" t="str">
        <f ca="1">IFERROR(__xludf.DUMMYFUNCTION("""COMPUTED_VALUE"""),"Escherichia coli VTEC O103:H2 - eae negative")</f>
        <v>Escherichia coli VTEC O103:H2 - eae negative</v>
      </c>
      <c r="B2008" t="str">
        <f ca="1">IFERROR(__xludf.DUMMYFUNCTION("""COMPUTED_VALUE"""),"RF-00003695-MCG")</f>
        <v>RF-00003695-MCG</v>
      </c>
    </row>
    <row r="2009" spans="1:2" ht="12.5" x14ac:dyDescent="0.25">
      <c r="A2009" t="str">
        <f ca="1">IFERROR(__xludf.DUMMYFUNCTION("""COMPUTED_VALUE"""),"Escherichia coli VTEC O103:H2 - eae positive")</f>
        <v>Escherichia coli VTEC O103:H2 - eae positive</v>
      </c>
      <c r="B2009" t="str">
        <f ca="1">IFERROR(__xludf.DUMMYFUNCTION("""COMPUTED_VALUE"""),"RF-00003696-MCG")</f>
        <v>RF-00003696-MCG</v>
      </c>
    </row>
    <row r="2010" spans="1:2" ht="12.5" x14ac:dyDescent="0.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x14ac:dyDescent="0.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x14ac:dyDescent="0.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x14ac:dyDescent="0.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x14ac:dyDescent="0.25">
      <c r="A2014" t="str">
        <f ca="1">IFERROR(__xludf.DUMMYFUNCTION("""COMPUTED_VALUE"""),"Escherichia coli VTEC O103:HNT")</f>
        <v>Escherichia coli VTEC O103:HNT</v>
      </c>
      <c r="B2014" t="str">
        <f ca="1">IFERROR(__xludf.DUMMYFUNCTION("""COMPUTED_VALUE"""),"RF-00003553-MCG")</f>
        <v>RF-00003553-MCG</v>
      </c>
    </row>
    <row r="2015" spans="1:2" ht="12.5" x14ac:dyDescent="0.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x14ac:dyDescent="0.25">
      <c r="A2016" t="str">
        <f ca="1">IFERROR(__xludf.DUMMYFUNCTION("""COMPUTED_VALUE"""),"Escherichia coli VTEC O104")</f>
        <v>Escherichia coli VTEC O104</v>
      </c>
      <c r="B2016" t="str">
        <f ca="1">IFERROR(__xludf.DUMMYFUNCTION("""COMPUTED_VALUE"""),"RF-00000195-MCG")</f>
        <v>RF-00000195-MCG</v>
      </c>
    </row>
    <row r="2017" spans="1:2" ht="12.5" x14ac:dyDescent="0.25">
      <c r="A2017" t="str">
        <f ca="1">IFERROR(__xludf.DUMMYFUNCTION("""COMPUTED_VALUE"""),"Escherichia coli VTEC O104:H12")</f>
        <v>Escherichia coli VTEC O104:H12</v>
      </c>
      <c r="B2017" t="str">
        <f ca="1">IFERROR(__xludf.DUMMYFUNCTION("""COMPUTED_VALUE"""),"RF-00003554-MCG")</f>
        <v>RF-00003554-MCG</v>
      </c>
    </row>
    <row r="2018" spans="1:2" ht="12.5" x14ac:dyDescent="0.25">
      <c r="A2018" t="str">
        <f ca="1">IFERROR(__xludf.DUMMYFUNCTION("""COMPUTED_VALUE"""),"Escherichia coli VTEC O104:H21")</f>
        <v>Escherichia coli VTEC O104:H21</v>
      </c>
      <c r="B2018" t="str">
        <f ca="1">IFERROR(__xludf.DUMMYFUNCTION("""COMPUTED_VALUE"""),"RF-00003555-MCG")</f>
        <v>RF-00003555-MCG</v>
      </c>
    </row>
    <row r="2019" spans="1:2" ht="12.5" x14ac:dyDescent="0.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x14ac:dyDescent="0.25">
      <c r="A2020" t="str">
        <f ca="1">IFERROR(__xludf.DUMMYFUNCTION("""COMPUTED_VALUE"""),"Escherichia coli VTEC O104:H8")</f>
        <v>Escherichia coli VTEC O104:H8</v>
      </c>
      <c r="B2020" t="str">
        <f ca="1">IFERROR(__xludf.DUMMYFUNCTION("""COMPUTED_VALUE"""),"RF-00003943-MCG")</f>
        <v>RF-00003943-MCG</v>
      </c>
    </row>
    <row r="2021" spans="1:2" ht="12.5" x14ac:dyDescent="0.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x14ac:dyDescent="0.25">
      <c r="A2022" t="str">
        <f ca="1">IFERROR(__xludf.DUMMYFUNCTION("""COMPUTED_VALUE"""),"Escherichia coli VTEC O105:Hrough")</f>
        <v>Escherichia coli VTEC O105:Hrough</v>
      </c>
      <c r="B2022" t="str">
        <f ca="1">IFERROR(__xludf.DUMMYFUNCTION("""COMPUTED_VALUE"""),"RF-00003945-MCG")</f>
        <v>RF-00003945-MCG</v>
      </c>
    </row>
    <row r="2023" spans="1:2" ht="12.5" x14ac:dyDescent="0.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x14ac:dyDescent="0.25">
      <c r="A2024" t="str">
        <f ca="1">IFERROR(__xludf.DUMMYFUNCTION("""COMPUTED_VALUE"""),"Escherichia coli VTEC O107:H28")</f>
        <v>Escherichia coli VTEC O107:H28</v>
      </c>
      <c r="B2024" t="str">
        <f ca="1">IFERROR(__xludf.DUMMYFUNCTION("""COMPUTED_VALUE"""),"RF-00003556-MCG")</f>
        <v>RF-00003556-MCG</v>
      </c>
    </row>
    <row r="2025" spans="1:2" ht="12.5" x14ac:dyDescent="0.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x14ac:dyDescent="0.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x14ac:dyDescent="0.25">
      <c r="A2027" t="str">
        <f ca="1">IFERROR(__xludf.DUMMYFUNCTION("""COMPUTED_VALUE"""),"Escherichia coli VTEC O107:HNT")</f>
        <v>Escherichia coli VTEC O107:HNT</v>
      </c>
      <c r="B2027" t="str">
        <f ca="1">IFERROR(__xludf.DUMMYFUNCTION("""COMPUTED_VALUE"""),"RF-00003947-MCG")</f>
        <v>RF-00003947-MCG</v>
      </c>
    </row>
    <row r="2028" spans="1:2" ht="12.5" x14ac:dyDescent="0.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x14ac:dyDescent="0.25">
      <c r="A2029" t="str">
        <f ca="1">IFERROR(__xludf.DUMMYFUNCTION("""COMPUTED_VALUE"""),"Escherichia coli VTEC O107:Hrough")</f>
        <v>Escherichia coli VTEC O107:Hrough</v>
      </c>
      <c r="B2029" t="str">
        <f ca="1">IFERROR(__xludf.DUMMYFUNCTION("""COMPUTED_VALUE"""),"RF-00003949-MCG")</f>
        <v>RF-00003949-MCG</v>
      </c>
    </row>
    <row r="2030" spans="1:2" ht="12.5" x14ac:dyDescent="0.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x14ac:dyDescent="0.25">
      <c r="A2031" t="str">
        <f ca="1">IFERROR(__xludf.DUMMYFUNCTION("""COMPUTED_VALUE"""),"Escherichia coli VTEC O108:H12")</f>
        <v>Escherichia coli VTEC O108:H12</v>
      </c>
      <c r="B2031" t="str">
        <f ca="1">IFERROR(__xludf.DUMMYFUNCTION("""COMPUTED_VALUE"""),"RF-00003951-MCG")</f>
        <v>RF-00003951-MCG</v>
      </c>
    </row>
    <row r="2032" spans="1:2" ht="12.5" x14ac:dyDescent="0.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x14ac:dyDescent="0.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x14ac:dyDescent="0.25">
      <c r="A2034" t="str">
        <f ca="1">IFERROR(__xludf.DUMMYFUNCTION("""COMPUTED_VALUE"""),"Escherichia coli VTEC O110")</f>
        <v>Escherichia coli VTEC O110</v>
      </c>
      <c r="B2034" t="str">
        <f ca="1">IFERROR(__xludf.DUMMYFUNCTION("""COMPUTED_VALUE"""),"RF-00000183-MCG")</f>
        <v>RF-00000183-MCG</v>
      </c>
    </row>
    <row r="2035" spans="1:2" ht="12.5" x14ac:dyDescent="0.25">
      <c r="A2035" t="str">
        <f ca="1">IFERROR(__xludf.DUMMYFUNCTION("""COMPUTED_VALUE"""),"Escherichia coli VTEC O111")</f>
        <v>Escherichia coli VTEC O111</v>
      </c>
      <c r="B2035" t="str">
        <f ca="1">IFERROR(__xludf.DUMMYFUNCTION("""COMPUTED_VALUE"""),"RF-00000182-MCG")</f>
        <v>RF-00000182-MCG</v>
      </c>
    </row>
    <row r="2036" spans="1:2" ht="12.5" x14ac:dyDescent="0.25">
      <c r="A2036" t="str">
        <f ca="1">IFERROR(__xludf.DUMMYFUNCTION("""COMPUTED_VALUE"""),"Escherichia coli VTEC O111 - eae negative")</f>
        <v>Escherichia coli VTEC O111 - eae negative</v>
      </c>
      <c r="B2036" t="str">
        <f ca="1">IFERROR(__xludf.DUMMYFUNCTION("""COMPUTED_VALUE"""),"RF-00003703-MCG")</f>
        <v>RF-00003703-MCG</v>
      </c>
    </row>
    <row r="2037" spans="1:2" ht="12.5" x14ac:dyDescent="0.25">
      <c r="A2037" t="str">
        <f ca="1">IFERROR(__xludf.DUMMYFUNCTION("""COMPUTED_VALUE"""),"Escherichia coli VTEC O111 - eae positive")</f>
        <v>Escherichia coli VTEC O111 - eae positive</v>
      </c>
      <c r="B2037" t="str">
        <f ca="1">IFERROR(__xludf.DUMMYFUNCTION("""COMPUTED_VALUE"""),"RF-00003704-MCG")</f>
        <v>RF-00003704-MCG</v>
      </c>
    </row>
    <row r="2038" spans="1:2" ht="12.5" x14ac:dyDescent="0.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x14ac:dyDescent="0.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x14ac:dyDescent="0.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x14ac:dyDescent="0.25">
      <c r="A2041" t="str">
        <f ca="1">IFERROR(__xludf.DUMMYFUNCTION("""COMPUTED_VALUE"""),"Escherichia coli VTEC O111:H-")</f>
        <v>Escherichia coli VTEC O111:H-</v>
      </c>
      <c r="B2041" t="str">
        <f ca="1">IFERROR(__xludf.DUMMYFUNCTION("""COMPUTED_VALUE"""),"RF-00003557-MCG")</f>
        <v>RF-00003557-MCG</v>
      </c>
    </row>
    <row r="2042" spans="1:2" ht="12.5" x14ac:dyDescent="0.25">
      <c r="A2042" t="str">
        <f ca="1">IFERROR(__xludf.DUMMYFUNCTION("""COMPUTED_VALUE"""),"Escherichia coli VTEC O112ab:H2")</f>
        <v>Escherichia coli VTEC O112ab:H2</v>
      </c>
      <c r="B2042" t="str">
        <f ca="1">IFERROR(__xludf.DUMMYFUNCTION("""COMPUTED_VALUE"""),"RF-00003558-MCG")</f>
        <v>RF-00003558-MCG</v>
      </c>
    </row>
    <row r="2043" spans="1:2" ht="12.5" x14ac:dyDescent="0.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x14ac:dyDescent="0.25">
      <c r="A2044" t="str">
        <f ca="1">IFERROR(__xludf.DUMMYFUNCTION("""COMPUTED_VALUE"""),"Escherichia coli VTEC O113")</f>
        <v>Escherichia coli VTEC O113</v>
      </c>
      <c r="B2044" t="str">
        <f ca="1">IFERROR(__xludf.DUMMYFUNCTION("""COMPUTED_VALUE"""),"RF-00000181-MCG")</f>
        <v>RF-00000181-MCG</v>
      </c>
    </row>
    <row r="2045" spans="1:2" ht="12.5" x14ac:dyDescent="0.25">
      <c r="A2045" t="str">
        <f ca="1">IFERROR(__xludf.DUMMYFUNCTION("""COMPUTED_VALUE"""),"Escherichia coli VTEC O113:H-")</f>
        <v>Escherichia coli VTEC O113:H-</v>
      </c>
      <c r="B2045" t="str">
        <f ca="1">IFERROR(__xludf.DUMMYFUNCTION("""COMPUTED_VALUE"""),"RF-00003559-MCG")</f>
        <v>RF-00003559-MCG</v>
      </c>
    </row>
    <row r="2046" spans="1:2" ht="12.5" x14ac:dyDescent="0.25">
      <c r="A2046" t="str">
        <f ca="1">IFERROR(__xludf.DUMMYFUNCTION("""COMPUTED_VALUE"""),"Escherichia coli VTEC O113:H18")</f>
        <v>Escherichia coli VTEC O113:H18</v>
      </c>
      <c r="B2046" t="str">
        <f ca="1">IFERROR(__xludf.DUMMYFUNCTION("""COMPUTED_VALUE"""),"RF-00003560-MCG")</f>
        <v>RF-00003560-MCG</v>
      </c>
    </row>
    <row r="2047" spans="1:2" ht="12.5" x14ac:dyDescent="0.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x14ac:dyDescent="0.25">
      <c r="A2048" t="str">
        <f ca="1">IFERROR(__xludf.DUMMYFUNCTION("""COMPUTED_VALUE"""),"Escherichia coli VTEC O113:H21")</f>
        <v>Escherichia coli VTEC O113:H21</v>
      </c>
      <c r="B2048" t="str">
        <f ca="1">IFERROR(__xludf.DUMMYFUNCTION("""COMPUTED_VALUE"""),"RF-00003561-MCG")</f>
        <v>RF-00003561-MCG</v>
      </c>
    </row>
    <row r="2049" spans="1:2" ht="12.5" x14ac:dyDescent="0.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x14ac:dyDescent="0.25">
      <c r="A2050" t="str">
        <f ca="1">IFERROR(__xludf.DUMMYFUNCTION("""COMPUTED_VALUE"""),"Escherichia coli VTEC O113:H4")</f>
        <v>Escherichia coli VTEC O113:H4</v>
      </c>
      <c r="B2050" t="str">
        <f ca="1">IFERROR(__xludf.DUMMYFUNCTION("""COMPUTED_VALUE"""),"RF-00000180-MCG")</f>
        <v>RF-00000180-MCG</v>
      </c>
    </row>
    <row r="2051" spans="1:2" ht="12.5" x14ac:dyDescent="0.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x14ac:dyDescent="0.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x14ac:dyDescent="0.25">
      <c r="A2053" t="str">
        <f ca="1">IFERROR(__xludf.DUMMYFUNCTION("""COMPUTED_VALUE"""),"Escherichia coli VTEC O113:H8")</f>
        <v>Escherichia coli VTEC O113:H8</v>
      </c>
      <c r="B2053" t="str">
        <f ca="1">IFERROR(__xludf.DUMMYFUNCTION("""COMPUTED_VALUE"""),"RF-00001318-PAR")</f>
        <v>RF-00001318-PAR</v>
      </c>
    </row>
    <row r="2054" spans="1:2" ht="12.5" x14ac:dyDescent="0.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x14ac:dyDescent="0.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x14ac:dyDescent="0.25">
      <c r="A2056" t="str">
        <f ca="1">IFERROR(__xludf.DUMMYFUNCTION("""COMPUTED_VALUE"""),"Escherichia coli VTEC O113:HNT")</f>
        <v>Escherichia coli VTEC O113:HNT</v>
      </c>
      <c r="B2056" t="str">
        <f ca="1">IFERROR(__xludf.DUMMYFUNCTION("""COMPUTED_VALUE"""),"RF-00003562-MCG")</f>
        <v>RF-00003562-MCG</v>
      </c>
    </row>
    <row r="2057" spans="1:2" ht="12.5" x14ac:dyDescent="0.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x14ac:dyDescent="0.25">
      <c r="A2058" t="str">
        <f ca="1">IFERROR(__xludf.DUMMYFUNCTION("""COMPUTED_VALUE"""),"Escherichia coli VTEC O113:Hrough")</f>
        <v>Escherichia coli VTEC O113:Hrough</v>
      </c>
      <c r="B2058" t="str">
        <f ca="1">IFERROR(__xludf.DUMMYFUNCTION("""COMPUTED_VALUE"""),"RF-00003954-MCG")</f>
        <v>RF-00003954-MCG</v>
      </c>
    </row>
    <row r="2059" spans="1:2" ht="12.5" x14ac:dyDescent="0.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x14ac:dyDescent="0.25">
      <c r="A2060" t="str">
        <f ca="1">IFERROR(__xludf.DUMMYFUNCTION("""COMPUTED_VALUE"""),"Escherichia coli VTEC O116:H-")</f>
        <v>Escherichia coli VTEC O116:H-</v>
      </c>
      <c r="B2060" t="str">
        <f ca="1">IFERROR(__xludf.DUMMYFUNCTION("""COMPUTED_VALUE"""),"RF-00000179-MCG")</f>
        <v>RF-00000179-MCG</v>
      </c>
    </row>
    <row r="2061" spans="1:2" ht="12.5" x14ac:dyDescent="0.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x14ac:dyDescent="0.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x14ac:dyDescent="0.25">
      <c r="A2063" t="str">
        <f ca="1">IFERROR(__xludf.DUMMYFUNCTION("""COMPUTED_VALUE"""),"Escherichia coli VTEC O116:H12")</f>
        <v>Escherichia coli VTEC O116:H12</v>
      </c>
      <c r="B2063" t="str">
        <f ca="1">IFERROR(__xludf.DUMMYFUNCTION("""COMPUTED_VALUE"""),"RF-00003563-MCG")</f>
        <v>RF-00003563-MCG</v>
      </c>
    </row>
    <row r="2064" spans="1:2" ht="12.5" x14ac:dyDescent="0.25">
      <c r="A2064" t="str">
        <f ca="1">IFERROR(__xludf.DUMMYFUNCTION("""COMPUTED_VALUE"""),"Escherichia coli VTEC O116:H21")</f>
        <v>Escherichia coli VTEC O116:H21</v>
      </c>
      <c r="B2064" t="str">
        <f ca="1">IFERROR(__xludf.DUMMYFUNCTION("""COMPUTED_VALUE"""),"RF-00003564-MCG")</f>
        <v>RF-00003564-MCG</v>
      </c>
    </row>
    <row r="2065" spans="1:2" ht="12.5" x14ac:dyDescent="0.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x14ac:dyDescent="0.25">
      <c r="A2066" t="str">
        <f ca="1">IFERROR(__xludf.DUMMYFUNCTION("""COMPUTED_VALUE"""),"Escherichia coli VTEC O116:HNT")</f>
        <v>Escherichia coli VTEC O116:HNT</v>
      </c>
      <c r="B2066" t="str">
        <f ca="1">IFERROR(__xludf.DUMMYFUNCTION("""COMPUTED_VALUE"""),"RF-00003565-MCG")</f>
        <v>RF-00003565-MCG</v>
      </c>
    </row>
    <row r="2067" spans="1:2" ht="12.5" x14ac:dyDescent="0.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x14ac:dyDescent="0.25">
      <c r="A2068" t="str">
        <f ca="1">IFERROR(__xludf.DUMMYFUNCTION("""COMPUTED_VALUE"""),"Escherichia coli VTEC O117:H-")</f>
        <v>Escherichia coli VTEC O117:H-</v>
      </c>
      <c r="B2068" t="str">
        <f ca="1">IFERROR(__xludf.DUMMYFUNCTION("""COMPUTED_VALUE"""),"RF-00003566-MCG")</f>
        <v>RF-00003566-MCG</v>
      </c>
    </row>
    <row r="2069" spans="1:2" ht="12.5" x14ac:dyDescent="0.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x14ac:dyDescent="0.25">
      <c r="A2070" t="str">
        <f ca="1">IFERROR(__xludf.DUMMYFUNCTION("""COMPUTED_VALUE"""),"Escherichia coli VTEC O117:Hrough")</f>
        <v>Escherichia coli VTEC O117:Hrough</v>
      </c>
      <c r="B2070" t="str">
        <f ca="1">IFERROR(__xludf.DUMMYFUNCTION("""COMPUTED_VALUE"""),"RF-00003956-MCG")</f>
        <v>RF-00003956-MCG</v>
      </c>
    </row>
    <row r="2071" spans="1:2" ht="12.5" x14ac:dyDescent="0.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x14ac:dyDescent="0.25">
      <c r="A2072" t="str">
        <f ca="1">IFERROR(__xludf.DUMMYFUNCTION("""COMPUTED_VALUE"""),"Escherichia coli VTEC O118:H16")</f>
        <v>Escherichia coli VTEC O118:H16</v>
      </c>
      <c r="B2072" t="str">
        <f ca="1">IFERROR(__xludf.DUMMYFUNCTION("""COMPUTED_VALUE"""),"RF-00003567-MCG")</f>
        <v>RF-00003567-MCG</v>
      </c>
    </row>
    <row r="2073" spans="1:2" ht="12.5" x14ac:dyDescent="0.25">
      <c r="A2073" t="str">
        <f ca="1">IFERROR(__xludf.DUMMYFUNCTION("""COMPUTED_VALUE"""),"Escherichia coli VTEC O119:H-")</f>
        <v>Escherichia coli VTEC O119:H-</v>
      </c>
      <c r="B2073" t="str">
        <f ca="1">IFERROR(__xludf.DUMMYFUNCTION("""COMPUTED_VALUE"""),"RF-00003568-MCG")</f>
        <v>RF-00003568-MCG</v>
      </c>
    </row>
    <row r="2074" spans="1:2" ht="12.5" x14ac:dyDescent="0.25">
      <c r="A2074" t="str">
        <f ca="1">IFERROR(__xludf.DUMMYFUNCTION("""COMPUTED_VALUE"""),"Escherichia coli VTEC O119:H4")</f>
        <v>Escherichia coli VTEC O119:H4</v>
      </c>
      <c r="B2074" t="str">
        <f ca="1">IFERROR(__xludf.DUMMYFUNCTION("""COMPUTED_VALUE"""),"RF-00003569-MCG")</f>
        <v>RF-00003569-MCG</v>
      </c>
    </row>
    <row r="2075" spans="1:2" ht="12.5" x14ac:dyDescent="0.25">
      <c r="A2075" t="str">
        <f ca="1">IFERROR(__xludf.DUMMYFUNCTION("""COMPUTED_VALUE"""),"Escherichia coli VTEC O119:HNT")</f>
        <v>Escherichia coli VTEC O119:HNT</v>
      </c>
      <c r="B2075" t="str">
        <f ca="1">IFERROR(__xludf.DUMMYFUNCTION("""COMPUTED_VALUE"""),"RF-00003570-MCG")</f>
        <v>RF-00003570-MCG</v>
      </c>
    </row>
    <row r="2076" spans="1:2" ht="12.5" x14ac:dyDescent="0.25">
      <c r="A2076" t="str">
        <f ca="1">IFERROR(__xludf.DUMMYFUNCTION("""COMPUTED_VALUE"""),"Escherichia coli VTEC O12")</f>
        <v>Escherichia coli VTEC O12</v>
      </c>
      <c r="B2076" t="str">
        <f ca="1">IFERROR(__xludf.DUMMYFUNCTION("""COMPUTED_VALUE"""),"RF-00000178-MCG")</f>
        <v>RF-00000178-MCG</v>
      </c>
    </row>
    <row r="2077" spans="1:2" ht="12.5" x14ac:dyDescent="0.25">
      <c r="A2077" t="str">
        <f ca="1">IFERROR(__xludf.DUMMYFUNCTION("""COMPUTED_VALUE"""),"Escherichia coli VTEC O121")</f>
        <v>Escherichia coli VTEC O121</v>
      </c>
      <c r="B2077" t="str">
        <f ca="1">IFERROR(__xludf.DUMMYFUNCTION("""COMPUTED_VALUE"""),"RF-00000177-MCG")</f>
        <v>RF-00000177-MCG</v>
      </c>
    </row>
    <row r="2078" spans="1:2" ht="12.5" x14ac:dyDescent="0.25">
      <c r="A2078" t="str">
        <f ca="1">IFERROR(__xludf.DUMMYFUNCTION("""COMPUTED_VALUE"""),"Escherichia coli VTEC O122ab:H2")</f>
        <v>Escherichia coli VTEC O122ab:H2</v>
      </c>
      <c r="B2078" t="str">
        <f ca="1">IFERROR(__xludf.DUMMYFUNCTION("""COMPUTED_VALUE"""),"RF-00003571-MCG")</f>
        <v>RF-00003571-MCG</v>
      </c>
    </row>
    <row r="2079" spans="1:2" ht="12.5" x14ac:dyDescent="0.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x14ac:dyDescent="0.25">
      <c r="A2080" t="str">
        <f ca="1">IFERROR(__xludf.DUMMYFUNCTION("""COMPUTED_VALUE"""),"Escherichia coli VTEC O124abc:H10")</f>
        <v>Escherichia coli VTEC O124abc:H10</v>
      </c>
      <c r="B2080" t="str">
        <f ca="1">IFERROR(__xludf.DUMMYFUNCTION("""COMPUTED_VALUE"""),"RF-00000176-MCG")</f>
        <v>RF-00000176-MCG</v>
      </c>
    </row>
    <row r="2081" spans="1:2" ht="12.5" x14ac:dyDescent="0.25">
      <c r="A2081" t="str">
        <f ca="1">IFERROR(__xludf.DUMMYFUNCTION("""COMPUTED_VALUE"""),"Escherichia coli VTEC O125:H51")</f>
        <v>Escherichia coli VTEC O125:H51</v>
      </c>
      <c r="B2081" t="str">
        <f ca="1">IFERROR(__xludf.DUMMYFUNCTION("""COMPUTED_VALUE"""),"RF-00003572-MCG")</f>
        <v>RF-00003572-MCG</v>
      </c>
    </row>
    <row r="2082" spans="1:2" ht="12.5" x14ac:dyDescent="0.25">
      <c r="A2082" t="str">
        <f ca="1">IFERROR(__xludf.DUMMYFUNCTION("""COMPUTED_VALUE"""),"Escherichia coli VTEC O125abc:H21")</f>
        <v>Escherichia coli VTEC O125abc:H21</v>
      </c>
      <c r="B2082" t="str">
        <f ca="1">IFERROR(__xludf.DUMMYFUNCTION("""COMPUTED_VALUE"""),"RF-00003573-MCG")</f>
        <v>RF-00003573-MCG</v>
      </c>
    </row>
    <row r="2083" spans="1:2" ht="12.5" x14ac:dyDescent="0.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x14ac:dyDescent="0.25">
      <c r="A2084" t="str">
        <f ca="1">IFERROR(__xludf.DUMMYFUNCTION("""COMPUTED_VALUE"""),"Escherichia coli VTEC O125abc:Hrough")</f>
        <v>Escherichia coli VTEC O125abc:Hrough</v>
      </c>
      <c r="B2084" t="str">
        <f ca="1">IFERROR(__xludf.DUMMYFUNCTION("""COMPUTED_VALUE"""),"RF-00003574-MCG")</f>
        <v>RF-00003574-MCG</v>
      </c>
    </row>
    <row r="2085" spans="1:2" ht="12.5" x14ac:dyDescent="0.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x14ac:dyDescent="0.25">
      <c r="A2086" t="str">
        <f ca="1">IFERROR(__xludf.DUMMYFUNCTION("""COMPUTED_VALUE"""),"Escherichia coli VTEC O125ac:H4")</f>
        <v>Escherichia coli VTEC O125ac:H4</v>
      </c>
      <c r="B2086" t="str">
        <f ca="1">IFERROR(__xludf.DUMMYFUNCTION("""COMPUTED_VALUE"""),"RF-00003575-MCG")</f>
        <v>RF-00003575-MCG</v>
      </c>
    </row>
    <row r="2087" spans="1:2" ht="12.5" x14ac:dyDescent="0.25">
      <c r="A2087" t="str">
        <f ca="1">IFERROR(__xludf.DUMMYFUNCTION("""COMPUTED_VALUE"""),"Escherichia coli VTEC O128")</f>
        <v>Escherichia coli VTEC O128</v>
      </c>
      <c r="B2087" t="str">
        <f ca="1">IFERROR(__xludf.DUMMYFUNCTION("""COMPUTED_VALUE"""),"RF-00000184-MCG")</f>
        <v>RF-00000184-MCG</v>
      </c>
    </row>
    <row r="2088" spans="1:2" ht="12.5" x14ac:dyDescent="0.25">
      <c r="A2088" t="str">
        <f ca="1">IFERROR(__xludf.DUMMYFUNCTION("""COMPUTED_VALUE"""),"Escherichia coli VTEC O128 - vtx1 positive")</f>
        <v>Escherichia coli VTEC O128 - vtx1 positive</v>
      </c>
      <c r="B2088" t="str">
        <f ca="1">IFERROR(__xludf.DUMMYFUNCTION("""COMPUTED_VALUE"""),"RF-00003927-MCG")</f>
        <v>RF-00003927-MCG</v>
      </c>
    </row>
    <row r="2089" spans="1:2" ht="12.5" x14ac:dyDescent="0.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x14ac:dyDescent="0.25">
      <c r="A2090" t="str">
        <f ca="1">IFERROR(__xludf.DUMMYFUNCTION("""COMPUTED_VALUE"""),"Escherichia coli VTEC O128 - vtx2 positive")</f>
        <v>Escherichia coli VTEC O128 - vtx2 positive</v>
      </c>
      <c r="B2090" t="str">
        <f ca="1">IFERROR(__xludf.DUMMYFUNCTION("""COMPUTED_VALUE"""),"RF-00003932-MCG")</f>
        <v>RF-00003932-MCG</v>
      </c>
    </row>
    <row r="2091" spans="1:2" ht="12.5" x14ac:dyDescent="0.25">
      <c r="A2091" t="str">
        <f ca="1">IFERROR(__xludf.DUMMYFUNCTION("""COMPUTED_VALUE"""),"Escherichia coli VTEC O128:H-")</f>
        <v>Escherichia coli VTEC O128:H-</v>
      </c>
      <c r="B2091" t="str">
        <f ca="1">IFERROR(__xludf.DUMMYFUNCTION("""COMPUTED_VALUE"""),"RF-00003576-MCG")</f>
        <v>RF-00003576-MCG</v>
      </c>
    </row>
    <row r="2092" spans="1:2" ht="12.5" x14ac:dyDescent="0.25">
      <c r="A2092" t="str">
        <f ca="1">IFERROR(__xludf.DUMMYFUNCTION("""COMPUTED_VALUE"""),"Escherichia coli VTEC O128ab:H-")</f>
        <v>Escherichia coli VTEC O128ab:H-</v>
      </c>
      <c r="B2092" t="str">
        <f ca="1">IFERROR(__xludf.DUMMYFUNCTION("""COMPUTED_VALUE"""),"RF-00003577-MCG")</f>
        <v>RF-00003577-MCG</v>
      </c>
    </row>
    <row r="2093" spans="1:2" ht="12.5" x14ac:dyDescent="0.25">
      <c r="A2093" t="str">
        <f ca="1">IFERROR(__xludf.DUMMYFUNCTION("""COMPUTED_VALUE"""),"Escherichia coli VTEC O128abc")</f>
        <v>Escherichia coli VTEC O128abc</v>
      </c>
      <c r="B2093" t="str">
        <f ca="1">IFERROR(__xludf.DUMMYFUNCTION("""COMPUTED_VALUE"""),"RF-00003578-MCG")</f>
        <v>RF-00003578-MCG</v>
      </c>
    </row>
    <row r="2094" spans="1:2" ht="12.5" x14ac:dyDescent="0.25">
      <c r="A2094" t="str">
        <f ca="1">IFERROR(__xludf.DUMMYFUNCTION("""COMPUTED_VALUE"""),"Escherichia coli VTEC O128abc:H-")</f>
        <v>Escherichia coli VTEC O128abc:H-</v>
      </c>
      <c r="B2094" t="str">
        <f ca="1">IFERROR(__xludf.DUMMYFUNCTION("""COMPUTED_VALUE"""),"RF-00004063-MCG")</f>
        <v>RF-00004063-MCG</v>
      </c>
    </row>
    <row r="2095" spans="1:2" ht="12.5" x14ac:dyDescent="0.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x14ac:dyDescent="0.25">
      <c r="A2096" t="str">
        <f ca="1">IFERROR(__xludf.DUMMYFUNCTION("""COMPUTED_VALUE"""),"Escherichia coli VTEC O128abc:H2")</f>
        <v>Escherichia coli VTEC O128abc:H2</v>
      </c>
      <c r="B2096" t="str">
        <f ca="1">IFERROR(__xludf.DUMMYFUNCTION("""COMPUTED_VALUE"""),"RF-00000206-MCG")</f>
        <v>RF-00000206-MCG</v>
      </c>
    </row>
    <row r="2097" spans="1:2" ht="12.5" x14ac:dyDescent="0.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x14ac:dyDescent="0.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x14ac:dyDescent="0.25">
      <c r="A2099" t="str">
        <f ca="1">IFERROR(__xludf.DUMMYFUNCTION("""COMPUTED_VALUE"""),"Escherichia coli VTEC O128abc:HNT")</f>
        <v>Escherichia coli VTEC O128abc:HNT</v>
      </c>
      <c r="B2099" t="str">
        <f ca="1">IFERROR(__xludf.DUMMYFUNCTION("""COMPUTED_VALUE"""),"RF-00003579-MCG")</f>
        <v>RF-00003579-MCG</v>
      </c>
    </row>
    <row r="2100" spans="1:2" ht="12.5" x14ac:dyDescent="0.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x14ac:dyDescent="0.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x14ac:dyDescent="0.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x14ac:dyDescent="0.25">
      <c r="A2103" t="str">
        <f ca="1">IFERROR(__xludf.DUMMYFUNCTION("""COMPUTED_VALUE"""),"Escherichia coli VTEC O13:Hrough")</f>
        <v>Escherichia coli VTEC O13:Hrough</v>
      </c>
      <c r="B2103" t="str">
        <f ca="1">IFERROR(__xludf.DUMMYFUNCTION("""COMPUTED_VALUE"""),"RF-00003961-MCG")</f>
        <v>RF-00003961-MCG</v>
      </c>
    </row>
    <row r="2104" spans="1:2" ht="12.5" x14ac:dyDescent="0.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x14ac:dyDescent="0.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x14ac:dyDescent="0.25">
      <c r="A2106" t="str">
        <f ca="1">IFERROR(__xludf.DUMMYFUNCTION("""COMPUTED_VALUE"""),"Escherichia coli VTEC O130:H11")</f>
        <v>Escherichia coli VTEC O130:H11</v>
      </c>
      <c r="B2106" t="str">
        <f ca="1">IFERROR(__xludf.DUMMYFUNCTION("""COMPUTED_VALUE"""),"RF-00003580-MCG")</f>
        <v>RF-00003580-MCG</v>
      </c>
    </row>
    <row r="2107" spans="1:2" ht="12.5" x14ac:dyDescent="0.25">
      <c r="A2107" t="str">
        <f ca="1">IFERROR(__xludf.DUMMYFUNCTION("""COMPUTED_VALUE"""),"Escherichia coli VTEC O132:H18")</f>
        <v>Escherichia coli VTEC O132:H18</v>
      </c>
      <c r="B2107" t="str">
        <f ca="1">IFERROR(__xludf.DUMMYFUNCTION("""COMPUTED_VALUE"""),"RF-00003581-MCG")</f>
        <v>RF-00003581-MCG</v>
      </c>
    </row>
    <row r="2108" spans="1:2" ht="12.5" x14ac:dyDescent="0.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x14ac:dyDescent="0.25">
      <c r="A2109" t="str">
        <f ca="1">IFERROR(__xludf.DUMMYFUNCTION("""COMPUTED_VALUE"""),"Escherichia coli VTEC O134:H-")</f>
        <v>Escherichia coli VTEC O134:H-</v>
      </c>
      <c r="B2109" t="str">
        <f ca="1">IFERROR(__xludf.DUMMYFUNCTION("""COMPUTED_VALUE"""),"RF-00003582-MCG")</f>
        <v>RF-00003582-MCG</v>
      </c>
    </row>
    <row r="2110" spans="1:2" ht="12.5" x14ac:dyDescent="0.25">
      <c r="A2110" t="str">
        <f ca="1">IFERROR(__xludf.DUMMYFUNCTION("""COMPUTED_VALUE"""),"Escherichia coli VTEC O135:H4")</f>
        <v>Escherichia coli VTEC O135:H4</v>
      </c>
      <c r="B2110" t="str">
        <f ca="1">IFERROR(__xludf.DUMMYFUNCTION("""COMPUTED_VALUE"""),"RF-00000214-MCG")</f>
        <v>RF-00000214-MCG</v>
      </c>
    </row>
    <row r="2111" spans="1:2" ht="12.5" x14ac:dyDescent="0.25">
      <c r="A2111" t="str">
        <f ca="1">IFERROR(__xludf.DUMMYFUNCTION("""COMPUTED_VALUE"""),"Escherichia coli VTEC O136")</f>
        <v>Escherichia coli VTEC O136</v>
      </c>
      <c r="B2111" t="str">
        <f ca="1">IFERROR(__xludf.DUMMYFUNCTION("""COMPUTED_VALUE"""),"RF-00000213-MCG")</f>
        <v>RF-00000213-MCG</v>
      </c>
    </row>
    <row r="2112" spans="1:2" ht="12.5" x14ac:dyDescent="0.25">
      <c r="A2112" t="str">
        <f ca="1">IFERROR(__xludf.DUMMYFUNCTION("""COMPUTED_VALUE"""),"Escherichia coli VTEC O136:H-")</f>
        <v>Escherichia coli VTEC O136:H-</v>
      </c>
      <c r="B2112" t="str">
        <f ca="1">IFERROR(__xludf.DUMMYFUNCTION("""COMPUTED_VALUE"""),"RF-00000212-MCG")</f>
        <v>RF-00000212-MCG</v>
      </c>
    </row>
    <row r="2113" spans="1:2" ht="12.5" x14ac:dyDescent="0.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x14ac:dyDescent="0.25">
      <c r="A2114" t="str">
        <f ca="1">IFERROR(__xludf.DUMMYFUNCTION("""COMPUTED_VALUE"""),"Escherichia coli VTEC O138:K81")</f>
        <v>Escherichia coli VTEC O138:K81</v>
      </c>
      <c r="B2114" t="str">
        <f ca="1">IFERROR(__xludf.DUMMYFUNCTION("""COMPUTED_VALUE"""),"RF-00000211-MCG")</f>
        <v>RF-00000211-MCG</v>
      </c>
    </row>
    <row r="2115" spans="1:2" ht="12.5" x14ac:dyDescent="0.25">
      <c r="A2115" t="str">
        <f ca="1">IFERROR(__xludf.DUMMYFUNCTION("""COMPUTED_VALUE"""),"Escherichia coli VTEC O139")</f>
        <v>Escherichia coli VTEC O139</v>
      </c>
      <c r="B2115" t="str">
        <f ca="1">IFERROR(__xludf.DUMMYFUNCTION("""COMPUTED_VALUE"""),"RF-00000210-MCG")</f>
        <v>RF-00000210-MCG</v>
      </c>
    </row>
    <row r="2116" spans="1:2" ht="12.5" x14ac:dyDescent="0.25">
      <c r="A2116" t="str">
        <f ca="1">IFERROR(__xludf.DUMMYFUNCTION("""COMPUTED_VALUE"""),"Escherichia coli VTEC O139:K82")</f>
        <v>Escherichia coli VTEC O139:K82</v>
      </c>
      <c r="B2116" t="str">
        <f ca="1">IFERROR(__xludf.DUMMYFUNCTION("""COMPUTED_VALUE"""),"RF-00000209-MCG")</f>
        <v>RF-00000209-MCG</v>
      </c>
    </row>
    <row r="2117" spans="1:2" ht="12.5" x14ac:dyDescent="0.25">
      <c r="A2117" t="str">
        <f ca="1">IFERROR(__xludf.DUMMYFUNCTION("""COMPUTED_VALUE"""),"Escherichia coli VTEC O141")</f>
        <v>Escherichia coli VTEC O141</v>
      </c>
      <c r="B2117" t="str">
        <f ca="1">IFERROR(__xludf.DUMMYFUNCTION("""COMPUTED_VALUE"""),"RF-00000207-MCG")</f>
        <v>RF-00000207-MCG</v>
      </c>
    </row>
    <row r="2118" spans="1:2" ht="12.5" x14ac:dyDescent="0.25">
      <c r="A2118" t="str">
        <f ca="1">IFERROR(__xludf.DUMMYFUNCTION("""COMPUTED_VALUE"""),"Escherichia coli VTEC O142:H16")</f>
        <v>Escherichia coli VTEC O142:H16</v>
      </c>
      <c r="B2118" t="str">
        <f ca="1">IFERROR(__xludf.DUMMYFUNCTION("""COMPUTED_VALUE"""),"RF-00003583-MCG")</f>
        <v>RF-00003583-MCG</v>
      </c>
    </row>
    <row r="2119" spans="1:2" ht="12.5" x14ac:dyDescent="0.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x14ac:dyDescent="0.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x14ac:dyDescent="0.25">
      <c r="A2121" t="str">
        <f ca="1">IFERROR(__xludf.DUMMYFUNCTION("""COMPUTED_VALUE"""),"Escherichia coli VTEC O145")</f>
        <v>Escherichia coli VTEC O145</v>
      </c>
      <c r="B2121" t="str">
        <f ca="1">IFERROR(__xludf.DUMMYFUNCTION("""COMPUTED_VALUE"""),"RF-00000155-MCG")</f>
        <v>RF-00000155-MCG</v>
      </c>
    </row>
    <row r="2122" spans="1:2" ht="12.5" x14ac:dyDescent="0.25">
      <c r="A2122" t="str">
        <f ca="1">IFERROR(__xludf.DUMMYFUNCTION("""COMPUTED_VALUE"""),"Escherichia coli VTEC O145 - eae negative")</f>
        <v>Escherichia coli VTEC O145 - eae negative</v>
      </c>
      <c r="B2122" t="str">
        <f ca="1">IFERROR(__xludf.DUMMYFUNCTION("""COMPUTED_VALUE"""),"RF-00003723-MCG")</f>
        <v>RF-00003723-MCG</v>
      </c>
    </row>
    <row r="2123" spans="1:2" ht="12.5" x14ac:dyDescent="0.25">
      <c r="A2123" t="str">
        <f ca="1">IFERROR(__xludf.DUMMYFUNCTION("""COMPUTED_VALUE"""),"Escherichia coli VTEC O145 - eae positive")</f>
        <v>Escherichia coli VTEC O145 - eae positive</v>
      </c>
      <c r="B2123" t="str">
        <f ca="1">IFERROR(__xludf.DUMMYFUNCTION("""COMPUTED_VALUE"""),"RF-00003724-MCG")</f>
        <v>RF-00003724-MCG</v>
      </c>
    </row>
    <row r="2124" spans="1:2" ht="12.5" x14ac:dyDescent="0.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x14ac:dyDescent="0.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x14ac:dyDescent="0.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x14ac:dyDescent="0.25">
      <c r="A2127" t="str">
        <f ca="1">IFERROR(__xludf.DUMMYFUNCTION("""COMPUTED_VALUE"""),"Escherichia coli VTEC O145:H-")</f>
        <v>Escherichia coli VTEC O145:H-</v>
      </c>
      <c r="B2127" t="str">
        <f ca="1">IFERROR(__xludf.DUMMYFUNCTION("""COMPUTED_VALUE"""),"RF-00003584-MCG")</f>
        <v>RF-00003584-MCG</v>
      </c>
    </row>
    <row r="2128" spans="1:2" ht="12.5" x14ac:dyDescent="0.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x14ac:dyDescent="0.25">
      <c r="A2129" t="str">
        <f ca="1">IFERROR(__xludf.DUMMYFUNCTION("""COMPUTED_VALUE"""),"Escherichia coli VTEC O145:H12")</f>
        <v>Escherichia coli VTEC O145:H12</v>
      </c>
      <c r="B2129" t="str">
        <f ca="1">IFERROR(__xludf.DUMMYFUNCTION("""COMPUTED_VALUE"""),"RF-00003963-MCG")</f>
        <v>RF-00003963-MCG</v>
      </c>
    </row>
    <row r="2130" spans="1:2" ht="12.5" x14ac:dyDescent="0.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x14ac:dyDescent="0.25">
      <c r="A2131" t="str">
        <f ca="1">IFERROR(__xludf.DUMMYFUNCTION("""COMPUTED_VALUE"""),"Escherichia coli VTEC O145:H28")</f>
        <v>Escherichia coli VTEC O145:H28</v>
      </c>
      <c r="B2131" t="str">
        <f ca="1">IFERROR(__xludf.DUMMYFUNCTION("""COMPUTED_VALUE"""),"RF-00003585-MCG")</f>
        <v>RF-00003585-MCG</v>
      </c>
    </row>
    <row r="2132" spans="1:2" ht="12.5" x14ac:dyDescent="0.25">
      <c r="A2132" t="str">
        <f ca="1">IFERROR(__xludf.DUMMYFUNCTION("""COMPUTED_VALUE"""),"Escherichia coli VTEC O145:H28  - eae negative")</f>
        <v>Escherichia coli VTEC O145:H28  - eae negative</v>
      </c>
      <c r="B2132" t="str">
        <f ca="1">IFERROR(__xludf.DUMMYFUNCTION("""COMPUTED_VALUE"""),"RF-00003728-MCG")</f>
        <v>RF-00003728-MCG</v>
      </c>
    </row>
    <row r="2133" spans="1:2" ht="12.5" x14ac:dyDescent="0.25">
      <c r="A2133" t="str">
        <f ca="1">IFERROR(__xludf.DUMMYFUNCTION("""COMPUTED_VALUE"""),"Escherichia coli VTEC O145:H28  - eae positive")</f>
        <v>Escherichia coli VTEC O145:H28  - eae positive</v>
      </c>
      <c r="B2133" t="str">
        <f ca="1">IFERROR(__xludf.DUMMYFUNCTION("""COMPUTED_VALUE"""),"RF-00003729-MCG")</f>
        <v>RF-00003729-MCG</v>
      </c>
    </row>
    <row r="2134" spans="1:2" ht="12.5" x14ac:dyDescent="0.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x14ac:dyDescent="0.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x14ac:dyDescent="0.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x14ac:dyDescent="0.25">
      <c r="A2137" t="str">
        <f ca="1">IFERROR(__xludf.DUMMYFUNCTION("""COMPUTED_VALUE"""),"Escherichia coli VTEC O145:H8")</f>
        <v>Escherichia coli VTEC O145:H8</v>
      </c>
      <c r="B2137" t="str">
        <f ca="1">IFERROR(__xludf.DUMMYFUNCTION("""COMPUTED_VALUE"""),"RF-00003586-MCG")</f>
        <v>RF-00003586-MCG</v>
      </c>
    </row>
    <row r="2138" spans="1:2" ht="12.5" x14ac:dyDescent="0.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x14ac:dyDescent="0.25">
      <c r="A2139" t="str">
        <f ca="1">IFERROR(__xludf.DUMMYFUNCTION("""COMPUTED_VALUE"""),"Escherichia coli VTEC O145:HNM")</f>
        <v>Escherichia coli VTEC O145:HNM</v>
      </c>
      <c r="B2139" t="str">
        <f ca="1">IFERROR(__xludf.DUMMYFUNCTION("""COMPUTED_VALUE"""),"RF-00003965-MCG")</f>
        <v>RF-00003965-MCG</v>
      </c>
    </row>
    <row r="2140" spans="1:2" ht="12.5" x14ac:dyDescent="0.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x14ac:dyDescent="0.25">
      <c r="A2141" t="str">
        <f ca="1">IFERROR(__xludf.DUMMYFUNCTION("""COMPUTED_VALUE"""),"Escherichia coli VTEC O146")</f>
        <v>Escherichia coli VTEC O146</v>
      </c>
      <c r="B2141" t="str">
        <f ca="1">IFERROR(__xludf.DUMMYFUNCTION("""COMPUTED_VALUE"""),"RF-00000196-MCG")</f>
        <v>RF-00000196-MCG</v>
      </c>
    </row>
    <row r="2142" spans="1:2" ht="12.5" x14ac:dyDescent="0.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x14ac:dyDescent="0.25">
      <c r="A2143" t="str">
        <f ca="1">IFERROR(__xludf.DUMMYFUNCTION("""COMPUTED_VALUE"""),"Escherichia coli VTEC O146 - vtx1 positive")</f>
        <v>Escherichia coli VTEC O146 - vtx1 positive</v>
      </c>
      <c r="B2143" t="str">
        <f ca="1">IFERROR(__xludf.DUMMYFUNCTION("""COMPUTED_VALUE"""),"RF-00003933-MCG")</f>
        <v>RF-00003933-MCG</v>
      </c>
    </row>
    <row r="2144" spans="1:2" ht="12.5" x14ac:dyDescent="0.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x14ac:dyDescent="0.25">
      <c r="A2145" t="str">
        <f ca="1">IFERROR(__xludf.DUMMYFUNCTION("""COMPUTED_VALUE"""),"Escherichia coli VTEC O146 - vtx2 positive")</f>
        <v>Escherichia coli VTEC O146 - vtx2 positive</v>
      </c>
      <c r="B2145" t="str">
        <f ca="1">IFERROR(__xludf.DUMMYFUNCTION("""COMPUTED_VALUE"""),"RF-00003935-MCG")</f>
        <v>RF-00003935-MCG</v>
      </c>
    </row>
    <row r="2146" spans="1:2" ht="12.5" x14ac:dyDescent="0.25">
      <c r="A2146" t="str">
        <f ca="1">IFERROR(__xludf.DUMMYFUNCTION("""COMPUTED_VALUE"""),"Escherichia coli VTEC O146:H-")</f>
        <v>Escherichia coli VTEC O146:H-</v>
      </c>
      <c r="B2146" t="str">
        <f ca="1">IFERROR(__xludf.DUMMYFUNCTION("""COMPUTED_VALUE"""),"RF-00003587-MCG")</f>
        <v>RF-00003587-MCG</v>
      </c>
    </row>
    <row r="2147" spans="1:2" ht="12.5" x14ac:dyDescent="0.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x14ac:dyDescent="0.25">
      <c r="A2148" t="str">
        <f ca="1">IFERROR(__xludf.DUMMYFUNCTION("""COMPUTED_VALUE"""),"Escherichia coli VTEC O146:H12")</f>
        <v>Escherichia coli VTEC O146:H12</v>
      </c>
      <c r="B2148" t="str">
        <f ca="1">IFERROR(__xludf.DUMMYFUNCTION("""COMPUTED_VALUE"""),"RF-00004061-MCG")</f>
        <v>RF-00004061-MCG</v>
      </c>
    </row>
    <row r="2149" spans="1:2" ht="12.5" x14ac:dyDescent="0.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x14ac:dyDescent="0.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x14ac:dyDescent="0.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x14ac:dyDescent="0.25">
      <c r="A2152" t="str">
        <f ca="1">IFERROR(__xludf.DUMMYFUNCTION("""COMPUTED_VALUE"""),"Escherichia coli VTEC O146:H21")</f>
        <v>Escherichia coli VTEC O146:H21</v>
      </c>
      <c r="B2152" t="str">
        <f ca="1">IFERROR(__xludf.DUMMYFUNCTION("""COMPUTED_VALUE"""),"RF-00003588-MCG")</f>
        <v>RF-00003588-MCG</v>
      </c>
    </row>
    <row r="2153" spans="1:2" ht="12.5" x14ac:dyDescent="0.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x14ac:dyDescent="0.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x14ac:dyDescent="0.25">
      <c r="A2155" t="str">
        <f ca="1">IFERROR(__xludf.DUMMYFUNCTION("""COMPUTED_VALUE"""),"Escherichia coli VTEC O146:H28")</f>
        <v>Escherichia coli VTEC O146:H28</v>
      </c>
      <c r="B2155" t="str">
        <f ca="1">IFERROR(__xludf.DUMMYFUNCTION("""COMPUTED_VALUE"""),"RF-00003589-MCG")</f>
        <v>RF-00003589-MCG</v>
      </c>
    </row>
    <row r="2156" spans="1:2" ht="12.5" x14ac:dyDescent="0.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x14ac:dyDescent="0.25">
      <c r="A2157" t="str">
        <f ca="1">IFERROR(__xludf.DUMMYFUNCTION("""COMPUTED_VALUE"""),"Escherichia coli VTEC O146:H32")</f>
        <v>Escherichia coli VTEC O146:H32</v>
      </c>
      <c r="B2157" t="str">
        <f ca="1">IFERROR(__xludf.DUMMYFUNCTION("""COMPUTED_VALUE"""),"RF-00003590-MCG")</f>
        <v>RF-00003590-MCG</v>
      </c>
    </row>
    <row r="2158" spans="1:2" ht="12.5" x14ac:dyDescent="0.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x14ac:dyDescent="0.25">
      <c r="A2159" t="str">
        <f ca="1">IFERROR(__xludf.DUMMYFUNCTION("""COMPUTED_VALUE"""),"Escherichia coli VTEC O146:HNM")</f>
        <v>Escherichia coli VTEC O146:HNM</v>
      </c>
      <c r="B2159" t="str">
        <f ca="1">IFERROR(__xludf.DUMMYFUNCTION("""COMPUTED_VALUE"""),"RF-00004062-MCG")</f>
        <v>RF-00004062-MCG</v>
      </c>
    </row>
    <row r="2160" spans="1:2" ht="12.5" x14ac:dyDescent="0.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x14ac:dyDescent="0.25">
      <c r="A2161" t="str">
        <f ca="1">IFERROR(__xludf.DUMMYFUNCTION("""COMPUTED_VALUE"""),"Escherichia coli VTEC O146:HNT")</f>
        <v>Escherichia coli VTEC O146:HNT</v>
      </c>
      <c r="B2161" t="str">
        <f ca="1">IFERROR(__xludf.DUMMYFUNCTION("""COMPUTED_VALUE"""),"RF-00003591-MCG")</f>
        <v>RF-00003591-MCG</v>
      </c>
    </row>
    <row r="2162" spans="1:2" ht="12.5" x14ac:dyDescent="0.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x14ac:dyDescent="0.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x14ac:dyDescent="0.25">
      <c r="A2164" t="str">
        <f ca="1">IFERROR(__xludf.DUMMYFUNCTION("""COMPUTED_VALUE"""),"Escherichia coli VTEC O146:Hrough")</f>
        <v>Escherichia coli VTEC O146:Hrough</v>
      </c>
      <c r="B2164" t="str">
        <f ca="1">IFERROR(__xludf.DUMMYFUNCTION("""COMPUTED_VALUE"""),"RF-00003972-MCG")</f>
        <v>RF-00003972-MCG</v>
      </c>
    </row>
    <row r="2165" spans="1:2" ht="12.5" x14ac:dyDescent="0.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x14ac:dyDescent="0.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x14ac:dyDescent="0.25">
      <c r="A2167" t="str">
        <f ca="1">IFERROR(__xludf.DUMMYFUNCTION("""COMPUTED_VALUE"""),"Escherichia coli VTEC O149:HNT")</f>
        <v>Escherichia coli VTEC O149:HNT</v>
      </c>
      <c r="B2167" t="str">
        <f ca="1">IFERROR(__xludf.DUMMYFUNCTION("""COMPUTED_VALUE"""),"RF-00003592-MCG")</f>
        <v>RF-00003592-MCG</v>
      </c>
    </row>
    <row r="2168" spans="1:2" ht="12.5" x14ac:dyDescent="0.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x14ac:dyDescent="0.25">
      <c r="A2169" t="str">
        <f ca="1">IFERROR(__xludf.DUMMYFUNCTION("""COMPUTED_VALUE"""),"Escherichia coli VTEC O15")</f>
        <v>Escherichia coli VTEC O15</v>
      </c>
      <c r="B2169" t="str">
        <f ca="1">IFERROR(__xludf.DUMMYFUNCTION("""COMPUTED_VALUE"""),"RF-00000187-MCG")</f>
        <v>RF-00000187-MCG</v>
      </c>
    </row>
    <row r="2170" spans="1:2" ht="12.5" x14ac:dyDescent="0.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x14ac:dyDescent="0.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x14ac:dyDescent="0.25">
      <c r="A2172" t="str">
        <f ca="1">IFERROR(__xludf.DUMMYFUNCTION("""COMPUTED_VALUE"""),"Escherichia coli VTEC O150")</f>
        <v>Escherichia coli VTEC O150</v>
      </c>
      <c r="B2172" t="str">
        <f ca="1">IFERROR(__xludf.DUMMYFUNCTION("""COMPUTED_VALUE"""),"RF-00000204-MCG")</f>
        <v>RF-00000204-MCG</v>
      </c>
    </row>
    <row r="2173" spans="1:2" ht="12.5" x14ac:dyDescent="0.25">
      <c r="A2173" t="str">
        <f ca="1">IFERROR(__xludf.DUMMYFUNCTION("""COMPUTED_VALUE"""),"Escherichia coli VTEC O150:H-")</f>
        <v>Escherichia coli VTEC O150:H-</v>
      </c>
      <c r="B2173" t="str">
        <f ca="1">IFERROR(__xludf.DUMMYFUNCTION("""COMPUTED_VALUE"""),"RF-00003593-MCG")</f>
        <v>RF-00003593-MCG</v>
      </c>
    </row>
    <row r="2174" spans="1:2" ht="12.5" x14ac:dyDescent="0.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x14ac:dyDescent="0.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x14ac:dyDescent="0.25">
      <c r="A2176" t="str">
        <f ca="1">IFERROR(__xludf.DUMMYFUNCTION("""COMPUTED_VALUE"""),"Escherichia coli VTEC O153")</f>
        <v>Escherichia coli VTEC O153</v>
      </c>
      <c r="B2176" t="str">
        <f ca="1">IFERROR(__xludf.DUMMYFUNCTION("""COMPUTED_VALUE"""),"RF-00000203-MCG")</f>
        <v>RF-00000203-MCG</v>
      </c>
    </row>
    <row r="2177" spans="1:2" ht="12.5" x14ac:dyDescent="0.25">
      <c r="A2177" t="str">
        <f ca="1">IFERROR(__xludf.DUMMYFUNCTION("""COMPUTED_VALUE"""),"Escherichia coli VTEC O153:H25")</f>
        <v>Escherichia coli VTEC O153:H25</v>
      </c>
      <c r="B2177" t="str">
        <f ca="1">IFERROR(__xludf.DUMMYFUNCTION("""COMPUTED_VALUE"""),"RF-00003594-MCG")</f>
        <v>RF-00003594-MCG</v>
      </c>
    </row>
    <row r="2178" spans="1:2" ht="12.5" x14ac:dyDescent="0.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x14ac:dyDescent="0.25">
      <c r="A2179" t="str">
        <f ca="1">IFERROR(__xludf.DUMMYFUNCTION("""COMPUTED_VALUE"""),"Escherichia coli VTEC O154:H34")</f>
        <v>Escherichia coli VTEC O154:H34</v>
      </c>
      <c r="B2179" t="str">
        <f ca="1">IFERROR(__xludf.DUMMYFUNCTION("""COMPUTED_VALUE"""),"RF-00003595-MCG")</f>
        <v>RF-00003595-MCG</v>
      </c>
    </row>
    <row r="2180" spans="1:2" ht="12.5" x14ac:dyDescent="0.25">
      <c r="A2180" t="str">
        <f ca="1">IFERROR(__xludf.DUMMYFUNCTION("""COMPUTED_VALUE"""),"Escherichia coli VTEC O156:H-")</f>
        <v>Escherichia coli VTEC O156:H-</v>
      </c>
      <c r="B2180" t="str">
        <f ca="1">IFERROR(__xludf.DUMMYFUNCTION("""COMPUTED_VALUE"""),"RF-00003596-MCG")</f>
        <v>RF-00003596-MCG</v>
      </c>
    </row>
    <row r="2181" spans="1:2" ht="12.5" x14ac:dyDescent="0.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x14ac:dyDescent="0.25">
      <c r="A2182" t="str">
        <f ca="1">IFERROR(__xludf.DUMMYFUNCTION("""COMPUTED_VALUE"""),"Escherichia coli VTEC O157")</f>
        <v>Escherichia coli VTEC O157</v>
      </c>
      <c r="B2182" t="str">
        <f ca="1">IFERROR(__xludf.DUMMYFUNCTION("""COMPUTED_VALUE"""),"RF-00000202-MCG")</f>
        <v>RF-00000202-MCG</v>
      </c>
    </row>
    <row r="2183" spans="1:2" ht="12.5" x14ac:dyDescent="0.25">
      <c r="A2183" t="str">
        <f ca="1">IFERROR(__xludf.DUMMYFUNCTION("""COMPUTED_VALUE"""),"Escherichia coli VTEC O157 - eae negative")</f>
        <v>Escherichia coli VTEC O157 - eae negative</v>
      </c>
      <c r="B2183" t="str">
        <f ca="1">IFERROR(__xludf.DUMMYFUNCTION("""COMPUTED_VALUE"""),"RF-00003743-MCG")</f>
        <v>RF-00003743-MCG</v>
      </c>
    </row>
    <row r="2184" spans="1:2" ht="12.5" x14ac:dyDescent="0.25">
      <c r="A2184" t="str">
        <f ca="1">IFERROR(__xludf.DUMMYFUNCTION("""COMPUTED_VALUE"""),"Escherichia coli VTEC O157 - eae positive")</f>
        <v>Escherichia coli VTEC O157 - eae positive</v>
      </c>
      <c r="B2184" t="str">
        <f ca="1">IFERROR(__xludf.DUMMYFUNCTION("""COMPUTED_VALUE"""),"RF-00003744-MCG")</f>
        <v>RF-00003744-MCG</v>
      </c>
    </row>
    <row r="2185" spans="1:2" ht="12.5" x14ac:dyDescent="0.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x14ac:dyDescent="0.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x14ac:dyDescent="0.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x14ac:dyDescent="0.25">
      <c r="A2188" t="str">
        <f ca="1">IFERROR(__xludf.DUMMYFUNCTION("""COMPUTED_VALUE"""),"Escherichia coli VTEC O157:H")</f>
        <v>Escherichia coli VTEC O157:H</v>
      </c>
      <c r="B2188" t="str">
        <f ca="1">IFERROR(__xludf.DUMMYFUNCTION("""COMPUTED_VALUE"""),"RF-00000201-MCG")</f>
        <v>RF-00000201-MCG</v>
      </c>
    </row>
    <row r="2189" spans="1:2" ht="12.5" x14ac:dyDescent="0.25">
      <c r="A2189" t="str">
        <f ca="1">IFERROR(__xludf.DUMMYFUNCTION("""COMPUTED_VALUE"""),"Escherichia coli VTEC O157:H - eae negative")</f>
        <v>Escherichia coli VTEC O157:H - eae negative</v>
      </c>
      <c r="B2189" t="str">
        <f ca="1">IFERROR(__xludf.DUMMYFUNCTION("""COMPUTED_VALUE"""),"RF-00003748-MCG")</f>
        <v>RF-00003748-MCG</v>
      </c>
    </row>
    <row r="2190" spans="1:2" ht="12.5" x14ac:dyDescent="0.25">
      <c r="A2190" t="str">
        <f ca="1">IFERROR(__xludf.DUMMYFUNCTION("""COMPUTED_VALUE"""),"Escherichia coli VTEC O157:H - eae positive")</f>
        <v>Escherichia coli VTEC O157:H - eae positive</v>
      </c>
      <c r="B2190" t="str">
        <f ca="1">IFERROR(__xludf.DUMMYFUNCTION("""COMPUTED_VALUE"""),"RF-00003749-MCG")</f>
        <v>RF-00003749-MCG</v>
      </c>
    </row>
    <row r="2191" spans="1:2" ht="12.5" x14ac:dyDescent="0.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x14ac:dyDescent="0.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x14ac:dyDescent="0.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x14ac:dyDescent="0.25">
      <c r="A2194" t="str">
        <f ca="1">IFERROR(__xludf.DUMMYFUNCTION("""COMPUTED_VALUE"""),"Escherichia coli VTEC O157:H-")</f>
        <v>Escherichia coli VTEC O157:H-</v>
      </c>
      <c r="B2194" t="str">
        <f ca="1">IFERROR(__xludf.DUMMYFUNCTION("""COMPUTED_VALUE"""),"RF-00000200-MCG")</f>
        <v>RF-00000200-MCG</v>
      </c>
    </row>
    <row r="2195" spans="1:2" ht="12.5" x14ac:dyDescent="0.25">
      <c r="A2195" t="str">
        <f ca="1">IFERROR(__xludf.DUMMYFUNCTION("""COMPUTED_VALUE"""),"Escherichia coli VTEC O157:H- - eae negative")</f>
        <v>Escherichia coli VTEC O157:H- - eae negative</v>
      </c>
      <c r="B2195" t="str">
        <f ca="1">IFERROR(__xludf.DUMMYFUNCTION("""COMPUTED_VALUE"""),"RF-00003753-MCG")</f>
        <v>RF-00003753-MCG</v>
      </c>
    </row>
    <row r="2196" spans="1:2" ht="12.5" x14ac:dyDescent="0.25">
      <c r="A2196" t="str">
        <f ca="1">IFERROR(__xludf.DUMMYFUNCTION("""COMPUTED_VALUE"""),"Escherichia coli VTEC O157:H- - eae positive")</f>
        <v>Escherichia coli VTEC O157:H- - eae positive</v>
      </c>
      <c r="B2196" t="str">
        <f ca="1">IFERROR(__xludf.DUMMYFUNCTION("""COMPUTED_VALUE"""),"RF-00003754-MCG")</f>
        <v>RF-00003754-MCG</v>
      </c>
    </row>
    <row r="2197" spans="1:2" ht="12.5" x14ac:dyDescent="0.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x14ac:dyDescent="0.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x14ac:dyDescent="0.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x14ac:dyDescent="0.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x14ac:dyDescent="0.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x14ac:dyDescent="0.25">
      <c r="A2202" t="str">
        <f ca="1">IFERROR(__xludf.DUMMYFUNCTION("""COMPUTED_VALUE"""),"Escherichia coli VTEC O157:H16")</f>
        <v>Escherichia coli VTEC O157:H16</v>
      </c>
      <c r="B2202" t="str">
        <f ca="1">IFERROR(__xludf.DUMMYFUNCTION("""COMPUTED_VALUE"""),"RF-00000199-MCG")</f>
        <v>RF-00000199-MCG</v>
      </c>
    </row>
    <row r="2203" spans="1:2" ht="12.5" x14ac:dyDescent="0.25">
      <c r="A2203" t="str">
        <f ca="1">IFERROR(__xludf.DUMMYFUNCTION("""COMPUTED_VALUE"""),"Escherichia coli VTEC O157:H16 - eae negative")</f>
        <v>Escherichia coli VTEC O157:H16 - eae negative</v>
      </c>
      <c r="B2203" t="str">
        <f ca="1">IFERROR(__xludf.DUMMYFUNCTION("""COMPUTED_VALUE"""),"RF-00003758-MCG")</f>
        <v>RF-00003758-MCG</v>
      </c>
    </row>
    <row r="2204" spans="1:2" ht="12.5" x14ac:dyDescent="0.25">
      <c r="A2204" t="str">
        <f ca="1">IFERROR(__xludf.DUMMYFUNCTION("""COMPUTED_VALUE"""),"Escherichia coli VTEC O157:H16 - eae positive")</f>
        <v>Escherichia coli VTEC O157:H16 - eae positive</v>
      </c>
      <c r="B2204" t="str">
        <f ca="1">IFERROR(__xludf.DUMMYFUNCTION("""COMPUTED_VALUE"""),"RF-00003759-MCG")</f>
        <v>RF-00003759-MCG</v>
      </c>
    </row>
    <row r="2205" spans="1:2" ht="12.5" x14ac:dyDescent="0.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x14ac:dyDescent="0.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x14ac:dyDescent="0.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x14ac:dyDescent="0.25">
      <c r="A2208" t="str">
        <f ca="1">IFERROR(__xludf.DUMMYFUNCTION("""COMPUTED_VALUE"""),"Escherichia coli VTEC O157:H18")</f>
        <v>Escherichia coli VTEC O157:H18</v>
      </c>
      <c r="B2208" t="str">
        <f ca="1">IFERROR(__xludf.DUMMYFUNCTION("""COMPUTED_VALUE"""),"RF-00000198-MCG")</f>
        <v>RF-00000198-MCG</v>
      </c>
    </row>
    <row r="2209" spans="1:2" ht="12.5" x14ac:dyDescent="0.25">
      <c r="A2209" t="str">
        <f ca="1">IFERROR(__xludf.DUMMYFUNCTION("""COMPUTED_VALUE"""),"Escherichia coli VTEC O157:H18 - eae negative")</f>
        <v>Escherichia coli VTEC O157:H18 - eae negative</v>
      </c>
      <c r="B2209" t="str">
        <f ca="1">IFERROR(__xludf.DUMMYFUNCTION("""COMPUTED_VALUE"""),"RF-00003763-MCG")</f>
        <v>RF-00003763-MCG</v>
      </c>
    </row>
    <row r="2210" spans="1:2" ht="12.5" x14ac:dyDescent="0.25">
      <c r="A2210" t="str">
        <f ca="1">IFERROR(__xludf.DUMMYFUNCTION("""COMPUTED_VALUE"""),"Escherichia coli VTEC O157:H18 - eae positive")</f>
        <v>Escherichia coli VTEC O157:H18 - eae positive</v>
      </c>
      <c r="B2210" t="str">
        <f ca="1">IFERROR(__xludf.DUMMYFUNCTION("""COMPUTED_VALUE"""),"RF-00003764-MCG")</f>
        <v>RF-00003764-MCG</v>
      </c>
    </row>
    <row r="2211" spans="1:2" ht="12.5" x14ac:dyDescent="0.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x14ac:dyDescent="0.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x14ac:dyDescent="0.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x14ac:dyDescent="0.25">
      <c r="A2214" t="str">
        <f ca="1">IFERROR(__xludf.DUMMYFUNCTION("""COMPUTED_VALUE"""),"Escherichia coli VTEC O157:H19")</f>
        <v>Escherichia coli VTEC O157:H19</v>
      </c>
      <c r="B2214" t="str">
        <f ca="1">IFERROR(__xludf.DUMMYFUNCTION("""COMPUTED_VALUE"""),"RF-00000197-MCG")</f>
        <v>RF-00000197-MCG</v>
      </c>
    </row>
    <row r="2215" spans="1:2" ht="12.5" x14ac:dyDescent="0.25">
      <c r="A2215" t="str">
        <f ca="1">IFERROR(__xludf.DUMMYFUNCTION("""COMPUTED_VALUE"""),"Escherichia coli VTEC O157:H19 - eae negative")</f>
        <v>Escherichia coli VTEC O157:H19 - eae negative</v>
      </c>
      <c r="B2215" t="str">
        <f ca="1">IFERROR(__xludf.DUMMYFUNCTION("""COMPUTED_VALUE"""),"RF-00003768-MCG")</f>
        <v>RF-00003768-MCG</v>
      </c>
    </row>
    <row r="2216" spans="1:2" ht="12.5" x14ac:dyDescent="0.25">
      <c r="A2216" t="str">
        <f ca="1">IFERROR(__xludf.DUMMYFUNCTION("""COMPUTED_VALUE"""),"Escherichia coli VTEC O157:H19 - eae positive")</f>
        <v>Escherichia coli VTEC O157:H19 - eae positive</v>
      </c>
      <c r="B2216" t="str">
        <f ca="1">IFERROR(__xludf.DUMMYFUNCTION("""COMPUTED_VALUE"""),"RF-00003769-MCG")</f>
        <v>RF-00003769-MCG</v>
      </c>
    </row>
    <row r="2217" spans="1:2" ht="12.5" x14ac:dyDescent="0.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x14ac:dyDescent="0.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x14ac:dyDescent="0.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x14ac:dyDescent="0.25">
      <c r="A2220" t="str">
        <f ca="1">IFERROR(__xludf.DUMMYFUNCTION("""COMPUTED_VALUE"""),"Escherichia coli VTEC O157:H7")</f>
        <v>Escherichia coli VTEC O157:H7</v>
      </c>
      <c r="B2220" t="str">
        <f ca="1">IFERROR(__xludf.DUMMYFUNCTION("""COMPUTED_VALUE"""),"RF-00000205-MCG")</f>
        <v>RF-00000205-MCG</v>
      </c>
    </row>
    <row r="2221" spans="1:2" ht="12.5" x14ac:dyDescent="0.25">
      <c r="A2221" t="str">
        <f ca="1">IFERROR(__xludf.DUMMYFUNCTION("""COMPUTED_VALUE"""),"Escherichia coli VTEC O157:H7 - eae negative")</f>
        <v>Escherichia coli VTEC O157:H7 - eae negative</v>
      </c>
      <c r="B2221" t="str">
        <f ca="1">IFERROR(__xludf.DUMMYFUNCTION("""COMPUTED_VALUE"""),"RF-00003773-MCG")</f>
        <v>RF-00003773-MCG</v>
      </c>
    </row>
    <row r="2222" spans="1:2" ht="12.5" x14ac:dyDescent="0.25">
      <c r="A2222" t="str">
        <f ca="1">IFERROR(__xludf.DUMMYFUNCTION("""COMPUTED_VALUE"""),"Escherichia coli VTEC O157:H7 - eae positive")</f>
        <v>Escherichia coli VTEC O157:H7 - eae positive</v>
      </c>
      <c r="B2222" t="str">
        <f ca="1">IFERROR(__xludf.DUMMYFUNCTION("""COMPUTED_VALUE"""),"RF-00003774-MCG")</f>
        <v>RF-00003774-MCG</v>
      </c>
    </row>
    <row r="2223" spans="1:2" ht="12.5" x14ac:dyDescent="0.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x14ac:dyDescent="0.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x14ac:dyDescent="0.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x14ac:dyDescent="0.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x14ac:dyDescent="0.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x14ac:dyDescent="0.25">
      <c r="A2228" t="str">
        <f ca="1">IFERROR(__xludf.DUMMYFUNCTION("""COMPUTED_VALUE"""),"Escherichia coli VTEC O157:HNM")</f>
        <v>Escherichia coli VTEC O157:HNM</v>
      </c>
      <c r="B2228" t="str">
        <f ca="1">IFERROR(__xludf.DUMMYFUNCTION("""COMPUTED_VALUE"""),"RF-00003976-MCG")</f>
        <v>RF-00003976-MCG</v>
      </c>
    </row>
    <row r="2229" spans="1:2" ht="12.5" x14ac:dyDescent="0.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x14ac:dyDescent="0.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x14ac:dyDescent="0.25">
      <c r="A2231" t="str">
        <f ca="1">IFERROR(__xludf.DUMMYFUNCTION("""COMPUTED_VALUE"""),"Escherichia coli VTEC O160:HNT")</f>
        <v>Escherichia coli VTEC O160:HNT</v>
      </c>
      <c r="B2231" t="str">
        <f ca="1">IFERROR(__xludf.DUMMYFUNCTION("""COMPUTED_VALUE"""),"RF-00003979-MCG")</f>
        <v>RF-00003979-MCG</v>
      </c>
    </row>
    <row r="2232" spans="1:2" ht="12.5" x14ac:dyDescent="0.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x14ac:dyDescent="0.25">
      <c r="A2233" t="str">
        <f ca="1">IFERROR(__xludf.DUMMYFUNCTION("""COMPUTED_VALUE"""),"Escherichia coli VTEC O166")</f>
        <v>Escherichia coli VTEC O166</v>
      </c>
      <c r="B2233" t="str">
        <f ca="1">IFERROR(__xludf.DUMMYFUNCTION("""COMPUTED_VALUE"""),"RF-00000185-MCG")</f>
        <v>RF-00000185-MCG</v>
      </c>
    </row>
    <row r="2234" spans="1:2" ht="12.5" x14ac:dyDescent="0.25">
      <c r="A2234" t="str">
        <f ca="1">IFERROR(__xludf.DUMMYFUNCTION("""COMPUTED_VALUE"""),"Escherichia coli VTEC O166:H12")</f>
        <v>Escherichia coli VTEC O166:H12</v>
      </c>
      <c r="B2234" t="str">
        <f ca="1">IFERROR(__xludf.DUMMYFUNCTION("""COMPUTED_VALUE"""),"RF-00001321-PAR")</f>
        <v>RF-00001321-PAR</v>
      </c>
    </row>
    <row r="2235" spans="1:2" ht="12.5" x14ac:dyDescent="0.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x14ac:dyDescent="0.25">
      <c r="A2236" t="str">
        <f ca="1">IFERROR(__xludf.DUMMYFUNCTION("""COMPUTED_VALUE"""),"Escherichia coli VTEC O166:H28")</f>
        <v>Escherichia coli VTEC O166:H28</v>
      </c>
      <c r="B2236" t="str">
        <f ca="1">IFERROR(__xludf.DUMMYFUNCTION("""COMPUTED_VALUE"""),"RF-00003597-MCG")</f>
        <v>RF-00003597-MCG</v>
      </c>
    </row>
    <row r="2237" spans="1:2" ht="12.5" x14ac:dyDescent="0.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x14ac:dyDescent="0.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x14ac:dyDescent="0.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x14ac:dyDescent="0.25">
      <c r="A2240" t="str">
        <f ca="1">IFERROR(__xludf.DUMMYFUNCTION("""COMPUTED_VALUE"""),"Escherichia coli VTEC O166:HNT")</f>
        <v>Escherichia coli VTEC O166:HNT</v>
      </c>
      <c r="B2240" t="str">
        <f ca="1">IFERROR(__xludf.DUMMYFUNCTION("""COMPUTED_VALUE"""),"RF-00003598-MCG")</f>
        <v>RF-00003598-MCG</v>
      </c>
    </row>
    <row r="2241" spans="1:2" ht="12.5" x14ac:dyDescent="0.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x14ac:dyDescent="0.25">
      <c r="A2242" t="str">
        <f ca="1">IFERROR(__xludf.DUMMYFUNCTION("""COMPUTED_VALUE"""),"Escherichia coli VTEC O166:Hrough")</f>
        <v>Escherichia coli VTEC O166:Hrough</v>
      </c>
      <c r="B2242" t="str">
        <f ca="1">IFERROR(__xludf.DUMMYFUNCTION("""COMPUTED_VALUE"""),"RF-00003981-MCG")</f>
        <v>RF-00003981-MCG</v>
      </c>
    </row>
    <row r="2243" spans="1:2" ht="12.5" x14ac:dyDescent="0.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x14ac:dyDescent="0.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x14ac:dyDescent="0.25">
      <c r="A2245" t="str">
        <f ca="1">IFERROR(__xludf.DUMMYFUNCTION("""COMPUTED_VALUE"""),"Escherichia coli VTEC O168:H5")</f>
        <v>Escherichia coli VTEC O168:H5</v>
      </c>
      <c r="B2245" t="str">
        <f ca="1">IFERROR(__xludf.DUMMYFUNCTION("""COMPUTED_VALUE"""),"RF-00003599-MCG")</f>
        <v>RF-00003599-MCG</v>
      </c>
    </row>
    <row r="2246" spans="1:2" ht="12.5" x14ac:dyDescent="0.25">
      <c r="A2246" t="str">
        <f ca="1">IFERROR(__xludf.DUMMYFUNCTION("""COMPUTED_VALUE"""),"Escherichia coli VTEC O168:H7")</f>
        <v>Escherichia coli VTEC O168:H7</v>
      </c>
      <c r="B2246" t="str">
        <f ca="1">IFERROR(__xludf.DUMMYFUNCTION("""COMPUTED_VALUE"""),"RF-00003600-MCG")</f>
        <v>RF-00003600-MCG</v>
      </c>
    </row>
    <row r="2247" spans="1:2" ht="12.5" x14ac:dyDescent="0.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x14ac:dyDescent="0.25">
      <c r="A2248" t="str">
        <f ca="1">IFERROR(__xludf.DUMMYFUNCTION("""COMPUTED_VALUE"""),"Escherichia coli VTEC O168:H8")</f>
        <v>Escherichia coli VTEC O168:H8</v>
      </c>
      <c r="B2248" t="str">
        <f ca="1">IFERROR(__xludf.DUMMYFUNCTION("""COMPUTED_VALUE"""),"RF-00003601-MCG")</f>
        <v>RF-00003601-MCG</v>
      </c>
    </row>
    <row r="2249" spans="1:2" ht="12.5" x14ac:dyDescent="0.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x14ac:dyDescent="0.25">
      <c r="A2250" t="str">
        <f ca="1">IFERROR(__xludf.DUMMYFUNCTION("""COMPUTED_VALUE"""),"Escherichia coli VTEC O168:HNT")</f>
        <v>Escherichia coli VTEC O168:HNT</v>
      </c>
      <c r="B2250" t="str">
        <f ca="1">IFERROR(__xludf.DUMMYFUNCTION("""COMPUTED_VALUE"""),"RF-00003602-MCG")</f>
        <v>RF-00003602-MCG</v>
      </c>
    </row>
    <row r="2251" spans="1:2" ht="12.5" x14ac:dyDescent="0.25">
      <c r="A2251" t="str">
        <f ca="1">IFERROR(__xludf.DUMMYFUNCTION("""COMPUTED_VALUE"""),"Escherichia coli VTEC O168:Hrough")</f>
        <v>Escherichia coli VTEC O168:Hrough</v>
      </c>
      <c r="B2251" t="str">
        <f ca="1">IFERROR(__xludf.DUMMYFUNCTION("""COMPUTED_VALUE"""),"RF-00004097-MCG")</f>
        <v>RF-00004097-MCG</v>
      </c>
    </row>
    <row r="2252" spans="1:2" ht="12.5" x14ac:dyDescent="0.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x14ac:dyDescent="0.25">
      <c r="A2253" t="str">
        <f ca="1">IFERROR(__xludf.DUMMYFUNCTION("""COMPUTED_VALUE"""),"Escherichia coli VTEC O17:H18")</f>
        <v>Escherichia coli VTEC O17:H18</v>
      </c>
      <c r="B2253" t="str">
        <f ca="1">IFERROR(__xludf.DUMMYFUNCTION("""COMPUTED_VALUE"""),"RF-00003617-MCG")</f>
        <v>RF-00003617-MCG</v>
      </c>
    </row>
    <row r="2254" spans="1:2" ht="12.5" x14ac:dyDescent="0.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x14ac:dyDescent="0.25">
      <c r="A2255" t="str">
        <f ca="1">IFERROR(__xludf.DUMMYFUNCTION("""COMPUTED_VALUE"""),"Escherichia coli VTEC O172:H8")</f>
        <v>Escherichia coli VTEC O172:H8</v>
      </c>
      <c r="B2255" t="str">
        <f ca="1">IFERROR(__xludf.DUMMYFUNCTION("""COMPUTED_VALUE"""),"RF-00003603-MCG")</f>
        <v>RF-00003603-MCG</v>
      </c>
    </row>
    <row r="2256" spans="1:2" ht="12.5" x14ac:dyDescent="0.25">
      <c r="A2256" t="str">
        <f ca="1">IFERROR(__xludf.DUMMYFUNCTION("""COMPUTED_VALUE"""),"Escherichia coli VTEC O172:H9")</f>
        <v>Escherichia coli VTEC O172:H9</v>
      </c>
      <c r="B2256" t="str">
        <f ca="1">IFERROR(__xludf.DUMMYFUNCTION("""COMPUTED_VALUE"""),"RF-00003985-MCG")</f>
        <v>RF-00003985-MCG</v>
      </c>
    </row>
    <row r="2257" spans="1:2" ht="12.5" x14ac:dyDescent="0.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x14ac:dyDescent="0.25">
      <c r="A2258" t="str">
        <f ca="1">IFERROR(__xludf.DUMMYFUNCTION("""COMPUTED_VALUE"""),"Escherichia coli VTEC O174")</f>
        <v>Escherichia coli VTEC O174</v>
      </c>
      <c r="B2258" t="str">
        <f ca="1">IFERROR(__xludf.DUMMYFUNCTION("""COMPUTED_VALUE"""),"RF-00000156-MCG")</f>
        <v>RF-00000156-MCG</v>
      </c>
    </row>
    <row r="2259" spans="1:2" ht="12.5" x14ac:dyDescent="0.25">
      <c r="A2259" t="str">
        <f ca="1">IFERROR(__xludf.DUMMYFUNCTION("""COMPUTED_VALUE"""),"Escherichia coli VTEC O174:H12")</f>
        <v>Escherichia coli VTEC O174:H12</v>
      </c>
      <c r="B2259" t="str">
        <f ca="1">IFERROR(__xludf.DUMMYFUNCTION("""COMPUTED_VALUE"""),"RF-00003604-MCG")</f>
        <v>RF-00003604-MCG</v>
      </c>
    </row>
    <row r="2260" spans="1:2" ht="12.5" x14ac:dyDescent="0.25">
      <c r="A2260" t="str">
        <f ca="1">IFERROR(__xludf.DUMMYFUNCTION("""COMPUTED_VALUE"""),"Escherichia coli VTEC O174:H2")</f>
        <v>Escherichia coli VTEC O174:H2</v>
      </c>
      <c r="B2260" t="str">
        <f ca="1">IFERROR(__xludf.DUMMYFUNCTION("""COMPUTED_VALUE"""),"RF-00000152-MCG")</f>
        <v>RF-00000152-MCG</v>
      </c>
    </row>
    <row r="2261" spans="1:2" ht="12.5" x14ac:dyDescent="0.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x14ac:dyDescent="0.25">
      <c r="A2262" t="str">
        <f ca="1">IFERROR(__xludf.DUMMYFUNCTION("""COMPUTED_VALUE"""),"Escherichia coli VTEC O174:H21")</f>
        <v>Escherichia coli VTEC O174:H21</v>
      </c>
      <c r="B2262" t="str">
        <f ca="1">IFERROR(__xludf.DUMMYFUNCTION("""COMPUTED_VALUE"""),"RF-00000151-MCG")</f>
        <v>RF-00000151-MCG</v>
      </c>
    </row>
    <row r="2263" spans="1:2" ht="12.5" x14ac:dyDescent="0.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x14ac:dyDescent="0.25">
      <c r="A2264" t="str">
        <f ca="1">IFERROR(__xludf.DUMMYFUNCTION("""COMPUTED_VALUE"""),"Escherichia coli VTEC O174:H28")</f>
        <v>Escherichia coli VTEC O174:H28</v>
      </c>
      <c r="B2264" t="str">
        <f ca="1">IFERROR(__xludf.DUMMYFUNCTION("""COMPUTED_VALUE"""),"RF-00000150-MCG")</f>
        <v>RF-00000150-MCG</v>
      </c>
    </row>
    <row r="2265" spans="1:2" ht="12.5" x14ac:dyDescent="0.25">
      <c r="A2265" t="str">
        <f ca="1">IFERROR(__xludf.DUMMYFUNCTION("""COMPUTED_VALUE"""),"Escherichia coli VTEC O174:H8")</f>
        <v>Escherichia coli VTEC O174:H8</v>
      </c>
      <c r="B2265" t="str">
        <f ca="1">IFERROR(__xludf.DUMMYFUNCTION("""COMPUTED_VALUE"""),"RF-00003605-MCG")</f>
        <v>RF-00003605-MCG</v>
      </c>
    </row>
    <row r="2266" spans="1:2" ht="12.5" x14ac:dyDescent="0.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x14ac:dyDescent="0.25">
      <c r="A2267" t="str">
        <f ca="1">IFERROR(__xludf.DUMMYFUNCTION("""COMPUTED_VALUE"""),"Escherichia coli VTEC O174:HNT")</f>
        <v>Escherichia coli VTEC O174:HNT</v>
      </c>
      <c r="B2267" t="str">
        <f ca="1">IFERROR(__xludf.DUMMYFUNCTION("""COMPUTED_VALUE"""),"RF-00003989-MCG")</f>
        <v>RF-00003989-MCG</v>
      </c>
    </row>
    <row r="2268" spans="1:2" ht="12.5" x14ac:dyDescent="0.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x14ac:dyDescent="0.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x14ac:dyDescent="0.25">
      <c r="A2270" t="str">
        <f ca="1">IFERROR(__xludf.DUMMYFUNCTION("""COMPUTED_VALUE"""),"Escherichia coli VTEC O175:H21")</f>
        <v>Escherichia coli VTEC O175:H21</v>
      </c>
      <c r="B2270" t="str">
        <f ca="1">IFERROR(__xludf.DUMMYFUNCTION("""COMPUTED_VALUE"""),"RF-00003606-MCG")</f>
        <v>RF-00003606-MCG</v>
      </c>
    </row>
    <row r="2271" spans="1:2" ht="12.5" x14ac:dyDescent="0.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x14ac:dyDescent="0.25">
      <c r="A2272" t="str">
        <f ca="1">IFERROR(__xludf.DUMMYFUNCTION("""COMPUTED_VALUE"""),"Escherichia coli VTEC O176:H-")</f>
        <v>Escherichia coli VTEC O176:H-</v>
      </c>
      <c r="B2272" t="str">
        <f ca="1">IFERROR(__xludf.DUMMYFUNCTION("""COMPUTED_VALUE"""),"RF-00003607-MCG")</f>
        <v>RF-00003607-MCG</v>
      </c>
    </row>
    <row r="2273" spans="1:2" ht="12.5" x14ac:dyDescent="0.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x14ac:dyDescent="0.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x14ac:dyDescent="0.25">
      <c r="A2275" t="str">
        <f ca="1">IFERROR(__xludf.DUMMYFUNCTION("""COMPUTED_VALUE"""),"Escherichia coli VTEC O176:H4")</f>
        <v>Escherichia coli VTEC O176:H4</v>
      </c>
      <c r="B2275" t="str">
        <f ca="1">IFERROR(__xludf.DUMMYFUNCTION("""COMPUTED_VALUE"""),"RF-00003608-MCG")</f>
        <v>RF-00003608-MCG</v>
      </c>
    </row>
    <row r="2276" spans="1:2" ht="12.5" x14ac:dyDescent="0.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x14ac:dyDescent="0.25">
      <c r="A2277" t="str">
        <f ca="1">IFERROR(__xludf.DUMMYFUNCTION("""COMPUTED_VALUE"""),"Escherichia coli VTEC O176:HNT")</f>
        <v>Escherichia coli VTEC O176:HNT</v>
      </c>
      <c r="B2277" t="str">
        <f ca="1">IFERROR(__xludf.DUMMYFUNCTION("""COMPUTED_VALUE"""),"RF-00003609-MCG")</f>
        <v>RF-00003609-MCG</v>
      </c>
    </row>
    <row r="2278" spans="1:2" ht="12.5" x14ac:dyDescent="0.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x14ac:dyDescent="0.25">
      <c r="A2279" t="str">
        <f ca="1">IFERROR(__xludf.DUMMYFUNCTION("""COMPUTED_VALUE"""),"Escherichia coli VTEC O177")</f>
        <v>Escherichia coli VTEC O177</v>
      </c>
      <c r="B2279" t="str">
        <f ca="1">IFERROR(__xludf.DUMMYFUNCTION("""COMPUTED_VALUE"""),"RF-00000149-MCG")</f>
        <v>RF-00000149-MCG</v>
      </c>
    </row>
    <row r="2280" spans="1:2" ht="12.5" x14ac:dyDescent="0.25">
      <c r="A2280" t="str">
        <f ca="1">IFERROR(__xludf.DUMMYFUNCTION("""COMPUTED_VALUE"""),"Escherichia coli VTEC O177:H-")</f>
        <v>Escherichia coli VTEC O177:H-</v>
      </c>
      <c r="B2280" t="str">
        <f ca="1">IFERROR(__xludf.DUMMYFUNCTION("""COMPUTED_VALUE"""),"RF-00003610-MCG")</f>
        <v>RF-00003610-MCG</v>
      </c>
    </row>
    <row r="2281" spans="1:2" ht="12.5" x14ac:dyDescent="0.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x14ac:dyDescent="0.25">
      <c r="A2282" t="str">
        <f ca="1">IFERROR(__xludf.DUMMYFUNCTION("""COMPUTED_VALUE"""),"Escherichia coli VTEC O177:H11")</f>
        <v>Escherichia coli VTEC O177:H11</v>
      </c>
      <c r="B2282" t="str">
        <f ca="1">IFERROR(__xludf.DUMMYFUNCTION("""COMPUTED_VALUE"""),"RF-00003611-MCG")</f>
        <v>RF-00003611-MCG</v>
      </c>
    </row>
    <row r="2283" spans="1:2" ht="12.5" x14ac:dyDescent="0.25">
      <c r="A2283" t="str">
        <f ca="1">IFERROR(__xludf.DUMMYFUNCTION("""COMPUTED_VALUE"""),"Escherichia coli VTEC O177:HNM")</f>
        <v>Escherichia coli VTEC O177:HNM</v>
      </c>
      <c r="B2283" t="str">
        <f ca="1">IFERROR(__xludf.DUMMYFUNCTION("""COMPUTED_VALUE"""),"RF-00003991-MCG")</f>
        <v>RF-00003991-MCG</v>
      </c>
    </row>
    <row r="2284" spans="1:2" ht="12.5" x14ac:dyDescent="0.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x14ac:dyDescent="0.25">
      <c r="A2285" t="str">
        <f ca="1">IFERROR(__xludf.DUMMYFUNCTION("""COMPUTED_VALUE"""),"Escherichia coli VTEC O178:H-")</f>
        <v>Escherichia coli VTEC O178:H-</v>
      </c>
      <c r="B2285" t="str">
        <f ca="1">IFERROR(__xludf.DUMMYFUNCTION("""COMPUTED_VALUE"""),"RF-00003612-MCG")</f>
        <v>RF-00003612-MCG</v>
      </c>
    </row>
    <row r="2286" spans="1:2" ht="12.5" x14ac:dyDescent="0.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x14ac:dyDescent="0.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x14ac:dyDescent="0.25">
      <c r="A2288" t="str">
        <f ca="1">IFERROR(__xludf.DUMMYFUNCTION("""COMPUTED_VALUE"""),"Escherichia coli VTEC O178:H19")</f>
        <v>Escherichia coli VTEC O178:H19</v>
      </c>
      <c r="B2288" t="str">
        <f ca="1">IFERROR(__xludf.DUMMYFUNCTION("""COMPUTED_VALUE"""),"RF-00003613-MCG")</f>
        <v>RF-00003613-MCG</v>
      </c>
    </row>
    <row r="2289" spans="1:2" ht="12.5" x14ac:dyDescent="0.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x14ac:dyDescent="0.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x14ac:dyDescent="0.25">
      <c r="A2291" t="str">
        <f ca="1">IFERROR(__xludf.DUMMYFUNCTION("""COMPUTED_VALUE"""),"Escherichia coli VTEC O178:H7")</f>
        <v>Escherichia coli VTEC O178:H7</v>
      </c>
      <c r="B2291" t="str">
        <f ca="1">IFERROR(__xludf.DUMMYFUNCTION("""COMPUTED_VALUE"""),"RF-00003614-MCG")</f>
        <v>RF-00003614-MCG</v>
      </c>
    </row>
    <row r="2292" spans="1:2" ht="12.5" x14ac:dyDescent="0.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x14ac:dyDescent="0.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x14ac:dyDescent="0.25">
      <c r="A2294" t="str">
        <f ca="1">IFERROR(__xludf.DUMMYFUNCTION("""COMPUTED_VALUE"""),"Escherichia coli VTEC O178:HNT")</f>
        <v>Escherichia coli VTEC O178:HNT</v>
      </c>
      <c r="B2294" t="str">
        <f ca="1">IFERROR(__xludf.DUMMYFUNCTION("""COMPUTED_VALUE"""),"RF-00003615-MCG")</f>
        <v>RF-00003615-MCG</v>
      </c>
    </row>
    <row r="2295" spans="1:2" ht="12.5" x14ac:dyDescent="0.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x14ac:dyDescent="0.25">
      <c r="A2296" t="str">
        <f ca="1">IFERROR(__xludf.DUMMYFUNCTION("""COMPUTED_VALUE"""),"Escherichia coli VTEC O178:Hrough")</f>
        <v>Escherichia coli VTEC O178:Hrough</v>
      </c>
      <c r="B2296" t="str">
        <f ca="1">IFERROR(__xludf.DUMMYFUNCTION("""COMPUTED_VALUE"""),"RF-00003993-MCG")</f>
        <v>RF-00003993-MCG</v>
      </c>
    </row>
    <row r="2297" spans="1:2" ht="12.5" x14ac:dyDescent="0.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x14ac:dyDescent="0.25">
      <c r="A2298" t="str">
        <f ca="1">IFERROR(__xludf.DUMMYFUNCTION("""COMPUTED_VALUE"""),"Escherichia coli VTEC O179")</f>
        <v>Escherichia coli VTEC O179</v>
      </c>
      <c r="B2298" t="str">
        <f ca="1">IFERROR(__xludf.DUMMYFUNCTION("""COMPUTED_VALUE"""),"RF-00000134-MCG")</f>
        <v>RF-00000134-MCG</v>
      </c>
    </row>
    <row r="2299" spans="1:2" ht="12.5" x14ac:dyDescent="0.25">
      <c r="A2299" t="str">
        <f ca="1">IFERROR(__xludf.DUMMYFUNCTION("""COMPUTED_VALUE"""),"Escherichia coli VTEC O179:H12")</f>
        <v>Escherichia coli VTEC O179:H12</v>
      </c>
      <c r="B2299" t="str">
        <f ca="1">IFERROR(__xludf.DUMMYFUNCTION("""COMPUTED_VALUE"""),"RF-00003616-MCG")</f>
        <v>RF-00003616-MCG</v>
      </c>
    </row>
    <row r="2300" spans="1:2" ht="12.5" x14ac:dyDescent="0.25">
      <c r="A2300" t="str">
        <f ca="1">IFERROR(__xludf.DUMMYFUNCTION("""COMPUTED_VALUE"""),"Escherichia coli VTEC O179:H8")</f>
        <v>Escherichia coli VTEC O179:H8</v>
      </c>
      <c r="B2300" t="str">
        <f ca="1">IFERROR(__xludf.DUMMYFUNCTION("""COMPUTED_VALUE"""),"RF-00000147-MCG")</f>
        <v>RF-00000147-MCG</v>
      </c>
    </row>
    <row r="2301" spans="1:2" ht="12.5" x14ac:dyDescent="0.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x14ac:dyDescent="0.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x14ac:dyDescent="0.25">
      <c r="A2303" t="str">
        <f ca="1">IFERROR(__xludf.DUMMYFUNCTION("""COMPUTED_VALUE"""),"Escherichia coli VTEC O179:Hrough")</f>
        <v>Escherichia coli VTEC O179:Hrough</v>
      </c>
      <c r="B2303" t="str">
        <f ca="1">IFERROR(__xludf.DUMMYFUNCTION("""COMPUTED_VALUE"""),"RF-00003995-MCG")</f>
        <v>RF-00003995-MCG</v>
      </c>
    </row>
    <row r="2304" spans="1:2" ht="12.5" x14ac:dyDescent="0.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x14ac:dyDescent="0.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x14ac:dyDescent="0.25">
      <c r="A2306" t="str">
        <f ca="1">IFERROR(__xludf.DUMMYFUNCTION("""COMPUTED_VALUE"""),"Escherichia coli VTEC O181:H-")</f>
        <v>Escherichia coli VTEC O181:H-</v>
      </c>
      <c r="B2306" t="str">
        <f ca="1">IFERROR(__xludf.DUMMYFUNCTION("""COMPUTED_VALUE"""),"RF-00003618-MCG")</f>
        <v>RF-00003618-MCG</v>
      </c>
    </row>
    <row r="2307" spans="1:2" ht="12.5" x14ac:dyDescent="0.25">
      <c r="A2307" t="str">
        <f ca="1">IFERROR(__xludf.DUMMYFUNCTION("""COMPUTED_VALUE"""),"Escherichia coli VTEC O181:H49")</f>
        <v>Escherichia coli VTEC O181:H49</v>
      </c>
      <c r="B2307" t="str">
        <f ca="1">IFERROR(__xludf.DUMMYFUNCTION("""COMPUTED_VALUE"""),"RF-00003619-MCG")</f>
        <v>RF-00003619-MCG</v>
      </c>
    </row>
    <row r="2308" spans="1:2" ht="12.5" x14ac:dyDescent="0.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x14ac:dyDescent="0.25">
      <c r="A2309" t="str">
        <f ca="1">IFERROR(__xludf.DUMMYFUNCTION("""COMPUTED_VALUE"""),"Escherichia coli VTEC O183:H-")</f>
        <v>Escherichia coli VTEC O183:H-</v>
      </c>
      <c r="B2309" t="str">
        <f ca="1">IFERROR(__xludf.DUMMYFUNCTION("""COMPUTED_VALUE"""),"RF-00004067-MCG")</f>
        <v>RF-00004067-MCG</v>
      </c>
    </row>
    <row r="2310" spans="1:2" ht="12.5" x14ac:dyDescent="0.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x14ac:dyDescent="0.25">
      <c r="A2311" t="str">
        <f ca="1">IFERROR(__xludf.DUMMYFUNCTION("""COMPUTED_VALUE"""),"Escherichia coli VTEC O183:H18")</f>
        <v>Escherichia coli VTEC O183:H18</v>
      </c>
      <c r="B2311" t="str">
        <f ca="1">IFERROR(__xludf.DUMMYFUNCTION("""COMPUTED_VALUE"""),"RF-00003999-MCG")</f>
        <v>RF-00003999-MCG</v>
      </c>
    </row>
    <row r="2312" spans="1:2" ht="12.5" x14ac:dyDescent="0.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x14ac:dyDescent="0.25">
      <c r="A2313" t="str">
        <f ca="1">IFERROR(__xludf.DUMMYFUNCTION("""COMPUTED_VALUE"""),"Escherichia coli VTEC O183:HNM")</f>
        <v>Escherichia coli VTEC O183:HNM</v>
      </c>
      <c r="B2313" t="str">
        <f ca="1">IFERROR(__xludf.DUMMYFUNCTION("""COMPUTED_VALUE"""),"RF-00004001-MCG")</f>
        <v>RF-00004001-MCG</v>
      </c>
    </row>
    <row r="2314" spans="1:2" ht="12.5" x14ac:dyDescent="0.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x14ac:dyDescent="0.25">
      <c r="A2315" t="str">
        <f ca="1">IFERROR(__xludf.DUMMYFUNCTION("""COMPUTED_VALUE"""),"Escherichia coli VTEC O183:Hrough")</f>
        <v>Escherichia coli VTEC O183:Hrough</v>
      </c>
      <c r="B2315" t="str">
        <f ca="1">IFERROR(__xludf.DUMMYFUNCTION("""COMPUTED_VALUE"""),"RF-00004003-MCG")</f>
        <v>RF-00004003-MCG</v>
      </c>
    </row>
    <row r="2316" spans="1:2" ht="12.5" x14ac:dyDescent="0.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x14ac:dyDescent="0.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x14ac:dyDescent="0.25">
      <c r="A2318" t="str">
        <f ca="1">IFERROR(__xludf.DUMMYFUNCTION("""COMPUTED_VALUE"""),"Escherichia coli VTEC O186:Hrough")</f>
        <v>Escherichia coli VTEC O186:Hrough</v>
      </c>
      <c r="B2318" t="str">
        <f ca="1">IFERROR(__xludf.DUMMYFUNCTION("""COMPUTED_VALUE"""),"RF-00004005-MCG")</f>
        <v>RF-00004005-MCG</v>
      </c>
    </row>
    <row r="2319" spans="1:2" ht="12.5" x14ac:dyDescent="0.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x14ac:dyDescent="0.25">
      <c r="A2320" t="str">
        <f ca="1">IFERROR(__xludf.DUMMYFUNCTION("""COMPUTED_VALUE"""),"Escherichia coli VTEC O19")</f>
        <v>Escherichia coli VTEC O19</v>
      </c>
      <c r="B2320" t="str">
        <f ca="1">IFERROR(__xludf.DUMMYFUNCTION("""COMPUTED_VALUE"""),"RF-00000153-MCG")</f>
        <v>RF-00000153-MCG</v>
      </c>
    </row>
    <row r="2321" spans="1:2" ht="12.5" x14ac:dyDescent="0.25">
      <c r="A2321" t="str">
        <f ca="1">IFERROR(__xludf.DUMMYFUNCTION("""COMPUTED_VALUE"""),"Escherichia coli VTEC O2")</f>
        <v>Escherichia coli VTEC O2</v>
      </c>
      <c r="B2321" t="str">
        <f ca="1">IFERROR(__xludf.DUMMYFUNCTION("""COMPUTED_VALUE"""),"RF-00000145-MCG")</f>
        <v>RF-00000145-MCG</v>
      </c>
    </row>
    <row r="2322" spans="1:2" ht="12.5" x14ac:dyDescent="0.25">
      <c r="A2322" t="str">
        <f ca="1">IFERROR(__xludf.DUMMYFUNCTION("""COMPUTED_VALUE"""),"Escherichia coli VTEC O2:H6")</f>
        <v>Escherichia coli VTEC O2:H6</v>
      </c>
      <c r="B2322" t="str">
        <f ca="1">IFERROR(__xludf.DUMMYFUNCTION("""COMPUTED_VALUE"""),"RF-00000144-MCG")</f>
        <v>RF-00000144-MCG</v>
      </c>
    </row>
    <row r="2323" spans="1:2" ht="12.5" x14ac:dyDescent="0.25">
      <c r="A2323" t="str">
        <f ca="1">IFERROR(__xludf.DUMMYFUNCTION("""COMPUTED_VALUE"""),"Escherichia coli VTEC O2:H6")</f>
        <v>Escherichia coli VTEC O2:H6</v>
      </c>
      <c r="B2323" t="str">
        <f ca="1">IFERROR(__xludf.DUMMYFUNCTION("""COMPUTED_VALUE"""),"RF-00003625-MCG")</f>
        <v>RF-00003625-MCG</v>
      </c>
    </row>
    <row r="2324" spans="1:2" ht="12.5" x14ac:dyDescent="0.25">
      <c r="A2324" t="str">
        <f ca="1">IFERROR(__xludf.DUMMYFUNCTION("""COMPUTED_VALUE"""),"Escherichia coli VTEC O2:Hrough")</f>
        <v>Escherichia coli VTEC O2:Hrough</v>
      </c>
      <c r="B2324" t="str">
        <f ca="1">IFERROR(__xludf.DUMMYFUNCTION("""COMPUTED_VALUE"""),"RF-00004007-MCG")</f>
        <v>RF-00004007-MCG</v>
      </c>
    </row>
    <row r="2325" spans="1:2" ht="12.5" x14ac:dyDescent="0.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x14ac:dyDescent="0.25">
      <c r="A2326" t="str">
        <f ca="1">IFERROR(__xludf.DUMMYFUNCTION("""COMPUTED_VALUE"""),"Escherichia coli VTEC O21")</f>
        <v>Escherichia coli VTEC O21</v>
      </c>
      <c r="B2326" t="str">
        <f ca="1">IFERROR(__xludf.DUMMYFUNCTION("""COMPUTED_VALUE"""),"RF-00000143-MCG")</f>
        <v>RF-00000143-MCG</v>
      </c>
    </row>
    <row r="2327" spans="1:2" ht="12.5" x14ac:dyDescent="0.25">
      <c r="A2327" t="str">
        <f ca="1">IFERROR(__xludf.DUMMYFUNCTION("""COMPUTED_VALUE"""),"Escherichia coli VTEC O22")</f>
        <v>Escherichia coli VTEC O22</v>
      </c>
      <c r="B2327" t="str">
        <f ca="1">IFERROR(__xludf.DUMMYFUNCTION("""COMPUTED_VALUE"""),"RF-00000142-MCG")</f>
        <v>RF-00000142-MCG</v>
      </c>
    </row>
    <row r="2328" spans="1:2" ht="12.5" x14ac:dyDescent="0.25">
      <c r="A2328" t="str">
        <f ca="1">IFERROR(__xludf.DUMMYFUNCTION("""COMPUTED_VALUE"""),"Escherichia coli VTEC O22")</f>
        <v>Escherichia coli VTEC O22</v>
      </c>
      <c r="B2328" t="str">
        <f ca="1">IFERROR(__xludf.DUMMYFUNCTION("""COMPUTED_VALUE"""),"RF-00003620-MCG")</f>
        <v>RF-00003620-MCG</v>
      </c>
    </row>
    <row r="2329" spans="1:2" ht="12.5" x14ac:dyDescent="0.25">
      <c r="A2329" t="str">
        <f ca="1">IFERROR(__xludf.DUMMYFUNCTION("""COMPUTED_VALUE"""),"Escherichia coli VTEC O22:H11")</f>
        <v>Escherichia coli VTEC O22:H11</v>
      </c>
      <c r="B2329" t="str">
        <f ca="1">IFERROR(__xludf.DUMMYFUNCTION("""COMPUTED_VALUE"""),"RF-00003621-MCG")</f>
        <v>RF-00003621-MCG</v>
      </c>
    </row>
    <row r="2330" spans="1:2" ht="12.5" x14ac:dyDescent="0.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x14ac:dyDescent="0.25">
      <c r="A2331" t="str">
        <f ca="1">IFERROR(__xludf.DUMMYFUNCTION("""COMPUTED_VALUE"""),"Escherichia coli VTEC O22:H19")</f>
        <v>Escherichia coli VTEC O22:H19</v>
      </c>
      <c r="B2331" t="str">
        <f ca="1">IFERROR(__xludf.DUMMYFUNCTION("""COMPUTED_VALUE"""),"RF-00004009-MCG")</f>
        <v>RF-00004009-MCG</v>
      </c>
    </row>
    <row r="2332" spans="1:2" ht="12.5" x14ac:dyDescent="0.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x14ac:dyDescent="0.25">
      <c r="A2333" t="str">
        <f ca="1">IFERROR(__xludf.DUMMYFUNCTION("""COMPUTED_VALUE"""),"Escherichia coli VTEC O22:H40")</f>
        <v>Escherichia coli VTEC O22:H40</v>
      </c>
      <c r="B2333" t="str">
        <f ca="1">IFERROR(__xludf.DUMMYFUNCTION("""COMPUTED_VALUE"""),"RF-00000135-MCG")</f>
        <v>RF-00000135-MCG</v>
      </c>
    </row>
    <row r="2334" spans="1:2" ht="12.5" x14ac:dyDescent="0.25">
      <c r="A2334" t="str">
        <f ca="1">IFERROR(__xludf.DUMMYFUNCTION("""COMPUTED_VALUE"""),"Escherichia coli VTEC O22:H8")</f>
        <v>Escherichia coli VTEC O22:H8</v>
      </c>
      <c r="B2334" t="str">
        <f ca="1">IFERROR(__xludf.DUMMYFUNCTION("""COMPUTED_VALUE"""),"RF-00000140-MCG")</f>
        <v>RF-00000140-MCG</v>
      </c>
    </row>
    <row r="2335" spans="1:2" ht="12.5" x14ac:dyDescent="0.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x14ac:dyDescent="0.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x14ac:dyDescent="0.25">
      <c r="A2337" t="str">
        <f ca="1">IFERROR(__xludf.DUMMYFUNCTION("""COMPUTED_VALUE"""),"Escherichia coli VTEC O22:HNT")</f>
        <v>Escherichia coli VTEC O22:HNT</v>
      </c>
      <c r="B2337" t="str">
        <f ca="1">IFERROR(__xludf.DUMMYFUNCTION("""COMPUTED_VALUE"""),"RF-00004012-MCG")</f>
        <v>RF-00004012-MCG</v>
      </c>
    </row>
    <row r="2338" spans="1:2" ht="12.5" x14ac:dyDescent="0.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x14ac:dyDescent="0.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x14ac:dyDescent="0.25">
      <c r="A2340" t="str">
        <f ca="1">IFERROR(__xludf.DUMMYFUNCTION("""COMPUTED_VALUE"""),"Escherichia coli VTEC O22:Hrough")</f>
        <v>Escherichia coli VTEC O22:Hrough</v>
      </c>
      <c r="B2340" t="str">
        <f ca="1">IFERROR(__xludf.DUMMYFUNCTION("""COMPUTED_VALUE"""),"RF-00003622-MCG")</f>
        <v>RF-00003622-MCG</v>
      </c>
    </row>
    <row r="2341" spans="1:2" ht="12.5" x14ac:dyDescent="0.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x14ac:dyDescent="0.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x14ac:dyDescent="0.25">
      <c r="A2343" t="str">
        <f ca="1">IFERROR(__xludf.DUMMYFUNCTION("""COMPUTED_VALUE"""),"Escherichia coli VTEC O23:H15")</f>
        <v>Escherichia coli VTEC O23:H15</v>
      </c>
      <c r="B2343" t="str">
        <f ca="1">IFERROR(__xludf.DUMMYFUNCTION("""COMPUTED_VALUE"""),"RF-00003623-MCG")</f>
        <v>RF-00003623-MCG</v>
      </c>
    </row>
    <row r="2344" spans="1:2" ht="12.5" x14ac:dyDescent="0.25">
      <c r="A2344" t="str">
        <f ca="1">IFERROR(__xludf.DUMMYFUNCTION("""COMPUTED_VALUE"""),"Escherichia coli VTEC O26")</f>
        <v>Escherichia coli VTEC O26</v>
      </c>
      <c r="B2344" t="str">
        <f ca="1">IFERROR(__xludf.DUMMYFUNCTION("""COMPUTED_VALUE"""),"RF-00000139-MCG")</f>
        <v>RF-00000139-MCG</v>
      </c>
    </row>
    <row r="2345" spans="1:2" ht="12.5" x14ac:dyDescent="0.25">
      <c r="A2345" t="str">
        <f ca="1">IFERROR(__xludf.DUMMYFUNCTION("""COMPUTED_VALUE"""),"Escherichia coli VTEC O26 - eae negative")</f>
        <v>Escherichia coli VTEC O26 - eae negative</v>
      </c>
      <c r="B2345" t="str">
        <f ca="1">IFERROR(__xludf.DUMMYFUNCTION("""COMPUTED_VALUE"""),"RF-00003797-MCG")</f>
        <v>RF-00003797-MCG</v>
      </c>
    </row>
    <row r="2346" spans="1:2" ht="12.5" x14ac:dyDescent="0.25">
      <c r="A2346" t="str">
        <f ca="1">IFERROR(__xludf.DUMMYFUNCTION("""COMPUTED_VALUE"""),"Escherichia coli VTEC O26 - eae positive")</f>
        <v>Escherichia coli VTEC O26 - eae positive</v>
      </c>
      <c r="B2346" t="str">
        <f ca="1">IFERROR(__xludf.DUMMYFUNCTION("""COMPUTED_VALUE"""),"RF-00003798-MCG")</f>
        <v>RF-00003798-MCG</v>
      </c>
    </row>
    <row r="2347" spans="1:2" ht="12.5" x14ac:dyDescent="0.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x14ac:dyDescent="0.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x14ac:dyDescent="0.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x14ac:dyDescent="0.25">
      <c r="A2350" t="str">
        <f ca="1">IFERROR(__xludf.DUMMYFUNCTION("""COMPUTED_VALUE"""),"Escherichia coli VTEC O26:H-")</f>
        <v>Escherichia coli VTEC O26:H-</v>
      </c>
      <c r="B2350" t="str">
        <f ca="1">IFERROR(__xludf.DUMMYFUNCTION("""COMPUTED_VALUE"""),"RF-00000138-MCG")</f>
        <v>RF-00000138-MCG</v>
      </c>
    </row>
    <row r="2351" spans="1:2" ht="12.5" x14ac:dyDescent="0.25">
      <c r="A2351" t="str">
        <f ca="1">IFERROR(__xludf.DUMMYFUNCTION("""COMPUTED_VALUE"""),"Escherichia coli VTEC O26:H- - eae negative")</f>
        <v>Escherichia coli VTEC O26:H- - eae negative</v>
      </c>
      <c r="B2351" t="str">
        <f ca="1">IFERROR(__xludf.DUMMYFUNCTION("""COMPUTED_VALUE"""),"RF-00003802-MCG")</f>
        <v>RF-00003802-MCG</v>
      </c>
    </row>
    <row r="2352" spans="1:2" ht="12.5" x14ac:dyDescent="0.25">
      <c r="A2352" t="str">
        <f ca="1">IFERROR(__xludf.DUMMYFUNCTION("""COMPUTED_VALUE"""),"Escherichia coli VTEC O26:H- - eae positive")</f>
        <v>Escherichia coli VTEC O26:H- - eae positive</v>
      </c>
      <c r="B2352" t="str">
        <f ca="1">IFERROR(__xludf.DUMMYFUNCTION("""COMPUTED_VALUE"""),"RF-00003803-MCG")</f>
        <v>RF-00003803-MCG</v>
      </c>
    </row>
    <row r="2353" spans="1:2" ht="12.5" x14ac:dyDescent="0.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x14ac:dyDescent="0.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x14ac:dyDescent="0.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x14ac:dyDescent="0.25">
      <c r="A2356" t="str">
        <f ca="1">IFERROR(__xludf.DUMMYFUNCTION("""COMPUTED_VALUE"""),"Escherichia coli VTEC O26:H11")</f>
        <v>Escherichia coli VTEC O26:H11</v>
      </c>
      <c r="B2356" t="str">
        <f ca="1">IFERROR(__xludf.DUMMYFUNCTION("""COMPUTED_VALUE"""),"RF-00003624-MCG")</f>
        <v>RF-00003624-MCG</v>
      </c>
    </row>
    <row r="2357" spans="1:2" ht="12.5" x14ac:dyDescent="0.25">
      <c r="A2357" t="str">
        <f ca="1">IFERROR(__xludf.DUMMYFUNCTION("""COMPUTED_VALUE"""),"Escherichia coli VTEC O26:H11 - eae negative")</f>
        <v>Escherichia coli VTEC O26:H11 - eae negative</v>
      </c>
      <c r="B2357" t="str">
        <f ca="1">IFERROR(__xludf.DUMMYFUNCTION("""COMPUTED_VALUE"""),"RF-00003807-MCG")</f>
        <v>RF-00003807-MCG</v>
      </c>
    </row>
    <row r="2358" spans="1:2" ht="12.5" x14ac:dyDescent="0.25">
      <c r="A2358" t="str">
        <f ca="1">IFERROR(__xludf.DUMMYFUNCTION("""COMPUTED_VALUE"""),"Escherichia coli VTEC O26:H11 - eae positive")</f>
        <v>Escherichia coli VTEC O26:H11 - eae positive</v>
      </c>
      <c r="B2358" t="str">
        <f ca="1">IFERROR(__xludf.DUMMYFUNCTION("""COMPUTED_VALUE"""),"RF-00003808-MCG")</f>
        <v>RF-00003808-MCG</v>
      </c>
    </row>
    <row r="2359" spans="1:2" ht="12.5" x14ac:dyDescent="0.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x14ac:dyDescent="0.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x14ac:dyDescent="0.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x14ac:dyDescent="0.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x14ac:dyDescent="0.25">
      <c r="A2363" t="str">
        <f ca="1">IFERROR(__xludf.DUMMYFUNCTION("""COMPUTED_VALUE"""),"Escherichia coli VTEC O27")</f>
        <v>Escherichia coli VTEC O27</v>
      </c>
      <c r="B2363" t="str">
        <f ca="1">IFERROR(__xludf.DUMMYFUNCTION("""COMPUTED_VALUE"""),"RF-00000137-MCG")</f>
        <v>RF-00000137-MCG</v>
      </c>
    </row>
    <row r="2364" spans="1:2" ht="12.5" x14ac:dyDescent="0.25">
      <c r="A2364" t="str">
        <f ca="1">IFERROR(__xludf.DUMMYFUNCTION("""COMPUTED_VALUE"""),"Escherichia coli VTEC O27:H30")</f>
        <v>Escherichia coli VTEC O27:H30</v>
      </c>
      <c r="B2364" t="str">
        <f ca="1">IFERROR(__xludf.DUMMYFUNCTION("""COMPUTED_VALUE"""),"RF-00004015-MCG")</f>
        <v>RF-00004015-MCG</v>
      </c>
    </row>
    <row r="2365" spans="1:2" ht="12.5" x14ac:dyDescent="0.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x14ac:dyDescent="0.25">
      <c r="A2366" t="str">
        <f ca="1">IFERROR(__xludf.DUMMYFUNCTION("""COMPUTED_VALUE"""),"Escherichia coli VTEC O28")</f>
        <v>Escherichia coli VTEC O28</v>
      </c>
      <c r="B2366" t="str">
        <f ca="1">IFERROR(__xludf.DUMMYFUNCTION("""COMPUTED_VALUE"""),"RF-00000136-MCG")</f>
        <v>RF-00000136-MCG</v>
      </c>
    </row>
    <row r="2367" spans="1:2" ht="12.5" x14ac:dyDescent="0.25">
      <c r="A2367" t="str">
        <f ca="1">IFERROR(__xludf.DUMMYFUNCTION("""COMPUTED_VALUE"""),"Escherichia coli VTEC O36")</f>
        <v>Escherichia coli VTEC O36</v>
      </c>
      <c r="B2367" t="str">
        <f ca="1">IFERROR(__xludf.DUMMYFUNCTION("""COMPUTED_VALUE"""),"RF-00000141-MCG")</f>
        <v>RF-00000141-MCG</v>
      </c>
    </row>
    <row r="2368" spans="1:2" ht="12.5" x14ac:dyDescent="0.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x14ac:dyDescent="0.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x14ac:dyDescent="0.25">
      <c r="A2370" t="str">
        <f ca="1">IFERROR(__xludf.DUMMYFUNCTION("""COMPUTED_VALUE"""),"Escherichia coli VTEC O38:H21")</f>
        <v>Escherichia coli VTEC O38:H21</v>
      </c>
      <c r="B2370" t="str">
        <f ca="1">IFERROR(__xludf.DUMMYFUNCTION("""COMPUTED_VALUE"""),"RF-00003626-MCG")</f>
        <v>RF-00003626-MCG</v>
      </c>
    </row>
    <row r="2371" spans="1:2" ht="12.5" x14ac:dyDescent="0.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x14ac:dyDescent="0.25">
      <c r="A2372" t="str">
        <f ca="1">IFERROR(__xludf.DUMMYFUNCTION("""COMPUTED_VALUE"""),"Escherichia coli VTEC O39:H12")</f>
        <v>Escherichia coli VTEC O39:H12</v>
      </c>
      <c r="B2372" t="str">
        <f ca="1">IFERROR(__xludf.DUMMYFUNCTION("""COMPUTED_VALUE"""),"RF-00003627-MCG")</f>
        <v>RF-00003627-MCG</v>
      </c>
    </row>
    <row r="2373" spans="1:2" ht="12.5" x14ac:dyDescent="0.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x14ac:dyDescent="0.25">
      <c r="A2374" t="str">
        <f ca="1">IFERROR(__xludf.DUMMYFUNCTION("""COMPUTED_VALUE"""),"Escherichia coli VTEC O39:HNT")</f>
        <v>Escherichia coli VTEC O39:HNT</v>
      </c>
      <c r="B2374" t="str">
        <f ca="1">IFERROR(__xludf.DUMMYFUNCTION("""COMPUTED_VALUE"""),"RF-00003628-MCG")</f>
        <v>RF-00003628-MCG</v>
      </c>
    </row>
    <row r="2375" spans="1:2" ht="12.5" x14ac:dyDescent="0.25">
      <c r="A2375" t="str">
        <f ca="1">IFERROR(__xludf.DUMMYFUNCTION("""COMPUTED_VALUE"""),"Escherichia coli VTEC O39:Hrough")</f>
        <v>Escherichia coli VTEC O39:Hrough</v>
      </c>
      <c r="B2375" t="str">
        <f ca="1">IFERROR(__xludf.DUMMYFUNCTION("""COMPUTED_VALUE"""),"RF-00004017-MCG")</f>
        <v>RF-00004017-MCG</v>
      </c>
    </row>
    <row r="2376" spans="1:2" ht="12.5" x14ac:dyDescent="0.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x14ac:dyDescent="0.25">
      <c r="A2377" t="str">
        <f ca="1">IFERROR(__xludf.DUMMYFUNCTION("""COMPUTED_VALUE"""),"Escherichia coli VTEC O4")</f>
        <v>Escherichia coli VTEC O4</v>
      </c>
      <c r="B2377" t="str">
        <f ca="1">IFERROR(__xludf.DUMMYFUNCTION("""COMPUTED_VALUE"""),"RF-00000133-MCG")</f>
        <v>RF-00000133-MCG</v>
      </c>
    </row>
    <row r="2378" spans="1:2" ht="12.5" x14ac:dyDescent="0.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x14ac:dyDescent="0.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x14ac:dyDescent="0.25">
      <c r="A2380" t="str">
        <f ca="1">IFERROR(__xludf.DUMMYFUNCTION("""COMPUTED_VALUE"""),"Escherichia coli VTEC O46")</f>
        <v>Escherichia coli VTEC O46</v>
      </c>
      <c r="B2380" t="str">
        <f ca="1">IFERROR(__xludf.DUMMYFUNCTION("""COMPUTED_VALUE"""),"RF-00000146-MCG")</f>
        <v>RF-00000146-MCG</v>
      </c>
    </row>
    <row r="2381" spans="1:2" ht="12.5" x14ac:dyDescent="0.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x14ac:dyDescent="0.25">
      <c r="A2382" t="str">
        <f ca="1">IFERROR(__xludf.DUMMYFUNCTION("""COMPUTED_VALUE"""),"Escherichia coli VTEC O5")</f>
        <v>Escherichia coli VTEC O5</v>
      </c>
      <c r="B2382" t="str">
        <f ca="1">IFERROR(__xludf.DUMMYFUNCTION("""COMPUTED_VALUE"""),"RF-00000165-MCG")</f>
        <v>RF-00000165-MCG</v>
      </c>
    </row>
    <row r="2383" spans="1:2" ht="12.5" x14ac:dyDescent="0.25">
      <c r="A2383" t="str">
        <f ca="1">IFERROR(__xludf.DUMMYFUNCTION("""COMPUTED_VALUE"""),"Escherichia coli VTEC O5:H-")</f>
        <v>Escherichia coli VTEC O5:H-</v>
      </c>
      <c r="B2383" t="str">
        <f ca="1">IFERROR(__xludf.DUMMYFUNCTION("""COMPUTED_VALUE"""),"RF-00003633-MCG")</f>
        <v>RF-00003633-MCG</v>
      </c>
    </row>
    <row r="2384" spans="1:2" ht="12.5" x14ac:dyDescent="0.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x14ac:dyDescent="0.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x14ac:dyDescent="0.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x14ac:dyDescent="0.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x14ac:dyDescent="0.25">
      <c r="A2388" t="str">
        <f ca="1">IFERROR(__xludf.DUMMYFUNCTION("""COMPUTED_VALUE"""),"Escherichia coli VTEC O5:H8")</f>
        <v>Escherichia coli VTEC O5:H8</v>
      </c>
      <c r="B2388" t="str">
        <f ca="1">IFERROR(__xludf.DUMMYFUNCTION("""COMPUTED_VALUE"""),"RF-00003634-MCG")</f>
        <v>RF-00003634-MCG</v>
      </c>
    </row>
    <row r="2389" spans="1:2" ht="12.5" x14ac:dyDescent="0.25">
      <c r="A2389" t="str">
        <f ca="1">IFERROR(__xludf.DUMMYFUNCTION("""COMPUTED_VALUE"""),"Escherichia coli VTEC O5:HMN")</f>
        <v>Escherichia coli VTEC O5:HMN</v>
      </c>
      <c r="B2389" t="str">
        <f ca="1">IFERROR(__xludf.DUMMYFUNCTION("""COMPUTED_VALUE"""),"RF-00004019-MCG")</f>
        <v>RF-00004019-MCG</v>
      </c>
    </row>
    <row r="2390" spans="1:2" ht="12.5" x14ac:dyDescent="0.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x14ac:dyDescent="0.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x14ac:dyDescent="0.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x14ac:dyDescent="0.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x14ac:dyDescent="0.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x14ac:dyDescent="0.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x14ac:dyDescent="0.25">
      <c r="A2396" t="str">
        <f ca="1">IFERROR(__xludf.DUMMYFUNCTION("""COMPUTED_VALUE"""),"Escherichia coli VTEC O55")</f>
        <v>Escherichia coli VTEC O55</v>
      </c>
      <c r="B2396" t="str">
        <f ca="1">IFERROR(__xludf.DUMMYFUNCTION("""COMPUTED_VALUE"""),"RF-00000173-MCG")</f>
        <v>RF-00000173-MCG</v>
      </c>
    </row>
    <row r="2397" spans="1:2" ht="12.5" x14ac:dyDescent="0.25">
      <c r="A2397" t="str">
        <f ca="1">IFERROR(__xludf.DUMMYFUNCTION("""COMPUTED_VALUE"""),"Escherichia coli VTEC O55:H-")</f>
        <v>Escherichia coli VTEC O55:H-</v>
      </c>
      <c r="B2397" t="str">
        <f ca="1">IFERROR(__xludf.DUMMYFUNCTION("""COMPUTED_VALUE"""),"RF-00003629-MCG")</f>
        <v>RF-00003629-MCG</v>
      </c>
    </row>
    <row r="2398" spans="1:2" ht="12.5" x14ac:dyDescent="0.25">
      <c r="A2398" t="str">
        <f ca="1">IFERROR(__xludf.DUMMYFUNCTION("""COMPUTED_VALUE"""),"Escherichia coli VTEC O55:H11")</f>
        <v>Escherichia coli VTEC O55:H11</v>
      </c>
      <c r="B2398" t="str">
        <f ca="1">IFERROR(__xludf.DUMMYFUNCTION("""COMPUTED_VALUE"""),"RF-00003630-MCG")</f>
        <v>RF-00003630-MCG</v>
      </c>
    </row>
    <row r="2399" spans="1:2" ht="12.5" x14ac:dyDescent="0.25">
      <c r="A2399" t="str">
        <f ca="1">IFERROR(__xludf.DUMMYFUNCTION("""COMPUTED_VALUE"""),"Escherichia coli VTEC O55:H12")</f>
        <v>Escherichia coli VTEC O55:H12</v>
      </c>
      <c r="B2399" t="str">
        <f ca="1">IFERROR(__xludf.DUMMYFUNCTION("""COMPUTED_VALUE"""),"RF-00003631-MCG")</f>
        <v>RF-00003631-MCG</v>
      </c>
    </row>
    <row r="2400" spans="1:2" ht="12.5" x14ac:dyDescent="0.25">
      <c r="A2400" t="str">
        <f ca="1">IFERROR(__xludf.DUMMYFUNCTION("""COMPUTED_VALUE"""),"Escherichia coli VTEC O55:H2")</f>
        <v>Escherichia coli VTEC O55:H2</v>
      </c>
      <c r="B2400" t="str">
        <f ca="1">IFERROR(__xludf.DUMMYFUNCTION("""COMPUTED_VALUE"""),"RF-00003632-MCG")</f>
        <v>RF-00003632-MCG</v>
      </c>
    </row>
    <row r="2401" spans="1:2" ht="12.5" x14ac:dyDescent="0.25">
      <c r="A2401" t="str">
        <f ca="1">IFERROR(__xludf.DUMMYFUNCTION("""COMPUTED_VALUE"""),"Escherichia coli VTEC O59")</f>
        <v>Escherichia coli VTEC O59</v>
      </c>
      <c r="B2401" t="str">
        <f ca="1">IFERROR(__xludf.DUMMYFUNCTION("""COMPUTED_VALUE"""),"RF-00000172-MCG")</f>
        <v>RF-00000172-MCG</v>
      </c>
    </row>
    <row r="2402" spans="1:2" ht="12.5" x14ac:dyDescent="0.25">
      <c r="A2402" t="str">
        <f ca="1">IFERROR(__xludf.DUMMYFUNCTION("""COMPUTED_VALUE"""),"Escherichia coli VTEC O6:H-")</f>
        <v>Escherichia coli VTEC O6:H-</v>
      </c>
      <c r="B2402" t="str">
        <f ca="1">IFERROR(__xludf.DUMMYFUNCTION("""COMPUTED_VALUE"""),"RF-00003635-MCG")</f>
        <v>RF-00003635-MCG</v>
      </c>
    </row>
    <row r="2403" spans="1:2" ht="12.5" x14ac:dyDescent="0.25">
      <c r="A2403" t="str">
        <f ca="1">IFERROR(__xludf.DUMMYFUNCTION("""COMPUTED_VALUE"""),"Escherichia coli VTEC O6:H10")</f>
        <v>Escherichia coli VTEC O6:H10</v>
      </c>
      <c r="B2403" t="str">
        <f ca="1">IFERROR(__xludf.DUMMYFUNCTION("""COMPUTED_VALUE"""),"RF-00000171-MCG")</f>
        <v>RF-00000171-MCG</v>
      </c>
    </row>
    <row r="2404" spans="1:2" ht="12.5" x14ac:dyDescent="0.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x14ac:dyDescent="0.25">
      <c r="A2405" t="str">
        <f ca="1">IFERROR(__xludf.DUMMYFUNCTION("""COMPUTED_VALUE"""),"Escherichia coli VTEC O63")</f>
        <v>Escherichia coli VTEC O63</v>
      </c>
      <c r="B2405" t="str">
        <f ca="1">IFERROR(__xludf.DUMMYFUNCTION("""COMPUTED_VALUE"""),"RF-00003936-MCG")</f>
        <v>RF-00003936-MCG</v>
      </c>
    </row>
    <row r="2406" spans="1:2" ht="12.5" x14ac:dyDescent="0.25">
      <c r="A2406" t="str">
        <f ca="1">IFERROR(__xludf.DUMMYFUNCTION("""COMPUTED_VALUE"""),"Escherichia coli VTEC O63 - vtx1 positive")</f>
        <v>Escherichia coli VTEC O63 - vtx1 positive</v>
      </c>
      <c r="B2406" t="str">
        <f ca="1">IFERROR(__xludf.DUMMYFUNCTION("""COMPUTED_VALUE"""),"RF-00003937-MCG")</f>
        <v>RF-00003937-MCG</v>
      </c>
    </row>
    <row r="2407" spans="1:2" ht="12.5" x14ac:dyDescent="0.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x14ac:dyDescent="0.25">
      <c r="A2408" t="str">
        <f ca="1">IFERROR(__xludf.DUMMYFUNCTION("""COMPUTED_VALUE"""),"Escherichia coli VTEC O63 - vtx2 positive")</f>
        <v>Escherichia coli VTEC O63 - vtx2 positive</v>
      </c>
      <c r="B2408" t="str">
        <f ca="1">IFERROR(__xludf.DUMMYFUNCTION("""COMPUTED_VALUE"""),"RF-00003939-MCG")</f>
        <v>RF-00003939-MCG</v>
      </c>
    </row>
    <row r="2409" spans="1:2" ht="12.5" x14ac:dyDescent="0.25">
      <c r="A2409" t="str">
        <f ca="1">IFERROR(__xludf.DUMMYFUNCTION("""COMPUTED_VALUE"""),"Escherichia coli VTEC O66:H28")</f>
        <v>Escherichia coli VTEC O66:H28</v>
      </c>
      <c r="B2409" t="str">
        <f ca="1">IFERROR(__xludf.DUMMYFUNCTION("""COMPUTED_VALUE"""),"RF-00000170-MCG")</f>
        <v>RF-00000170-MCG</v>
      </c>
    </row>
    <row r="2410" spans="1:2" ht="12.5" x14ac:dyDescent="0.25">
      <c r="A2410" t="str">
        <f ca="1">IFERROR(__xludf.DUMMYFUNCTION("""COMPUTED_VALUE"""),"Escherichia coli VTEC O70:H-")</f>
        <v>Escherichia coli VTEC O70:H-</v>
      </c>
      <c r="B2410" t="str">
        <f ca="1">IFERROR(__xludf.DUMMYFUNCTION("""COMPUTED_VALUE"""),"RF-00003636-MCG")</f>
        <v>RF-00003636-MCG</v>
      </c>
    </row>
    <row r="2411" spans="1:2" ht="12.5" x14ac:dyDescent="0.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x14ac:dyDescent="0.25">
      <c r="A2412" t="str">
        <f ca="1">IFERROR(__xludf.DUMMYFUNCTION("""COMPUTED_VALUE"""),"Escherichia coli VTEC O70:HNT")</f>
        <v>Escherichia coli VTEC O70:HNT</v>
      </c>
      <c r="B2412" t="str">
        <f ca="1">IFERROR(__xludf.DUMMYFUNCTION("""COMPUTED_VALUE"""),"RF-00003637-MCG")</f>
        <v>RF-00003637-MCG</v>
      </c>
    </row>
    <row r="2413" spans="1:2" ht="12.5" x14ac:dyDescent="0.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x14ac:dyDescent="0.25">
      <c r="A2414" t="str">
        <f ca="1">IFERROR(__xludf.DUMMYFUNCTION("""COMPUTED_VALUE"""),"Escherichia coli VTEC O74")</f>
        <v>Escherichia coli VTEC O74</v>
      </c>
      <c r="B2414" t="str">
        <f ca="1">IFERROR(__xludf.DUMMYFUNCTION("""COMPUTED_VALUE"""),"RF-00000163-MCG")</f>
        <v>RF-00000163-MCG</v>
      </c>
    </row>
    <row r="2415" spans="1:2" ht="12.5" x14ac:dyDescent="0.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x14ac:dyDescent="0.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x14ac:dyDescent="0.25">
      <c r="A2417" t="str">
        <f ca="1">IFERROR(__xludf.DUMMYFUNCTION("""COMPUTED_VALUE"""),"Escherichia coli VTEC O75")</f>
        <v>Escherichia coli VTEC O75</v>
      </c>
      <c r="B2417" t="str">
        <f ca="1">IFERROR(__xludf.DUMMYFUNCTION("""COMPUTED_VALUE"""),"RF-00000169-MCG")</f>
        <v>RF-00000169-MCG</v>
      </c>
    </row>
    <row r="2418" spans="1:2" ht="12.5" x14ac:dyDescent="0.25">
      <c r="A2418" t="str">
        <f ca="1">IFERROR(__xludf.DUMMYFUNCTION("""COMPUTED_VALUE"""),"Escherichia coli VTEC O75:H-")</f>
        <v>Escherichia coli VTEC O75:H-</v>
      </c>
      <c r="B2418" t="str">
        <f ca="1">IFERROR(__xludf.DUMMYFUNCTION("""COMPUTED_VALUE"""),"RF-00003638-MCG")</f>
        <v>RF-00003638-MCG</v>
      </c>
    </row>
    <row r="2419" spans="1:2" ht="12.5" x14ac:dyDescent="0.25">
      <c r="A2419" t="str">
        <f ca="1">IFERROR(__xludf.DUMMYFUNCTION("""COMPUTED_VALUE"""),"Escherichia coli VTEC O75:H12")</f>
        <v>Escherichia coli VTEC O75:H12</v>
      </c>
      <c r="B2419" t="str">
        <f ca="1">IFERROR(__xludf.DUMMYFUNCTION("""COMPUTED_VALUE"""),"RF-00003639-MCG")</f>
        <v>RF-00003639-MCG</v>
      </c>
    </row>
    <row r="2420" spans="1:2" ht="12.5" x14ac:dyDescent="0.25">
      <c r="A2420" t="str">
        <f ca="1">IFERROR(__xludf.DUMMYFUNCTION("""COMPUTED_VALUE"""),"Escherichia coli VTEC O75:H5")</f>
        <v>Escherichia coli VTEC O75:H5</v>
      </c>
      <c r="B2420" t="str">
        <f ca="1">IFERROR(__xludf.DUMMYFUNCTION("""COMPUTED_VALUE"""),"RF-00004024-MCG")</f>
        <v>RF-00004024-MCG</v>
      </c>
    </row>
    <row r="2421" spans="1:2" ht="12.5" x14ac:dyDescent="0.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x14ac:dyDescent="0.25">
      <c r="A2422" t="str">
        <f ca="1">IFERROR(__xludf.DUMMYFUNCTION("""COMPUTED_VALUE"""),"Escherichia coli VTEC O75:H8")</f>
        <v>Escherichia coli VTEC O75:H8</v>
      </c>
      <c r="B2422" t="str">
        <f ca="1">IFERROR(__xludf.DUMMYFUNCTION("""COMPUTED_VALUE"""),"RF-00003640-MCG")</f>
        <v>RF-00003640-MCG</v>
      </c>
    </row>
    <row r="2423" spans="1:2" ht="12.5" x14ac:dyDescent="0.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x14ac:dyDescent="0.25">
      <c r="A2424" t="str">
        <f ca="1">IFERROR(__xludf.DUMMYFUNCTION("""COMPUTED_VALUE"""),"Escherichia coli VTEC O75:HNT")</f>
        <v>Escherichia coli VTEC O75:HNT</v>
      </c>
      <c r="B2424" t="str">
        <f ca="1">IFERROR(__xludf.DUMMYFUNCTION("""COMPUTED_VALUE"""),"RF-00003641-MCG")</f>
        <v>RF-00003641-MCG</v>
      </c>
    </row>
    <row r="2425" spans="1:2" ht="12.5" x14ac:dyDescent="0.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x14ac:dyDescent="0.25">
      <c r="A2426" t="str">
        <f ca="1">IFERROR(__xludf.DUMMYFUNCTION("""COMPUTED_VALUE"""),"Escherichia coli VTEC O76")</f>
        <v>Escherichia coli VTEC O76</v>
      </c>
      <c r="B2426" t="str">
        <f ca="1">IFERROR(__xludf.DUMMYFUNCTION("""COMPUTED_VALUE"""),"RF-00000148-MCG")</f>
        <v>RF-00000148-MCG</v>
      </c>
    </row>
    <row r="2427" spans="1:2" ht="12.5" x14ac:dyDescent="0.25">
      <c r="A2427" t="str">
        <f ca="1">IFERROR(__xludf.DUMMYFUNCTION("""COMPUTED_VALUE"""),"Escherichia coli VTEC O76")</f>
        <v>Escherichia coli VTEC O76</v>
      </c>
      <c r="B2427" t="str">
        <f ca="1">IFERROR(__xludf.DUMMYFUNCTION("""COMPUTED_VALUE"""),"RF-00003642-MCG")</f>
        <v>RF-00003642-MCG</v>
      </c>
    </row>
    <row r="2428" spans="1:2" ht="12.5" x14ac:dyDescent="0.25">
      <c r="A2428" t="str">
        <f ca="1">IFERROR(__xludf.DUMMYFUNCTION("""COMPUTED_VALUE"""),"Escherichia coli VTEC O76:H-")</f>
        <v>Escherichia coli VTEC O76:H-</v>
      </c>
      <c r="B2428" t="str">
        <f ca="1">IFERROR(__xludf.DUMMYFUNCTION("""COMPUTED_VALUE"""),"RF-00000168-MCG")</f>
        <v>RF-00000168-MCG</v>
      </c>
    </row>
    <row r="2429" spans="1:2" ht="12.5" x14ac:dyDescent="0.25">
      <c r="A2429" t="str">
        <f ca="1">IFERROR(__xludf.DUMMYFUNCTION("""COMPUTED_VALUE"""),"Escherichia coli VTEC O76:H-")</f>
        <v>Escherichia coli VTEC O76:H-</v>
      </c>
      <c r="B2429" t="str">
        <f ca="1">IFERROR(__xludf.DUMMYFUNCTION("""COMPUTED_VALUE"""),"RF-00003643-MCG")</f>
        <v>RF-00003643-MCG</v>
      </c>
    </row>
    <row r="2430" spans="1:2" ht="12.5" x14ac:dyDescent="0.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x14ac:dyDescent="0.25">
      <c r="A2431" t="str">
        <f ca="1">IFERROR(__xludf.DUMMYFUNCTION("""COMPUTED_VALUE"""),"Escherichia coli VTEC O76:H19")</f>
        <v>Escherichia coli VTEC O76:H19</v>
      </c>
      <c r="B2431" t="str">
        <f ca="1">IFERROR(__xludf.DUMMYFUNCTION("""COMPUTED_VALUE"""),"RF-00000167-MCG")</f>
        <v>RF-00000167-MCG</v>
      </c>
    </row>
    <row r="2432" spans="1:2" ht="12.5" x14ac:dyDescent="0.25">
      <c r="A2432" t="str">
        <f ca="1">IFERROR(__xludf.DUMMYFUNCTION("""COMPUTED_VALUE"""),"Escherichia coli VTEC O76:H19")</f>
        <v>Escherichia coli VTEC O76:H19</v>
      </c>
      <c r="B2432" t="str">
        <f ca="1">IFERROR(__xludf.DUMMYFUNCTION("""COMPUTED_VALUE"""),"RF-00003644-MCG")</f>
        <v>RF-00003644-MCG</v>
      </c>
    </row>
    <row r="2433" spans="1:2" ht="12.5" x14ac:dyDescent="0.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x14ac:dyDescent="0.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x14ac:dyDescent="0.25">
      <c r="A2435" t="str">
        <f ca="1">IFERROR(__xludf.DUMMYFUNCTION("""COMPUTED_VALUE"""),"Escherichia coli VTEC O76:HNM")</f>
        <v>Escherichia coli VTEC O76:HNM</v>
      </c>
      <c r="B2435" t="str">
        <f ca="1">IFERROR(__xludf.DUMMYFUNCTION("""COMPUTED_VALUE"""),"RF-00004026-MCG")</f>
        <v>RF-00004026-MCG</v>
      </c>
    </row>
    <row r="2436" spans="1:2" ht="12.5" x14ac:dyDescent="0.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x14ac:dyDescent="0.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x14ac:dyDescent="0.25">
      <c r="A2438" t="str">
        <f ca="1">IFERROR(__xludf.DUMMYFUNCTION("""COMPUTED_VALUE"""),"Escherichia coli VTEC O76:HNT")</f>
        <v>Escherichia coli VTEC O76:HNT</v>
      </c>
      <c r="B2438" t="str">
        <f ca="1">IFERROR(__xludf.DUMMYFUNCTION("""COMPUTED_VALUE"""),"RF-00003645-MCG")</f>
        <v>RF-00003645-MCG</v>
      </c>
    </row>
    <row r="2439" spans="1:2" ht="12.5" x14ac:dyDescent="0.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x14ac:dyDescent="0.25">
      <c r="A2440" t="str">
        <f ca="1">IFERROR(__xludf.DUMMYFUNCTION("""COMPUTED_VALUE"""),"Escherichia coli VTEC O76:Hrough")</f>
        <v>Escherichia coli VTEC O76:Hrough</v>
      </c>
      <c r="B2440" t="str">
        <f ca="1">IFERROR(__xludf.DUMMYFUNCTION("""COMPUTED_VALUE"""),"RF-00004030-MCG")</f>
        <v>RF-00004030-MCG</v>
      </c>
    </row>
    <row r="2441" spans="1:2" ht="12.5" x14ac:dyDescent="0.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x14ac:dyDescent="0.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x14ac:dyDescent="0.25">
      <c r="A2443" t="str">
        <f ca="1">IFERROR(__xludf.DUMMYFUNCTION("""COMPUTED_VALUE"""),"Escherichia coli VTEC O78:H-")</f>
        <v>Escherichia coli VTEC O78:H-</v>
      </c>
      <c r="B2443" t="str">
        <f ca="1">IFERROR(__xludf.DUMMYFUNCTION("""COMPUTED_VALUE"""),"RF-00003646-MCG")</f>
        <v>RF-00003646-MCG</v>
      </c>
    </row>
    <row r="2444" spans="1:2" ht="12.5" x14ac:dyDescent="0.25">
      <c r="A2444" t="str">
        <f ca="1">IFERROR(__xludf.DUMMYFUNCTION("""COMPUTED_VALUE"""),"Escherichia coli VTEC O79")</f>
        <v>Escherichia coli VTEC O79</v>
      </c>
      <c r="B2444" t="str">
        <f ca="1">IFERROR(__xludf.DUMMYFUNCTION("""COMPUTED_VALUE"""),"RF-00000166-MCG")</f>
        <v>RF-00000166-MCG</v>
      </c>
    </row>
    <row r="2445" spans="1:2" ht="12.5" x14ac:dyDescent="0.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x14ac:dyDescent="0.25">
      <c r="A2446" t="str">
        <f ca="1">IFERROR(__xludf.DUMMYFUNCTION("""COMPUTED_VALUE"""),"Escherichia coli VTEC O8")</f>
        <v>Escherichia coli VTEC O8</v>
      </c>
      <c r="B2446" t="str">
        <f ca="1">IFERROR(__xludf.DUMMYFUNCTION("""COMPUTED_VALUE"""),"RF-00000154-MCG")</f>
        <v>RF-00000154-MCG</v>
      </c>
    </row>
    <row r="2447" spans="1:2" ht="12.5" x14ac:dyDescent="0.25">
      <c r="A2447" t="str">
        <f ca="1">IFERROR(__xludf.DUMMYFUNCTION("""COMPUTED_VALUE"""),"Escherichia coli VTEC O8:H-")</f>
        <v>Escherichia coli VTEC O8:H-</v>
      </c>
      <c r="B2447" t="str">
        <f ca="1">IFERROR(__xludf.DUMMYFUNCTION("""COMPUTED_VALUE"""),"RF-00003658-MCG")</f>
        <v>RF-00003658-MCG</v>
      </c>
    </row>
    <row r="2448" spans="1:2" ht="12.5" x14ac:dyDescent="0.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x14ac:dyDescent="0.25">
      <c r="A2449" t="str">
        <f ca="1">IFERROR(__xludf.DUMMYFUNCTION("""COMPUTED_VALUE"""),"Escherichia coli VTEC O8:H2")</f>
        <v>Escherichia coli VTEC O8:H2</v>
      </c>
      <c r="B2449" t="str">
        <f ca="1">IFERROR(__xludf.DUMMYFUNCTION("""COMPUTED_VALUE"""),"RF-00003659-MCG")</f>
        <v>RF-00003659-MCG</v>
      </c>
    </row>
    <row r="2450" spans="1:2" ht="12.5" x14ac:dyDescent="0.25">
      <c r="A2450" t="str">
        <f ca="1">IFERROR(__xludf.DUMMYFUNCTION("""COMPUTED_VALUE"""),"Escherichia coli VTEC O8:H21")</f>
        <v>Escherichia coli VTEC O8:H21</v>
      </c>
      <c r="B2450" t="str">
        <f ca="1">IFERROR(__xludf.DUMMYFUNCTION("""COMPUTED_VALUE"""),"RF-00003660-MCG")</f>
        <v>RF-00003660-MCG</v>
      </c>
    </row>
    <row r="2451" spans="1:2" ht="12.5" x14ac:dyDescent="0.25">
      <c r="A2451" t="str">
        <f ca="1">IFERROR(__xludf.DUMMYFUNCTION("""COMPUTED_VALUE"""),"Escherichia coli VTEC O8:HNT")</f>
        <v>Escherichia coli VTEC O8:HNT</v>
      </c>
      <c r="B2451" t="str">
        <f ca="1">IFERROR(__xludf.DUMMYFUNCTION("""COMPUTED_VALUE"""),"RF-00003661-MCG")</f>
        <v>RF-00003661-MCG</v>
      </c>
    </row>
    <row r="2452" spans="1:2" ht="12.5" x14ac:dyDescent="0.25">
      <c r="A2452" t="str">
        <f ca="1">IFERROR(__xludf.DUMMYFUNCTION("""COMPUTED_VALUE"""),"Escherichia coli VTEC O81:H21")</f>
        <v>Escherichia coli VTEC O81:H21</v>
      </c>
      <c r="B2452" t="str">
        <f ca="1">IFERROR(__xludf.DUMMYFUNCTION("""COMPUTED_VALUE"""),"RF-00003647-MCG")</f>
        <v>RF-00003647-MCG</v>
      </c>
    </row>
    <row r="2453" spans="1:2" ht="12.5" x14ac:dyDescent="0.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x14ac:dyDescent="0.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x14ac:dyDescent="0.25">
      <c r="A2455" t="str">
        <f ca="1">IFERROR(__xludf.DUMMYFUNCTION("""COMPUTED_VALUE"""),"Escherichia coli VTEC O82:H8")</f>
        <v>Escherichia coli VTEC O82:H8</v>
      </c>
      <c r="B2455" t="str">
        <f ca="1">IFERROR(__xludf.DUMMYFUNCTION("""COMPUTED_VALUE"""),"RF-00003648-MCG")</f>
        <v>RF-00003648-MCG</v>
      </c>
    </row>
    <row r="2456" spans="1:2" ht="12.5" x14ac:dyDescent="0.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x14ac:dyDescent="0.25">
      <c r="A2457" t="str">
        <f ca="1">IFERROR(__xludf.DUMMYFUNCTION("""COMPUTED_VALUE"""),"Escherichia coli VTEC O82:Hrough")</f>
        <v>Escherichia coli VTEC O82:Hrough</v>
      </c>
      <c r="B2457" t="str">
        <f ca="1">IFERROR(__xludf.DUMMYFUNCTION("""COMPUTED_VALUE"""),"RF-00004032-MCG")</f>
        <v>RF-00004032-MCG</v>
      </c>
    </row>
    <row r="2458" spans="1:2" ht="12.5" x14ac:dyDescent="0.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x14ac:dyDescent="0.25">
      <c r="A2459" t="str">
        <f ca="1">IFERROR(__xludf.DUMMYFUNCTION("""COMPUTED_VALUE"""),"Escherichia coli VTEC O84")</f>
        <v>Escherichia coli VTEC O84</v>
      </c>
      <c r="B2459" t="str">
        <f ca="1">IFERROR(__xludf.DUMMYFUNCTION("""COMPUTED_VALUE"""),"RF-00000164-MCG")</f>
        <v>RF-00000164-MCG</v>
      </c>
    </row>
    <row r="2460" spans="1:2" ht="12.5" x14ac:dyDescent="0.25">
      <c r="A2460" t="str">
        <f ca="1">IFERROR(__xludf.DUMMYFUNCTION("""COMPUTED_VALUE"""),"Escherichia coli VTEC O84:H-")</f>
        <v>Escherichia coli VTEC O84:H-</v>
      </c>
      <c r="B2460" t="str">
        <f ca="1">IFERROR(__xludf.DUMMYFUNCTION("""COMPUTED_VALUE"""),"RF-00000174-MCG")</f>
        <v>RF-00000174-MCG</v>
      </c>
    </row>
    <row r="2461" spans="1:2" ht="12.5" x14ac:dyDescent="0.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x14ac:dyDescent="0.25">
      <c r="A2462" t="str">
        <f ca="1">IFERROR(__xludf.DUMMYFUNCTION("""COMPUTED_VALUE"""),"Escherichia coli VTEC O84:H2")</f>
        <v>Escherichia coli VTEC O84:H2</v>
      </c>
      <c r="B2462" t="str">
        <f ca="1">IFERROR(__xludf.DUMMYFUNCTION("""COMPUTED_VALUE"""),"RF-00003649-MCG")</f>
        <v>RF-00003649-MCG</v>
      </c>
    </row>
    <row r="2463" spans="1:2" ht="12.5" x14ac:dyDescent="0.25">
      <c r="A2463" t="str">
        <f ca="1">IFERROR(__xludf.DUMMYFUNCTION("""COMPUTED_VALUE"""),"Escherichia coli VTEC O84:HNT")</f>
        <v>Escherichia coli VTEC O84:HNT</v>
      </c>
      <c r="B2463" t="str">
        <f ca="1">IFERROR(__xludf.DUMMYFUNCTION("""COMPUTED_VALUE"""),"RF-00003650-MCG")</f>
        <v>RF-00003650-MCG</v>
      </c>
    </row>
    <row r="2464" spans="1:2" ht="12.5" x14ac:dyDescent="0.25">
      <c r="A2464" t="str">
        <f ca="1">IFERROR(__xludf.DUMMYFUNCTION("""COMPUTED_VALUE"""),"Escherichia coli VTEC O84:Hrough")</f>
        <v>Escherichia coli VTEC O84:Hrough</v>
      </c>
      <c r="B2464" t="str">
        <f ca="1">IFERROR(__xludf.DUMMYFUNCTION("""COMPUTED_VALUE"""),"RF-00003651-MCG")</f>
        <v>RF-00003651-MCG</v>
      </c>
    </row>
    <row r="2465" spans="1:2" ht="12.5" x14ac:dyDescent="0.25">
      <c r="A2465" t="str">
        <f ca="1">IFERROR(__xludf.DUMMYFUNCTION("""COMPUTED_VALUE"""),"Escherichia coli VTEC O86:H19")</f>
        <v>Escherichia coli VTEC O86:H19</v>
      </c>
      <c r="B2465" t="str">
        <f ca="1">IFERROR(__xludf.DUMMYFUNCTION("""COMPUTED_VALUE"""),"RF-00003652-MCG")</f>
        <v>RF-00003652-MCG</v>
      </c>
    </row>
    <row r="2466" spans="1:2" ht="12.5" x14ac:dyDescent="0.25">
      <c r="A2466" t="str">
        <f ca="1">IFERROR(__xludf.DUMMYFUNCTION("""COMPUTED_VALUE"""),"Escherichia coli VTEC O86:H28")</f>
        <v>Escherichia coli VTEC O86:H28</v>
      </c>
      <c r="B2466" t="str">
        <f ca="1">IFERROR(__xludf.DUMMYFUNCTION("""COMPUTED_VALUE"""),"RF-00003653-MCG")</f>
        <v>RF-00003653-MCG</v>
      </c>
    </row>
    <row r="2467" spans="1:2" ht="12.5" x14ac:dyDescent="0.25">
      <c r="A2467" t="str">
        <f ca="1">IFERROR(__xludf.DUMMYFUNCTION("""COMPUTED_VALUE"""),"Escherichia coli VTEC O87:H-")</f>
        <v>Escherichia coli VTEC O87:H-</v>
      </c>
      <c r="B2467" t="str">
        <f ca="1">IFERROR(__xludf.DUMMYFUNCTION("""COMPUTED_VALUE"""),"RF-00003654-MCG")</f>
        <v>RF-00003654-MCG</v>
      </c>
    </row>
    <row r="2468" spans="1:2" ht="12.5" x14ac:dyDescent="0.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x14ac:dyDescent="0.25">
      <c r="A2469" t="str">
        <f ca="1">IFERROR(__xludf.DUMMYFUNCTION("""COMPUTED_VALUE"""),"Escherichia coli VTEC O87:H10")</f>
        <v>Escherichia coli VTEC O87:H10</v>
      </c>
      <c r="B2469" t="str">
        <f ca="1">IFERROR(__xludf.DUMMYFUNCTION("""COMPUTED_VALUE"""),"RF-00003655-MCG")</f>
        <v>RF-00003655-MCG</v>
      </c>
    </row>
    <row r="2470" spans="1:2" ht="12.5" x14ac:dyDescent="0.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x14ac:dyDescent="0.25">
      <c r="A2471" t="str">
        <f ca="1">IFERROR(__xludf.DUMMYFUNCTION("""COMPUTED_VALUE"""),"Escherichia coli VTEC O87:H16")</f>
        <v>Escherichia coli VTEC O87:H16</v>
      </c>
      <c r="B2471" t="str">
        <f ca="1">IFERROR(__xludf.DUMMYFUNCTION("""COMPUTED_VALUE"""),"RF-00003656-MCG")</f>
        <v>RF-00003656-MCG</v>
      </c>
    </row>
    <row r="2472" spans="1:2" ht="12.5" x14ac:dyDescent="0.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x14ac:dyDescent="0.25">
      <c r="A2473" t="str">
        <f ca="1">IFERROR(__xludf.DUMMYFUNCTION("""COMPUTED_VALUE"""),"Escherichia coli VTEC O87:HNM")</f>
        <v>Escherichia coli VTEC O87:HNM</v>
      </c>
      <c r="B2473" t="str">
        <f ca="1">IFERROR(__xludf.DUMMYFUNCTION("""COMPUTED_VALUE"""),"RF-00004034-MCG")</f>
        <v>RF-00004034-MCG</v>
      </c>
    </row>
    <row r="2474" spans="1:2" ht="12.5" x14ac:dyDescent="0.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x14ac:dyDescent="0.25">
      <c r="A2475" t="str">
        <f ca="1">IFERROR(__xludf.DUMMYFUNCTION("""COMPUTED_VALUE"""),"Escherichia coli VTEC O87:HNT")</f>
        <v>Escherichia coli VTEC O87:HNT</v>
      </c>
      <c r="B2475" t="str">
        <f ca="1">IFERROR(__xludf.DUMMYFUNCTION("""COMPUTED_VALUE"""),"RF-00003657-MCG")</f>
        <v>RF-00003657-MCG</v>
      </c>
    </row>
    <row r="2476" spans="1:2" ht="12.5" x14ac:dyDescent="0.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x14ac:dyDescent="0.25">
      <c r="A2477" t="str">
        <f ca="1">IFERROR(__xludf.DUMMYFUNCTION("""COMPUTED_VALUE"""),"Escherichia coli VTEC O88")</f>
        <v>Escherichia coli VTEC O88</v>
      </c>
      <c r="B2477" t="str">
        <f ca="1">IFERROR(__xludf.DUMMYFUNCTION("""COMPUTED_VALUE"""),"RF-00000162-MCG")</f>
        <v>RF-00000162-MCG</v>
      </c>
    </row>
    <row r="2478" spans="1:2" ht="12.5" x14ac:dyDescent="0.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x14ac:dyDescent="0.25">
      <c r="A2479" t="str">
        <f ca="1">IFERROR(__xludf.DUMMYFUNCTION("""COMPUTED_VALUE"""),"Escherichia coli VTEC O9")</f>
        <v>Escherichia coli VTEC O9</v>
      </c>
      <c r="B2479" t="str">
        <f ca="1">IFERROR(__xludf.DUMMYFUNCTION("""COMPUTED_VALUE"""),"RF-00000161-MCG")</f>
        <v>RF-00000161-MCG</v>
      </c>
    </row>
    <row r="2480" spans="1:2" ht="12.5" x14ac:dyDescent="0.25">
      <c r="A2480" t="str">
        <f ca="1">IFERROR(__xludf.DUMMYFUNCTION("""COMPUTED_VALUE"""),"Escherichia coli VTEC O91")</f>
        <v>Escherichia coli VTEC O91</v>
      </c>
      <c r="B2480" t="str">
        <f ca="1">IFERROR(__xludf.DUMMYFUNCTION("""COMPUTED_VALUE"""),"RF-00000160-MCG")</f>
        <v>RF-00000160-MCG</v>
      </c>
    </row>
    <row r="2481" spans="1:2" ht="12.5" x14ac:dyDescent="0.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x14ac:dyDescent="0.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x14ac:dyDescent="0.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x14ac:dyDescent="0.25">
      <c r="A2484" t="str">
        <f ca="1">IFERROR(__xludf.DUMMYFUNCTION("""COMPUTED_VALUE"""),"Escherichia coli VTEC O91:H-")</f>
        <v>Escherichia coli VTEC O91:H-</v>
      </c>
      <c r="B2484" t="str">
        <f ca="1">IFERROR(__xludf.DUMMYFUNCTION("""COMPUTED_VALUE"""),"RF-00003662-MCG")</f>
        <v>RF-00003662-MCG</v>
      </c>
    </row>
    <row r="2485" spans="1:2" ht="12.5" x14ac:dyDescent="0.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x14ac:dyDescent="0.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x14ac:dyDescent="0.25">
      <c r="A2487" t="str">
        <f ca="1">IFERROR(__xludf.DUMMYFUNCTION("""COMPUTED_VALUE"""),"Escherichia coli VTEC O91:H21")</f>
        <v>Escherichia coli VTEC O91:H21</v>
      </c>
      <c r="B2487" t="str">
        <f ca="1">IFERROR(__xludf.DUMMYFUNCTION("""COMPUTED_VALUE"""),"RF-00000159-MCG")</f>
        <v>RF-00000159-MCG</v>
      </c>
    </row>
    <row r="2488" spans="1:2" ht="12.5" x14ac:dyDescent="0.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x14ac:dyDescent="0.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x14ac:dyDescent="0.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x14ac:dyDescent="0.25">
      <c r="A2491" t="str">
        <f ca="1">IFERROR(__xludf.DUMMYFUNCTION("""COMPUTED_VALUE"""),"Escherichia coli VTEC O91:HNM")</f>
        <v>Escherichia coli VTEC O91:HNM</v>
      </c>
      <c r="B2491" t="str">
        <f ca="1">IFERROR(__xludf.DUMMYFUNCTION("""COMPUTED_VALUE"""),"RF-00004037-MCG")</f>
        <v>RF-00004037-MCG</v>
      </c>
    </row>
    <row r="2492" spans="1:2" ht="12.5" x14ac:dyDescent="0.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x14ac:dyDescent="0.25">
      <c r="A2493" t="str">
        <f ca="1">IFERROR(__xludf.DUMMYFUNCTION("""COMPUTED_VALUE"""),"Escherichia coli VTEC O91:HNT")</f>
        <v>Escherichia coli VTEC O91:HNT</v>
      </c>
      <c r="B2493" t="str">
        <f ca="1">IFERROR(__xludf.DUMMYFUNCTION("""COMPUTED_VALUE"""),"RF-00003663-MCG")</f>
        <v>RF-00003663-MCG</v>
      </c>
    </row>
    <row r="2494" spans="1:2" ht="12.5" x14ac:dyDescent="0.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x14ac:dyDescent="0.25">
      <c r="A2495" t="str">
        <f ca="1">IFERROR(__xludf.DUMMYFUNCTION("""COMPUTED_VALUE"""),"Escherichia coli VTEC O91:Hrough")</f>
        <v>Escherichia coli VTEC O91:Hrough</v>
      </c>
      <c r="B2495" t="str">
        <f ca="1">IFERROR(__xludf.DUMMYFUNCTION("""COMPUTED_VALUE"""),"RF-00004039-MCG")</f>
        <v>RF-00004039-MCG</v>
      </c>
    </row>
    <row r="2496" spans="1:2" ht="12.5" x14ac:dyDescent="0.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x14ac:dyDescent="0.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x14ac:dyDescent="0.25">
      <c r="A2498" t="str">
        <f ca="1">IFERROR(__xludf.DUMMYFUNCTION("""COMPUTED_VALUE"""),"Escherichia coli VTEC O96:H19")</f>
        <v>Escherichia coli VTEC O96:H19</v>
      </c>
      <c r="B2498" t="str">
        <f ca="1">IFERROR(__xludf.DUMMYFUNCTION("""COMPUTED_VALUE"""),"RF-00004042-MCG")</f>
        <v>RF-00004042-MCG</v>
      </c>
    </row>
    <row r="2499" spans="1:2" ht="12.5" x14ac:dyDescent="0.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x14ac:dyDescent="0.25">
      <c r="A2500" t="str">
        <f ca="1">IFERROR(__xludf.DUMMYFUNCTION("""COMPUTED_VALUE"""),"Escherichia coli VTEC ONT:H-")</f>
        <v>Escherichia coli VTEC ONT:H-</v>
      </c>
      <c r="B2500" t="str">
        <f ca="1">IFERROR(__xludf.DUMMYFUNCTION("""COMPUTED_VALUE"""),"RF-00003664-MCG")</f>
        <v>RF-00003664-MCG</v>
      </c>
    </row>
    <row r="2501" spans="1:2" ht="12.5" x14ac:dyDescent="0.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x14ac:dyDescent="0.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x14ac:dyDescent="0.25">
      <c r="A2503" t="str">
        <f ca="1">IFERROR(__xludf.DUMMYFUNCTION("""COMPUTED_VALUE"""),"Escherichia coli VTEC ONT:H10")</f>
        <v>Escherichia coli VTEC ONT:H10</v>
      </c>
      <c r="B2503" t="str">
        <f ca="1">IFERROR(__xludf.DUMMYFUNCTION("""COMPUTED_VALUE"""),"RF-00003665-MCG")</f>
        <v>RF-00003665-MCG</v>
      </c>
    </row>
    <row r="2504" spans="1:2" ht="12.5" x14ac:dyDescent="0.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x14ac:dyDescent="0.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x14ac:dyDescent="0.25">
      <c r="A2506" t="str">
        <f ca="1">IFERROR(__xludf.DUMMYFUNCTION("""COMPUTED_VALUE"""),"Escherichia coli VTEC ONT:H12")</f>
        <v>Escherichia coli VTEC ONT:H12</v>
      </c>
      <c r="B2506" t="str">
        <f ca="1">IFERROR(__xludf.DUMMYFUNCTION("""COMPUTED_VALUE"""),"RF-00004045-MCG")</f>
        <v>RF-00004045-MCG</v>
      </c>
    </row>
    <row r="2507" spans="1:2" ht="12.5" x14ac:dyDescent="0.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x14ac:dyDescent="0.25">
      <c r="A2508" t="str">
        <f ca="1">IFERROR(__xludf.DUMMYFUNCTION("""COMPUTED_VALUE"""),"Escherichia coli VTEC ONT:H14")</f>
        <v>Escherichia coli VTEC ONT:H14</v>
      </c>
      <c r="B2508" t="str">
        <f ca="1">IFERROR(__xludf.DUMMYFUNCTION("""COMPUTED_VALUE"""),"RF-00003666-MCG")</f>
        <v>RF-00003666-MCG</v>
      </c>
    </row>
    <row r="2509" spans="1:2" ht="12.5" x14ac:dyDescent="0.25">
      <c r="A2509" t="str">
        <f ca="1">IFERROR(__xludf.DUMMYFUNCTION("""COMPUTED_VALUE"""),"Escherichia coli VTEC ONT:H16")</f>
        <v>Escherichia coli VTEC ONT:H16</v>
      </c>
      <c r="B2509" t="str">
        <f ca="1">IFERROR(__xludf.DUMMYFUNCTION("""COMPUTED_VALUE"""),"RF-00003667-MCG")</f>
        <v>RF-00003667-MCG</v>
      </c>
    </row>
    <row r="2510" spans="1:2" ht="12.5" x14ac:dyDescent="0.25">
      <c r="A2510" t="str">
        <f ca="1">IFERROR(__xludf.DUMMYFUNCTION("""COMPUTED_VALUE"""),"Escherichia coli VTEC ONT:H18")</f>
        <v>Escherichia coli VTEC ONT:H18</v>
      </c>
      <c r="B2510" t="str">
        <f ca="1">IFERROR(__xludf.DUMMYFUNCTION("""COMPUTED_VALUE"""),"RF-00003668-MCG")</f>
        <v>RF-00003668-MCG</v>
      </c>
    </row>
    <row r="2511" spans="1:2" ht="12.5" x14ac:dyDescent="0.25">
      <c r="A2511" t="str">
        <f ca="1">IFERROR(__xludf.DUMMYFUNCTION("""COMPUTED_VALUE"""),"Escherichia coli VTEC ONT:H19")</f>
        <v>Escherichia coli VTEC ONT:H19</v>
      </c>
      <c r="B2511" t="str">
        <f ca="1">IFERROR(__xludf.DUMMYFUNCTION("""COMPUTED_VALUE"""),"RF-00003669-MCG")</f>
        <v>RF-00003669-MCG</v>
      </c>
    </row>
    <row r="2512" spans="1:2" ht="12.5" x14ac:dyDescent="0.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x14ac:dyDescent="0.25">
      <c r="A2513" t="str">
        <f ca="1">IFERROR(__xludf.DUMMYFUNCTION("""COMPUTED_VALUE"""),"Escherichia coli VTEC ONT:H2")</f>
        <v>Escherichia coli VTEC ONT:H2</v>
      </c>
      <c r="B2513" t="str">
        <f ca="1">IFERROR(__xludf.DUMMYFUNCTION("""COMPUTED_VALUE"""),"RF-00003670-MCG")</f>
        <v>RF-00003670-MCG</v>
      </c>
    </row>
    <row r="2514" spans="1:2" ht="12.5" x14ac:dyDescent="0.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x14ac:dyDescent="0.25">
      <c r="A2515" t="str">
        <f ca="1">IFERROR(__xludf.DUMMYFUNCTION("""COMPUTED_VALUE"""),"Escherichia coli VTEC ONT:H21")</f>
        <v>Escherichia coli VTEC ONT:H21</v>
      </c>
      <c r="B2515" t="str">
        <f ca="1">IFERROR(__xludf.DUMMYFUNCTION("""COMPUTED_VALUE"""),"RF-00003671-MCG")</f>
        <v>RF-00003671-MCG</v>
      </c>
    </row>
    <row r="2516" spans="1:2" ht="12.5" x14ac:dyDescent="0.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x14ac:dyDescent="0.25">
      <c r="A2517" t="str">
        <f ca="1">IFERROR(__xludf.DUMMYFUNCTION("""COMPUTED_VALUE"""),"Escherichia coli VTEC ONT:H28")</f>
        <v>Escherichia coli VTEC ONT:H28</v>
      </c>
      <c r="B2517" t="str">
        <f ca="1">IFERROR(__xludf.DUMMYFUNCTION("""COMPUTED_VALUE"""),"RF-00003672-MCG")</f>
        <v>RF-00003672-MCG</v>
      </c>
    </row>
    <row r="2518" spans="1:2" ht="12.5" x14ac:dyDescent="0.25">
      <c r="A2518" t="str">
        <f ca="1">IFERROR(__xludf.DUMMYFUNCTION("""COMPUTED_VALUE"""),"Escherichia coli VTEC ONT:H4")</f>
        <v>Escherichia coli VTEC ONT:H4</v>
      </c>
      <c r="B2518" t="str">
        <f ca="1">IFERROR(__xludf.DUMMYFUNCTION("""COMPUTED_VALUE"""),"RF-00003673-MCG")</f>
        <v>RF-00003673-MCG</v>
      </c>
    </row>
    <row r="2519" spans="1:2" ht="12.5" x14ac:dyDescent="0.25">
      <c r="A2519" t="str">
        <f ca="1">IFERROR(__xludf.DUMMYFUNCTION("""COMPUTED_VALUE"""),"Escherichia coli VTEC ONT:H49")</f>
        <v>Escherichia coli VTEC ONT:H49</v>
      </c>
      <c r="B2519" t="str">
        <f ca="1">IFERROR(__xludf.DUMMYFUNCTION("""COMPUTED_VALUE"""),"RF-00003674-MCG")</f>
        <v>RF-00003674-MCG</v>
      </c>
    </row>
    <row r="2520" spans="1:2" ht="12.5" x14ac:dyDescent="0.25">
      <c r="A2520" t="str">
        <f ca="1">IFERROR(__xludf.DUMMYFUNCTION("""COMPUTED_VALUE"""),"Escherichia coli VTEC ONT:H5")</f>
        <v>Escherichia coli VTEC ONT:H5</v>
      </c>
      <c r="B2520" t="str">
        <f ca="1">IFERROR(__xludf.DUMMYFUNCTION("""COMPUTED_VALUE"""),"RF-00003675-MCG")</f>
        <v>RF-00003675-MCG</v>
      </c>
    </row>
    <row r="2521" spans="1:2" ht="12.5" x14ac:dyDescent="0.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x14ac:dyDescent="0.25">
      <c r="A2522" t="str">
        <f ca="1">IFERROR(__xludf.DUMMYFUNCTION("""COMPUTED_VALUE"""),"Escherichia coli VTEC ONT:H8")</f>
        <v>Escherichia coli VTEC ONT:H8</v>
      </c>
      <c r="B2522" t="str">
        <f ca="1">IFERROR(__xludf.DUMMYFUNCTION("""COMPUTED_VALUE"""),"RF-00003676-MCG")</f>
        <v>RF-00003676-MCG</v>
      </c>
    </row>
    <row r="2523" spans="1:2" ht="12.5" x14ac:dyDescent="0.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x14ac:dyDescent="0.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x14ac:dyDescent="0.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x14ac:dyDescent="0.25">
      <c r="A2526" t="str">
        <f ca="1">IFERROR(__xludf.DUMMYFUNCTION("""COMPUTED_VALUE"""),"Escherichia coli VTEC ONT:HNT")</f>
        <v>Escherichia coli VTEC ONT:HNT</v>
      </c>
      <c r="B2526" t="str">
        <f ca="1">IFERROR(__xludf.DUMMYFUNCTION("""COMPUTED_VALUE"""),"RF-00003677-MCG")</f>
        <v>RF-00003677-MCG</v>
      </c>
    </row>
    <row r="2527" spans="1:2" ht="12.5" x14ac:dyDescent="0.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x14ac:dyDescent="0.25">
      <c r="A2528" t="str">
        <f ca="1">IFERROR(__xludf.DUMMYFUNCTION("""COMPUTED_VALUE"""),"Escherichia coli VTEC ONT:Hrough")</f>
        <v>Escherichia coli VTEC ONT:Hrough</v>
      </c>
      <c r="B2528" t="str">
        <f ca="1">IFERROR(__xludf.DUMMYFUNCTION("""COMPUTED_VALUE"""),"RF-00003678-MCG")</f>
        <v>RF-00003678-MCG</v>
      </c>
    </row>
    <row r="2529" spans="1:2" ht="12.5" x14ac:dyDescent="0.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x14ac:dyDescent="0.25">
      <c r="A2530" t="str">
        <f ca="1">IFERROR(__xludf.DUMMYFUNCTION("""COMPUTED_VALUE"""),"Escherichia coli VTEC Orough:H-")</f>
        <v>Escherichia coli VTEC Orough:H-</v>
      </c>
      <c r="B2530" t="str">
        <f ca="1">IFERROR(__xludf.DUMMYFUNCTION("""COMPUTED_VALUE"""),"RF-00003679-MCG")</f>
        <v>RF-00003679-MCG</v>
      </c>
    </row>
    <row r="2531" spans="1:2" ht="12.5" x14ac:dyDescent="0.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x14ac:dyDescent="0.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x14ac:dyDescent="0.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x14ac:dyDescent="0.25">
      <c r="A2534" t="str">
        <f ca="1">IFERROR(__xludf.DUMMYFUNCTION("""COMPUTED_VALUE"""),"Escherichia coli VTEC Orough:H1")</f>
        <v>Escherichia coli VTEC Orough:H1</v>
      </c>
      <c r="B2534" t="str">
        <f ca="1">IFERROR(__xludf.DUMMYFUNCTION("""COMPUTED_VALUE"""),"RF-00004047-MCG")</f>
        <v>RF-00004047-MCG</v>
      </c>
    </row>
    <row r="2535" spans="1:2" ht="12.5" x14ac:dyDescent="0.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x14ac:dyDescent="0.25">
      <c r="A2536" t="str">
        <f ca="1">IFERROR(__xludf.DUMMYFUNCTION("""COMPUTED_VALUE"""),"Escherichia coli VTEC Orough:H12")</f>
        <v>Escherichia coli VTEC Orough:H12</v>
      </c>
      <c r="B2536" t="str">
        <f ca="1">IFERROR(__xludf.DUMMYFUNCTION("""COMPUTED_VALUE"""),"RF-00003680-MCG")</f>
        <v>RF-00003680-MCG</v>
      </c>
    </row>
    <row r="2537" spans="1:2" ht="12.5" x14ac:dyDescent="0.25">
      <c r="A2537" t="str">
        <f ca="1">IFERROR(__xludf.DUMMYFUNCTION("""COMPUTED_VALUE"""),"Escherichia coli VTEC Orough:H18")</f>
        <v>Escherichia coli VTEC Orough:H18</v>
      </c>
      <c r="B2537" t="str">
        <f ca="1">IFERROR(__xludf.DUMMYFUNCTION("""COMPUTED_VALUE"""),"RF-00003681-MCG")</f>
        <v>RF-00003681-MCG</v>
      </c>
    </row>
    <row r="2538" spans="1:2" ht="12.5" x14ac:dyDescent="0.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x14ac:dyDescent="0.25">
      <c r="A2539" t="str">
        <f ca="1">IFERROR(__xludf.DUMMYFUNCTION("""COMPUTED_VALUE"""),"Escherichia coli VTEC Orough:H19")</f>
        <v>Escherichia coli VTEC Orough:H19</v>
      </c>
      <c r="B2539" t="str">
        <f ca="1">IFERROR(__xludf.DUMMYFUNCTION("""COMPUTED_VALUE"""),"RF-00003682-MCG")</f>
        <v>RF-00003682-MCG</v>
      </c>
    </row>
    <row r="2540" spans="1:2" ht="12.5" x14ac:dyDescent="0.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x14ac:dyDescent="0.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x14ac:dyDescent="0.25">
      <c r="A2542" t="str">
        <f ca="1">IFERROR(__xludf.DUMMYFUNCTION("""COMPUTED_VALUE"""),"Escherichia coli VTEC Orough:H2")</f>
        <v>Escherichia coli VTEC Orough:H2</v>
      </c>
      <c r="B2542" t="str">
        <f ca="1">IFERROR(__xludf.DUMMYFUNCTION("""COMPUTED_VALUE"""),"RF-00004049-MCG")</f>
        <v>RF-00004049-MCG</v>
      </c>
    </row>
    <row r="2543" spans="1:2" ht="12.5" x14ac:dyDescent="0.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x14ac:dyDescent="0.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x14ac:dyDescent="0.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x14ac:dyDescent="0.25">
      <c r="A2546" t="str">
        <f ca="1">IFERROR(__xludf.DUMMYFUNCTION("""COMPUTED_VALUE"""),"Escherichia coli VTEC Orough:H21")</f>
        <v>Escherichia coli VTEC Orough:H21</v>
      </c>
      <c r="B2546" t="str">
        <f ca="1">IFERROR(__xludf.DUMMYFUNCTION("""COMPUTED_VALUE"""),"RF-00003683-MCG")</f>
        <v>RF-00003683-MCG</v>
      </c>
    </row>
    <row r="2547" spans="1:2" ht="12.5" x14ac:dyDescent="0.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x14ac:dyDescent="0.25">
      <c r="A2548" t="str">
        <f ca="1">IFERROR(__xludf.DUMMYFUNCTION("""COMPUTED_VALUE"""),"Escherichia coli VTEC Orough:H28")</f>
        <v>Escherichia coli VTEC Orough:H28</v>
      </c>
      <c r="B2548" t="str">
        <f ca="1">IFERROR(__xludf.DUMMYFUNCTION("""COMPUTED_VALUE"""),"RF-00004051-MCG")</f>
        <v>RF-00004051-MCG</v>
      </c>
    </row>
    <row r="2549" spans="1:2" ht="12.5" x14ac:dyDescent="0.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x14ac:dyDescent="0.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x14ac:dyDescent="0.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x14ac:dyDescent="0.25">
      <c r="A2552" t="str">
        <f ca="1">IFERROR(__xludf.DUMMYFUNCTION("""COMPUTED_VALUE"""),"Escherichia coli VTEC Orough:H29")</f>
        <v>Escherichia coli VTEC Orough:H29</v>
      </c>
      <c r="B2552" t="str">
        <f ca="1">IFERROR(__xludf.DUMMYFUNCTION("""COMPUTED_VALUE"""),"RF-00003684-MCG")</f>
        <v>RF-00003684-MCG</v>
      </c>
    </row>
    <row r="2553" spans="1:2" ht="12.5" x14ac:dyDescent="0.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x14ac:dyDescent="0.25">
      <c r="A2554" t="str">
        <f ca="1">IFERROR(__xludf.DUMMYFUNCTION("""COMPUTED_VALUE"""),"Escherichia coli VTEC Orough:H4")</f>
        <v>Escherichia coli VTEC Orough:H4</v>
      </c>
      <c r="B2554" t="str">
        <f ca="1">IFERROR(__xludf.DUMMYFUNCTION("""COMPUTED_VALUE"""),"RF-00004053-MCG")</f>
        <v>RF-00004053-MCG</v>
      </c>
    </row>
    <row r="2555" spans="1:2" ht="12.5" x14ac:dyDescent="0.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x14ac:dyDescent="0.25">
      <c r="A2556" t="str">
        <f ca="1">IFERROR(__xludf.DUMMYFUNCTION("""COMPUTED_VALUE"""),"Escherichia coli VTEC Orough:H8")</f>
        <v>Escherichia coli VTEC Orough:H8</v>
      </c>
      <c r="B2556" t="str">
        <f ca="1">IFERROR(__xludf.DUMMYFUNCTION("""COMPUTED_VALUE"""),"RF-00003685-MCG")</f>
        <v>RF-00003685-MCG</v>
      </c>
    </row>
    <row r="2557" spans="1:2" ht="12.5" x14ac:dyDescent="0.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x14ac:dyDescent="0.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x14ac:dyDescent="0.25">
      <c r="A2559" t="str">
        <f ca="1">IFERROR(__xludf.DUMMYFUNCTION("""COMPUTED_VALUE"""),"Escherichia coli VTEC Orough:HNM")</f>
        <v>Escherichia coli VTEC Orough:HNM</v>
      </c>
      <c r="B2559" t="str">
        <f ca="1">IFERROR(__xludf.DUMMYFUNCTION("""COMPUTED_VALUE"""),"RF-00004055-MCG")</f>
        <v>RF-00004055-MCG</v>
      </c>
    </row>
    <row r="2560" spans="1:2" ht="12.5" x14ac:dyDescent="0.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x14ac:dyDescent="0.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x14ac:dyDescent="0.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x14ac:dyDescent="0.25">
      <c r="A2563" t="str">
        <f ca="1">IFERROR(__xludf.DUMMYFUNCTION("""COMPUTED_VALUE"""),"Escherichia coli VTEC Orough:HNT")</f>
        <v>Escherichia coli VTEC Orough:HNT</v>
      </c>
      <c r="B2563" t="str">
        <f ca="1">IFERROR(__xludf.DUMMYFUNCTION("""COMPUTED_VALUE"""),"RF-00003686-MCG")</f>
        <v>RF-00003686-MCG</v>
      </c>
    </row>
    <row r="2564" spans="1:2" ht="12.5" x14ac:dyDescent="0.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x14ac:dyDescent="0.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x14ac:dyDescent="0.25">
      <c r="A2566" t="str">
        <f ca="1">IFERROR(__xludf.DUMMYFUNCTION("""COMPUTED_VALUE"""),"Escherichia coli VTEC Orough:Hrough")</f>
        <v>Escherichia coli VTEC Orough:Hrough</v>
      </c>
      <c r="B2566" t="str">
        <f ca="1">IFERROR(__xludf.DUMMYFUNCTION("""COMPUTED_VALUE"""),"RF-00003687-MCG")</f>
        <v>RF-00003687-MCG</v>
      </c>
    </row>
    <row r="2567" spans="1:2" ht="12.5" x14ac:dyDescent="0.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x14ac:dyDescent="0.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x14ac:dyDescent="0.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x14ac:dyDescent="0.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x14ac:dyDescent="0.25">
      <c r="A2571" t="str">
        <f ca="1">IFERROR(__xludf.DUMMYFUNCTION("""COMPUTED_VALUE"""),"Escherichia coli VTEC, other serotypes")</f>
        <v>Escherichia coli VTEC, other serotypes</v>
      </c>
      <c r="B2571" t="str">
        <f ca="1">IFERROR(__xludf.DUMMYFUNCTION("""COMPUTED_VALUE"""),"RF-00000158-MCG")</f>
        <v>RF-00000158-MCG</v>
      </c>
    </row>
    <row r="2572" spans="1:2" ht="12.5" x14ac:dyDescent="0.25">
      <c r="A2572" t="str">
        <f ca="1">IFERROR(__xludf.DUMMYFUNCTION("""COMPUTED_VALUE"""),"Escherichia coli VTEC, other serotypes")</f>
        <v>Escherichia coli VTEC, other serotypes</v>
      </c>
      <c r="B2572" t="str">
        <f ca="1">IFERROR(__xludf.DUMMYFUNCTION("""COMPUTED_VALUE"""),"RF-00003688-MCG")</f>
        <v>RF-00003688-MCG</v>
      </c>
    </row>
    <row r="2573" spans="1:2" ht="12.5" x14ac:dyDescent="0.25">
      <c r="A2573" t="str">
        <f ca="1">IFERROR(__xludf.DUMMYFUNCTION("""COMPUTED_VALUE"""),"Escherichia coli VTEC, unspecified")</f>
        <v>Escherichia coli VTEC, unspecified</v>
      </c>
      <c r="B2573" t="str">
        <f ca="1">IFERROR(__xludf.DUMMYFUNCTION("""COMPUTED_VALUE"""),"RF-00000157-MCG")</f>
        <v>RF-00000157-MCG</v>
      </c>
    </row>
    <row r="2574" spans="1:2" ht="12.5" x14ac:dyDescent="0.25">
      <c r="A2574" t="str">
        <f ca="1">IFERROR(__xludf.DUMMYFUNCTION("""COMPUTED_VALUE"""),"Escherichia coli VTEC, unspecified")</f>
        <v>Escherichia coli VTEC, unspecified</v>
      </c>
      <c r="B2574" t="str">
        <f ca="1">IFERROR(__xludf.DUMMYFUNCTION("""COMPUTED_VALUE"""),"RF-00003689-MCG")</f>
        <v>RF-00003689-MCG</v>
      </c>
    </row>
    <row r="2575" spans="1:2" ht="12.5" x14ac:dyDescent="0.25">
      <c r="A2575" t="str">
        <f ca="1">IFERROR(__xludf.DUMMYFUNCTION("""COMPUTED_VALUE"""),"Escherichia coli, non-pathogenic")</f>
        <v>Escherichia coli, non-pathogenic</v>
      </c>
      <c r="B2575" t="str">
        <f ca="1">IFERROR(__xludf.DUMMYFUNCTION("""COMPUTED_VALUE"""),"RF-00000125-MCG")</f>
        <v>RF-00000125-MCG</v>
      </c>
    </row>
    <row r="2576" spans="1:2" ht="12.5" x14ac:dyDescent="0.25">
      <c r="A2576" t="str">
        <f ca="1">IFERROR(__xludf.DUMMYFUNCTION("""COMPUTED_VALUE"""),"Escherichia coli, non-pathogenic, unspecified")</f>
        <v>Escherichia coli, non-pathogenic, unspecified</v>
      </c>
      <c r="B2576" t="str">
        <f ca="1">IFERROR(__xludf.DUMMYFUNCTION("""COMPUTED_VALUE"""),"RF-00003897-MCG")</f>
        <v>RF-00003897-MCG</v>
      </c>
    </row>
    <row r="2577" spans="1:2" ht="12.5" x14ac:dyDescent="0.25">
      <c r="A2577" t="str">
        <f ca="1">IFERROR(__xludf.DUMMYFUNCTION("""COMPUTED_VALUE"""),"Escherichia coli, pathogenic")</f>
        <v>Escherichia coli, pathogenic</v>
      </c>
      <c r="B2577" t="str">
        <f ca="1">IFERROR(__xludf.DUMMYFUNCTION("""COMPUTED_VALUE"""),"RF-00000127-MCG")</f>
        <v>RF-00000127-MCG</v>
      </c>
    </row>
    <row r="2578" spans="1:2" ht="12.5" x14ac:dyDescent="0.25">
      <c r="A2578" t="str">
        <f ca="1">IFERROR(__xludf.DUMMYFUNCTION("""COMPUTED_VALUE"""),"Escherichia coli, pathogenic")</f>
        <v>Escherichia coli, pathogenic</v>
      </c>
      <c r="B2578" t="str">
        <f ca="1">IFERROR(__xludf.DUMMYFUNCTION("""COMPUTED_VALUE"""),"RF-00003550-MCG")</f>
        <v>RF-00003550-MCG</v>
      </c>
    </row>
    <row r="2579" spans="1:2" ht="12.5" x14ac:dyDescent="0.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x14ac:dyDescent="0.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x14ac:dyDescent="0.25">
      <c r="A2581" t="str">
        <f ca="1">IFERROR(__xludf.DUMMYFUNCTION("""COMPUTED_VALUE"""),"Escherichia coli, pathogenic, unspecified")</f>
        <v>Escherichia coli, pathogenic, unspecified</v>
      </c>
      <c r="B2581" t="str">
        <f ca="1">IFERROR(__xludf.DUMMYFUNCTION("""COMPUTED_VALUE"""),"RF-00000131-MCG")</f>
        <v>RF-00000131-MCG</v>
      </c>
    </row>
    <row r="2582" spans="1:2" ht="12.5" x14ac:dyDescent="0.25">
      <c r="A2582" t="str">
        <f ca="1">IFERROR(__xludf.DUMMYFUNCTION("""COMPUTED_VALUE"""),"Escherichia coli, pathogenic, VTEC")</f>
        <v>Escherichia coli, pathogenic, VTEC</v>
      </c>
      <c r="B2582" t="str">
        <f ca="1">IFERROR(__xludf.DUMMYFUNCTION("""COMPUTED_VALUE"""),"RF-00000132-MCG")</f>
        <v>RF-00000132-MCG</v>
      </c>
    </row>
    <row r="2583" spans="1:2" ht="12.5" x14ac:dyDescent="0.25">
      <c r="A2583" t="str">
        <f ca="1">IFERROR(__xludf.DUMMYFUNCTION("""COMPUTED_VALUE"""),"Esfenvalerate")</f>
        <v>Esfenvalerate</v>
      </c>
      <c r="B2583" t="str">
        <f ca="1">IFERROR(__xludf.DUMMYFUNCTION("""COMPUTED_VALUE"""),"RF-00000104-VET")</f>
        <v>RF-00000104-VET</v>
      </c>
    </row>
    <row r="2584" spans="1:2" ht="12.5" x14ac:dyDescent="0.25">
      <c r="A2584" t="str">
        <f ca="1">IFERROR(__xludf.DUMMYFUNCTION("""COMPUTED_VALUE"""),"Esfenvalerate")</f>
        <v>Esfenvalerate</v>
      </c>
      <c r="B2584" t="str">
        <f ca="1">IFERROR(__xludf.DUMMYFUNCTION("""COMPUTED_VALUE"""),"RF-0655-001-PPP")</f>
        <v>RF-0655-001-PPP</v>
      </c>
    </row>
    <row r="2585" spans="1:2" ht="12.5" x14ac:dyDescent="0.25">
      <c r="A2585" t="str">
        <f ca="1">IFERROR(__xludf.DUMMYFUNCTION("""COMPUTED_VALUE"""),"Esfenvalerate")</f>
        <v>Esfenvalerate</v>
      </c>
      <c r="B2585" t="str">
        <f ca="1">IFERROR(__xludf.DUMMYFUNCTION("""COMPUTED_VALUE"""),"RF-0690-003-PPP")</f>
        <v>RF-0690-003-PPP</v>
      </c>
    </row>
    <row r="2586" spans="1:2" ht="12.5" x14ac:dyDescent="0.25">
      <c r="A2586" t="str">
        <f ca="1">IFERROR(__xludf.DUMMYFUNCTION("""COMPUTED_VALUE"""),"Esprocarb")</f>
        <v>Esprocarb</v>
      </c>
      <c r="B2586" t="str">
        <f ca="1">IFERROR(__xludf.DUMMYFUNCTION("""COMPUTED_VALUE"""),"RF-0656-001-PPP")</f>
        <v>RF-0656-001-PPP</v>
      </c>
    </row>
    <row r="2587" spans="1:2" ht="12.5" x14ac:dyDescent="0.25">
      <c r="A2587" t="str">
        <f ca="1">IFERROR(__xludf.DUMMYFUNCTION("""COMPUTED_VALUE"""),"Estradiol benzoate")</f>
        <v>Estradiol benzoate</v>
      </c>
      <c r="B2587" t="str">
        <f ca="1">IFERROR(__xludf.DUMMYFUNCTION("""COMPUTED_VALUE"""),"RF-00000356-VET")</f>
        <v>RF-00000356-VET</v>
      </c>
    </row>
    <row r="2588" spans="1:2" ht="12.5" x14ac:dyDescent="0.25">
      <c r="A2588" t="str">
        <f ca="1">IFERROR(__xludf.DUMMYFUNCTION("""COMPUTED_VALUE"""),"Estradiol cypionate")</f>
        <v>Estradiol cypionate</v>
      </c>
      <c r="B2588" t="str">
        <f ca="1">IFERROR(__xludf.DUMMYFUNCTION("""COMPUTED_VALUE"""),"RF-00000355-VET")</f>
        <v>RF-00000355-VET</v>
      </c>
    </row>
    <row r="2589" spans="1:2" ht="12.5" x14ac:dyDescent="0.25">
      <c r="A2589" t="str">
        <f ca="1">IFERROR(__xludf.DUMMYFUNCTION("""COMPUTED_VALUE"""),"Estradiol dipropionate")</f>
        <v>Estradiol dipropionate</v>
      </c>
      <c r="B2589" t="str">
        <f ca="1">IFERROR(__xludf.DUMMYFUNCTION("""COMPUTED_VALUE"""),"RF-00000354-VET")</f>
        <v>RF-00000354-VET</v>
      </c>
    </row>
    <row r="2590" spans="1:2" ht="12.5" x14ac:dyDescent="0.25">
      <c r="A2590" t="str">
        <f ca="1">IFERROR(__xludf.DUMMYFUNCTION("""COMPUTED_VALUE"""),"Estradiol hydrogensulfate")</f>
        <v>Estradiol hydrogensulfate</v>
      </c>
      <c r="B2590" t="str">
        <f ca="1">IFERROR(__xludf.DUMMYFUNCTION("""COMPUTED_VALUE"""),"RF-00000353-VET")</f>
        <v>RF-00000353-VET</v>
      </c>
    </row>
    <row r="2591" spans="1:2" ht="12.5" x14ac:dyDescent="0.25">
      <c r="A2591" t="str">
        <f ca="1">IFERROR(__xludf.DUMMYFUNCTION("""COMPUTED_VALUE"""),"Estradiol valerate")</f>
        <v>Estradiol valerate</v>
      </c>
      <c r="B2591" t="str">
        <f ca="1">IFERROR(__xludf.DUMMYFUNCTION("""COMPUTED_VALUE"""),"RF-00000351-VET")</f>
        <v>RF-00000351-VET</v>
      </c>
    </row>
    <row r="2592" spans="1:2" ht="12.5" x14ac:dyDescent="0.25">
      <c r="A2592" t="str">
        <f ca="1">IFERROR(__xludf.DUMMYFUNCTION("""COMPUTED_VALUE"""),"Estradiol-17-Alpha")</f>
        <v>Estradiol-17-Alpha</v>
      </c>
      <c r="B2592" t="str">
        <f ca="1">IFERROR(__xludf.DUMMYFUNCTION("""COMPUTED_VALUE"""),"RF-00000350-VET")</f>
        <v>RF-00000350-VET</v>
      </c>
    </row>
    <row r="2593" spans="1:2" ht="12.5" x14ac:dyDescent="0.25">
      <c r="A2593" t="str">
        <f ca="1">IFERROR(__xludf.DUMMYFUNCTION("""COMPUTED_VALUE"""),"Estradiol-17-Beta")</f>
        <v>Estradiol-17-Beta</v>
      </c>
      <c r="B2593" t="str">
        <f ca="1">IFERROR(__xludf.DUMMYFUNCTION("""COMPUTED_VALUE"""),"RF-00000349-VET")</f>
        <v>RF-00000349-VET</v>
      </c>
    </row>
    <row r="2594" spans="1:2" ht="12.5" x14ac:dyDescent="0.25">
      <c r="A2594" t="str">
        <f ca="1">IFERROR(__xludf.DUMMYFUNCTION("""COMPUTED_VALUE"""),"Estradiol-Methyl")</f>
        <v>Estradiol-Methyl</v>
      </c>
      <c r="B2594" t="str">
        <f ca="1">IFERROR(__xludf.DUMMYFUNCTION("""COMPUTED_VALUE"""),"RF-00000386-VET")</f>
        <v>RF-00000386-VET</v>
      </c>
    </row>
    <row r="2595" spans="1:2" ht="12.5" x14ac:dyDescent="0.25">
      <c r="A2595" t="str">
        <f ca="1">IFERROR(__xludf.DUMMYFUNCTION("""COMPUTED_VALUE"""),"Estriol")</f>
        <v>Estriol</v>
      </c>
      <c r="B2595" t="str">
        <f ca="1">IFERROR(__xludf.DUMMYFUNCTION("""COMPUTED_VALUE"""),"RF-00000388-VET")</f>
        <v>RF-00000388-VET</v>
      </c>
    </row>
    <row r="2596" spans="1:2" ht="12.5" x14ac:dyDescent="0.25">
      <c r="A2596" t="str">
        <f ca="1">IFERROR(__xludf.DUMMYFUNCTION("""COMPUTED_VALUE"""),"Estrone")</f>
        <v>Estrone</v>
      </c>
      <c r="B2596" t="str">
        <f ca="1">IFERROR(__xludf.DUMMYFUNCTION("""COMPUTED_VALUE"""),"RF-00000361-VET")</f>
        <v>RF-00000361-VET</v>
      </c>
    </row>
    <row r="2597" spans="1:2" ht="12.5" x14ac:dyDescent="0.25">
      <c r="A2597" t="str">
        <f ca="1">IFERROR(__xludf.DUMMYFUNCTION("""COMPUTED_VALUE"""),"Etaconazole")</f>
        <v>Etaconazole</v>
      </c>
      <c r="B2597" t="str">
        <f ca="1">IFERROR(__xludf.DUMMYFUNCTION("""COMPUTED_VALUE"""),"RF-0657-001-PPP")</f>
        <v>RF-0657-001-PPP</v>
      </c>
    </row>
    <row r="2598" spans="1:2" ht="12.5" x14ac:dyDescent="0.25">
      <c r="A2598" t="str">
        <f ca="1">IFERROR(__xludf.DUMMYFUNCTION("""COMPUTED_VALUE"""),"Ethalfluralin")</f>
        <v>Ethalfluralin</v>
      </c>
      <c r="B2598" t="str">
        <f ca="1">IFERROR(__xludf.DUMMYFUNCTION("""COMPUTED_VALUE"""),"RF-0159-001-PPP")</f>
        <v>RF-0159-001-PPP</v>
      </c>
    </row>
    <row r="2599" spans="1:2" ht="12.5" x14ac:dyDescent="0.25">
      <c r="A2599" t="str">
        <f ca="1">IFERROR(__xludf.DUMMYFUNCTION("""COMPUTED_VALUE"""),"Ethambutol")</f>
        <v>Ethambutol</v>
      </c>
      <c r="B2599" t="str">
        <f ca="1">IFERROR(__xludf.DUMMYFUNCTION("""COMPUTED_VALUE"""),"RF-00000706-VET")</f>
        <v>RF-00000706-VET</v>
      </c>
    </row>
    <row r="2600" spans="1:2" ht="12.5" x14ac:dyDescent="0.25">
      <c r="A2600" t="str">
        <f ca="1">IFERROR(__xludf.DUMMYFUNCTION("""COMPUTED_VALUE"""),"Ethametsulfuron-Methyl")</f>
        <v>Ethametsulfuron-Methyl</v>
      </c>
      <c r="B2600" t="str">
        <f ca="1">IFERROR(__xludf.DUMMYFUNCTION("""COMPUTED_VALUE"""),"RF-0658-001-PPP")</f>
        <v>RF-0658-001-PPP</v>
      </c>
    </row>
    <row r="2601" spans="1:2" ht="12.5" x14ac:dyDescent="0.25">
      <c r="A2601" t="str">
        <f ca="1">IFERROR(__xludf.DUMMYFUNCTION("""COMPUTED_VALUE"""),"Ethanolamine")</f>
        <v>Ethanolamine</v>
      </c>
      <c r="B2601" t="str">
        <f ca="1">IFERROR(__xludf.DUMMYFUNCTION("""COMPUTED_VALUE"""),"RF-00000474-ORG")</f>
        <v>RF-00000474-ORG</v>
      </c>
    </row>
    <row r="2602" spans="1:2" ht="12.5" x14ac:dyDescent="0.25">
      <c r="A2602" t="str">
        <f ca="1">IFERROR(__xludf.DUMMYFUNCTION("""COMPUTED_VALUE"""),"Ethephon")</f>
        <v>Ethephon</v>
      </c>
      <c r="B2602" t="str">
        <f ca="1">IFERROR(__xludf.DUMMYFUNCTION("""COMPUTED_VALUE"""),"RF-0160-001-PPP")</f>
        <v>RF-0160-001-PPP</v>
      </c>
    </row>
    <row r="2603" spans="1:2" ht="12.5" x14ac:dyDescent="0.25">
      <c r="A2603" t="str">
        <f ca="1">IFERROR(__xludf.DUMMYFUNCTION("""COMPUTED_VALUE"""),"Ethidimuron")</f>
        <v>Ethidimuron</v>
      </c>
      <c r="B2603" t="str">
        <f ca="1">IFERROR(__xludf.DUMMYFUNCTION("""COMPUTED_VALUE"""),"RF-0659-001-PPP")</f>
        <v>RF-0659-001-PPP</v>
      </c>
    </row>
    <row r="2604" spans="1:2" ht="12.5" x14ac:dyDescent="0.25">
      <c r="A2604" t="str">
        <f ca="1">IFERROR(__xludf.DUMMYFUNCTION("""COMPUTED_VALUE"""),"Ethinylestradiol")</f>
        <v>Ethinylestradiol</v>
      </c>
      <c r="B2604" t="str">
        <f ca="1">IFERROR(__xludf.DUMMYFUNCTION("""COMPUTED_VALUE"""),"RF-00000395-VET")</f>
        <v>RF-00000395-VET</v>
      </c>
    </row>
    <row r="2605" spans="1:2" ht="12.5" x14ac:dyDescent="0.25">
      <c r="A2605" t="str">
        <f ca="1">IFERROR(__xludf.DUMMYFUNCTION("""COMPUTED_VALUE"""),"Ethinylestradiol-17-alpha")</f>
        <v>Ethinylestradiol-17-alpha</v>
      </c>
      <c r="B2605" t="str">
        <f ca="1">IFERROR(__xludf.DUMMYFUNCTION("""COMPUTED_VALUE"""),"RF-00000394-VET")</f>
        <v>RF-00000394-VET</v>
      </c>
    </row>
    <row r="2606" spans="1:2" ht="12.5" x14ac:dyDescent="0.25">
      <c r="A2606" t="str">
        <f ca="1">IFERROR(__xludf.DUMMYFUNCTION("""COMPUTED_VALUE"""),"Ethinylestradiol-17-sulfate")</f>
        <v>Ethinylestradiol-17-sulfate</v>
      </c>
      <c r="B2606" t="str">
        <f ca="1">IFERROR(__xludf.DUMMYFUNCTION("""COMPUTED_VALUE"""),"RF-00000393-VET")</f>
        <v>RF-00000393-VET</v>
      </c>
    </row>
    <row r="2607" spans="1:2" ht="12.5" x14ac:dyDescent="0.25">
      <c r="A2607" t="str">
        <f ca="1">IFERROR(__xludf.DUMMYFUNCTION("""COMPUTED_VALUE"""),"Ethiocolanolone")</f>
        <v>Ethiocolanolone</v>
      </c>
      <c r="B2607" t="str">
        <f ca="1">IFERROR(__xludf.DUMMYFUNCTION("""COMPUTED_VALUE"""),"RF-00000392-VET")</f>
        <v>RF-00000392-VET</v>
      </c>
    </row>
    <row r="2608" spans="1:2" ht="12.5" x14ac:dyDescent="0.25">
      <c r="A2608" t="str">
        <f ca="1">IFERROR(__xludf.DUMMYFUNCTION("""COMPUTED_VALUE"""),"Ethiofencarb")</f>
        <v>Ethiofencarb</v>
      </c>
      <c r="B2608" t="str">
        <f ca="1">IFERROR(__xludf.DUMMYFUNCTION("""COMPUTED_VALUE"""),"RF-00000099-VET")</f>
        <v>RF-00000099-VET</v>
      </c>
    </row>
    <row r="2609" spans="1:2" ht="12.5" x14ac:dyDescent="0.25">
      <c r="A2609" t="str">
        <f ca="1">IFERROR(__xludf.DUMMYFUNCTION("""COMPUTED_VALUE"""),"Ethiofencarb")</f>
        <v>Ethiofencarb</v>
      </c>
      <c r="B2609" t="str">
        <f ca="1">IFERROR(__xludf.DUMMYFUNCTION("""COMPUTED_VALUE"""),"RF-0660-001-PPP")</f>
        <v>RF-0660-001-PPP</v>
      </c>
    </row>
    <row r="2610" spans="1:2" ht="12.5" x14ac:dyDescent="0.25">
      <c r="A2610" t="str">
        <f ca="1">IFERROR(__xludf.DUMMYFUNCTION("""COMPUTED_VALUE"""),"Ethiofencarb (sum)")</f>
        <v>Ethiofencarb (sum)</v>
      </c>
      <c r="B2610" t="str">
        <f ca="1">IFERROR(__xludf.DUMMYFUNCTION("""COMPUTED_VALUE"""),"RF-0661-001-PPP")</f>
        <v>RF-0661-001-PPP</v>
      </c>
    </row>
    <row r="2611" spans="1:2" ht="12.5" x14ac:dyDescent="0.25">
      <c r="A2611" t="str">
        <f ca="1">IFERROR(__xludf.DUMMYFUNCTION("""COMPUTED_VALUE"""),"Ethiofencarb sulfoxide")</f>
        <v>Ethiofencarb sulfoxide</v>
      </c>
      <c r="B2611" t="str">
        <f ca="1">IFERROR(__xludf.DUMMYFUNCTION("""COMPUTED_VALUE"""),"RF-00000102-VET")</f>
        <v>RF-00000102-VET</v>
      </c>
    </row>
    <row r="2612" spans="1:2" ht="12.5" x14ac:dyDescent="0.25">
      <c r="A2612" t="str">
        <f ca="1">IFERROR(__xludf.DUMMYFUNCTION("""COMPUTED_VALUE"""),"Ethiofencarb-Sulfon")</f>
        <v>Ethiofencarb-Sulfon</v>
      </c>
      <c r="B2612" t="str">
        <f ca="1">IFERROR(__xludf.DUMMYFUNCTION("""COMPUTED_VALUE"""),"RF-0662-001-PPP")</f>
        <v>RF-0662-001-PPP</v>
      </c>
    </row>
    <row r="2613" spans="1:2" ht="12.5" x14ac:dyDescent="0.25">
      <c r="A2613" t="str">
        <f ca="1">IFERROR(__xludf.DUMMYFUNCTION("""COMPUTED_VALUE"""),"Ethiofencarb-Sulfoxid")</f>
        <v>Ethiofencarb-Sulfoxid</v>
      </c>
      <c r="B2613" t="str">
        <f ca="1">IFERROR(__xludf.DUMMYFUNCTION("""COMPUTED_VALUE"""),"RF-0663-001-PPP")</f>
        <v>RF-0663-001-PPP</v>
      </c>
    </row>
    <row r="2614" spans="1:2" ht="12.5" x14ac:dyDescent="0.25">
      <c r="A2614" t="str">
        <f ca="1">IFERROR(__xludf.DUMMYFUNCTION("""COMPUTED_VALUE"""),"Ethion")</f>
        <v>Ethion</v>
      </c>
      <c r="B2614" t="str">
        <f ca="1">IFERROR(__xludf.DUMMYFUNCTION("""COMPUTED_VALUE"""),"RF-0161-001-PPP")</f>
        <v>RF-0161-001-PPP</v>
      </c>
    </row>
    <row r="2615" spans="1:2" ht="12.5" x14ac:dyDescent="0.25">
      <c r="A2615" t="str">
        <f ca="1">IFERROR(__xludf.DUMMYFUNCTION("""COMPUTED_VALUE"""),"Ethiprole")</f>
        <v>Ethiprole</v>
      </c>
      <c r="B2615" t="str">
        <f ca="1">IFERROR(__xludf.DUMMYFUNCTION("""COMPUTED_VALUE"""),"RF-0664-001-PPP")</f>
        <v>RF-0664-001-PPP</v>
      </c>
    </row>
    <row r="2616" spans="1:2" ht="12.5" x14ac:dyDescent="0.25">
      <c r="A2616" t="str">
        <f ca="1">IFERROR(__xludf.DUMMYFUNCTION("""COMPUTED_VALUE"""),"Ethirimol")</f>
        <v>Ethirimol</v>
      </c>
      <c r="B2616" t="str">
        <f ca="1">IFERROR(__xludf.DUMMYFUNCTION("""COMPUTED_VALUE"""),"RF-0162-001-PPP")</f>
        <v>RF-0162-001-PPP</v>
      </c>
    </row>
    <row r="2617" spans="1:2" ht="12.5" x14ac:dyDescent="0.25">
      <c r="A2617" t="str">
        <f ca="1">IFERROR(__xludf.DUMMYFUNCTION("""COMPUTED_VALUE"""),"Ethisterone (Ethinyltestosterone)")</f>
        <v>Ethisterone (Ethinyltestosterone)</v>
      </c>
      <c r="B2617" t="str">
        <f ca="1">IFERROR(__xludf.DUMMYFUNCTION("""COMPUTED_VALUE"""),"RF-00000377-VET")</f>
        <v>RF-00000377-VET</v>
      </c>
    </row>
    <row r="2618" spans="1:2" ht="12.5" x14ac:dyDescent="0.25">
      <c r="A2618" t="str">
        <f ca="1">IFERROR(__xludf.DUMMYFUNCTION("""COMPUTED_VALUE"""),"Ethoate-Methyl")</f>
        <v>Ethoate-Methyl</v>
      </c>
      <c r="B2618" t="str">
        <f ca="1">IFERROR(__xludf.DUMMYFUNCTION("""COMPUTED_VALUE"""),"RF-0665-001-PPP")</f>
        <v>RF-0665-001-PPP</v>
      </c>
    </row>
    <row r="2619" spans="1:2" ht="12.5" x14ac:dyDescent="0.25">
      <c r="A2619" t="str">
        <f ca="1">IFERROR(__xludf.DUMMYFUNCTION("""COMPUTED_VALUE"""),"Ethofumesate")</f>
        <v>Ethofumesate</v>
      </c>
      <c r="B2619" t="str">
        <f ca="1">IFERROR(__xludf.DUMMYFUNCTION("""COMPUTED_VALUE"""),"RF-0163-002-PPP")</f>
        <v>RF-0163-002-PPP</v>
      </c>
    </row>
    <row r="2620" spans="1:2" ht="12.5" x14ac:dyDescent="0.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x14ac:dyDescent="0.25">
      <c r="A2621" t="str">
        <f ca="1">IFERROR(__xludf.DUMMYFUNCTION("""COMPUTED_VALUE"""),"Ethofumesate-2-keto")</f>
        <v>Ethofumesate-2-keto</v>
      </c>
      <c r="B2621" t="str">
        <f ca="1">IFERROR(__xludf.DUMMYFUNCTION("""COMPUTED_VALUE"""),"RF-00000021-PAR")</f>
        <v>RF-00000021-PAR</v>
      </c>
    </row>
    <row r="2622" spans="1:2" ht="12.5" x14ac:dyDescent="0.25">
      <c r="A2622" t="str">
        <f ca="1">IFERROR(__xludf.DUMMYFUNCTION("""COMPUTED_VALUE"""),"Ethopabate")</f>
        <v>Ethopabate</v>
      </c>
      <c r="B2622" t="str">
        <f ca="1">IFERROR(__xludf.DUMMYFUNCTION("""COMPUTED_VALUE"""),"RF-00000085-VET")</f>
        <v>RF-00000085-VET</v>
      </c>
    </row>
    <row r="2623" spans="1:2" ht="12.5" x14ac:dyDescent="0.25">
      <c r="A2623" t="str">
        <f ca="1">IFERROR(__xludf.DUMMYFUNCTION("""COMPUTED_VALUE"""),"Ethoprophos")</f>
        <v>Ethoprophos</v>
      </c>
      <c r="B2623" t="str">
        <f ca="1">IFERROR(__xludf.DUMMYFUNCTION("""COMPUTED_VALUE"""),"RF-0164-001-PPP")</f>
        <v>RF-0164-001-PPP</v>
      </c>
    </row>
    <row r="2624" spans="1:2" ht="12.5" x14ac:dyDescent="0.25">
      <c r="A2624" t="str">
        <f ca="1">IFERROR(__xludf.DUMMYFUNCTION("""COMPUTED_VALUE"""),"Ethoxyquin")</f>
        <v>Ethoxyquin</v>
      </c>
      <c r="B2624" t="str">
        <f ca="1">IFERROR(__xludf.DUMMYFUNCTION("""COMPUTED_VALUE"""),"RF-0165-001-PPP")</f>
        <v>RF-0165-001-PPP</v>
      </c>
    </row>
    <row r="2625" spans="1:2" ht="12.5" x14ac:dyDescent="0.25">
      <c r="A2625" t="str">
        <f ca="1">IFERROR(__xludf.DUMMYFUNCTION("""COMPUTED_VALUE"""),"Ethoxysulfuron")</f>
        <v>Ethoxysulfuron</v>
      </c>
      <c r="B2625" t="str">
        <f ca="1">IFERROR(__xludf.DUMMYFUNCTION("""COMPUTED_VALUE"""),"RF-0166-001-PPP")</f>
        <v>RF-0166-001-PPP</v>
      </c>
    </row>
    <row r="2626" spans="1:2" ht="12.5" x14ac:dyDescent="0.25">
      <c r="A2626" t="str">
        <f ca="1">IFERROR(__xludf.DUMMYFUNCTION("""COMPUTED_VALUE"""),"Ethyl carbamate")</f>
        <v>Ethyl carbamate</v>
      </c>
      <c r="B2626" t="str">
        <f ca="1">IFERROR(__xludf.DUMMYFUNCTION("""COMPUTED_VALUE"""),"RF-00000375-ORG")</f>
        <v>RF-00000375-ORG</v>
      </c>
    </row>
    <row r="2627" spans="1:2" ht="12.5" x14ac:dyDescent="0.25">
      <c r="A2627" t="str">
        <f ca="1">IFERROR(__xludf.DUMMYFUNCTION("""COMPUTED_VALUE"""),"Ethyl cellulose")</f>
        <v>Ethyl cellulose</v>
      </c>
      <c r="B2627" t="str">
        <f ca="1">IFERROR(__xludf.DUMMYFUNCTION("""COMPUTED_VALUE"""),"RF-00000126-ADD")</f>
        <v>RF-00000126-ADD</v>
      </c>
    </row>
    <row r="2628" spans="1:2" ht="12.5" x14ac:dyDescent="0.25">
      <c r="A2628" t="str">
        <f ca="1">IFERROR(__xludf.DUMMYFUNCTION("""COMPUTED_VALUE"""),"Ethyl methyl cellulose")</f>
        <v>Ethyl methyl cellulose</v>
      </c>
      <c r="B2628" t="str">
        <f ca="1">IFERROR(__xludf.DUMMYFUNCTION("""COMPUTED_VALUE"""),"RF-00000127-ADD")</f>
        <v>RF-00000127-ADD</v>
      </c>
    </row>
    <row r="2629" spans="1:2" ht="12.5" x14ac:dyDescent="0.25">
      <c r="A2629" t="str">
        <f ca="1">IFERROR(__xludf.DUMMYFUNCTION("""COMPUTED_VALUE"""),"Ethyl-p-hydroxybenzoate")</f>
        <v>Ethyl-p-hydroxybenzoate</v>
      </c>
      <c r="B2629" t="str">
        <f ca="1">IFERROR(__xludf.DUMMYFUNCTION("""COMPUTED_VALUE"""),"RF-00000128-ADD")</f>
        <v>RF-00000128-ADD</v>
      </c>
    </row>
    <row r="2630" spans="1:2" ht="12.5" x14ac:dyDescent="0.25">
      <c r="A2630" t="str">
        <f ca="1">IFERROR(__xludf.DUMMYFUNCTION("""COMPUTED_VALUE"""),"Ethylamine")</f>
        <v>Ethylamine</v>
      </c>
      <c r="B2630" t="str">
        <f ca="1">IFERROR(__xludf.DUMMYFUNCTION("""COMPUTED_VALUE"""),"RF-00000475-ORG")</f>
        <v>RF-00000475-ORG</v>
      </c>
    </row>
    <row r="2631" spans="1:2" ht="12.5" x14ac:dyDescent="0.25">
      <c r="A2631" t="str">
        <f ca="1">IFERROR(__xludf.DUMMYFUNCTION("""COMPUTED_VALUE"""),"Ethylene oxide")</f>
        <v>Ethylene oxide</v>
      </c>
      <c r="B2631" t="str">
        <f ca="1">IFERROR(__xludf.DUMMYFUNCTION("""COMPUTED_VALUE"""),"RF-0167-003-PPP")</f>
        <v>RF-0167-003-PPP</v>
      </c>
    </row>
    <row r="2632" spans="1:2" ht="12.5" x14ac:dyDescent="0.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x14ac:dyDescent="0.25">
      <c r="A2633" t="str">
        <f ca="1">IFERROR(__xludf.DUMMYFUNCTION("""COMPUTED_VALUE"""),"Ethylenethiourea")</f>
        <v>Ethylenethiourea</v>
      </c>
      <c r="B2633" t="str">
        <f ca="1">IFERROR(__xludf.DUMMYFUNCTION("""COMPUTED_VALUE"""),"RF-00000296-VET")</f>
        <v>RF-00000296-VET</v>
      </c>
    </row>
    <row r="2634" spans="1:2" ht="12.5" x14ac:dyDescent="0.25">
      <c r="A2634" t="str">
        <f ca="1">IFERROR(__xludf.DUMMYFUNCTION("""COMPUTED_VALUE"""),"Ethylenethiourea")</f>
        <v>Ethylenethiourea</v>
      </c>
      <c r="B2634" t="str">
        <f ca="1">IFERROR(__xludf.DUMMYFUNCTION("""COMPUTED_VALUE"""),"RF-0669-001-PPP")</f>
        <v>RF-0669-001-PPP</v>
      </c>
    </row>
    <row r="2635" spans="1:2" ht="12.5" x14ac:dyDescent="0.25">
      <c r="A2635" t="str">
        <f ca="1">IFERROR(__xludf.DUMMYFUNCTION("""COMPUTED_VALUE"""),"Ethylestrenol")</f>
        <v>Ethylestrenol</v>
      </c>
      <c r="B2635" t="str">
        <f ca="1">IFERROR(__xludf.DUMMYFUNCTION("""COMPUTED_VALUE"""),"RF-00000384-VET")</f>
        <v>RF-00000384-VET</v>
      </c>
    </row>
    <row r="2636" spans="1:2" ht="12.5" x14ac:dyDescent="0.25">
      <c r="A2636" t="str">
        <f ca="1">IFERROR(__xludf.DUMMYFUNCTION("""COMPUTED_VALUE"""),"Ethylthiouracil")</f>
        <v>Ethylthiouracil</v>
      </c>
      <c r="B2636" t="str">
        <f ca="1">IFERROR(__xludf.DUMMYFUNCTION("""COMPUTED_VALUE"""),"RF-00000306-VET")</f>
        <v>RF-00000306-VET</v>
      </c>
    </row>
    <row r="2637" spans="1:2" ht="12.5" x14ac:dyDescent="0.25">
      <c r="A2637" t="str">
        <f ca="1">IFERROR(__xludf.DUMMYFUNCTION("""COMPUTED_VALUE"""),"Ethynodiol")</f>
        <v>Ethynodiol</v>
      </c>
      <c r="B2637" t="str">
        <f ca="1">IFERROR(__xludf.DUMMYFUNCTION("""COMPUTED_VALUE"""),"RF-00000396-VET")</f>
        <v>RF-00000396-VET</v>
      </c>
    </row>
    <row r="2638" spans="1:2" ht="12.5" x14ac:dyDescent="0.25">
      <c r="A2638" t="str">
        <f ca="1">IFERROR(__xludf.DUMMYFUNCTION("""COMPUTED_VALUE"""),"Ethynodioldiacetate")</f>
        <v>Ethynodioldiacetate</v>
      </c>
      <c r="B2638" t="str">
        <f ca="1">IFERROR(__xludf.DUMMYFUNCTION("""COMPUTED_VALUE"""),"RF-00000397-VET")</f>
        <v>RF-00000397-VET</v>
      </c>
    </row>
    <row r="2639" spans="1:2" ht="12.5" x14ac:dyDescent="0.25">
      <c r="A2639" t="str">
        <f ca="1">IFERROR(__xludf.DUMMYFUNCTION("""COMPUTED_VALUE"""),"Etileferine")</f>
        <v>Etileferine</v>
      </c>
      <c r="B2639" t="str">
        <f ca="1">IFERROR(__xludf.DUMMYFUNCTION("""COMPUTED_VALUE"""),"RF-00000476-VET")</f>
        <v>RF-00000476-VET</v>
      </c>
    </row>
    <row r="2640" spans="1:2" ht="12.5" x14ac:dyDescent="0.25">
      <c r="A2640" t="str">
        <f ca="1">IFERROR(__xludf.DUMMYFUNCTION("""COMPUTED_VALUE"""),"Etobenzanid")</f>
        <v>Etobenzanid</v>
      </c>
      <c r="B2640" t="str">
        <f ca="1">IFERROR(__xludf.DUMMYFUNCTION("""COMPUTED_VALUE"""),"RF-0667-001-PPP")</f>
        <v>RF-0667-001-PPP</v>
      </c>
    </row>
    <row r="2641" spans="1:2" ht="12.5" x14ac:dyDescent="0.25">
      <c r="A2641" t="str">
        <f ca="1">IFERROR(__xludf.DUMMYFUNCTION("""COMPUTED_VALUE"""),"Etodolac")</f>
        <v>Etodolac</v>
      </c>
      <c r="B2641" t="str">
        <f ca="1">IFERROR(__xludf.DUMMYFUNCTION("""COMPUTED_VALUE"""),"RF-00000227-VET")</f>
        <v>RF-00000227-VET</v>
      </c>
    </row>
    <row r="2642" spans="1:2" ht="12.5" x14ac:dyDescent="0.25">
      <c r="A2642" t="str">
        <f ca="1">IFERROR(__xludf.DUMMYFUNCTION("""COMPUTED_VALUE"""),"Etofenprox")</f>
        <v>Etofenprox</v>
      </c>
      <c r="B2642" t="str">
        <f ca="1">IFERROR(__xludf.DUMMYFUNCTION("""COMPUTED_VALUE"""),"RF-0168-001-PPP")</f>
        <v>RF-0168-001-PPP</v>
      </c>
    </row>
    <row r="2643" spans="1:2" ht="12.5" x14ac:dyDescent="0.25">
      <c r="A2643" t="str">
        <f ca="1">IFERROR(__xludf.DUMMYFUNCTION("""COMPUTED_VALUE"""),"Etoxazole")</f>
        <v>Etoxazole</v>
      </c>
      <c r="B2643" t="str">
        <f ca="1">IFERROR(__xludf.DUMMYFUNCTION("""COMPUTED_VALUE"""),"RF-0169-001-PPP")</f>
        <v>RF-0169-001-PPP</v>
      </c>
    </row>
    <row r="2644" spans="1:2" ht="12.5" x14ac:dyDescent="0.25">
      <c r="A2644" t="str">
        <f ca="1">IFERROR(__xludf.DUMMYFUNCTION("""COMPUTED_VALUE"""),"Etridiazole")</f>
        <v>Etridiazole</v>
      </c>
      <c r="B2644" t="str">
        <f ca="1">IFERROR(__xludf.DUMMYFUNCTION("""COMPUTED_VALUE"""),"RF-0170-001-PPP")</f>
        <v>RF-0170-001-PPP</v>
      </c>
    </row>
    <row r="2645" spans="1:2" ht="12.5" x14ac:dyDescent="0.25">
      <c r="A2645" t="str">
        <f ca="1">IFERROR(__xludf.DUMMYFUNCTION("""COMPUTED_VALUE"""),"Etrimfos")</f>
        <v>Etrimfos</v>
      </c>
      <c r="B2645" t="str">
        <f ca="1">IFERROR(__xludf.DUMMYFUNCTION("""COMPUTED_VALUE"""),"RF-0668-001-PPP")</f>
        <v>RF-0668-001-PPP</v>
      </c>
    </row>
    <row r="2646" spans="1:2" ht="12.5" x14ac:dyDescent="0.25">
      <c r="A2646" t="str">
        <f ca="1">IFERROR(__xludf.DUMMYFUNCTION("""COMPUTED_VALUE"""),"European Bat Lyssavirus - unspecified")</f>
        <v>European Bat Lyssavirus - unspecified</v>
      </c>
      <c r="B2646" t="str">
        <f ca="1">IFERROR(__xludf.DUMMYFUNCTION("""COMPUTED_VALUE"""),"RF-00000268-MCG")</f>
        <v>RF-00000268-MCG</v>
      </c>
    </row>
    <row r="2647" spans="1:2" ht="12.5" x14ac:dyDescent="0.25">
      <c r="A2647" t="str">
        <f ca="1">IFERROR(__xludf.DUMMYFUNCTION("""COMPUTED_VALUE"""),"Europine")</f>
        <v>Europine</v>
      </c>
      <c r="B2647" t="str">
        <f ca="1">IFERROR(__xludf.DUMMYFUNCTION("""COMPUTED_VALUE"""),"RF-00000390-TOX")</f>
        <v>RF-00000390-TOX</v>
      </c>
    </row>
    <row r="2648" spans="1:2" ht="12.5" x14ac:dyDescent="0.25">
      <c r="A2648" t="str">
        <f ca="1">IFERROR(__xludf.DUMMYFUNCTION("""COMPUTED_VALUE"""),"Europine-N-oxide")</f>
        <v>Europine-N-oxide</v>
      </c>
      <c r="B2648" t="str">
        <f ca="1">IFERROR(__xludf.DUMMYFUNCTION("""COMPUTED_VALUE"""),"RF-00000391-TOX")</f>
        <v>RF-00000391-TOX</v>
      </c>
    </row>
    <row r="2649" spans="1:2" ht="12.5" x14ac:dyDescent="0.25">
      <c r="A2649" t="str">
        <f ca="1">IFERROR(__xludf.DUMMYFUNCTION("""COMPUTED_VALUE"""),"Everninomycin")</f>
        <v>Everninomycin</v>
      </c>
      <c r="B2649" t="str">
        <f ca="1">IFERROR(__xludf.DUMMYFUNCTION("""COMPUTED_VALUE"""),"RF-00000756-VET")</f>
        <v>RF-00000756-VET</v>
      </c>
    </row>
    <row r="2650" spans="1:2" ht="12.5" x14ac:dyDescent="0.25">
      <c r="A2650" t="str">
        <f ca="1">IFERROR(__xludf.DUMMYFUNCTION("""COMPUTED_VALUE"""),"Extractable calcium (compost)")</f>
        <v>Extractable calcium (compost)</v>
      </c>
      <c r="B2650" t="str">
        <f ca="1">IFERROR(__xludf.DUMMYFUNCTION("""COMPUTED_VALUE"""),"RF-00000012-CHE")</f>
        <v>RF-00000012-CHE</v>
      </c>
    </row>
    <row r="2651" spans="1:2" ht="12.5" x14ac:dyDescent="0.25">
      <c r="A2651" t="str">
        <f ca="1">IFERROR(__xludf.DUMMYFUNCTION("""COMPUTED_VALUE"""),"Extractable magnesium (compost)")</f>
        <v>Extractable magnesium (compost)</v>
      </c>
      <c r="B2651" t="str">
        <f ca="1">IFERROR(__xludf.DUMMYFUNCTION("""COMPUTED_VALUE"""),"RF-00000065-CHE")</f>
        <v>RF-00000065-CHE</v>
      </c>
    </row>
    <row r="2652" spans="1:2" ht="12.5" x14ac:dyDescent="0.25">
      <c r="A2652" t="str">
        <f ca="1">IFERROR(__xludf.DUMMYFUNCTION("""COMPUTED_VALUE"""),"Extractable phosphorus (compost)")</f>
        <v>Extractable phosphorus (compost)</v>
      </c>
      <c r="B2652" t="str">
        <f ca="1">IFERROR(__xludf.DUMMYFUNCTION("""COMPUTED_VALUE"""),"RF-00000044-CHE")</f>
        <v>RF-00000044-CHE</v>
      </c>
    </row>
    <row r="2653" spans="1:2" ht="12.5" x14ac:dyDescent="0.25">
      <c r="A2653" t="str">
        <f ca="1">IFERROR(__xludf.DUMMYFUNCTION("""COMPUTED_VALUE"""),"Extracts of rosemary")</f>
        <v>Extracts of rosemary</v>
      </c>
      <c r="B2653" t="str">
        <f ca="1">IFERROR(__xludf.DUMMYFUNCTION("""COMPUTED_VALUE"""),"RF-00000129-ADD")</f>
        <v>RF-00000129-ADD</v>
      </c>
    </row>
    <row r="2654" spans="1:2" ht="12.5" x14ac:dyDescent="0.25">
      <c r="A2654" t="str">
        <f ca="1">IFERROR(__xludf.DUMMYFUNCTION("""COMPUTED_VALUE"""),"Famoxadone")</f>
        <v>Famoxadone</v>
      </c>
      <c r="B2654" t="str">
        <f ca="1">IFERROR(__xludf.DUMMYFUNCTION("""COMPUTED_VALUE"""),"RF-0171-001-PPP")</f>
        <v>RF-0171-001-PPP</v>
      </c>
    </row>
    <row r="2655" spans="1:2" ht="12.5" x14ac:dyDescent="0.25">
      <c r="A2655" t="str">
        <f ca="1">IFERROR(__xludf.DUMMYFUNCTION("""COMPUTED_VALUE"""),"Famphur")</f>
        <v>Famphur</v>
      </c>
      <c r="B2655" t="str">
        <f ca="1">IFERROR(__xludf.DUMMYFUNCTION("""COMPUTED_VALUE"""),"RF-0670-001-PPP")</f>
        <v>RF-0670-001-PPP</v>
      </c>
    </row>
    <row r="2656" spans="1:2" ht="12.5" x14ac:dyDescent="0.25">
      <c r="A2656" t="str">
        <f ca="1">IFERROR(__xludf.DUMMYFUNCTION("""COMPUTED_VALUE"""),"Farfugine")</f>
        <v>Farfugine</v>
      </c>
      <c r="B2656" t="str">
        <f ca="1">IFERROR(__xludf.DUMMYFUNCTION("""COMPUTED_VALUE"""),"RF-00000280-TOX")</f>
        <v>RF-00000280-TOX</v>
      </c>
    </row>
    <row r="2657" spans="1:2" ht="12.5" x14ac:dyDescent="0.25">
      <c r="A2657" t="str">
        <f ca="1">IFERROR(__xludf.DUMMYFUNCTION("""COMPUTED_VALUE"""),"fat, animal")</f>
        <v>fat, animal</v>
      </c>
      <c r="B2657" t="str">
        <f ca="1">IFERROR(__xludf.DUMMYFUNCTION("""COMPUTED_VALUE"""),"RF-00000084-NTR")</f>
        <v>RF-00000084-NTR</v>
      </c>
    </row>
    <row r="2658" spans="1:2" ht="12.5" x14ac:dyDescent="0.25">
      <c r="A2658" t="str">
        <f ca="1">IFERROR(__xludf.DUMMYFUNCTION("""COMPUTED_VALUE"""),"fat, plant")</f>
        <v>fat, plant</v>
      </c>
      <c r="B2658" t="str">
        <f ca="1">IFERROR(__xludf.DUMMYFUNCTION("""COMPUTED_VALUE"""),"RF-00000085-NTR")</f>
        <v>RF-00000085-NTR</v>
      </c>
    </row>
    <row r="2659" spans="1:2" ht="12.5" x14ac:dyDescent="0.25">
      <c r="A2659" t="str">
        <f ca="1">IFERROR(__xludf.DUMMYFUNCTION("""COMPUTED_VALUE"""),"fat, total (total lipid)")</f>
        <v>fat, total (total lipid)</v>
      </c>
      <c r="B2659" t="str">
        <f ca="1">IFERROR(__xludf.DUMMYFUNCTION("""COMPUTED_VALUE"""),"RF-00000086-NTR")</f>
        <v>RF-00000086-NTR</v>
      </c>
    </row>
    <row r="2660" spans="1:2" ht="12.5" x14ac:dyDescent="0.25">
      <c r="A2660" t="str">
        <f ca="1">IFERROR(__xludf.DUMMYFUNCTION("""COMPUTED_VALUE"""),"fat, unknown origin")</f>
        <v>fat, unknown origin</v>
      </c>
      <c r="B2660" t="str">
        <f ca="1">IFERROR(__xludf.DUMMYFUNCTION("""COMPUTED_VALUE"""),"RF-00000087-NTR")</f>
        <v>RF-00000087-NTR</v>
      </c>
    </row>
    <row r="2661" spans="1:2" ht="12.5" x14ac:dyDescent="0.25">
      <c r="A2661" t="str">
        <f ca="1">IFERROR(__xludf.DUMMYFUNCTION("""COMPUTED_VALUE"""),"fatty acid 10:0 (capric acid)")</f>
        <v>fatty acid 10:0 (capric acid)</v>
      </c>
      <c r="B2661" t="str">
        <f ca="1">IFERROR(__xludf.DUMMYFUNCTION("""COMPUTED_VALUE"""),"RF-00000089-NTR")</f>
        <v>RF-00000089-NTR</v>
      </c>
    </row>
    <row r="2662" spans="1:2" ht="12.5" x14ac:dyDescent="0.25">
      <c r="A2662" t="str">
        <f ca="1">IFERROR(__xludf.DUMMYFUNCTION("""COMPUTED_VALUE"""),"fatty acid 10:1")</f>
        <v>fatty acid 10:1</v>
      </c>
      <c r="B2662" t="str">
        <f ca="1">IFERROR(__xludf.DUMMYFUNCTION("""COMPUTED_VALUE"""),"RF-00000090-NTR")</f>
        <v>RF-00000090-NTR</v>
      </c>
    </row>
    <row r="2663" spans="1:2" ht="12.5" x14ac:dyDescent="0.25">
      <c r="A2663" t="str">
        <f ca="1">IFERROR(__xludf.DUMMYFUNCTION("""COMPUTED_VALUE"""),"fatty acid 10:1 (caproleic acid)")</f>
        <v>fatty acid 10:1 (caproleic acid)</v>
      </c>
      <c r="B2663" t="str">
        <f ca="1">IFERROR(__xludf.DUMMYFUNCTION("""COMPUTED_VALUE"""),"RF-00000091-NTR")</f>
        <v>RF-00000091-NTR</v>
      </c>
    </row>
    <row r="2664" spans="1:2" ht="12.5" x14ac:dyDescent="0.25">
      <c r="A2664" t="str">
        <f ca="1">IFERROR(__xludf.DUMMYFUNCTION("""COMPUTED_VALUE"""),"fatty acid 10:1 cis")</f>
        <v>fatty acid 10:1 cis</v>
      </c>
      <c r="B2664" t="str">
        <f ca="1">IFERROR(__xludf.DUMMYFUNCTION("""COMPUTED_VALUE"""),"RF-00000092-NTR")</f>
        <v>RF-00000092-NTR</v>
      </c>
    </row>
    <row r="2665" spans="1:2" ht="12.5" x14ac:dyDescent="0.25">
      <c r="A2665" t="str">
        <f ca="1">IFERROR(__xludf.DUMMYFUNCTION("""COMPUTED_VALUE"""),"fatty acid 10:1 trans")</f>
        <v>fatty acid 10:1 trans</v>
      </c>
      <c r="B2665" t="str">
        <f ca="1">IFERROR(__xludf.DUMMYFUNCTION("""COMPUTED_VALUE"""),"RF-00000093-NTR")</f>
        <v>RF-00000093-NTR</v>
      </c>
    </row>
    <row r="2666" spans="1:2" ht="12.5" x14ac:dyDescent="0.25">
      <c r="A2666" t="str">
        <f ca="1">IFERROR(__xludf.DUMMYFUNCTION("""COMPUTED_VALUE"""),"fatty acid 11:0")</f>
        <v>fatty acid 11:0</v>
      </c>
      <c r="B2666" t="str">
        <f ca="1">IFERROR(__xludf.DUMMYFUNCTION("""COMPUTED_VALUE"""),"RF-00000094-NTR")</f>
        <v>RF-00000094-NTR</v>
      </c>
    </row>
    <row r="2667" spans="1:2" ht="12.5" x14ac:dyDescent="0.25">
      <c r="A2667" t="str">
        <f ca="1">IFERROR(__xludf.DUMMYFUNCTION("""COMPUTED_VALUE"""),"fatty acid 12:0 (lauric acid)")</f>
        <v>fatty acid 12:0 (lauric acid)</v>
      </c>
      <c r="B2667" t="str">
        <f ca="1">IFERROR(__xludf.DUMMYFUNCTION("""COMPUTED_VALUE"""),"RF-00000095-NTR")</f>
        <v>RF-00000095-NTR</v>
      </c>
    </row>
    <row r="2668" spans="1:2" ht="12.5" x14ac:dyDescent="0.25">
      <c r="A2668" t="str">
        <f ca="1">IFERROR(__xludf.DUMMYFUNCTION("""COMPUTED_VALUE"""),"fatty acid 12:1")</f>
        <v>fatty acid 12:1</v>
      </c>
      <c r="B2668" t="str">
        <f ca="1">IFERROR(__xludf.DUMMYFUNCTION("""COMPUTED_VALUE"""),"RF-00000096-NTR")</f>
        <v>RF-00000096-NTR</v>
      </c>
    </row>
    <row r="2669" spans="1:2" ht="12.5" x14ac:dyDescent="0.25">
      <c r="A2669" t="str">
        <f ca="1">IFERROR(__xludf.DUMMYFUNCTION("""COMPUTED_VALUE"""),"fatty acid 12:1 (lauroleic acid)")</f>
        <v>fatty acid 12:1 (lauroleic acid)</v>
      </c>
      <c r="B2669" t="str">
        <f ca="1">IFERROR(__xludf.DUMMYFUNCTION("""COMPUTED_VALUE"""),"RF-00000097-NTR")</f>
        <v>RF-00000097-NTR</v>
      </c>
    </row>
    <row r="2670" spans="1:2" ht="12.5" x14ac:dyDescent="0.25">
      <c r="A2670" t="str">
        <f ca="1">IFERROR(__xludf.DUMMYFUNCTION("""COMPUTED_VALUE"""),"fatty acid 12:1 cis")</f>
        <v>fatty acid 12:1 cis</v>
      </c>
      <c r="B2670" t="str">
        <f ca="1">IFERROR(__xludf.DUMMYFUNCTION("""COMPUTED_VALUE"""),"RF-00000098-NTR")</f>
        <v>RF-00000098-NTR</v>
      </c>
    </row>
    <row r="2671" spans="1:2" ht="12.5" x14ac:dyDescent="0.25">
      <c r="A2671" t="str">
        <f ca="1">IFERROR(__xludf.DUMMYFUNCTION("""COMPUTED_VALUE"""),"fatty acid 12:1 trans")</f>
        <v>fatty acid 12:1 trans</v>
      </c>
      <c r="B2671" t="str">
        <f ca="1">IFERROR(__xludf.DUMMYFUNCTION("""COMPUTED_VALUE"""),"RF-00000099-NTR")</f>
        <v>RF-00000099-NTR</v>
      </c>
    </row>
    <row r="2672" spans="1:2" ht="12.5" x14ac:dyDescent="0.25">
      <c r="A2672" t="str">
        <f ca="1">IFERROR(__xludf.DUMMYFUNCTION("""COMPUTED_VALUE"""),"fatty acid 13:0 (tridecanoic acid)")</f>
        <v>fatty acid 13:0 (tridecanoic acid)</v>
      </c>
      <c r="B2672" t="str">
        <f ca="1">IFERROR(__xludf.DUMMYFUNCTION("""COMPUTED_VALUE"""),"RF-00000100-NTR")</f>
        <v>RF-00000100-NTR</v>
      </c>
    </row>
    <row r="2673" spans="1:2" ht="12.5" x14ac:dyDescent="0.25">
      <c r="A2673" t="str">
        <f ca="1">IFERROR(__xludf.DUMMYFUNCTION("""COMPUTED_VALUE"""),"fatty acid 13:0 iso (isotridecanoic acid)")</f>
        <v>fatty acid 13:0 iso (isotridecanoic acid)</v>
      </c>
      <c r="B2673" t="str">
        <f ca="1">IFERROR(__xludf.DUMMYFUNCTION("""COMPUTED_VALUE"""),"RF-00000101-NTR")</f>
        <v>RF-00000101-NTR</v>
      </c>
    </row>
    <row r="2674" spans="1:2" ht="12.5" x14ac:dyDescent="0.25">
      <c r="A2674" t="str">
        <f ca="1">IFERROR(__xludf.DUMMYFUNCTION("""COMPUTED_VALUE"""),"fatty acid 14:0 (myristic acid)")</f>
        <v>fatty acid 14:0 (myristic acid)</v>
      </c>
      <c r="B2674" t="str">
        <f ca="1">IFERROR(__xludf.DUMMYFUNCTION("""COMPUTED_VALUE"""),"RF-00000102-NTR")</f>
        <v>RF-00000102-NTR</v>
      </c>
    </row>
    <row r="2675" spans="1:2" ht="12.5" x14ac:dyDescent="0.25">
      <c r="A2675" t="str">
        <f ca="1">IFERROR(__xludf.DUMMYFUNCTION("""COMPUTED_VALUE"""),"fatty acid 14:0 anteiso")</f>
        <v>fatty acid 14:0 anteiso</v>
      </c>
      <c r="B2675" t="str">
        <f ca="1">IFERROR(__xludf.DUMMYFUNCTION("""COMPUTED_VALUE"""),"RF-00000103-NTR")</f>
        <v>RF-00000103-NTR</v>
      </c>
    </row>
    <row r="2676" spans="1:2" ht="12.5" x14ac:dyDescent="0.25">
      <c r="A2676" t="str">
        <f ca="1">IFERROR(__xludf.DUMMYFUNCTION("""COMPUTED_VALUE"""),"fatty acid 14:0 iso")</f>
        <v>fatty acid 14:0 iso</v>
      </c>
      <c r="B2676" t="str">
        <f ca="1">IFERROR(__xludf.DUMMYFUNCTION("""COMPUTED_VALUE"""),"RF-00000104-NTR")</f>
        <v>RF-00000104-NTR</v>
      </c>
    </row>
    <row r="2677" spans="1:2" ht="12.5" x14ac:dyDescent="0.25">
      <c r="A2677" t="str">
        <f ca="1">IFERROR(__xludf.DUMMYFUNCTION("""COMPUTED_VALUE"""),"fatty acid 14:1")</f>
        <v>fatty acid 14:1</v>
      </c>
      <c r="B2677" t="str">
        <f ca="1">IFERROR(__xludf.DUMMYFUNCTION("""COMPUTED_VALUE"""),"RF-00000105-NTR")</f>
        <v>RF-00000105-NTR</v>
      </c>
    </row>
    <row r="2678" spans="1:2" ht="12.5" x14ac:dyDescent="0.25">
      <c r="A2678" t="str">
        <f ca="1">IFERROR(__xludf.DUMMYFUNCTION("""COMPUTED_VALUE"""),"fatty acid 14:1 (myristoleic acid)")</f>
        <v>fatty acid 14:1 (myristoleic acid)</v>
      </c>
      <c r="B2678" t="str">
        <f ca="1">IFERROR(__xludf.DUMMYFUNCTION("""COMPUTED_VALUE"""),"RF-00000106-NTR")</f>
        <v>RF-00000106-NTR</v>
      </c>
    </row>
    <row r="2679" spans="1:2" ht="12.5" x14ac:dyDescent="0.25">
      <c r="A2679" t="str">
        <f ca="1">IFERROR(__xludf.DUMMYFUNCTION("""COMPUTED_VALUE"""),"fatty acid 14:1 cis")</f>
        <v>fatty acid 14:1 cis</v>
      </c>
      <c r="B2679" t="str">
        <f ca="1">IFERROR(__xludf.DUMMYFUNCTION("""COMPUTED_VALUE"""),"RF-00000107-NTR")</f>
        <v>RF-00000107-NTR</v>
      </c>
    </row>
    <row r="2680" spans="1:2" ht="12.5" x14ac:dyDescent="0.25">
      <c r="A2680" t="str">
        <f ca="1">IFERROR(__xludf.DUMMYFUNCTION("""COMPUTED_VALUE"""),"fatty acid 14:1 trans (myristelaidic acid)")</f>
        <v>fatty acid 14:1 trans (myristelaidic acid)</v>
      </c>
      <c r="B2680" t="str">
        <f ca="1">IFERROR(__xludf.DUMMYFUNCTION("""COMPUTED_VALUE"""),"RF-00000108-NTR")</f>
        <v>RF-00000108-NTR</v>
      </c>
    </row>
    <row r="2681" spans="1:2" ht="12.5" x14ac:dyDescent="0.25">
      <c r="A2681" t="str">
        <f ca="1">IFERROR(__xludf.DUMMYFUNCTION("""COMPUTED_VALUE"""),"fatty acid 15:0 (pentadecylic acid)")</f>
        <v>fatty acid 15:0 (pentadecylic acid)</v>
      </c>
      <c r="B2681" t="str">
        <f ca="1">IFERROR(__xludf.DUMMYFUNCTION("""COMPUTED_VALUE"""),"RF-00000109-NTR")</f>
        <v>RF-00000109-NTR</v>
      </c>
    </row>
    <row r="2682" spans="1:2" ht="12.5" x14ac:dyDescent="0.25">
      <c r="A2682" t="str">
        <f ca="1">IFERROR(__xludf.DUMMYFUNCTION("""COMPUTED_VALUE"""),"fatty acid 15:0 + 17:0")</f>
        <v>fatty acid 15:0 + 17:0</v>
      </c>
      <c r="B2682" t="str">
        <f ca="1">IFERROR(__xludf.DUMMYFUNCTION("""COMPUTED_VALUE"""),"RF-00000110-NTR")</f>
        <v>RF-00000110-NTR</v>
      </c>
    </row>
    <row r="2683" spans="1:2" ht="12.5" x14ac:dyDescent="0.25">
      <c r="A2683" t="str">
        <f ca="1">IFERROR(__xludf.DUMMYFUNCTION("""COMPUTED_VALUE"""),"fatty acid 15:0 anteiso")</f>
        <v>fatty acid 15:0 anteiso</v>
      </c>
      <c r="B2683" t="str">
        <f ca="1">IFERROR(__xludf.DUMMYFUNCTION("""COMPUTED_VALUE"""),"RF-00000111-NTR")</f>
        <v>RF-00000111-NTR</v>
      </c>
    </row>
    <row r="2684" spans="1:2" ht="12.5" x14ac:dyDescent="0.25">
      <c r="A2684" t="str">
        <f ca="1">IFERROR(__xludf.DUMMYFUNCTION("""COMPUTED_VALUE"""),"fatty acid 15:0 iso")</f>
        <v>fatty acid 15:0 iso</v>
      </c>
      <c r="B2684" t="str">
        <f ca="1">IFERROR(__xludf.DUMMYFUNCTION("""COMPUTED_VALUE"""),"RF-00000112-NTR")</f>
        <v>RF-00000112-NTR</v>
      </c>
    </row>
    <row r="2685" spans="1:2" ht="12.5" x14ac:dyDescent="0.25">
      <c r="A2685" t="str">
        <f ca="1">IFERROR(__xludf.DUMMYFUNCTION("""COMPUTED_VALUE"""),"fatty acid 15:1 (pentadecenoic acid)")</f>
        <v>fatty acid 15:1 (pentadecenoic acid)</v>
      </c>
      <c r="B2685" t="str">
        <f ca="1">IFERROR(__xludf.DUMMYFUNCTION("""COMPUTED_VALUE"""),"RF-00000113-NTR")</f>
        <v>RF-00000113-NTR</v>
      </c>
    </row>
    <row r="2686" spans="1:2" ht="12.5" x14ac:dyDescent="0.25">
      <c r="A2686" t="str">
        <f ca="1">IFERROR(__xludf.DUMMYFUNCTION("""COMPUTED_VALUE"""),"fatty acid 15:1 n-8 cis")</f>
        <v>fatty acid 15:1 n-8 cis</v>
      </c>
      <c r="B2686" t="str">
        <f ca="1">IFERROR(__xludf.DUMMYFUNCTION("""COMPUTED_VALUE"""),"RF-00000114-NTR")</f>
        <v>RF-00000114-NTR</v>
      </c>
    </row>
    <row r="2687" spans="1:2" ht="12.5" x14ac:dyDescent="0.25">
      <c r="A2687" t="str">
        <f ca="1">IFERROR(__xludf.DUMMYFUNCTION("""COMPUTED_VALUE"""),"fatty acid 16:0 (palmitic acid)")</f>
        <v>fatty acid 16:0 (palmitic acid)</v>
      </c>
      <c r="B2687" t="str">
        <f ca="1">IFERROR(__xludf.DUMMYFUNCTION("""COMPUTED_VALUE"""),"RF-00000115-NTR")</f>
        <v>RF-00000115-NTR</v>
      </c>
    </row>
    <row r="2688" spans="1:2" ht="12.5" x14ac:dyDescent="0.25">
      <c r="A2688" t="str">
        <f ca="1">IFERROR(__xludf.DUMMYFUNCTION("""COMPUTED_VALUE"""),"fatty acid 16:0 anteiso")</f>
        <v>fatty acid 16:0 anteiso</v>
      </c>
      <c r="B2688" t="str">
        <f ca="1">IFERROR(__xludf.DUMMYFUNCTION("""COMPUTED_VALUE"""),"RF-00000116-NTR")</f>
        <v>RF-00000116-NTR</v>
      </c>
    </row>
    <row r="2689" spans="1:2" ht="12.5" x14ac:dyDescent="0.25">
      <c r="A2689" t="str">
        <f ca="1">IFERROR(__xludf.DUMMYFUNCTION("""COMPUTED_VALUE"""),"fatty acid 16:0 iso")</f>
        <v>fatty acid 16:0 iso</v>
      </c>
      <c r="B2689" t="str">
        <f ca="1">IFERROR(__xludf.DUMMYFUNCTION("""COMPUTED_VALUE"""),"RF-00000117-NTR")</f>
        <v>RF-00000117-NTR</v>
      </c>
    </row>
    <row r="2690" spans="1:2" ht="12.5" x14ac:dyDescent="0.25">
      <c r="A2690" t="str">
        <f ca="1">IFERROR(__xludf.DUMMYFUNCTION("""COMPUTED_VALUE"""),"fatty acid 16:1")</f>
        <v>fatty acid 16:1</v>
      </c>
      <c r="B2690" t="str">
        <f ca="1">IFERROR(__xludf.DUMMYFUNCTION("""COMPUTED_VALUE"""),"RF-00000118-NTR")</f>
        <v>RF-00000118-NTR</v>
      </c>
    </row>
    <row r="2691" spans="1:2" ht="12.5" x14ac:dyDescent="0.25">
      <c r="A2691" t="str">
        <f ca="1">IFERROR(__xludf.DUMMYFUNCTION("""COMPUTED_VALUE"""),"fatty acid 16:1 cis")</f>
        <v>fatty acid 16:1 cis</v>
      </c>
      <c r="B2691" t="str">
        <f ca="1">IFERROR(__xludf.DUMMYFUNCTION("""COMPUTED_VALUE"""),"RF-00000119-NTR")</f>
        <v>RF-00000119-NTR</v>
      </c>
    </row>
    <row r="2692" spans="1:2" ht="12.5" x14ac:dyDescent="0.25">
      <c r="A2692" t="str">
        <f ca="1">IFERROR(__xludf.DUMMYFUNCTION("""COMPUTED_VALUE"""),"fatty acid 16:1 iso")</f>
        <v>fatty acid 16:1 iso</v>
      </c>
      <c r="B2692" t="str">
        <f ca="1">IFERROR(__xludf.DUMMYFUNCTION("""COMPUTED_VALUE"""),"RF-00000120-NTR")</f>
        <v>RF-00000120-NTR</v>
      </c>
    </row>
    <row r="2693" spans="1:2" ht="12.5" x14ac:dyDescent="0.25">
      <c r="A2693" t="str">
        <f ca="1">IFERROR(__xludf.DUMMYFUNCTION("""COMPUTED_VALUE"""),"fatty acid 16:1 n-5 cis")</f>
        <v>fatty acid 16:1 n-5 cis</v>
      </c>
      <c r="B2693" t="str">
        <f ca="1">IFERROR(__xludf.DUMMYFUNCTION("""COMPUTED_VALUE"""),"RF-00000121-NTR")</f>
        <v>RF-00000121-NTR</v>
      </c>
    </row>
    <row r="2694" spans="1:2" ht="12.5" x14ac:dyDescent="0.25">
      <c r="A2694" t="str">
        <f ca="1">IFERROR(__xludf.DUMMYFUNCTION("""COMPUTED_VALUE"""),"fatty acid 16:1 n-7 cis (palmitoleic acid)")</f>
        <v>fatty acid 16:1 n-7 cis (palmitoleic acid)</v>
      </c>
      <c r="B2694" t="str">
        <f ca="1">IFERROR(__xludf.DUMMYFUNCTION("""COMPUTED_VALUE"""),"RF-00000122-NTR")</f>
        <v>RF-00000122-NTR</v>
      </c>
    </row>
    <row r="2695" spans="1:2" ht="12.5" x14ac:dyDescent="0.25">
      <c r="A2695" t="str">
        <f ca="1">IFERROR(__xludf.DUMMYFUNCTION("""COMPUTED_VALUE"""),"fatty acid 16:1 n-7 trans")</f>
        <v>fatty acid 16:1 n-7 trans</v>
      </c>
      <c r="B2695" t="str">
        <f ca="1">IFERROR(__xludf.DUMMYFUNCTION("""COMPUTED_VALUE"""),"RF-00000123-NTR")</f>
        <v>RF-00000123-NTR</v>
      </c>
    </row>
    <row r="2696" spans="1:2" ht="12.5" x14ac:dyDescent="0.25">
      <c r="A2696" t="str">
        <f ca="1">IFERROR(__xludf.DUMMYFUNCTION("""COMPUTED_VALUE"""),"fatty acid 16:1 n-9 cis")</f>
        <v>fatty acid 16:1 n-9 cis</v>
      </c>
      <c r="B2696" t="str">
        <f ca="1">IFERROR(__xludf.DUMMYFUNCTION("""COMPUTED_VALUE"""),"RF-00000124-NTR")</f>
        <v>RF-00000124-NTR</v>
      </c>
    </row>
    <row r="2697" spans="1:2" ht="12.5" x14ac:dyDescent="0.25">
      <c r="A2697" t="str">
        <f ca="1">IFERROR(__xludf.DUMMYFUNCTION("""COMPUTED_VALUE"""),"fatty acid 16:1 remainder")</f>
        <v>fatty acid 16:1 remainder</v>
      </c>
      <c r="B2697" t="str">
        <f ca="1">IFERROR(__xludf.DUMMYFUNCTION("""COMPUTED_VALUE"""),"RF-00000125-NTR")</f>
        <v>RF-00000125-NTR</v>
      </c>
    </row>
    <row r="2698" spans="1:2" ht="12.5" x14ac:dyDescent="0.25">
      <c r="A2698" t="str">
        <f ca="1">IFERROR(__xludf.DUMMYFUNCTION("""COMPUTED_VALUE"""),"fatty acid 16:1 trans")</f>
        <v>fatty acid 16:1 trans</v>
      </c>
      <c r="B2698" t="str">
        <f ca="1">IFERROR(__xludf.DUMMYFUNCTION("""COMPUTED_VALUE"""),"RF-00000126-NTR")</f>
        <v>RF-00000126-NTR</v>
      </c>
    </row>
    <row r="2699" spans="1:2" ht="12.5" x14ac:dyDescent="0.25">
      <c r="A2699" t="str">
        <f ca="1">IFERROR(__xludf.DUMMYFUNCTION("""COMPUTED_VALUE"""),"fatty acid 16:2")</f>
        <v>fatty acid 16:2</v>
      </c>
      <c r="B2699" t="str">
        <f ca="1">IFERROR(__xludf.DUMMYFUNCTION("""COMPUTED_VALUE"""),"RF-00000127-NTR")</f>
        <v>RF-00000127-NTR</v>
      </c>
    </row>
    <row r="2700" spans="1:2" ht="12.5" x14ac:dyDescent="0.25">
      <c r="A2700" t="str">
        <f ca="1">IFERROR(__xludf.DUMMYFUNCTION("""COMPUTED_VALUE"""),"fatty acid 16:3")</f>
        <v>fatty acid 16:3</v>
      </c>
      <c r="B2700" t="str">
        <f ca="1">IFERROR(__xludf.DUMMYFUNCTION("""COMPUTED_VALUE"""),"RF-00000128-NTR")</f>
        <v>RF-00000128-NTR</v>
      </c>
    </row>
    <row r="2701" spans="1:2" ht="12.5" x14ac:dyDescent="0.25">
      <c r="A2701" t="str">
        <f ca="1">IFERROR(__xludf.DUMMYFUNCTION("""COMPUTED_VALUE"""),"fatty acid 16:4")</f>
        <v>fatty acid 16:4</v>
      </c>
      <c r="B2701" t="str">
        <f ca="1">IFERROR(__xludf.DUMMYFUNCTION("""COMPUTED_VALUE"""),"RF-00000129-NTR")</f>
        <v>RF-00000129-NTR</v>
      </c>
    </row>
    <row r="2702" spans="1:2" ht="12.5" x14ac:dyDescent="0.25">
      <c r="A2702" t="str">
        <f ca="1">IFERROR(__xludf.DUMMYFUNCTION("""COMPUTED_VALUE"""),"fatty acid 16:unidentified")</f>
        <v>fatty acid 16:unidentified</v>
      </c>
      <c r="B2702" t="str">
        <f ca="1">IFERROR(__xludf.DUMMYFUNCTION("""COMPUTED_VALUE"""),"RF-00000130-NTR")</f>
        <v>RF-00000130-NTR</v>
      </c>
    </row>
    <row r="2703" spans="1:2" ht="12.5" x14ac:dyDescent="0.25">
      <c r="A2703" t="str">
        <f ca="1">IFERROR(__xludf.DUMMYFUNCTION("""COMPUTED_VALUE"""),"fatty acid 17:0 (margaric acid)")</f>
        <v>fatty acid 17:0 (margaric acid)</v>
      </c>
      <c r="B2703" t="str">
        <f ca="1">IFERROR(__xludf.DUMMYFUNCTION("""COMPUTED_VALUE"""),"RF-00000131-NTR")</f>
        <v>RF-00000131-NTR</v>
      </c>
    </row>
    <row r="2704" spans="1:2" ht="12.5" x14ac:dyDescent="0.25">
      <c r="A2704" t="str">
        <f ca="1">IFERROR(__xludf.DUMMYFUNCTION("""COMPUTED_VALUE"""),"fatty acid 17:0 anteiso")</f>
        <v>fatty acid 17:0 anteiso</v>
      </c>
      <c r="B2704" t="str">
        <f ca="1">IFERROR(__xludf.DUMMYFUNCTION("""COMPUTED_VALUE"""),"RF-00000132-NTR")</f>
        <v>RF-00000132-NTR</v>
      </c>
    </row>
    <row r="2705" spans="1:2" ht="12.5" x14ac:dyDescent="0.25">
      <c r="A2705" t="str">
        <f ca="1">IFERROR(__xludf.DUMMYFUNCTION("""COMPUTED_VALUE"""),"fatty acid 17:0 iso")</f>
        <v>fatty acid 17:0 iso</v>
      </c>
      <c r="B2705" t="str">
        <f ca="1">IFERROR(__xludf.DUMMYFUNCTION("""COMPUTED_VALUE"""),"RF-00000133-NTR")</f>
        <v>RF-00000133-NTR</v>
      </c>
    </row>
    <row r="2706" spans="1:2" ht="12.5" x14ac:dyDescent="0.25">
      <c r="A2706" t="str">
        <f ca="1">IFERROR(__xludf.DUMMYFUNCTION("""COMPUTED_VALUE"""),"fatty acid 17:1 (heptadecenoic acid)")</f>
        <v>fatty acid 17:1 (heptadecenoic acid)</v>
      </c>
      <c r="B2706" t="str">
        <f ca="1">IFERROR(__xludf.DUMMYFUNCTION("""COMPUTED_VALUE"""),"RF-00000134-NTR")</f>
        <v>RF-00000134-NTR</v>
      </c>
    </row>
    <row r="2707" spans="1:2" ht="12.5" x14ac:dyDescent="0.25">
      <c r="A2707" t="str">
        <f ca="1">IFERROR(__xludf.DUMMYFUNCTION("""COMPUTED_VALUE"""),"fatty acid 17:1 n-8 cis")</f>
        <v>fatty acid 17:1 n-8 cis</v>
      </c>
      <c r="B2707" t="str">
        <f ca="1">IFERROR(__xludf.DUMMYFUNCTION("""COMPUTED_VALUE"""),"RF-00000135-NTR")</f>
        <v>RF-00000135-NTR</v>
      </c>
    </row>
    <row r="2708" spans="1:2" ht="12.5" x14ac:dyDescent="0.25">
      <c r="A2708" t="str">
        <f ca="1">IFERROR(__xludf.DUMMYFUNCTION("""COMPUTED_VALUE"""),"fatty acid 18:0 (stearic acid)")</f>
        <v>fatty acid 18:0 (stearic acid)</v>
      </c>
      <c r="B2708" t="str">
        <f ca="1">IFERROR(__xludf.DUMMYFUNCTION("""COMPUTED_VALUE"""),"RF-00000136-NTR")</f>
        <v>RF-00000136-NTR</v>
      </c>
    </row>
    <row r="2709" spans="1:2" ht="12.5" x14ac:dyDescent="0.25">
      <c r="A2709" t="str">
        <f ca="1">IFERROR(__xludf.DUMMYFUNCTION("""COMPUTED_VALUE"""),"fatty acid 18:0 anteiso")</f>
        <v>fatty acid 18:0 anteiso</v>
      </c>
      <c r="B2709" t="str">
        <f ca="1">IFERROR(__xludf.DUMMYFUNCTION("""COMPUTED_VALUE"""),"RF-00000137-NTR")</f>
        <v>RF-00000137-NTR</v>
      </c>
    </row>
    <row r="2710" spans="1:2" ht="12.5" x14ac:dyDescent="0.25">
      <c r="A2710" t="str">
        <f ca="1">IFERROR(__xludf.DUMMYFUNCTION("""COMPUTED_VALUE"""),"fatty acid 18:0 dihydroxyoctadecanoic acid")</f>
        <v>fatty acid 18:0 dihydroxyoctadecanoic acid</v>
      </c>
      <c r="B2710" t="str">
        <f ca="1">IFERROR(__xludf.DUMMYFUNCTION("""COMPUTED_VALUE"""),"RF-00000138-NTR")</f>
        <v>RF-00000138-NTR</v>
      </c>
    </row>
    <row r="2711" spans="1:2" ht="12.5" x14ac:dyDescent="0.25">
      <c r="A2711" t="str">
        <f ca="1">IFERROR(__xludf.DUMMYFUNCTION("""COMPUTED_VALUE"""),"fatty acid 18:0 iso")</f>
        <v>fatty acid 18:0 iso</v>
      </c>
      <c r="B2711" t="str">
        <f ca="1">IFERROR(__xludf.DUMMYFUNCTION("""COMPUTED_VALUE"""),"RF-00000139-NTR")</f>
        <v>RF-00000139-NTR</v>
      </c>
    </row>
    <row r="2712" spans="1:2" ht="12.5" x14ac:dyDescent="0.25">
      <c r="A2712" t="str">
        <f ca="1">IFERROR(__xludf.DUMMYFUNCTION("""COMPUTED_VALUE"""),"fatty acid 18:1 (octadecenoic acid)")</f>
        <v>fatty acid 18:1 (octadecenoic acid)</v>
      </c>
      <c r="B2712" t="str">
        <f ca="1">IFERROR(__xludf.DUMMYFUNCTION("""COMPUTED_VALUE"""),"RF-00000140-NTR")</f>
        <v>RF-00000140-NTR</v>
      </c>
    </row>
    <row r="2713" spans="1:2" ht="12.5" x14ac:dyDescent="0.25">
      <c r="A2713" t="str">
        <f ca="1">IFERROR(__xludf.DUMMYFUNCTION("""COMPUTED_VALUE"""),"fatty acid 18:1 cis")</f>
        <v>fatty acid 18:1 cis</v>
      </c>
      <c r="B2713" t="str">
        <f ca="1">IFERROR(__xludf.DUMMYFUNCTION("""COMPUTED_VALUE"""),"RF-00000141-NTR")</f>
        <v>RF-00000141-NTR</v>
      </c>
    </row>
    <row r="2714" spans="1:2" ht="12.5" x14ac:dyDescent="0.25">
      <c r="A2714" t="str">
        <f ca="1">IFERROR(__xludf.DUMMYFUNCTION("""COMPUTED_VALUE"""),"fatty acid 18:1 iso")</f>
        <v>fatty acid 18:1 iso</v>
      </c>
      <c r="B2714" t="str">
        <f ca="1">IFERROR(__xludf.DUMMYFUNCTION("""COMPUTED_VALUE"""),"RF-00000142-NTR")</f>
        <v>RF-00000142-NTR</v>
      </c>
    </row>
    <row r="2715" spans="1:2" ht="12.5" x14ac:dyDescent="0.25">
      <c r="A2715" t="str">
        <f ca="1">IFERROR(__xludf.DUMMYFUNCTION("""COMPUTED_VALUE"""),"fatty acid 18:1 n-10 cis")</f>
        <v>fatty acid 18:1 n-10 cis</v>
      </c>
      <c r="B2715" t="str">
        <f ca="1">IFERROR(__xludf.DUMMYFUNCTION("""COMPUTED_VALUE"""),"RF-00000143-NTR")</f>
        <v>RF-00000143-NTR</v>
      </c>
    </row>
    <row r="2716" spans="1:2" ht="12.5" x14ac:dyDescent="0.25">
      <c r="A2716" t="str">
        <f ca="1">IFERROR(__xludf.DUMMYFUNCTION("""COMPUTED_VALUE"""),"fatty acid 18:1 n-10 trans")</f>
        <v>fatty acid 18:1 n-10 trans</v>
      </c>
      <c r="B2716" t="str">
        <f ca="1">IFERROR(__xludf.DUMMYFUNCTION("""COMPUTED_VALUE"""),"RF-00000144-NTR")</f>
        <v>RF-00000144-NTR</v>
      </c>
    </row>
    <row r="2717" spans="1:2" ht="12.5" x14ac:dyDescent="0.25">
      <c r="A2717" t="str">
        <f ca="1">IFERROR(__xludf.DUMMYFUNCTION("""COMPUTED_VALUE"""),"fatty acid 18:1 n-11 cis")</f>
        <v>fatty acid 18:1 n-11 cis</v>
      </c>
      <c r="B2717" t="str">
        <f ca="1">IFERROR(__xludf.DUMMYFUNCTION("""COMPUTED_VALUE"""),"RF-00000145-NTR")</f>
        <v>RF-00000145-NTR</v>
      </c>
    </row>
    <row r="2718" spans="1:2" ht="12.5" x14ac:dyDescent="0.25">
      <c r="A2718" t="str">
        <f ca="1">IFERROR(__xludf.DUMMYFUNCTION("""COMPUTED_VALUE"""),"fatty acid 18:1 n-11 trans")</f>
        <v>fatty acid 18:1 n-11 trans</v>
      </c>
      <c r="B2718" t="str">
        <f ca="1">IFERROR(__xludf.DUMMYFUNCTION("""COMPUTED_VALUE"""),"RF-00000146-NTR")</f>
        <v>RF-00000146-NTR</v>
      </c>
    </row>
    <row r="2719" spans="1:2" ht="12.5" x14ac:dyDescent="0.25">
      <c r="A2719" t="str">
        <f ca="1">IFERROR(__xludf.DUMMYFUNCTION("""COMPUTED_VALUE"""),"fatty acid 18:1 n-12 cis")</f>
        <v>fatty acid 18:1 n-12 cis</v>
      </c>
      <c r="B2719" t="str">
        <f ca="1">IFERROR(__xludf.DUMMYFUNCTION("""COMPUTED_VALUE"""),"RF-00000147-NTR")</f>
        <v>RF-00000147-NTR</v>
      </c>
    </row>
    <row r="2720" spans="1:2" ht="12.5" x14ac:dyDescent="0.25">
      <c r="A2720" t="str">
        <f ca="1">IFERROR(__xludf.DUMMYFUNCTION("""COMPUTED_VALUE"""),"fatty acid 18:1 n-12 trans")</f>
        <v>fatty acid 18:1 n-12 trans</v>
      </c>
      <c r="B2720" t="str">
        <f ca="1">IFERROR(__xludf.DUMMYFUNCTION("""COMPUTED_VALUE"""),"RF-00000148-NTR")</f>
        <v>RF-00000148-NTR</v>
      </c>
    </row>
    <row r="2721" spans="1:2" ht="12.5" x14ac:dyDescent="0.25">
      <c r="A2721" t="str">
        <f ca="1">IFERROR(__xludf.DUMMYFUNCTION("""COMPUTED_VALUE"""),"fatty acid 18:1 n-13 cis")</f>
        <v>fatty acid 18:1 n-13 cis</v>
      </c>
      <c r="B2721" t="str">
        <f ca="1">IFERROR(__xludf.DUMMYFUNCTION("""COMPUTED_VALUE"""),"RF-00000149-NTR")</f>
        <v>RF-00000149-NTR</v>
      </c>
    </row>
    <row r="2722" spans="1:2" ht="12.5" x14ac:dyDescent="0.25">
      <c r="A2722" t="str">
        <f ca="1">IFERROR(__xludf.DUMMYFUNCTION("""COMPUTED_VALUE"""),"fatty acid 18:1 n-2 trans")</f>
        <v>fatty acid 18:1 n-2 trans</v>
      </c>
      <c r="B2722" t="str">
        <f ca="1">IFERROR(__xludf.DUMMYFUNCTION("""COMPUTED_VALUE"""),"RF-00000150-NTR")</f>
        <v>RF-00000150-NTR</v>
      </c>
    </row>
    <row r="2723" spans="1:2" ht="12.5" x14ac:dyDescent="0.25">
      <c r="A2723" t="str">
        <f ca="1">IFERROR(__xludf.DUMMYFUNCTION("""COMPUTED_VALUE"""),"fatty acid 18:1 n-3 cis")</f>
        <v>fatty acid 18:1 n-3 cis</v>
      </c>
      <c r="B2723" t="str">
        <f ca="1">IFERROR(__xludf.DUMMYFUNCTION("""COMPUTED_VALUE"""),"RF-00000151-NTR")</f>
        <v>RF-00000151-NTR</v>
      </c>
    </row>
    <row r="2724" spans="1:2" ht="12.5" x14ac:dyDescent="0.25">
      <c r="A2724" t="str">
        <f ca="1">IFERROR(__xludf.DUMMYFUNCTION("""COMPUTED_VALUE"""),"fatty acid 18:1 n-3 trans")</f>
        <v>fatty acid 18:1 n-3 trans</v>
      </c>
      <c r="B2724" t="str">
        <f ca="1">IFERROR(__xludf.DUMMYFUNCTION("""COMPUTED_VALUE"""),"RF-00000152-NTR")</f>
        <v>RF-00000152-NTR</v>
      </c>
    </row>
    <row r="2725" spans="1:2" ht="12.5" x14ac:dyDescent="0.25">
      <c r="A2725" t="str">
        <f ca="1">IFERROR(__xludf.DUMMYFUNCTION("""COMPUTED_VALUE"""),"fatty acid 18:1 n-4 cis")</f>
        <v>fatty acid 18:1 n-4 cis</v>
      </c>
      <c r="B2725" t="str">
        <f ca="1">IFERROR(__xludf.DUMMYFUNCTION("""COMPUTED_VALUE"""),"RF-00000153-NTR")</f>
        <v>RF-00000153-NTR</v>
      </c>
    </row>
    <row r="2726" spans="1:2" ht="12.5" x14ac:dyDescent="0.25">
      <c r="A2726" t="str">
        <f ca="1">IFERROR(__xludf.DUMMYFUNCTION("""COMPUTED_VALUE"""),"fatty acid 18:1 n-4 trans")</f>
        <v>fatty acid 18:1 n-4 trans</v>
      </c>
      <c r="B2726" t="str">
        <f ca="1">IFERROR(__xludf.DUMMYFUNCTION("""COMPUTED_VALUE"""),"RF-00000154-NTR")</f>
        <v>RF-00000154-NTR</v>
      </c>
    </row>
    <row r="2727" spans="1:2" ht="12.5" x14ac:dyDescent="0.25">
      <c r="A2727" t="str">
        <f ca="1">IFERROR(__xludf.DUMMYFUNCTION("""COMPUTED_VALUE"""),"fatty acid 18:1 n-5 cis")</f>
        <v>fatty acid 18:1 n-5 cis</v>
      </c>
      <c r="B2727" t="str">
        <f ca="1">IFERROR(__xludf.DUMMYFUNCTION("""COMPUTED_VALUE"""),"RF-00000155-NTR")</f>
        <v>RF-00000155-NTR</v>
      </c>
    </row>
    <row r="2728" spans="1:2" ht="12.5" x14ac:dyDescent="0.25">
      <c r="A2728" t="str">
        <f ca="1">IFERROR(__xludf.DUMMYFUNCTION("""COMPUTED_VALUE"""),"fatty acid 18:1 n-5 trans")</f>
        <v>fatty acid 18:1 n-5 trans</v>
      </c>
      <c r="B2728" t="str">
        <f ca="1">IFERROR(__xludf.DUMMYFUNCTION("""COMPUTED_VALUE"""),"RF-00000156-NTR")</f>
        <v>RF-00000156-NTR</v>
      </c>
    </row>
    <row r="2729" spans="1:2" ht="12.5" x14ac:dyDescent="0.25">
      <c r="A2729" t="str">
        <f ca="1">IFERROR(__xludf.DUMMYFUNCTION("""COMPUTED_VALUE"""),"fatty acid 18:1 n-6 cis")</f>
        <v>fatty acid 18:1 n-6 cis</v>
      </c>
      <c r="B2729" t="str">
        <f ca="1">IFERROR(__xludf.DUMMYFUNCTION("""COMPUTED_VALUE"""),"RF-00000157-NTR")</f>
        <v>RF-00000157-NTR</v>
      </c>
    </row>
    <row r="2730" spans="1:2" ht="12.5" x14ac:dyDescent="0.25">
      <c r="A2730" t="str">
        <f ca="1">IFERROR(__xludf.DUMMYFUNCTION("""COMPUTED_VALUE"""),"fatty acid 18:1 n-6 trans")</f>
        <v>fatty acid 18:1 n-6 trans</v>
      </c>
      <c r="B2730" t="str">
        <f ca="1">IFERROR(__xludf.DUMMYFUNCTION("""COMPUTED_VALUE"""),"RF-00000158-NTR")</f>
        <v>RF-00000158-NTR</v>
      </c>
    </row>
    <row r="2731" spans="1:2" ht="12.5" x14ac:dyDescent="0.25">
      <c r="A2731" t="str">
        <f ca="1">IFERROR(__xludf.DUMMYFUNCTION("""COMPUTED_VALUE"""),"fatty acid 18:1 n-7 cis")</f>
        <v>fatty acid 18:1 n-7 cis</v>
      </c>
      <c r="B2731" t="str">
        <f ca="1">IFERROR(__xludf.DUMMYFUNCTION("""COMPUTED_VALUE"""),"RF-00000159-NTR")</f>
        <v>RF-00000159-NTR</v>
      </c>
    </row>
    <row r="2732" spans="1:2" ht="12.5" x14ac:dyDescent="0.25">
      <c r="A2732" t="str">
        <f ca="1">IFERROR(__xludf.DUMMYFUNCTION("""COMPUTED_VALUE"""),"fatty acid 18:1 n-7 trans")</f>
        <v>fatty acid 18:1 n-7 trans</v>
      </c>
      <c r="B2732" t="str">
        <f ca="1">IFERROR(__xludf.DUMMYFUNCTION("""COMPUTED_VALUE"""),"RF-00000160-NTR")</f>
        <v>RF-00000160-NTR</v>
      </c>
    </row>
    <row r="2733" spans="1:2" ht="12.5" x14ac:dyDescent="0.25">
      <c r="A2733" t="str">
        <f ca="1">IFERROR(__xludf.DUMMYFUNCTION("""COMPUTED_VALUE"""),"fatty acid 18:1 n-8 cis")</f>
        <v>fatty acid 18:1 n-8 cis</v>
      </c>
      <c r="B2733" t="str">
        <f ca="1">IFERROR(__xludf.DUMMYFUNCTION("""COMPUTED_VALUE"""),"RF-00000161-NTR")</f>
        <v>RF-00000161-NTR</v>
      </c>
    </row>
    <row r="2734" spans="1:2" ht="12.5" x14ac:dyDescent="0.25">
      <c r="A2734" t="str">
        <f ca="1">IFERROR(__xludf.DUMMYFUNCTION("""COMPUTED_VALUE"""),"fatty acid 18:1 n-8 trans")</f>
        <v>fatty acid 18:1 n-8 trans</v>
      </c>
      <c r="B2734" t="str">
        <f ca="1">IFERROR(__xludf.DUMMYFUNCTION("""COMPUTED_VALUE"""),"RF-00000162-NTR")</f>
        <v>RF-00000162-NTR</v>
      </c>
    </row>
    <row r="2735" spans="1:2" ht="12.5" x14ac:dyDescent="0.25">
      <c r="A2735" t="str">
        <f ca="1">IFERROR(__xludf.DUMMYFUNCTION("""COMPUTED_VALUE"""),"fatty acid 18:1 n-9 cis (oleic acid)")</f>
        <v>fatty acid 18:1 n-9 cis (oleic acid)</v>
      </c>
      <c r="B2735" t="str">
        <f ca="1">IFERROR(__xludf.DUMMYFUNCTION("""COMPUTED_VALUE"""),"RF-00000163-NTR")</f>
        <v>RF-00000163-NTR</v>
      </c>
    </row>
    <row r="2736" spans="1:2" ht="12.5" x14ac:dyDescent="0.25">
      <c r="A2736" t="str">
        <f ca="1">IFERROR(__xludf.DUMMYFUNCTION("""COMPUTED_VALUE"""),"fatty acid 18:1 OH n-7 (ricinoleic acid)")</f>
        <v>fatty acid 18:1 OH n-7 (ricinoleic acid)</v>
      </c>
      <c r="B2736" t="str">
        <f ca="1">IFERROR(__xludf.DUMMYFUNCTION("""COMPUTED_VALUE"""),"RF-00000164-NTR")</f>
        <v>RF-00000164-NTR</v>
      </c>
    </row>
    <row r="2737" spans="1:2" ht="12.5" x14ac:dyDescent="0.25">
      <c r="A2737" t="str">
        <f ca="1">IFERROR(__xludf.DUMMYFUNCTION("""COMPUTED_VALUE"""),"fatty acid 18:1 remainder")</f>
        <v>fatty acid 18:1 remainder</v>
      </c>
      <c r="B2737" t="str">
        <f ca="1">IFERROR(__xludf.DUMMYFUNCTION("""COMPUTED_VALUE"""),"RF-00000165-NTR")</f>
        <v>RF-00000165-NTR</v>
      </c>
    </row>
    <row r="2738" spans="1:2" ht="12.5" x14ac:dyDescent="0.25">
      <c r="A2738" t="str">
        <f ca="1">IFERROR(__xludf.DUMMYFUNCTION("""COMPUTED_VALUE"""),"fatty acid 18:1 total trans")</f>
        <v>fatty acid 18:1 total trans</v>
      </c>
      <c r="B2738" t="str">
        <f ca="1">IFERROR(__xludf.DUMMYFUNCTION("""COMPUTED_VALUE"""),"RF-00000166-NTR")</f>
        <v>RF-00000166-NTR</v>
      </c>
    </row>
    <row r="2739" spans="1:2" ht="12.5" x14ac:dyDescent="0.25">
      <c r="A2739" t="str">
        <f ca="1">IFERROR(__xludf.DUMMYFUNCTION("""COMPUTED_VALUE"""),"fatty acid 18:1 trans n-9 (elaidic acid)")</f>
        <v>fatty acid 18:1 trans n-9 (elaidic acid)</v>
      </c>
      <c r="B2739" t="str">
        <f ca="1">IFERROR(__xludf.DUMMYFUNCTION("""COMPUTED_VALUE"""),"RF-00000167-NTR")</f>
        <v>RF-00000167-NTR</v>
      </c>
    </row>
    <row r="2740" spans="1:2" ht="12.5" x14ac:dyDescent="0.25">
      <c r="A2740" t="str">
        <f ca="1">IFERROR(__xludf.DUMMYFUNCTION("""COMPUTED_VALUE"""),"fatty acid 18:2")</f>
        <v>fatty acid 18:2</v>
      </c>
      <c r="B2740" t="str">
        <f ca="1">IFERROR(__xludf.DUMMYFUNCTION("""COMPUTED_VALUE"""),"RF-00000168-NTR")</f>
        <v>RF-00000168-NTR</v>
      </c>
    </row>
    <row r="2741" spans="1:2" ht="12.5" x14ac:dyDescent="0.25">
      <c r="A2741" t="str">
        <f ca="1">IFERROR(__xludf.DUMMYFUNCTION("""COMPUTED_VALUE"""),"fatty acid 18:2 cis + trans")</f>
        <v>fatty acid 18:2 cis + trans</v>
      </c>
      <c r="B2741" t="str">
        <f ca="1">IFERROR(__xludf.DUMMYFUNCTION("""COMPUTED_VALUE"""),"RF-00000169-NTR")</f>
        <v>RF-00000169-NTR</v>
      </c>
    </row>
    <row r="2742" spans="1:2" ht="12.5" x14ac:dyDescent="0.25">
      <c r="A2742" t="str">
        <f ca="1">IFERROR(__xludf.DUMMYFUNCTION("""COMPUTED_VALUE"""),"fatty acid 18:2 cis,cis n-6")</f>
        <v>fatty acid 18:2 cis,cis n-6</v>
      </c>
      <c r="B2742" t="str">
        <f ca="1">IFERROR(__xludf.DUMMYFUNCTION("""COMPUTED_VALUE"""),"RF-00000170-NTR")</f>
        <v>RF-00000170-NTR</v>
      </c>
    </row>
    <row r="2743" spans="1:2" ht="12.5" x14ac:dyDescent="0.25">
      <c r="A2743" t="str">
        <f ca="1">IFERROR(__xludf.DUMMYFUNCTION("""COMPUTED_VALUE"""),"fatty acid 18:2 conjugated")</f>
        <v>fatty acid 18:2 conjugated</v>
      </c>
      <c r="B2743" t="str">
        <f ca="1">IFERROR(__xludf.DUMMYFUNCTION("""COMPUTED_VALUE"""),"RF-00000171-NTR")</f>
        <v>RF-00000171-NTR</v>
      </c>
    </row>
    <row r="2744" spans="1:2" ht="12.5" x14ac:dyDescent="0.25">
      <c r="A2744" t="str">
        <f ca="1">IFERROR(__xludf.DUMMYFUNCTION("""COMPUTED_VALUE"""),"fatty acid 18:2 iso")</f>
        <v>fatty acid 18:2 iso</v>
      </c>
      <c r="B2744" t="str">
        <f ca="1">IFERROR(__xludf.DUMMYFUNCTION("""COMPUTED_VALUE"""),"RF-00000172-NTR")</f>
        <v>RF-00000172-NTR</v>
      </c>
    </row>
    <row r="2745" spans="1:2" ht="12.5" x14ac:dyDescent="0.25">
      <c r="A2745" t="str">
        <f ca="1">IFERROR(__xludf.DUMMYFUNCTION("""COMPUTED_VALUE"""),"fatty acid 18:2 n-6 trans,trans")</f>
        <v>fatty acid 18:2 n-6 trans,trans</v>
      </c>
      <c r="B2745" t="str">
        <f ca="1">IFERROR(__xludf.DUMMYFUNCTION("""COMPUTED_VALUE"""),"RF-00000173-NTR")</f>
        <v>RF-00000173-NTR</v>
      </c>
    </row>
    <row r="2746" spans="1:2" ht="12.5" x14ac:dyDescent="0.25">
      <c r="A2746" t="str">
        <f ca="1">IFERROR(__xludf.DUMMYFUNCTION("""COMPUTED_VALUE"""),"fatty acid 18:2 n-9 cis")</f>
        <v>fatty acid 18:2 n-9 cis</v>
      </c>
      <c r="B2746" t="str">
        <f ca="1">IFERROR(__xludf.DUMMYFUNCTION("""COMPUTED_VALUE"""),"RF-00000174-NTR")</f>
        <v>RF-00000174-NTR</v>
      </c>
    </row>
    <row r="2747" spans="1:2" ht="12.5" x14ac:dyDescent="0.25">
      <c r="A2747" t="str">
        <f ca="1">IFERROR(__xludf.DUMMYFUNCTION("""COMPUTED_VALUE"""),"fatty acid 18:2 remainder")</f>
        <v>fatty acid 18:2 remainder</v>
      </c>
      <c r="B2747" t="str">
        <f ca="1">IFERROR(__xludf.DUMMYFUNCTION("""COMPUTED_VALUE"""),"RF-00000175-NTR")</f>
        <v>RF-00000175-NTR</v>
      </c>
    </row>
    <row r="2748" spans="1:2" ht="12.5" x14ac:dyDescent="0.25">
      <c r="A2748" t="str">
        <f ca="1">IFERROR(__xludf.DUMMYFUNCTION("""COMPUTED_VALUE"""),"fatty acid 18:2 trans")</f>
        <v>fatty acid 18:2 trans</v>
      </c>
      <c r="B2748" t="str">
        <f ca="1">IFERROR(__xludf.DUMMYFUNCTION("""COMPUTED_VALUE"""),"RF-00000176-NTR")</f>
        <v>RF-00000176-NTR</v>
      </c>
    </row>
    <row r="2749" spans="1:2" ht="12.5" x14ac:dyDescent="0.25">
      <c r="A2749" t="str">
        <f ca="1">IFERROR(__xludf.DUMMYFUNCTION("""COMPUTED_VALUE"""),"fatty acid 18:2 trans + cis")</f>
        <v>fatty acid 18:2 trans + cis</v>
      </c>
      <c r="B2749" t="str">
        <f ca="1">IFERROR(__xludf.DUMMYFUNCTION("""COMPUTED_VALUE"""),"RF-00000177-NTR")</f>
        <v>RF-00000177-NTR</v>
      </c>
    </row>
    <row r="2750" spans="1:2" ht="12.5" x14ac:dyDescent="0.25">
      <c r="A2750" t="str">
        <f ca="1">IFERROR(__xludf.DUMMYFUNCTION("""COMPUTED_VALUE"""),"fatty acid 18:3")</f>
        <v>fatty acid 18:3</v>
      </c>
      <c r="B2750" t="str">
        <f ca="1">IFERROR(__xludf.DUMMYFUNCTION("""COMPUTED_VALUE"""),"RF-00000178-NTR")</f>
        <v>RF-00000178-NTR</v>
      </c>
    </row>
    <row r="2751" spans="1:2" ht="12.5" x14ac:dyDescent="0.25">
      <c r="A2751" t="str">
        <f ca="1">IFERROR(__xludf.DUMMYFUNCTION("""COMPUTED_VALUE"""),"fatty acid 18:3 cis,cis,cis n-3")</f>
        <v>fatty acid 18:3 cis,cis,cis n-3</v>
      </c>
      <c r="B2751" t="str">
        <f ca="1">IFERROR(__xludf.DUMMYFUNCTION("""COMPUTED_VALUE"""),"RF-00000179-NTR")</f>
        <v>RF-00000179-NTR</v>
      </c>
    </row>
    <row r="2752" spans="1:2" ht="12.5" x14ac:dyDescent="0.25">
      <c r="A2752" t="str">
        <f ca="1">IFERROR(__xludf.DUMMYFUNCTION("""COMPUTED_VALUE"""),"fatty acid 18:3 n-3 cis")</f>
        <v>fatty acid 18:3 n-3 cis</v>
      </c>
      <c r="B2752" t="str">
        <f ca="1">IFERROR(__xludf.DUMMYFUNCTION("""COMPUTED_VALUE"""),"RF-00000180-NTR")</f>
        <v>RF-00000180-NTR</v>
      </c>
    </row>
    <row r="2753" spans="1:2" ht="12.5" x14ac:dyDescent="0.25">
      <c r="A2753" t="str">
        <f ca="1">IFERROR(__xludf.DUMMYFUNCTION("""COMPUTED_VALUE"""),"fatty acid 18:3 n-3 trans,trans,trans")</f>
        <v>fatty acid 18:3 n-3 trans,trans,trans</v>
      </c>
      <c r="B2753" t="str">
        <f ca="1">IFERROR(__xludf.DUMMYFUNCTION("""COMPUTED_VALUE"""),"RF-00000181-NTR")</f>
        <v>RF-00000181-NTR</v>
      </c>
    </row>
    <row r="2754" spans="1:2" ht="12.5" x14ac:dyDescent="0.25">
      <c r="A2754" t="str">
        <f ca="1">IFERROR(__xludf.DUMMYFUNCTION("""COMPUTED_VALUE"""),"fatty acid 18:3 n-6 (gamma-linolenic acid)")</f>
        <v>fatty acid 18:3 n-6 (gamma-linolenic acid)</v>
      </c>
      <c r="B2754" t="str">
        <f ca="1">IFERROR(__xludf.DUMMYFUNCTION("""COMPUTED_VALUE"""),"RF-00000182-NTR")</f>
        <v>RF-00000182-NTR</v>
      </c>
    </row>
    <row r="2755" spans="1:2" ht="12.5" x14ac:dyDescent="0.25">
      <c r="A2755" t="str">
        <f ca="1">IFERROR(__xludf.DUMMYFUNCTION("""COMPUTED_VALUE"""),"fatty acid 18:3 n-6 cis")</f>
        <v>fatty acid 18:3 n-6 cis</v>
      </c>
      <c r="B2755" t="str">
        <f ca="1">IFERROR(__xludf.DUMMYFUNCTION("""COMPUTED_VALUE"""),"RF-00000183-NTR")</f>
        <v>RF-00000183-NTR</v>
      </c>
    </row>
    <row r="2756" spans="1:2" ht="12.5" x14ac:dyDescent="0.25">
      <c r="A2756" t="str">
        <f ca="1">IFERROR(__xludf.DUMMYFUNCTION("""COMPUTED_VALUE"""),"fatty acid 18:4 (stearidonic acid)")</f>
        <v>fatty acid 18:4 (stearidonic acid)</v>
      </c>
      <c r="B2756" t="str">
        <f ca="1">IFERROR(__xludf.DUMMYFUNCTION("""COMPUTED_VALUE"""),"RF-00000184-NTR")</f>
        <v>RF-00000184-NTR</v>
      </c>
    </row>
    <row r="2757" spans="1:2" ht="12.5" x14ac:dyDescent="0.25">
      <c r="A2757" t="str">
        <f ca="1">IFERROR(__xludf.DUMMYFUNCTION("""COMPUTED_VALUE"""),"fatty acid 18:4 n-3 (parinaric acid)")</f>
        <v>fatty acid 18:4 n-3 (parinaric acid)</v>
      </c>
      <c r="B2757" t="str">
        <f ca="1">IFERROR(__xludf.DUMMYFUNCTION("""COMPUTED_VALUE"""),"RF-00000185-NTR")</f>
        <v>RF-00000185-NTR</v>
      </c>
    </row>
    <row r="2758" spans="1:2" ht="12.5" x14ac:dyDescent="0.25">
      <c r="A2758" t="str">
        <f ca="1">IFERROR(__xludf.DUMMYFUNCTION("""COMPUTED_VALUE"""),"fatty acid 18:4 n-3 cis")</f>
        <v>fatty acid 18:4 n-3 cis</v>
      </c>
      <c r="B2758" t="str">
        <f ca="1">IFERROR(__xludf.DUMMYFUNCTION("""COMPUTED_VALUE"""),"RF-00000186-NTR")</f>
        <v>RF-00000186-NTR</v>
      </c>
    </row>
    <row r="2759" spans="1:2" ht="12.5" x14ac:dyDescent="0.25">
      <c r="A2759" t="str">
        <f ca="1">IFERROR(__xludf.DUMMYFUNCTION("""COMPUTED_VALUE"""),"fatty acid 19:0")</f>
        <v>fatty acid 19:0</v>
      </c>
      <c r="B2759" t="str">
        <f ca="1">IFERROR(__xludf.DUMMYFUNCTION("""COMPUTED_VALUE"""),"RF-00000187-NTR")</f>
        <v>RF-00000187-NTR</v>
      </c>
    </row>
    <row r="2760" spans="1:2" ht="12.5" x14ac:dyDescent="0.25">
      <c r="A2760" t="str">
        <f ca="1">IFERROR(__xludf.DUMMYFUNCTION("""COMPUTED_VALUE"""),"fatty acid 20:0 (arachidic acid)")</f>
        <v>fatty acid 20:0 (arachidic acid)</v>
      </c>
      <c r="B2760" t="str">
        <f ca="1">IFERROR(__xludf.DUMMYFUNCTION("""COMPUTED_VALUE"""),"RF-00000188-NTR")</f>
        <v>RF-00000188-NTR</v>
      </c>
    </row>
    <row r="2761" spans="1:2" ht="12.5" x14ac:dyDescent="0.25">
      <c r="A2761" t="str">
        <f ca="1">IFERROR(__xludf.DUMMYFUNCTION("""COMPUTED_VALUE"""),"fatty acid 20:0 iso")</f>
        <v>fatty acid 20:0 iso</v>
      </c>
      <c r="B2761" t="str">
        <f ca="1">IFERROR(__xludf.DUMMYFUNCTION("""COMPUTED_VALUE"""),"RF-00000189-NTR")</f>
        <v>RF-00000189-NTR</v>
      </c>
    </row>
    <row r="2762" spans="1:2" ht="12.5" x14ac:dyDescent="0.25">
      <c r="A2762" t="str">
        <f ca="1">IFERROR(__xludf.DUMMYFUNCTION("""COMPUTED_VALUE"""),"fatty acid 20:1 (eicosenoic acid)")</f>
        <v>fatty acid 20:1 (eicosenoic acid)</v>
      </c>
      <c r="B2762" t="str">
        <f ca="1">IFERROR(__xludf.DUMMYFUNCTION("""COMPUTED_VALUE"""),"RF-00000190-NTR")</f>
        <v>RF-00000190-NTR</v>
      </c>
    </row>
    <row r="2763" spans="1:2" ht="12.5" x14ac:dyDescent="0.25">
      <c r="A2763" t="str">
        <f ca="1">IFERROR(__xludf.DUMMYFUNCTION("""COMPUTED_VALUE"""),"fatty acid 20:1 cis")</f>
        <v>fatty acid 20:1 cis</v>
      </c>
      <c r="B2763" t="str">
        <f ca="1">IFERROR(__xludf.DUMMYFUNCTION("""COMPUTED_VALUE"""),"RF-00000191-NTR")</f>
        <v>RF-00000191-NTR</v>
      </c>
    </row>
    <row r="2764" spans="1:2" ht="12.5" x14ac:dyDescent="0.25">
      <c r="A2764" t="str">
        <f ca="1">IFERROR(__xludf.DUMMYFUNCTION("""COMPUTED_VALUE"""),"fatty acid 20:1 n-11 cis")</f>
        <v>fatty acid 20:1 n-11 cis</v>
      </c>
      <c r="B2764" t="str">
        <f ca="1">IFERROR(__xludf.DUMMYFUNCTION("""COMPUTED_VALUE"""),"RF-00000192-NTR")</f>
        <v>RF-00000192-NTR</v>
      </c>
    </row>
    <row r="2765" spans="1:2" ht="12.5" x14ac:dyDescent="0.25">
      <c r="A2765" t="str">
        <f ca="1">IFERROR(__xludf.DUMMYFUNCTION("""COMPUTED_VALUE"""),"fatty acid 20:1 n-11 trans")</f>
        <v>fatty acid 20:1 n-11 trans</v>
      </c>
      <c r="B2765" t="str">
        <f ca="1">IFERROR(__xludf.DUMMYFUNCTION("""COMPUTED_VALUE"""),"RF-00000193-NTR")</f>
        <v>RF-00000193-NTR</v>
      </c>
    </row>
    <row r="2766" spans="1:2" ht="12.5" x14ac:dyDescent="0.25">
      <c r="A2766" t="str">
        <f ca="1">IFERROR(__xludf.DUMMYFUNCTION("""COMPUTED_VALUE"""),"fatty acid 20:1 n-9 cis")</f>
        <v>fatty acid 20:1 n-9 cis</v>
      </c>
      <c r="B2766" t="str">
        <f ca="1">IFERROR(__xludf.DUMMYFUNCTION("""COMPUTED_VALUE"""),"RF-00000194-NTR")</f>
        <v>RF-00000194-NTR</v>
      </c>
    </row>
    <row r="2767" spans="1:2" ht="12.5" x14ac:dyDescent="0.25">
      <c r="A2767" t="str">
        <f ca="1">IFERROR(__xludf.DUMMYFUNCTION("""COMPUTED_VALUE"""),"fatty acid 20:1 n-9 trans")</f>
        <v>fatty acid 20:1 n-9 trans</v>
      </c>
      <c r="B2767" t="str">
        <f ca="1">IFERROR(__xludf.DUMMYFUNCTION("""COMPUTED_VALUE"""),"RF-00000195-NTR")</f>
        <v>RF-00000195-NTR</v>
      </c>
    </row>
    <row r="2768" spans="1:2" ht="12.5" x14ac:dyDescent="0.25">
      <c r="A2768" t="str">
        <f ca="1">IFERROR(__xludf.DUMMYFUNCTION("""COMPUTED_VALUE"""),"fatty acid 20:1 trans")</f>
        <v>fatty acid 20:1 trans</v>
      </c>
      <c r="B2768" t="str">
        <f ca="1">IFERROR(__xludf.DUMMYFUNCTION("""COMPUTED_VALUE"""),"RF-00000196-NTR")</f>
        <v>RF-00000196-NTR</v>
      </c>
    </row>
    <row r="2769" spans="1:2" ht="12.5" x14ac:dyDescent="0.25">
      <c r="A2769" t="str">
        <f ca="1">IFERROR(__xludf.DUMMYFUNCTION("""COMPUTED_VALUE"""),"fatty acid 20:2 (eicosadienoic acid)")</f>
        <v>fatty acid 20:2 (eicosadienoic acid)</v>
      </c>
      <c r="B2769" t="str">
        <f ca="1">IFERROR(__xludf.DUMMYFUNCTION("""COMPUTED_VALUE"""),"RF-00000197-NTR")</f>
        <v>RF-00000197-NTR</v>
      </c>
    </row>
    <row r="2770" spans="1:2" ht="12.5" x14ac:dyDescent="0.25">
      <c r="A2770" t="str">
        <f ca="1">IFERROR(__xludf.DUMMYFUNCTION("""COMPUTED_VALUE"""),"fatty acid 20:2 n-6")</f>
        <v>fatty acid 20:2 n-6</v>
      </c>
      <c r="B2770" t="str">
        <f ca="1">IFERROR(__xludf.DUMMYFUNCTION("""COMPUTED_VALUE"""),"RF-00000198-NTR")</f>
        <v>RF-00000198-NTR</v>
      </c>
    </row>
    <row r="2771" spans="1:2" ht="12.5" x14ac:dyDescent="0.25">
      <c r="A2771" t="str">
        <f ca="1">IFERROR(__xludf.DUMMYFUNCTION("""COMPUTED_VALUE"""),"fatty acid 20:2 n-6 cis")</f>
        <v>fatty acid 20:2 n-6 cis</v>
      </c>
      <c r="B2771" t="str">
        <f ca="1">IFERROR(__xludf.DUMMYFUNCTION("""COMPUTED_VALUE"""),"RF-00000199-NTR")</f>
        <v>RF-00000199-NTR</v>
      </c>
    </row>
    <row r="2772" spans="1:2" ht="12.5" x14ac:dyDescent="0.25">
      <c r="A2772" t="str">
        <f ca="1">IFERROR(__xludf.DUMMYFUNCTION("""COMPUTED_VALUE"""),"fatty acid 20:3 (eicosatrienoic acid)")</f>
        <v>fatty acid 20:3 (eicosatrienoic acid)</v>
      </c>
      <c r="B2772" t="str">
        <f ca="1">IFERROR(__xludf.DUMMYFUNCTION("""COMPUTED_VALUE"""),"RF-00000200-NTR")</f>
        <v>RF-00000200-NTR</v>
      </c>
    </row>
    <row r="2773" spans="1:2" ht="12.5" x14ac:dyDescent="0.25">
      <c r="A2773" t="str">
        <f ca="1">IFERROR(__xludf.DUMMYFUNCTION("""COMPUTED_VALUE"""),"fatty acid 20:3 n-3")</f>
        <v>fatty acid 20:3 n-3</v>
      </c>
      <c r="B2773" t="str">
        <f ca="1">IFERROR(__xludf.DUMMYFUNCTION("""COMPUTED_VALUE"""),"RF-00000201-NTR")</f>
        <v>RF-00000201-NTR</v>
      </c>
    </row>
    <row r="2774" spans="1:2" ht="12.5" x14ac:dyDescent="0.25">
      <c r="A2774" t="str">
        <f ca="1">IFERROR(__xludf.DUMMYFUNCTION("""COMPUTED_VALUE"""),"fatty acid 20:3 n-3 cis")</f>
        <v>fatty acid 20:3 n-3 cis</v>
      </c>
      <c r="B2774" t="str">
        <f ca="1">IFERROR(__xludf.DUMMYFUNCTION("""COMPUTED_VALUE"""),"RF-00000202-NTR")</f>
        <v>RF-00000202-NTR</v>
      </c>
    </row>
    <row r="2775" spans="1:2" ht="12.5" x14ac:dyDescent="0.25">
      <c r="A2775" t="str">
        <f ca="1">IFERROR(__xludf.DUMMYFUNCTION("""COMPUTED_VALUE"""),"fatty acid 20:3 n-6")</f>
        <v>fatty acid 20:3 n-6</v>
      </c>
      <c r="B2775" t="str">
        <f ca="1">IFERROR(__xludf.DUMMYFUNCTION("""COMPUTED_VALUE"""),"RF-00000203-NTR")</f>
        <v>RF-00000203-NTR</v>
      </c>
    </row>
    <row r="2776" spans="1:2" ht="12.5" x14ac:dyDescent="0.25">
      <c r="A2776" t="str">
        <f ca="1">IFERROR(__xludf.DUMMYFUNCTION("""COMPUTED_VALUE"""),"fatty acid 20:3 n-6 cis")</f>
        <v>fatty acid 20:3 n-6 cis</v>
      </c>
      <c r="B2776" t="str">
        <f ca="1">IFERROR(__xludf.DUMMYFUNCTION("""COMPUTED_VALUE"""),"RF-00000204-NTR")</f>
        <v>RF-00000204-NTR</v>
      </c>
    </row>
    <row r="2777" spans="1:2" ht="12.5" x14ac:dyDescent="0.25">
      <c r="A2777" t="str">
        <f ca="1">IFERROR(__xludf.DUMMYFUNCTION("""COMPUTED_VALUE"""),"fatty acid 20:3 n-9 cis")</f>
        <v>fatty acid 20:3 n-9 cis</v>
      </c>
      <c r="B2777" t="str">
        <f ca="1">IFERROR(__xludf.DUMMYFUNCTION("""COMPUTED_VALUE"""),"RF-00000205-NTR")</f>
        <v>RF-00000205-NTR</v>
      </c>
    </row>
    <row r="2778" spans="1:2" ht="12.5" x14ac:dyDescent="0.25">
      <c r="A2778" t="str">
        <f ca="1">IFERROR(__xludf.DUMMYFUNCTION("""COMPUTED_VALUE"""),"fatty acid 20:4 (eicosatetraenoic acid)")</f>
        <v>fatty acid 20:4 (eicosatetraenoic acid)</v>
      </c>
      <c r="B2778" t="str">
        <f ca="1">IFERROR(__xludf.DUMMYFUNCTION("""COMPUTED_VALUE"""),"RF-00000206-NTR")</f>
        <v>RF-00000206-NTR</v>
      </c>
    </row>
    <row r="2779" spans="1:2" ht="12.5" x14ac:dyDescent="0.25">
      <c r="A2779" t="str">
        <f ca="1">IFERROR(__xludf.DUMMYFUNCTION("""COMPUTED_VALUE"""),"fatty acid 20:4 n-3")</f>
        <v>fatty acid 20:4 n-3</v>
      </c>
      <c r="B2779" t="str">
        <f ca="1">IFERROR(__xludf.DUMMYFUNCTION("""COMPUTED_VALUE"""),"RF-00000207-NTR")</f>
        <v>RF-00000207-NTR</v>
      </c>
    </row>
    <row r="2780" spans="1:2" ht="12.5" x14ac:dyDescent="0.25">
      <c r="A2780" t="str">
        <f ca="1">IFERROR(__xludf.DUMMYFUNCTION("""COMPUTED_VALUE"""),"fatty acid 20:4 n-6 (arachidonic acid)")</f>
        <v>fatty acid 20:4 n-6 (arachidonic acid)</v>
      </c>
      <c r="B2780" t="str">
        <f ca="1">IFERROR(__xludf.DUMMYFUNCTION("""COMPUTED_VALUE"""),"RF-00000208-NTR")</f>
        <v>RF-00000208-NTR</v>
      </c>
    </row>
    <row r="2781" spans="1:2" ht="12.5" x14ac:dyDescent="0.25">
      <c r="A2781" t="str">
        <f ca="1">IFERROR(__xludf.DUMMYFUNCTION("""COMPUTED_VALUE"""),"fatty acid 20:4 n-6 cis")</f>
        <v>fatty acid 20:4 n-6 cis</v>
      </c>
      <c r="B2781" t="str">
        <f ca="1">IFERROR(__xludf.DUMMYFUNCTION("""COMPUTED_VALUE"""),"RF-00000209-NTR")</f>
        <v>RF-00000209-NTR</v>
      </c>
    </row>
    <row r="2782" spans="1:2" ht="12.5" x14ac:dyDescent="0.25">
      <c r="A2782" t="str">
        <f ca="1">IFERROR(__xludf.DUMMYFUNCTION("""COMPUTED_VALUE"""),"fatty acid 20:5 (eicopentaenoic acid)")</f>
        <v>fatty acid 20:5 (eicopentaenoic acid)</v>
      </c>
      <c r="B2782" t="str">
        <f ca="1">IFERROR(__xludf.DUMMYFUNCTION("""COMPUTED_VALUE"""),"RF-00000210-NTR")</f>
        <v>RF-00000210-NTR</v>
      </c>
    </row>
    <row r="2783" spans="1:2" ht="12.5" x14ac:dyDescent="0.25">
      <c r="A2783" t="str">
        <f ca="1">IFERROR(__xludf.DUMMYFUNCTION("""COMPUTED_VALUE"""),"fatty acid 20:5 n-3 (timnodonic acid)")</f>
        <v>fatty acid 20:5 n-3 (timnodonic acid)</v>
      </c>
      <c r="B2783" t="str">
        <f ca="1">IFERROR(__xludf.DUMMYFUNCTION("""COMPUTED_VALUE"""),"RF-00000211-NTR")</f>
        <v>RF-00000211-NTR</v>
      </c>
    </row>
    <row r="2784" spans="1:2" ht="12.5" x14ac:dyDescent="0.25">
      <c r="A2784" t="str">
        <f ca="1">IFERROR(__xludf.DUMMYFUNCTION("""COMPUTED_VALUE"""),"fatty acid 20:5 n-3 cis")</f>
        <v>fatty acid 20:5 n-3 cis</v>
      </c>
      <c r="B2784" t="str">
        <f ca="1">IFERROR(__xludf.DUMMYFUNCTION("""COMPUTED_VALUE"""),"RF-00000212-NTR")</f>
        <v>RF-00000212-NTR</v>
      </c>
    </row>
    <row r="2785" spans="1:2" ht="12.5" x14ac:dyDescent="0.25">
      <c r="A2785" t="str">
        <f ca="1">IFERROR(__xludf.DUMMYFUNCTION("""COMPUTED_VALUE"""),"fatty acid 20:5 n-6")</f>
        <v>fatty acid 20:5 n-6</v>
      </c>
      <c r="B2785" t="str">
        <f ca="1">IFERROR(__xludf.DUMMYFUNCTION("""COMPUTED_VALUE"""),"RF-00000213-NTR")</f>
        <v>RF-00000213-NTR</v>
      </c>
    </row>
    <row r="2786" spans="1:2" ht="12.5" x14ac:dyDescent="0.25">
      <c r="A2786" t="str">
        <f ca="1">IFERROR(__xludf.DUMMYFUNCTION("""COMPUTED_VALUE"""),"fatty acid 21:0")</f>
        <v>fatty acid 21:0</v>
      </c>
      <c r="B2786" t="str">
        <f ca="1">IFERROR(__xludf.DUMMYFUNCTION("""COMPUTED_VALUE"""),"RF-00000214-NTR")</f>
        <v>RF-00000214-NTR</v>
      </c>
    </row>
    <row r="2787" spans="1:2" ht="12.5" x14ac:dyDescent="0.25">
      <c r="A2787" t="str">
        <f ca="1">IFERROR(__xludf.DUMMYFUNCTION("""COMPUTED_VALUE"""),"fatty acid 21:5 (heneicosapentaenoic acid)")</f>
        <v>fatty acid 21:5 (heneicosapentaenoic acid)</v>
      </c>
      <c r="B2787" t="str">
        <f ca="1">IFERROR(__xludf.DUMMYFUNCTION("""COMPUTED_VALUE"""),"RF-00000215-NTR")</f>
        <v>RF-00000215-NTR</v>
      </c>
    </row>
    <row r="2788" spans="1:2" ht="12.5" x14ac:dyDescent="0.25">
      <c r="A2788" t="str">
        <f ca="1">IFERROR(__xludf.DUMMYFUNCTION("""COMPUTED_VALUE"""),"fatty acid 21:5 n-3 (heneicosapentaenoic acid)")</f>
        <v>fatty acid 21:5 n-3 (heneicosapentaenoic acid)</v>
      </c>
      <c r="B2788" t="str">
        <f ca="1">IFERROR(__xludf.DUMMYFUNCTION("""COMPUTED_VALUE"""),"RF-00000216-NTR")</f>
        <v>RF-00000216-NTR</v>
      </c>
    </row>
    <row r="2789" spans="1:2" ht="12.5" x14ac:dyDescent="0.25">
      <c r="A2789" t="str">
        <f ca="1">IFERROR(__xludf.DUMMYFUNCTION("""COMPUTED_VALUE"""),"fatty acid 22:0 (behenic acid)")</f>
        <v>fatty acid 22:0 (behenic acid)</v>
      </c>
      <c r="B2789" t="str">
        <f ca="1">IFERROR(__xludf.DUMMYFUNCTION("""COMPUTED_VALUE"""),"RF-00000217-NTR")</f>
        <v>RF-00000217-NTR</v>
      </c>
    </row>
    <row r="2790" spans="1:2" ht="12.5" x14ac:dyDescent="0.25">
      <c r="A2790" t="str">
        <f ca="1">IFERROR(__xludf.DUMMYFUNCTION("""COMPUTED_VALUE"""),"fatty acid 22:1 (docosenoic acid)")</f>
        <v>fatty acid 22:1 (docosenoic acid)</v>
      </c>
      <c r="B2790" t="str">
        <f ca="1">IFERROR(__xludf.DUMMYFUNCTION("""COMPUTED_VALUE"""),"RF-00000218-NTR")</f>
        <v>RF-00000218-NTR</v>
      </c>
    </row>
    <row r="2791" spans="1:2" ht="12.5" x14ac:dyDescent="0.25">
      <c r="A2791" t="str">
        <f ca="1">IFERROR(__xludf.DUMMYFUNCTION("""COMPUTED_VALUE"""),"fatty acid 22:1 cis")</f>
        <v>fatty acid 22:1 cis</v>
      </c>
      <c r="B2791" t="str">
        <f ca="1">IFERROR(__xludf.DUMMYFUNCTION("""COMPUTED_VALUE"""),"RF-00000219-NTR")</f>
        <v>RF-00000219-NTR</v>
      </c>
    </row>
    <row r="2792" spans="1:2" ht="12.5" x14ac:dyDescent="0.25">
      <c r="A2792" t="str">
        <f ca="1">IFERROR(__xludf.DUMMYFUNCTION("""COMPUTED_VALUE"""),"fatty acid 22:1 n-11 cis (cetoleic acid)")</f>
        <v>fatty acid 22:1 n-11 cis (cetoleic acid)</v>
      </c>
      <c r="B2792" t="str">
        <f ca="1">IFERROR(__xludf.DUMMYFUNCTION("""COMPUTED_VALUE"""),"RF-00000220-NTR")</f>
        <v>RF-00000220-NTR</v>
      </c>
    </row>
    <row r="2793" spans="1:2" ht="12.5" x14ac:dyDescent="0.25">
      <c r="A2793" t="str">
        <f ca="1">IFERROR(__xludf.DUMMYFUNCTION("""COMPUTED_VALUE"""),"fatty acid 22:1 n-7")</f>
        <v>fatty acid 22:1 n-7</v>
      </c>
      <c r="B2793" t="str">
        <f ca="1">IFERROR(__xludf.DUMMYFUNCTION("""COMPUTED_VALUE"""),"RF-00000221-NTR")</f>
        <v>RF-00000221-NTR</v>
      </c>
    </row>
    <row r="2794" spans="1:2" ht="12.5" x14ac:dyDescent="0.25">
      <c r="A2794" t="str">
        <f ca="1">IFERROR(__xludf.DUMMYFUNCTION("""COMPUTED_VALUE"""),"fatty acid 22:2 (docosadienoic acid)")</f>
        <v>fatty acid 22:2 (docosadienoic acid)</v>
      </c>
      <c r="B2794" t="str">
        <f ca="1">IFERROR(__xludf.DUMMYFUNCTION("""COMPUTED_VALUE"""),"RF-00000222-NTR")</f>
        <v>RF-00000222-NTR</v>
      </c>
    </row>
    <row r="2795" spans="1:2" ht="12.5" x14ac:dyDescent="0.25">
      <c r="A2795" t="str">
        <f ca="1">IFERROR(__xludf.DUMMYFUNCTION("""COMPUTED_VALUE"""),"fatty acid 22:2 n-3 cis")</f>
        <v>fatty acid 22:2 n-3 cis</v>
      </c>
      <c r="B2795" t="str">
        <f ca="1">IFERROR(__xludf.DUMMYFUNCTION("""COMPUTED_VALUE"""),"RF-00000223-NTR")</f>
        <v>RF-00000223-NTR</v>
      </c>
    </row>
    <row r="2796" spans="1:2" ht="12.5" x14ac:dyDescent="0.25">
      <c r="A2796" t="str">
        <f ca="1">IFERROR(__xludf.DUMMYFUNCTION("""COMPUTED_VALUE"""),"fatty acid 22:2 n-6 cis")</f>
        <v>fatty acid 22:2 n-6 cis</v>
      </c>
      <c r="B2796" t="str">
        <f ca="1">IFERROR(__xludf.DUMMYFUNCTION("""COMPUTED_VALUE"""),"RF-00000224-NTR")</f>
        <v>RF-00000224-NTR</v>
      </c>
    </row>
    <row r="2797" spans="1:2" ht="12.5" x14ac:dyDescent="0.25">
      <c r="A2797" t="str">
        <f ca="1">IFERROR(__xludf.DUMMYFUNCTION("""COMPUTED_VALUE"""),"fatty acid 22:3 n-3 cis")</f>
        <v>fatty acid 22:3 n-3 cis</v>
      </c>
      <c r="B2797" t="str">
        <f ca="1">IFERROR(__xludf.DUMMYFUNCTION("""COMPUTED_VALUE"""),"RF-00000225-NTR")</f>
        <v>RF-00000225-NTR</v>
      </c>
    </row>
    <row r="2798" spans="1:2" ht="12.5" x14ac:dyDescent="0.25">
      <c r="A2798" t="str">
        <f ca="1">IFERROR(__xludf.DUMMYFUNCTION("""COMPUTED_VALUE"""),"fatty acid 22:4 (docosatetraenoic acid)")</f>
        <v>fatty acid 22:4 (docosatetraenoic acid)</v>
      </c>
      <c r="B2798" t="str">
        <f ca="1">IFERROR(__xludf.DUMMYFUNCTION("""COMPUTED_VALUE"""),"RF-00000226-NTR")</f>
        <v>RF-00000226-NTR</v>
      </c>
    </row>
    <row r="2799" spans="1:2" ht="12.5" x14ac:dyDescent="0.25">
      <c r="A2799" t="str">
        <f ca="1">IFERROR(__xludf.DUMMYFUNCTION("""COMPUTED_VALUE"""),"fatty acid 22:4 n-3")</f>
        <v>fatty acid 22:4 n-3</v>
      </c>
      <c r="B2799" t="str">
        <f ca="1">IFERROR(__xludf.DUMMYFUNCTION("""COMPUTED_VALUE"""),"RF-00000227-NTR")</f>
        <v>RF-00000227-NTR</v>
      </c>
    </row>
    <row r="2800" spans="1:2" ht="12.5" x14ac:dyDescent="0.25">
      <c r="A2800" t="str">
        <f ca="1">IFERROR(__xludf.DUMMYFUNCTION("""COMPUTED_VALUE"""),"fatty acid 22:4 n-6")</f>
        <v>fatty acid 22:4 n-6</v>
      </c>
      <c r="B2800" t="str">
        <f ca="1">IFERROR(__xludf.DUMMYFUNCTION("""COMPUTED_VALUE"""),"RF-00000228-NTR")</f>
        <v>RF-00000228-NTR</v>
      </c>
    </row>
    <row r="2801" spans="1:2" ht="12.5" x14ac:dyDescent="0.25">
      <c r="A2801" t="str">
        <f ca="1">IFERROR(__xludf.DUMMYFUNCTION("""COMPUTED_VALUE"""),"fatty acid 22:4 n-6 cis")</f>
        <v>fatty acid 22:4 n-6 cis</v>
      </c>
      <c r="B2801" t="str">
        <f ca="1">IFERROR(__xludf.DUMMYFUNCTION("""COMPUTED_VALUE"""),"RF-00000229-NTR")</f>
        <v>RF-00000229-NTR</v>
      </c>
    </row>
    <row r="2802" spans="1:2" ht="12.5" x14ac:dyDescent="0.25">
      <c r="A2802" t="str">
        <f ca="1">IFERROR(__xludf.DUMMYFUNCTION("""COMPUTED_VALUE"""),"fatty acid 22:5 (docosapentaenoic acid)")</f>
        <v>fatty acid 22:5 (docosapentaenoic acid)</v>
      </c>
      <c r="B2802" t="str">
        <f ca="1">IFERROR(__xludf.DUMMYFUNCTION("""COMPUTED_VALUE"""),"RF-00000230-NTR")</f>
        <v>RF-00000230-NTR</v>
      </c>
    </row>
    <row r="2803" spans="1:2" ht="12.5" x14ac:dyDescent="0.25">
      <c r="A2803" t="str">
        <f ca="1">IFERROR(__xludf.DUMMYFUNCTION("""COMPUTED_VALUE"""),"fatty acid 22:5 n-3 (clupanodonic acid)")</f>
        <v>fatty acid 22:5 n-3 (clupanodonic acid)</v>
      </c>
      <c r="B2803" t="str">
        <f ca="1">IFERROR(__xludf.DUMMYFUNCTION("""COMPUTED_VALUE"""),"RF-00000231-NTR")</f>
        <v>RF-00000231-NTR</v>
      </c>
    </row>
    <row r="2804" spans="1:2" ht="12.5" x14ac:dyDescent="0.25">
      <c r="A2804" t="str">
        <f ca="1">IFERROR(__xludf.DUMMYFUNCTION("""COMPUTED_VALUE"""),"fatty acid 22:5 n-3 cis")</f>
        <v>fatty acid 22:5 n-3 cis</v>
      </c>
      <c r="B2804" t="str">
        <f ca="1">IFERROR(__xludf.DUMMYFUNCTION("""COMPUTED_VALUE"""),"RF-00000232-NTR")</f>
        <v>RF-00000232-NTR</v>
      </c>
    </row>
    <row r="2805" spans="1:2" ht="12.5" x14ac:dyDescent="0.25">
      <c r="A2805" t="str">
        <f ca="1">IFERROR(__xludf.DUMMYFUNCTION("""COMPUTED_VALUE"""),"fatty acid 22:5 n-6")</f>
        <v>fatty acid 22:5 n-6</v>
      </c>
      <c r="B2805" t="str">
        <f ca="1">IFERROR(__xludf.DUMMYFUNCTION("""COMPUTED_VALUE"""),"RF-00000233-NTR")</f>
        <v>RF-00000233-NTR</v>
      </c>
    </row>
    <row r="2806" spans="1:2" ht="12.5" x14ac:dyDescent="0.25">
      <c r="A2806" t="str">
        <f ca="1">IFERROR(__xludf.DUMMYFUNCTION("""COMPUTED_VALUE"""),"fatty acid 22:5 n-6 cis")</f>
        <v>fatty acid 22:5 n-6 cis</v>
      </c>
      <c r="B2806" t="str">
        <f ca="1">IFERROR(__xludf.DUMMYFUNCTION("""COMPUTED_VALUE"""),"RF-00000234-NTR")</f>
        <v>RF-00000234-NTR</v>
      </c>
    </row>
    <row r="2807" spans="1:2" ht="12.5" x14ac:dyDescent="0.25">
      <c r="A2807" t="str">
        <f ca="1">IFERROR(__xludf.DUMMYFUNCTION("""COMPUTED_VALUE"""),"fatty acid 22:6 (docosahexaenoic acid)")</f>
        <v>fatty acid 22:6 (docosahexaenoic acid)</v>
      </c>
      <c r="B2807" t="str">
        <f ca="1">IFERROR(__xludf.DUMMYFUNCTION("""COMPUTED_VALUE"""),"RF-00000235-NTR")</f>
        <v>RF-00000235-NTR</v>
      </c>
    </row>
    <row r="2808" spans="1:2" ht="12.5" x14ac:dyDescent="0.25">
      <c r="A2808" t="str">
        <f ca="1">IFERROR(__xludf.DUMMYFUNCTION("""COMPUTED_VALUE"""),"fatty acid 22:6 n-3 (docosahexaenoic acid)")</f>
        <v>fatty acid 22:6 n-3 (docosahexaenoic acid)</v>
      </c>
      <c r="B2808" t="str">
        <f ca="1">IFERROR(__xludf.DUMMYFUNCTION("""COMPUTED_VALUE"""),"RF-00000236-NTR")</f>
        <v>RF-00000236-NTR</v>
      </c>
    </row>
    <row r="2809" spans="1:2" ht="12.5" x14ac:dyDescent="0.25">
      <c r="A2809" t="str">
        <f ca="1">IFERROR(__xludf.DUMMYFUNCTION("""COMPUTED_VALUE"""),"fatty acid 22:6 n-3 cis")</f>
        <v>fatty acid 22:6 n-3 cis</v>
      </c>
      <c r="B2809" t="str">
        <f ca="1">IFERROR(__xludf.DUMMYFUNCTION("""COMPUTED_VALUE"""),"RF-00000237-NTR")</f>
        <v>RF-00000237-NTR</v>
      </c>
    </row>
    <row r="2810" spans="1:2" ht="12.5" x14ac:dyDescent="0.25">
      <c r="A2810" t="str">
        <f ca="1">IFERROR(__xludf.DUMMYFUNCTION("""COMPUTED_VALUE"""),"fatty acid 22:unidentified")</f>
        <v>fatty acid 22:unidentified</v>
      </c>
      <c r="B2810" t="str">
        <f ca="1">IFERROR(__xludf.DUMMYFUNCTION("""COMPUTED_VALUE"""),"RF-00000238-NTR")</f>
        <v>RF-00000238-NTR</v>
      </c>
    </row>
    <row r="2811" spans="1:2" ht="12.5" x14ac:dyDescent="0.25">
      <c r="A2811" t="str">
        <f ca="1">IFERROR(__xludf.DUMMYFUNCTION("""COMPUTED_VALUE"""),"fatty acid 23:0 (tricosanoic acid)")</f>
        <v>fatty acid 23:0 (tricosanoic acid)</v>
      </c>
      <c r="B2811" t="str">
        <f ca="1">IFERROR(__xludf.DUMMYFUNCTION("""COMPUTED_VALUE"""),"RF-00000239-NTR")</f>
        <v>RF-00000239-NTR</v>
      </c>
    </row>
    <row r="2812" spans="1:2" ht="12.5" x14ac:dyDescent="0.25">
      <c r="A2812" t="str">
        <f ca="1">IFERROR(__xludf.DUMMYFUNCTION("""COMPUTED_VALUE"""),"fatty acid 24:0 (lignoceric acid)")</f>
        <v>fatty acid 24:0 (lignoceric acid)</v>
      </c>
      <c r="B2812" t="str">
        <f ca="1">IFERROR(__xludf.DUMMYFUNCTION("""COMPUTED_VALUE"""),"RF-00000240-NTR")</f>
        <v>RF-00000240-NTR</v>
      </c>
    </row>
    <row r="2813" spans="1:2" ht="12.5" x14ac:dyDescent="0.25">
      <c r="A2813" t="str">
        <f ca="1">IFERROR(__xludf.DUMMYFUNCTION("""COMPUTED_VALUE"""),"fatty acid 24:1 (tetracosenoic acid)")</f>
        <v>fatty acid 24:1 (tetracosenoic acid)</v>
      </c>
      <c r="B2813" t="str">
        <f ca="1">IFERROR(__xludf.DUMMYFUNCTION("""COMPUTED_VALUE"""),"RF-00000241-NTR")</f>
        <v>RF-00000241-NTR</v>
      </c>
    </row>
    <row r="2814" spans="1:2" ht="12.5" x14ac:dyDescent="0.25">
      <c r="A2814" t="str">
        <f ca="1">IFERROR(__xludf.DUMMYFUNCTION("""COMPUTED_VALUE"""),"fatty acid 24:1 n-9 cis")</f>
        <v>fatty acid 24:1 n-9 cis</v>
      </c>
      <c r="B2814" t="str">
        <f ca="1">IFERROR(__xludf.DUMMYFUNCTION("""COMPUTED_VALUE"""),"RF-00000242-NTR")</f>
        <v>RF-00000242-NTR</v>
      </c>
    </row>
    <row r="2815" spans="1:2" ht="12.5" x14ac:dyDescent="0.25">
      <c r="A2815" t="str">
        <f ca="1">IFERROR(__xludf.DUMMYFUNCTION("""COMPUTED_VALUE"""),"fatty acid 24:1 n-9 trans")</f>
        <v>fatty acid 24:1 n-9 trans</v>
      </c>
      <c r="B2815" t="str">
        <f ca="1">IFERROR(__xludf.DUMMYFUNCTION("""COMPUTED_VALUE"""),"RF-00000243-NTR")</f>
        <v>RF-00000243-NTR</v>
      </c>
    </row>
    <row r="2816" spans="1:2" ht="12.5" x14ac:dyDescent="0.25">
      <c r="A2816" t="str">
        <f ca="1">IFERROR(__xludf.DUMMYFUNCTION("""COMPUTED_VALUE"""),"fatty acid 24:2 n-6")</f>
        <v>fatty acid 24:2 n-6</v>
      </c>
      <c r="B2816" t="str">
        <f ca="1">IFERROR(__xludf.DUMMYFUNCTION("""COMPUTED_VALUE"""),"RF-00000244-NTR")</f>
        <v>RF-00000244-NTR</v>
      </c>
    </row>
    <row r="2817" spans="1:2" ht="12.5" x14ac:dyDescent="0.25">
      <c r="A2817" t="str">
        <f ca="1">IFERROR(__xludf.DUMMYFUNCTION("""COMPUTED_VALUE"""),"fatty acid 26:0")</f>
        <v>fatty acid 26:0</v>
      </c>
      <c r="B2817" t="str">
        <f ca="1">IFERROR(__xludf.DUMMYFUNCTION("""COMPUTED_VALUE"""),"RF-00000245-NTR")</f>
        <v>RF-00000245-NTR</v>
      </c>
    </row>
    <row r="2818" spans="1:2" ht="12.5" x14ac:dyDescent="0.25">
      <c r="A2818" t="str">
        <f ca="1">IFERROR(__xludf.DUMMYFUNCTION("""COMPUTED_VALUE"""),"fatty acid 4:0 (butyric acid)")</f>
        <v>fatty acid 4:0 (butyric acid)</v>
      </c>
      <c r="B2818" t="str">
        <f ca="1">IFERROR(__xludf.DUMMYFUNCTION("""COMPUTED_VALUE"""),"RF-00000246-NTR")</f>
        <v>RF-00000246-NTR</v>
      </c>
    </row>
    <row r="2819" spans="1:2" ht="12.5" x14ac:dyDescent="0.25">
      <c r="A2819" t="str">
        <f ca="1">IFERROR(__xludf.DUMMYFUNCTION("""COMPUTED_VALUE"""),"fatty acid 6:0 (caproic acid)")</f>
        <v>fatty acid 6:0 (caproic acid)</v>
      </c>
      <c r="B2819" t="str">
        <f ca="1">IFERROR(__xludf.DUMMYFUNCTION("""COMPUTED_VALUE"""),"RF-00000247-NTR")</f>
        <v>RF-00000247-NTR</v>
      </c>
    </row>
    <row r="2820" spans="1:2" ht="12.5" x14ac:dyDescent="0.25">
      <c r="A2820" t="str">
        <f ca="1">IFERROR(__xludf.DUMMYFUNCTION("""COMPUTED_VALUE"""),"fatty acid 8:0 (caprylic acid)")</f>
        <v>fatty acid 8:0 (caprylic acid)</v>
      </c>
      <c r="B2820" t="str">
        <f ca="1">IFERROR(__xludf.DUMMYFUNCTION("""COMPUTED_VALUE"""),"RF-00000248-NTR")</f>
        <v>RF-00000248-NTR</v>
      </c>
    </row>
    <row r="2821" spans="1:2" ht="12.5" x14ac:dyDescent="0.25">
      <c r="A2821" t="str">
        <f ca="1">IFERROR(__xludf.DUMMYFUNCTION("""COMPUTED_VALUE"""),"fatty acid cis 22:1 n-9 cis (erucic acid)")</f>
        <v>fatty acid cis 22:1 n-9 cis (erucic acid)</v>
      </c>
      <c r="B2821" t="str">
        <f ca="1">IFERROR(__xludf.DUMMYFUNCTION("""COMPUTED_VALUE"""),"RF-00000249-NTR")</f>
        <v>RF-00000249-NTR</v>
      </c>
    </row>
    <row r="2822" spans="1:2" ht="12.5" x14ac:dyDescent="0.25">
      <c r="A2822" t="str">
        <f ca="1">IFERROR(__xludf.DUMMYFUNCTION("""COMPUTED_VALUE"""),"fatty acid conversion factor")</f>
        <v>fatty acid conversion factor</v>
      </c>
      <c r="B2822" t="str">
        <f ca="1">IFERROR(__xludf.DUMMYFUNCTION("""COMPUTED_VALUE"""),"RF-00000250-NTR")</f>
        <v>RF-00000250-NTR</v>
      </c>
    </row>
    <row r="2823" spans="1:2" ht="12.5" x14ac:dyDescent="0.25">
      <c r="A2823" t="str">
        <f ca="1">IFERROR(__xludf.DUMMYFUNCTION("""COMPUTED_VALUE"""),"Fatty acid esters of ascorbic acid")</f>
        <v>Fatty acid esters of ascorbic acid</v>
      </c>
      <c r="B2823" t="str">
        <f ca="1">IFERROR(__xludf.DUMMYFUNCTION("""COMPUTED_VALUE"""),"RF-00000130-ADD")</f>
        <v>RF-00000130-ADD</v>
      </c>
    </row>
    <row r="2824" spans="1:2" ht="12.5" x14ac:dyDescent="0.25">
      <c r="A2824" t="str">
        <f ca="1">IFERROR(__xludf.DUMMYFUNCTION("""COMPUTED_VALUE"""),"fatty acid trans 22:1 n-9 (brassidic acid)")</f>
        <v>fatty acid trans 22:1 n-9 (brassidic acid)</v>
      </c>
      <c r="B2824" t="str">
        <f ca="1">IFERROR(__xludf.DUMMYFUNCTION("""COMPUTED_VALUE"""),"RF-00000251-NTR")</f>
        <v>RF-00000251-NTR</v>
      </c>
    </row>
    <row r="2825" spans="1:2" ht="12.5" x14ac:dyDescent="0.25">
      <c r="A2825" t="str">
        <f ca="1">IFERROR(__xludf.DUMMYFUNCTION("""COMPUTED_VALUE"""),"fatty acid, unidentified")</f>
        <v>fatty acid, unidentified</v>
      </c>
      <c r="B2825" t="str">
        <f ca="1">IFERROR(__xludf.DUMMYFUNCTION("""COMPUTED_VALUE"""),"RF-00000252-NTR")</f>
        <v>RF-00000252-NTR</v>
      </c>
    </row>
    <row r="2826" spans="1:2" ht="12.5" x14ac:dyDescent="0.25">
      <c r="A2826" t="str">
        <f ca="1">IFERROR(__xludf.DUMMYFUNCTION("""COMPUTED_VALUE"""),"fatty acids")</f>
        <v>fatty acids</v>
      </c>
      <c r="B2826" t="str">
        <f ca="1">IFERROR(__xludf.DUMMYFUNCTION("""COMPUTED_VALUE"""),"RF-00000088-NTR")</f>
        <v>RF-00000088-NTR</v>
      </c>
    </row>
    <row r="2827" spans="1:2" ht="12.5" x14ac:dyDescent="0.25">
      <c r="A2827" t="str">
        <f ca="1">IFERROR(__xludf.DUMMYFUNCTION("""COMPUTED_VALUE"""),"fatty acids 4:0 - 10:0")</f>
        <v>fatty acids 4:0 - 10:0</v>
      </c>
      <c r="B2827" t="str">
        <f ca="1">IFERROR(__xludf.DUMMYFUNCTION("""COMPUTED_VALUE"""),"RF-00000253-NTR")</f>
        <v>RF-00000253-NTR</v>
      </c>
    </row>
    <row r="2828" spans="1:2" ht="12.5" x14ac:dyDescent="0.25">
      <c r="A2828" t="str">
        <f ca="1">IFERROR(__xludf.DUMMYFUNCTION("""COMPUTED_VALUE"""),"fatty acids 4:0 - 8:0")</f>
        <v>fatty acids 4:0 - 8:0</v>
      </c>
      <c r="B2828" t="str">
        <f ca="1">IFERROR(__xludf.DUMMYFUNCTION("""COMPUTED_VALUE"""),"RF-00000254-NTR")</f>
        <v>RF-00000254-NTR</v>
      </c>
    </row>
    <row r="2829" spans="1:2" ht="12.5" x14ac:dyDescent="0.25">
      <c r="A2829" t="str">
        <f ca="1">IFERROR(__xludf.DUMMYFUNCTION("""COMPUTED_VALUE"""),"fatty acids, cis polyunsaturated, remainder")</f>
        <v>fatty acids, cis polyunsaturated, remainder</v>
      </c>
      <c r="B2829" t="str">
        <f ca="1">IFERROR(__xludf.DUMMYFUNCTION("""COMPUTED_VALUE"""),"RF-00000255-NTR")</f>
        <v>RF-00000255-NTR</v>
      </c>
    </row>
    <row r="2830" spans="1:2" ht="12.5" x14ac:dyDescent="0.25">
      <c r="A2830" t="str">
        <f ca="1">IFERROR(__xludf.DUMMYFUNCTION("""COMPUTED_VALUE"""),"fatty acids, monounsaturated, cis, remainder")</f>
        <v>fatty acids, monounsaturated, cis, remainder</v>
      </c>
      <c r="B2830" t="str">
        <f ca="1">IFERROR(__xludf.DUMMYFUNCTION("""COMPUTED_VALUE"""),"RF-00000256-NTR")</f>
        <v>RF-00000256-NTR</v>
      </c>
    </row>
    <row r="2831" spans="1:2" ht="12.5" x14ac:dyDescent="0.25">
      <c r="A2831" t="str">
        <f ca="1">IFERROR(__xludf.DUMMYFUNCTION("""COMPUTED_VALUE"""),"fatty acids, monounsaturated, remainder")</f>
        <v>fatty acids, monounsaturated, remainder</v>
      </c>
      <c r="B2831" t="str">
        <f ca="1">IFERROR(__xludf.DUMMYFUNCTION("""COMPUTED_VALUE"""),"RF-00000257-NTR")</f>
        <v>RF-00000257-NTR</v>
      </c>
    </row>
    <row r="2832" spans="1:2" ht="12.5" x14ac:dyDescent="0.25">
      <c r="A2832" t="str">
        <f ca="1">IFERROR(__xludf.DUMMYFUNCTION("""COMPUTED_VALUE"""),"fatty acids, monounsaturated, trans, remainder")</f>
        <v>fatty acids, monounsaturated, trans, remainder</v>
      </c>
      <c r="B2832" t="str">
        <f ca="1">IFERROR(__xludf.DUMMYFUNCTION("""COMPUTED_VALUE"""),"RF-00000258-NTR")</f>
        <v>RF-00000258-NTR</v>
      </c>
    </row>
    <row r="2833" spans="1:2" ht="12.5" x14ac:dyDescent="0.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x14ac:dyDescent="0.25">
      <c r="A2834" t="str">
        <f ca="1">IFERROR(__xludf.DUMMYFUNCTION("""COMPUTED_VALUE"""),"fatty acids, polyunsaturated, cis, remainder")</f>
        <v>fatty acids, polyunsaturated, cis, remainder</v>
      </c>
      <c r="B2834" t="str">
        <f ca="1">IFERROR(__xludf.DUMMYFUNCTION("""COMPUTED_VALUE"""),"RF-00000260-NTR")</f>
        <v>RF-00000260-NTR</v>
      </c>
    </row>
    <row r="2835" spans="1:2" ht="12.5" x14ac:dyDescent="0.25">
      <c r="A2835" t="str">
        <f ca="1">IFERROR(__xludf.DUMMYFUNCTION("""COMPUTED_VALUE"""),"fatty acids, polyunsaturated, remainder")</f>
        <v>fatty acids, polyunsaturated, remainder</v>
      </c>
      <c r="B2835" t="str">
        <f ca="1">IFERROR(__xludf.DUMMYFUNCTION("""COMPUTED_VALUE"""),"RF-00000261-NTR")</f>
        <v>RF-00000261-NTR</v>
      </c>
    </row>
    <row r="2836" spans="1:2" ht="12.5" x14ac:dyDescent="0.25">
      <c r="A2836" t="str">
        <f ca="1">IFERROR(__xludf.DUMMYFUNCTION("""COMPUTED_VALUE"""),"fatty acids, saturated, remainder")</f>
        <v>fatty acids, saturated, remainder</v>
      </c>
      <c r="B2836" t="str">
        <f ca="1">IFERROR(__xludf.DUMMYFUNCTION("""COMPUTED_VALUE"""),"RF-00000262-NTR")</f>
        <v>RF-00000262-NTR</v>
      </c>
    </row>
    <row r="2837" spans="1:2" ht="12.5" x14ac:dyDescent="0.25">
      <c r="A2837" t="str">
        <f ca="1">IFERROR(__xludf.DUMMYFUNCTION("""COMPUTED_VALUE"""),"fatty acids, total")</f>
        <v>fatty acids, total</v>
      </c>
      <c r="B2837" t="str">
        <f ca="1">IFERROR(__xludf.DUMMYFUNCTION("""COMPUTED_VALUE"""),"RF-00000263-NTR")</f>
        <v>RF-00000263-NTR</v>
      </c>
    </row>
    <row r="2838" spans="1:2" ht="12.5" x14ac:dyDescent="0.25">
      <c r="A2838" t="str">
        <f ca="1">IFERROR(__xludf.DUMMYFUNCTION("""COMPUTED_VALUE"""),"fatty acids, total cis n-3")</f>
        <v>fatty acids, total cis n-3</v>
      </c>
      <c r="B2838" t="str">
        <f ca="1">IFERROR(__xludf.DUMMYFUNCTION("""COMPUTED_VALUE"""),"RF-00000264-NTR")</f>
        <v>RF-00000264-NTR</v>
      </c>
    </row>
    <row r="2839" spans="1:2" ht="12.5" x14ac:dyDescent="0.25">
      <c r="A2839" t="str">
        <f ca="1">IFERROR(__xludf.DUMMYFUNCTION("""COMPUTED_VALUE"""),"fatty acids, total cis n-6")</f>
        <v>fatty acids, total cis n-6</v>
      </c>
      <c r="B2839" t="str">
        <f ca="1">IFERROR(__xludf.DUMMYFUNCTION("""COMPUTED_VALUE"""),"RF-00000265-NTR")</f>
        <v>RF-00000265-NTR</v>
      </c>
    </row>
    <row r="2840" spans="1:2" ht="12.5" x14ac:dyDescent="0.25">
      <c r="A2840" t="str">
        <f ca="1">IFERROR(__xludf.DUMMYFUNCTION("""COMPUTED_VALUE"""),"fatty acids, total cis n-9")</f>
        <v>fatty acids, total cis n-9</v>
      </c>
      <c r="B2840" t="str">
        <f ca="1">IFERROR(__xludf.DUMMYFUNCTION("""COMPUTED_VALUE"""),"RF-00000266-NTR")</f>
        <v>RF-00000266-NTR</v>
      </c>
    </row>
    <row r="2841" spans="1:2" ht="12.5" x14ac:dyDescent="0.25">
      <c r="A2841" t="str">
        <f ca="1">IFERROR(__xludf.DUMMYFUNCTION("""COMPUTED_VALUE"""),"fatty acids, total essential")</f>
        <v>fatty acids, total essential</v>
      </c>
      <c r="B2841" t="str">
        <f ca="1">IFERROR(__xludf.DUMMYFUNCTION("""COMPUTED_VALUE"""),"RF-00000267-NTR")</f>
        <v>RF-00000267-NTR</v>
      </c>
    </row>
    <row r="2842" spans="1:2" ht="12.5" x14ac:dyDescent="0.25">
      <c r="A2842" t="str">
        <f ca="1">IFERROR(__xludf.DUMMYFUNCTION("""COMPUTED_VALUE"""),"fatty acids, total free")</f>
        <v>fatty acids, total free</v>
      </c>
      <c r="B2842" t="str">
        <f ca="1">IFERROR(__xludf.DUMMYFUNCTION("""COMPUTED_VALUE"""),"RF-00000268-NTR")</f>
        <v>RF-00000268-NTR</v>
      </c>
    </row>
    <row r="2843" spans="1:2" ht="12.5" x14ac:dyDescent="0.25">
      <c r="A2843" t="str">
        <f ca="1">IFERROR(__xludf.DUMMYFUNCTION("""COMPUTED_VALUE"""),"fatty acids, total monounsaturated")</f>
        <v>fatty acids, total monounsaturated</v>
      </c>
      <c r="B2843" t="str">
        <f ca="1">IFERROR(__xludf.DUMMYFUNCTION("""COMPUTED_VALUE"""),"RF-00000269-NTR")</f>
        <v>RF-00000269-NTR</v>
      </c>
    </row>
    <row r="2844" spans="1:2" ht="12.5" x14ac:dyDescent="0.25">
      <c r="A2844" t="str">
        <f ca="1">IFERROR(__xludf.DUMMYFUNCTION("""COMPUTED_VALUE"""),"fatty acids, total monounsaturated cis")</f>
        <v>fatty acids, total monounsaturated cis</v>
      </c>
      <c r="B2844" t="str">
        <f ca="1">IFERROR(__xludf.DUMMYFUNCTION("""COMPUTED_VALUE"""),"RF-00000270-NTR")</f>
        <v>RF-00000270-NTR</v>
      </c>
    </row>
    <row r="2845" spans="1:2" ht="12.5" x14ac:dyDescent="0.25">
      <c r="A2845" t="str">
        <f ca="1">IFERROR(__xludf.DUMMYFUNCTION("""COMPUTED_VALUE"""),"fatty acids, total n-3 polyunsaturated")</f>
        <v>fatty acids, total n-3 polyunsaturated</v>
      </c>
      <c r="B2845" t="str">
        <f ca="1">IFERROR(__xludf.DUMMYFUNCTION("""COMPUTED_VALUE"""),"RF-00000271-NTR")</f>
        <v>RF-00000271-NTR</v>
      </c>
    </row>
    <row r="2846" spans="1:2" ht="12.5" x14ac:dyDescent="0.25">
      <c r="A2846" t="str">
        <f ca="1">IFERROR(__xludf.DUMMYFUNCTION("""COMPUTED_VALUE"""),"fatty acids, total n-6 polyunsaturated")</f>
        <v>fatty acids, total n-6 polyunsaturated</v>
      </c>
      <c r="B2846" t="str">
        <f ca="1">IFERROR(__xludf.DUMMYFUNCTION("""COMPUTED_VALUE"""),"RF-00000272-NTR")</f>
        <v>RF-00000272-NTR</v>
      </c>
    </row>
    <row r="2847" spans="1:2" ht="12.5" x14ac:dyDescent="0.25">
      <c r="A2847" t="str">
        <f ca="1">IFERROR(__xludf.DUMMYFUNCTION("""COMPUTED_VALUE"""),"fatty acids, total n-9 polyunsaturated")</f>
        <v>fatty acids, total n-9 polyunsaturated</v>
      </c>
      <c r="B2847" t="str">
        <f ca="1">IFERROR(__xludf.DUMMYFUNCTION("""COMPUTED_VALUE"""),"RF-00000273-NTR")</f>
        <v>RF-00000273-NTR</v>
      </c>
    </row>
    <row r="2848" spans="1:2" ht="12.5" x14ac:dyDescent="0.25">
      <c r="A2848" t="str">
        <f ca="1">IFERROR(__xludf.DUMMYFUNCTION("""COMPUTED_VALUE"""),"fatty acids, total polyunsaturated")</f>
        <v>fatty acids, total polyunsaturated</v>
      </c>
      <c r="B2848" t="str">
        <f ca="1">IFERROR(__xludf.DUMMYFUNCTION("""COMPUTED_VALUE"""),"RF-00000274-NTR")</f>
        <v>RF-00000274-NTR</v>
      </c>
    </row>
    <row r="2849" spans="1:2" ht="12.5" x14ac:dyDescent="0.25">
      <c r="A2849" t="str">
        <f ca="1">IFERROR(__xludf.DUMMYFUNCTION("""COMPUTED_VALUE"""),"fatty acids, total polyunsaturated long-chain")</f>
        <v>fatty acids, total polyunsaturated long-chain</v>
      </c>
      <c r="B2849" t="str">
        <f ca="1">IFERROR(__xludf.DUMMYFUNCTION("""COMPUTED_VALUE"""),"RF-00000275-NTR")</f>
        <v>RF-00000275-NTR</v>
      </c>
    </row>
    <row r="2850" spans="1:2" ht="12.5" x14ac:dyDescent="0.25">
      <c r="A2850" t="str">
        <f ca="1">IFERROR(__xludf.DUMMYFUNCTION("""COMPUTED_VALUE"""),"fatty acids, total polyunsaturated n-3 fish")</f>
        <v>fatty acids, total polyunsaturated n-3 fish</v>
      </c>
      <c r="B2850" t="str">
        <f ca="1">IFERROR(__xludf.DUMMYFUNCTION("""COMPUTED_VALUE"""),"RF-00000276-NTR")</f>
        <v>RF-00000276-NTR</v>
      </c>
    </row>
    <row r="2851" spans="1:2" ht="12.5" x14ac:dyDescent="0.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x14ac:dyDescent="0.25">
      <c r="A2852" t="str">
        <f ca="1">IFERROR(__xludf.DUMMYFUNCTION("""COMPUTED_VALUE"""),"fatty acids, total saturated")</f>
        <v>fatty acids, total saturated</v>
      </c>
      <c r="B2852" t="str">
        <f ca="1">IFERROR(__xludf.DUMMYFUNCTION("""COMPUTED_VALUE"""),"RF-00000278-NTR")</f>
        <v>RF-00000278-NTR</v>
      </c>
    </row>
    <row r="2853" spans="1:2" ht="12.5" x14ac:dyDescent="0.25">
      <c r="A2853" t="str">
        <f ca="1">IFERROR(__xludf.DUMMYFUNCTION("""COMPUTED_VALUE"""),"fatty acids, total trans")</f>
        <v>fatty acids, total trans</v>
      </c>
      <c r="B2853" t="str">
        <f ca="1">IFERROR(__xludf.DUMMYFUNCTION("""COMPUTED_VALUE"""),"RF-00000279-NTR")</f>
        <v>RF-00000279-NTR</v>
      </c>
    </row>
    <row r="2854" spans="1:2" ht="12.5" x14ac:dyDescent="0.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x14ac:dyDescent="0.25">
      <c r="A2855" t="str">
        <f ca="1">IFERROR(__xludf.DUMMYFUNCTION("""COMPUTED_VALUE"""),"fatty acids, trans polyunsaturated, remainder")</f>
        <v>fatty acids, trans polyunsaturated, remainder</v>
      </c>
      <c r="B2855" t="str">
        <f ca="1">IFERROR(__xludf.DUMMYFUNCTION("""COMPUTED_VALUE"""),"RF-00000281-NTR")</f>
        <v>RF-00000281-NTR</v>
      </c>
    </row>
    <row r="2856" spans="1:2" ht="12.5" x14ac:dyDescent="0.25">
      <c r="A2856" t="str">
        <f ca="1">IFERROR(__xludf.DUMMYFUNCTION("""COMPUTED_VALUE"""),"fatty acids, trans saturated, remainder")</f>
        <v>fatty acids, trans saturated, remainder</v>
      </c>
      <c r="B2856" t="str">
        <f ca="1">IFERROR(__xludf.DUMMYFUNCTION("""COMPUTED_VALUE"""),"RF-00000282-NTR")</f>
        <v>RF-00000282-NTR</v>
      </c>
    </row>
    <row r="2857" spans="1:2" ht="12.5" x14ac:dyDescent="0.25">
      <c r="A2857" t="str">
        <f ca="1">IFERROR(__xludf.DUMMYFUNCTION("""COMPUTED_VALUE"""),"Febantel")</f>
        <v>Febantel</v>
      </c>
      <c r="B2857" t="str">
        <f ca="1">IFERROR(__xludf.DUMMYFUNCTION("""COMPUTED_VALUE"""),"RF-00000024-VET")</f>
        <v>RF-00000024-VET</v>
      </c>
    </row>
    <row r="2858" spans="1:2" ht="12.5" x14ac:dyDescent="0.25">
      <c r="A2858" t="str">
        <f ca="1">IFERROR(__xludf.DUMMYFUNCTION("""COMPUTED_VALUE"""),"Fenamidone")</f>
        <v>Fenamidone</v>
      </c>
      <c r="B2858" t="str">
        <f ca="1">IFERROR(__xludf.DUMMYFUNCTION("""COMPUTED_VALUE"""),"RF-0172-001-PPP")</f>
        <v>RF-0172-001-PPP</v>
      </c>
    </row>
    <row r="2859" spans="1:2" ht="12.5" x14ac:dyDescent="0.25">
      <c r="A2859" t="str">
        <f ca="1">IFERROR(__xludf.DUMMYFUNCTION("""COMPUTED_VALUE"""),"Fenaminosulf")</f>
        <v>Fenaminosulf</v>
      </c>
      <c r="B2859" t="str">
        <f ca="1">IFERROR(__xludf.DUMMYFUNCTION("""COMPUTED_VALUE"""),"RF-0671-001-PPP")</f>
        <v>RF-0671-001-PPP</v>
      </c>
    </row>
    <row r="2860" spans="1:2" ht="12.5" x14ac:dyDescent="0.25">
      <c r="A2860" t="str">
        <f ca="1">IFERROR(__xludf.DUMMYFUNCTION("""COMPUTED_VALUE"""),"Fenamiphos")</f>
        <v>Fenamiphos</v>
      </c>
      <c r="B2860" t="str">
        <f ca="1">IFERROR(__xludf.DUMMYFUNCTION("""COMPUTED_VALUE"""),"RF-0173-004-PPP")</f>
        <v>RF-0173-004-PPP</v>
      </c>
    </row>
    <row r="2861" spans="1:2" ht="12.5" x14ac:dyDescent="0.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x14ac:dyDescent="0.25">
      <c r="A2862" t="str">
        <f ca="1">IFERROR(__xludf.DUMMYFUNCTION("""COMPUTED_VALUE"""),"Fenamiphos-Sulfon")</f>
        <v>Fenamiphos-Sulfon</v>
      </c>
      <c r="B2862" t="str">
        <f ca="1">IFERROR(__xludf.DUMMYFUNCTION("""COMPUTED_VALUE"""),"RF-0173-003-PPP")</f>
        <v>RF-0173-003-PPP</v>
      </c>
    </row>
    <row r="2863" spans="1:2" ht="12.5" x14ac:dyDescent="0.25">
      <c r="A2863" t="str">
        <f ca="1">IFERROR(__xludf.DUMMYFUNCTION("""COMPUTED_VALUE"""),"Fenamiphos-Sulfoxid")</f>
        <v>Fenamiphos-Sulfoxid</v>
      </c>
      <c r="B2863" t="str">
        <f ca="1">IFERROR(__xludf.DUMMYFUNCTION("""COMPUTED_VALUE"""),"RF-0173-002-PPP")</f>
        <v>RF-0173-002-PPP</v>
      </c>
    </row>
    <row r="2864" spans="1:2" ht="12.5" x14ac:dyDescent="0.25">
      <c r="A2864" t="str">
        <f ca="1">IFERROR(__xludf.DUMMYFUNCTION("""COMPUTED_VALUE"""),"Fenarimol")</f>
        <v>Fenarimol</v>
      </c>
      <c r="B2864" t="str">
        <f ca="1">IFERROR(__xludf.DUMMYFUNCTION("""COMPUTED_VALUE"""),"RF-0174-001-PPP")</f>
        <v>RF-0174-001-PPP</v>
      </c>
    </row>
    <row r="2865" spans="1:2" ht="12.5" x14ac:dyDescent="0.25">
      <c r="A2865" t="str">
        <f ca="1">IFERROR(__xludf.DUMMYFUNCTION("""COMPUTED_VALUE"""),"Fenazaflor")</f>
        <v>Fenazaflor</v>
      </c>
      <c r="B2865" t="str">
        <f ca="1">IFERROR(__xludf.DUMMYFUNCTION("""COMPUTED_VALUE"""),"RF-0672-001-PPP")</f>
        <v>RF-0672-001-PPP</v>
      </c>
    </row>
    <row r="2866" spans="1:2" ht="12.5" x14ac:dyDescent="0.25">
      <c r="A2866" t="str">
        <f ca="1">IFERROR(__xludf.DUMMYFUNCTION("""COMPUTED_VALUE"""),"Fenazaquin")</f>
        <v>Fenazaquin</v>
      </c>
      <c r="B2866" t="str">
        <f ca="1">IFERROR(__xludf.DUMMYFUNCTION("""COMPUTED_VALUE"""),"RF-0175-001-PPP")</f>
        <v>RF-0175-001-PPP</v>
      </c>
    </row>
    <row r="2867" spans="1:2" ht="12.5" x14ac:dyDescent="0.25">
      <c r="A2867" t="str">
        <f ca="1">IFERROR(__xludf.DUMMYFUNCTION("""COMPUTED_VALUE"""),"Fenbendazole")</f>
        <v>Fenbendazole</v>
      </c>
      <c r="B2867" t="str">
        <f ca="1">IFERROR(__xludf.DUMMYFUNCTION("""COMPUTED_VALUE"""),"RF-00000013-VET")</f>
        <v>RF-00000013-VET</v>
      </c>
    </row>
    <row r="2868" spans="1:2" ht="12.5" x14ac:dyDescent="0.25">
      <c r="A2868" t="str">
        <f ca="1">IFERROR(__xludf.DUMMYFUNCTION("""COMPUTED_VALUE"""),"Fenbuconazole")</f>
        <v>Fenbuconazole</v>
      </c>
      <c r="B2868" t="str">
        <f ca="1">IFERROR(__xludf.DUMMYFUNCTION("""COMPUTED_VALUE"""),"RF-0176-001-PPP")</f>
        <v>RF-0176-001-PPP</v>
      </c>
    </row>
    <row r="2869" spans="1:2" ht="12.5" x14ac:dyDescent="0.25">
      <c r="A2869" t="str">
        <f ca="1">IFERROR(__xludf.DUMMYFUNCTION("""COMPUTED_VALUE"""),"Fenbufen")</f>
        <v>Fenbufen</v>
      </c>
      <c r="B2869" t="str">
        <f ca="1">IFERROR(__xludf.DUMMYFUNCTION("""COMPUTED_VALUE"""),"RF-00000236-VET")</f>
        <v>RF-00000236-VET</v>
      </c>
    </row>
    <row r="2870" spans="1:2" ht="12.5" x14ac:dyDescent="0.25">
      <c r="A2870" t="str">
        <f ca="1">IFERROR(__xludf.DUMMYFUNCTION("""COMPUTED_VALUE"""),"Fenbutatin oxide")</f>
        <v>Fenbutatin oxide</v>
      </c>
      <c r="B2870" t="str">
        <f ca="1">IFERROR(__xludf.DUMMYFUNCTION("""COMPUTED_VALUE"""),"RF-0177-001-PPP")</f>
        <v>RF-0177-001-PPP</v>
      </c>
    </row>
    <row r="2871" spans="1:2" ht="12.5" x14ac:dyDescent="0.25">
      <c r="A2871" t="str">
        <f ca="1">IFERROR(__xludf.DUMMYFUNCTION("""COMPUTED_VALUE"""),"Fenchlorazol-Ethyl")</f>
        <v>Fenchlorazol-Ethyl</v>
      </c>
      <c r="B2871" t="str">
        <f ca="1">IFERROR(__xludf.DUMMYFUNCTION("""COMPUTED_VALUE"""),"RF-0673-001-PPP")</f>
        <v>RF-0673-001-PPP</v>
      </c>
    </row>
    <row r="2872" spans="1:2" ht="12.5" x14ac:dyDescent="0.25">
      <c r="A2872" t="str">
        <f ca="1">IFERROR(__xludf.DUMMYFUNCTION("""COMPUTED_VALUE"""),"Fenchlorazole")</f>
        <v>Fenchlorazole</v>
      </c>
      <c r="B2872" t="str">
        <f ca="1">IFERROR(__xludf.DUMMYFUNCTION("""COMPUTED_VALUE"""),"RF-1069-001-PPP")</f>
        <v>RF-1069-001-PPP</v>
      </c>
    </row>
    <row r="2873" spans="1:2" ht="12.5" x14ac:dyDescent="0.25">
      <c r="A2873" t="str">
        <f ca="1">IFERROR(__xludf.DUMMYFUNCTION("""COMPUTED_VALUE"""),"Fenchlorphos")</f>
        <v>Fenchlorphos</v>
      </c>
      <c r="B2873" t="str">
        <f ca="1">IFERROR(__xludf.DUMMYFUNCTION("""COMPUTED_VALUE"""),"RF-0178-002-PPP")</f>
        <v>RF-0178-002-PPP</v>
      </c>
    </row>
    <row r="2874" spans="1:2" ht="12.5" x14ac:dyDescent="0.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x14ac:dyDescent="0.25">
      <c r="A2875" t="str">
        <f ca="1">IFERROR(__xludf.DUMMYFUNCTION("""COMPUTED_VALUE"""),"Fenchlorphos-oxon")</f>
        <v>Fenchlorphos-oxon</v>
      </c>
      <c r="B2875" t="str">
        <f ca="1">IFERROR(__xludf.DUMMYFUNCTION("""COMPUTED_VALUE"""),"RF-0178-003-PPP")</f>
        <v>RF-0178-003-PPP</v>
      </c>
    </row>
    <row r="2876" spans="1:2" ht="12.5" x14ac:dyDescent="0.25">
      <c r="A2876" t="str">
        <f ca="1">IFERROR(__xludf.DUMMYFUNCTION("""COMPUTED_VALUE"""),"Fenclorim")</f>
        <v>Fenclorim</v>
      </c>
      <c r="B2876" t="str">
        <f ca="1">IFERROR(__xludf.DUMMYFUNCTION("""COMPUTED_VALUE"""),"RF-0674-001-PPP")</f>
        <v>RF-0674-001-PPP</v>
      </c>
    </row>
    <row r="2877" spans="1:2" ht="12.5" x14ac:dyDescent="0.25">
      <c r="A2877" t="str">
        <f ca="1">IFERROR(__xludf.DUMMYFUNCTION("""COMPUTED_VALUE"""),"Fenfluthrin")</f>
        <v>Fenfluthrin</v>
      </c>
      <c r="B2877" t="str">
        <f ca="1">IFERROR(__xludf.DUMMYFUNCTION("""COMPUTED_VALUE"""),"RF-0675-001-PPP")</f>
        <v>RF-0675-001-PPP</v>
      </c>
    </row>
    <row r="2878" spans="1:2" ht="12.5" x14ac:dyDescent="0.25">
      <c r="A2878" t="str">
        <f ca="1">IFERROR(__xludf.DUMMYFUNCTION("""COMPUTED_VALUE"""),"Fenfuram")</f>
        <v>Fenfuram</v>
      </c>
      <c r="B2878" t="str">
        <f ca="1">IFERROR(__xludf.DUMMYFUNCTION("""COMPUTED_VALUE"""),"RF-0676-001-PPP")</f>
        <v>RF-0676-001-PPP</v>
      </c>
    </row>
    <row r="2879" spans="1:2" ht="12.5" x14ac:dyDescent="0.25">
      <c r="A2879" t="str">
        <f ca="1">IFERROR(__xludf.DUMMYFUNCTION("""COMPUTED_VALUE"""),"Fenhexamid")</f>
        <v>Fenhexamid</v>
      </c>
      <c r="B2879" t="str">
        <f ca="1">IFERROR(__xludf.DUMMYFUNCTION("""COMPUTED_VALUE"""),"RF-0179-001-PPP")</f>
        <v>RF-0179-001-PPP</v>
      </c>
    </row>
    <row r="2880" spans="1:2" ht="12.5" x14ac:dyDescent="0.25">
      <c r="A2880" t="str">
        <f ca="1">IFERROR(__xludf.DUMMYFUNCTION("""COMPUTED_VALUE"""),"Fenitrothion")</f>
        <v>Fenitrothion</v>
      </c>
      <c r="B2880" t="str">
        <f ca="1">IFERROR(__xludf.DUMMYFUNCTION("""COMPUTED_VALUE"""),"RF-0180-001-PPP")</f>
        <v>RF-0180-001-PPP</v>
      </c>
    </row>
    <row r="2881" spans="1:2" ht="12.5" x14ac:dyDescent="0.25">
      <c r="A2881" t="str">
        <f ca="1">IFERROR(__xludf.DUMMYFUNCTION("""COMPUTED_VALUE"""),"Fenobucarb")</f>
        <v>Fenobucarb</v>
      </c>
      <c r="B2881" t="str">
        <f ca="1">IFERROR(__xludf.DUMMYFUNCTION("""COMPUTED_VALUE"""),"RF-00000159-VET")</f>
        <v>RF-00000159-VET</v>
      </c>
    </row>
    <row r="2882" spans="1:2" ht="12.5" x14ac:dyDescent="0.25">
      <c r="A2882" t="str">
        <f ca="1">IFERROR(__xludf.DUMMYFUNCTION("""COMPUTED_VALUE"""),"Fenobucarb")</f>
        <v>Fenobucarb</v>
      </c>
      <c r="B2882" t="str">
        <f ca="1">IFERROR(__xludf.DUMMYFUNCTION("""COMPUTED_VALUE"""),"RF-0677-001-PPP")</f>
        <v>RF-0677-001-PPP</v>
      </c>
    </row>
    <row r="2883" spans="1:2" ht="12.5" x14ac:dyDescent="0.25">
      <c r="A2883" t="str">
        <f ca="1">IFERROR(__xludf.DUMMYFUNCTION("""COMPUTED_VALUE"""),"Fenoprofen")</f>
        <v>Fenoprofen</v>
      </c>
      <c r="B2883" t="str">
        <f ca="1">IFERROR(__xludf.DUMMYFUNCTION("""COMPUTED_VALUE"""),"RF-00000231-VET")</f>
        <v>RF-00000231-VET</v>
      </c>
    </row>
    <row r="2884" spans="1:2" ht="12.5" x14ac:dyDescent="0.25">
      <c r="A2884" t="str">
        <f ca="1">IFERROR(__xludf.DUMMYFUNCTION("""COMPUTED_VALUE"""),"Fenoterol")</f>
        <v>Fenoterol</v>
      </c>
      <c r="B2884" t="str">
        <f ca="1">IFERROR(__xludf.DUMMYFUNCTION("""COMPUTED_VALUE"""),"RF-00000486-VET")</f>
        <v>RF-00000486-VET</v>
      </c>
    </row>
    <row r="2885" spans="1:2" ht="12.5" x14ac:dyDescent="0.25">
      <c r="A2885" t="str">
        <f ca="1">IFERROR(__xludf.DUMMYFUNCTION("""COMPUTED_VALUE"""),"Fenoterol-ipratorium")</f>
        <v>Fenoterol-ipratorium</v>
      </c>
      <c r="B2885" t="str">
        <f ca="1">IFERROR(__xludf.DUMMYFUNCTION("""COMPUTED_VALUE"""),"RF-00000491-VET")</f>
        <v>RF-00000491-VET</v>
      </c>
    </row>
    <row r="2886" spans="1:2" ht="12.5" x14ac:dyDescent="0.25">
      <c r="A2886" t="str">
        <f ca="1">IFERROR(__xludf.DUMMYFUNCTION("""COMPUTED_VALUE"""),"Fenothiocarb")</f>
        <v>Fenothiocarb</v>
      </c>
      <c r="B2886" t="str">
        <f ca="1">IFERROR(__xludf.DUMMYFUNCTION("""COMPUTED_VALUE"""),"RF-0678-001-PPP")</f>
        <v>RF-0678-001-PPP</v>
      </c>
    </row>
    <row r="2887" spans="1:2" ht="12.5" x14ac:dyDescent="0.25">
      <c r="A2887" t="str">
        <f ca="1">IFERROR(__xludf.DUMMYFUNCTION("""COMPUTED_VALUE"""),"Fenoxanil")</f>
        <v>Fenoxanil</v>
      </c>
      <c r="B2887" t="str">
        <f ca="1">IFERROR(__xludf.DUMMYFUNCTION("""COMPUTED_VALUE"""),"RF-0679-001-PPP")</f>
        <v>RF-0679-001-PPP</v>
      </c>
    </row>
    <row r="2888" spans="1:2" ht="12.5" x14ac:dyDescent="0.25">
      <c r="A2888" t="str">
        <f ca="1">IFERROR(__xludf.DUMMYFUNCTION("""COMPUTED_VALUE"""),"Fenoxaprop")</f>
        <v>Fenoxaprop</v>
      </c>
      <c r="B2888" t="str">
        <f ca="1">IFERROR(__xludf.DUMMYFUNCTION("""COMPUTED_VALUE"""),"RF-0680-001-PPP")</f>
        <v>RF-0680-001-PPP</v>
      </c>
    </row>
    <row r="2889" spans="1:2" ht="12.5" x14ac:dyDescent="0.25">
      <c r="A2889" t="str">
        <f ca="1">IFERROR(__xludf.DUMMYFUNCTION("""COMPUTED_VALUE"""),"Fenoxaprop-ethyl")</f>
        <v>Fenoxaprop-ethyl</v>
      </c>
      <c r="B2889" t="str">
        <f ca="1">IFERROR(__xludf.DUMMYFUNCTION("""COMPUTED_VALUE"""),"RF-0681-002-PPP")</f>
        <v>RF-0681-002-PPP</v>
      </c>
    </row>
    <row r="2890" spans="1:2" ht="12.5" x14ac:dyDescent="0.25">
      <c r="A2890" t="str">
        <f ca="1">IFERROR(__xludf.DUMMYFUNCTION("""COMPUTED_VALUE"""),"Fenoxaprop-P")</f>
        <v>Fenoxaprop-P</v>
      </c>
      <c r="B2890" t="str">
        <f ca="1">IFERROR(__xludf.DUMMYFUNCTION("""COMPUTED_VALUE"""),"RF-0181-001-PPP")</f>
        <v>RF-0181-001-PPP</v>
      </c>
    </row>
    <row r="2891" spans="1:2" ht="12.5" x14ac:dyDescent="0.25">
      <c r="A2891" t="str">
        <f ca="1">IFERROR(__xludf.DUMMYFUNCTION("""COMPUTED_VALUE"""),"Fenoxaprop-P-Ethyl")</f>
        <v>Fenoxaprop-P-Ethyl</v>
      </c>
      <c r="B2891" t="str">
        <f ca="1">IFERROR(__xludf.DUMMYFUNCTION("""COMPUTED_VALUE"""),"RF-0681-001-PPP")</f>
        <v>RF-0681-001-PPP</v>
      </c>
    </row>
    <row r="2892" spans="1:2" ht="12.5" x14ac:dyDescent="0.25">
      <c r="A2892" t="str">
        <f ca="1">IFERROR(__xludf.DUMMYFUNCTION("""COMPUTED_VALUE"""),"Fenoxycarb")</f>
        <v>Fenoxycarb</v>
      </c>
      <c r="B2892" t="str">
        <f ca="1">IFERROR(__xludf.DUMMYFUNCTION("""COMPUTED_VALUE"""),"RF-00000154-VET")</f>
        <v>RF-00000154-VET</v>
      </c>
    </row>
    <row r="2893" spans="1:2" ht="12.5" x14ac:dyDescent="0.25">
      <c r="A2893" t="str">
        <f ca="1">IFERROR(__xludf.DUMMYFUNCTION("""COMPUTED_VALUE"""),"Fenoxycarb")</f>
        <v>Fenoxycarb</v>
      </c>
      <c r="B2893" t="str">
        <f ca="1">IFERROR(__xludf.DUMMYFUNCTION("""COMPUTED_VALUE"""),"RF-0182-001-PPP")</f>
        <v>RF-0182-001-PPP</v>
      </c>
    </row>
    <row r="2894" spans="1:2" ht="12.5" x14ac:dyDescent="0.25">
      <c r="A2894" t="str">
        <f ca="1">IFERROR(__xludf.DUMMYFUNCTION("""COMPUTED_VALUE"""),"Fenpiclonil")</f>
        <v>Fenpiclonil</v>
      </c>
      <c r="B2894" t="str">
        <f ca="1">IFERROR(__xludf.DUMMYFUNCTION("""COMPUTED_VALUE"""),"RF-0682-001-PPP")</f>
        <v>RF-0682-001-PPP</v>
      </c>
    </row>
    <row r="2895" spans="1:2" ht="12.5" x14ac:dyDescent="0.25">
      <c r="A2895" t="str">
        <f ca="1">IFERROR(__xludf.DUMMYFUNCTION("""COMPUTED_VALUE"""),"Fenpropathrin")</f>
        <v>Fenpropathrin</v>
      </c>
      <c r="B2895" t="str">
        <f ca="1">IFERROR(__xludf.DUMMYFUNCTION("""COMPUTED_VALUE"""),"RF-00000153-VET")</f>
        <v>RF-00000153-VET</v>
      </c>
    </row>
    <row r="2896" spans="1:2" ht="12.5" x14ac:dyDescent="0.25">
      <c r="A2896" t="str">
        <f ca="1">IFERROR(__xludf.DUMMYFUNCTION("""COMPUTED_VALUE"""),"Fenpropathrin")</f>
        <v>Fenpropathrin</v>
      </c>
      <c r="B2896" t="str">
        <f ca="1">IFERROR(__xludf.DUMMYFUNCTION("""COMPUTED_VALUE"""),"RF-0183-001-PPP")</f>
        <v>RF-0183-001-PPP</v>
      </c>
    </row>
    <row r="2897" spans="1:2" ht="12.5" x14ac:dyDescent="0.25">
      <c r="A2897" t="str">
        <f ca="1">IFERROR(__xludf.DUMMYFUNCTION("""COMPUTED_VALUE"""),"Fenpropidin")</f>
        <v>Fenpropidin</v>
      </c>
      <c r="B2897" t="str">
        <f ca="1">IFERROR(__xludf.DUMMYFUNCTION("""COMPUTED_VALUE"""),"RF-0184-001-PPP")</f>
        <v>RF-0184-001-PPP</v>
      </c>
    </row>
    <row r="2898" spans="1:2" ht="12.5" x14ac:dyDescent="0.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x14ac:dyDescent="0.25">
      <c r="A2899" t="str">
        <f ca="1">IFERROR(__xludf.DUMMYFUNCTION("""COMPUTED_VALUE"""),"Fenpropimorph")</f>
        <v>Fenpropimorph</v>
      </c>
      <c r="B2899" t="str">
        <f ca="1">IFERROR(__xludf.DUMMYFUNCTION("""COMPUTED_VALUE"""),"RF-0185-001-PPP")</f>
        <v>RF-0185-001-PPP</v>
      </c>
    </row>
    <row r="2900" spans="1:2" ht="12.5" x14ac:dyDescent="0.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x14ac:dyDescent="0.25">
      <c r="A2901" t="str">
        <f ca="1">IFERROR(__xludf.DUMMYFUNCTION("""COMPUTED_VALUE"""),"Fenpyroximate")</f>
        <v>Fenpyroximate</v>
      </c>
      <c r="B2901" t="str">
        <f ca="1">IFERROR(__xludf.DUMMYFUNCTION("""COMPUTED_VALUE"""),"RF-0186-001-PPP")</f>
        <v>RF-0186-001-PPP</v>
      </c>
    </row>
    <row r="2902" spans="1:2" ht="12.5" x14ac:dyDescent="0.25">
      <c r="A2902" t="str">
        <f ca="1">IFERROR(__xludf.DUMMYFUNCTION("""COMPUTED_VALUE"""),"Fenridazon")</f>
        <v>Fenridazon</v>
      </c>
      <c r="B2902" t="str">
        <f ca="1">IFERROR(__xludf.DUMMYFUNCTION("""COMPUTED_VALUE"""),"RF-0683-001-PPP")</f>
        <v>RF-0683-001-PPP</v>
      </c>
    </row>
    <row r="2903" spans="1:2" ht="12.5" x14ac:dyDescent="0.25">
      <c r="A2903" t="str">
        <f ca="1">IFERROR(__xludf.DUMMYFUNCTION("""COMPUTED_VALUE"""),"Fenson")</f>
        <v>Fenson</v>
      </c>
      <c r="B2903" t="str">
        <f ca="1">IFERROR(__xludf.DUMMYFUNCTION("""COMPUTED_VALUE"""),"RF-0684-001-PPP")</f>
        <v>RF-0684-001-PPP</v>
      </c>
    </row>
    <row r="2904" spans="1:2" ht="12.5" x14ac:dyDescent="0.25">
      <c r="A2904" t="str">
        <f ca="1">IFERROR(__xludf.DUMMYFUNCTION("""COMPUTED_VALUE"""),"Fensulfothion")</f>
        <v>Fensulfothion</v>
      </c>
      <c r="B2904" t="str">
        <f ca="1">IFERROR(__xludf.DUMMYFUNCTION("""COMPUTED_VALUE"""),"RF-0685-002-PPP")</f>
        <v>RF-0685-002-PPP</v>
      </c>
    </row>
    <row r="2905" spans="1:2" ht="12.5" x14ac:dyDescent="0.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x14ac:dyDescent="0.25">
      <c r="A2906" t="str">
        <f ca="1">IFERROR(__xludf.DUMMYFUNCTION("""COMPUTED_VALUE"""),"Fensulfothion oxon")</f>
        <v>Fensulfothion oxon</v>
      </c>
      <c r="B2906" t="str">
        <f ca="1">IFERROR(__xludf.DUMMYFUNCTION("""COMPUTED_VALUE"""),"RF-0685-004-PPP")</f>
        <v>RF-0685-004-PPP</v>
      </c>
    </row>
    <row r="2907" spans="1:2" ht="12.5" x14ac:dyDescent="0.25">
      <c r="A2907" t="str">
        <f ca="1">IFERROR(__xludf.DUMMYFUNCTION("""COMPUTED_VALUE"""),"Fensulfothion-oxon-sulphone")</f>
        <v>Fensulfothion-oxon-sulphone</v>
      </c>
      <c r="B2907" t="str">
        <f ca="1">IFERROR(__xludf.DUMMYFUNCTION("""COMPUTED_VALUE"""),"RF-0685-005-PPP")</f>
        <v>RF-0685-005-PPP</v>
      </c>
    </row>
    <row r="2908" spans="1:2" ht="12.5" x14ac:dyDescent="0.25">
      <c r="A2908" t="str">
        <f ca="1">IFERROR(__xludf.DUMMYFUNCTION("""COMPUTED_VALUE"""),"Fensulfothion-sulfon")</f>
        <v>Fensulfothion-sulfon</v>
      </c>
      <c r="B2908" t="str">
        <f ca="1">IFERROR(__xludf.DUMMYFUNCTION("""COMPUTED_VALUE"""),"RF-0685-003-PPP")</f>
        <v>RF-0685-003-PPP</v>
      </c>
    </row>
    <row r="2909" spans="1:2" ht="12.5" x14ac:dyDescent="0.25">
      <c r="A2909" t="str">
        <f ca="1">IFERROR(__xludf.DUMMYFUNCTION("""COMPUTED_VALUE"""),"Fenthion")</f>
        <v>Fenthion</v>
      </c>
      <c r="B2909" t="str">
        <f ca="1">IFERROR(__xludf.DUMMYFUNCTION("""COMPUTED_VALUE"""),"RF-0187-006-PPP")</f>
        <v>RF-0187-006-PPP</v>
      </c>
    </row>
    <row r="2910" spans="1:2" ht="12.5" x14ac:dyDescent="0.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x14ac:dyDescent="0.25">
      <c r="A2911" t="str">
        <f ca="1">IFERROR(__xludf.DUMMYFUNCTION("""COMPUTED_VALUE"""),"Fenthion oxon sulfone")</f>
        <v>Fenthion oxon sulfone</v>
      </c>
      <c r="B2911" t="str">
        <f ca="1">IFERROR(__xludf.DUMMYFUNCTION("""COMPUTED_VALUE"""),"RF-0187-007-PPP")</f>
        <v>RF-0187-007-PPP</v>
      </c>
    </row>
    <row r="2912" spans="1:2" ht="12.5" x14ac:dyDescent="0.25">
      <c r="A2912" t="str">
        <f ca="1">IFERROR(__xludf.DUMMYFUNCTION("""COMPUTED_VALUE"""),"Fenthion-Oxon")</f>
        <v>Fenthion-Oxon</v>
      </c>
      <c r="B2912" t="str">
        <f ca="1">IFERROR(__xludf.DUMMYFUNCTION("""COMPUTED_VALUE"""),"RF-0187-004-PPP")</f>
        <v>RF-0187-004-PPP</v>
      </c>
    </row>
    <row r="2913" spans="1:2" ht="12.5" x14ac:dyDescent="0.25">
      <c r="A2913" t="str">
        <f ca="1">IFERROR(__xludf.DUMMYFUNCTION("""COMPUTED_VALUE"""),"Fenthion-Oxonsulfoxide")</f>
        <v>Fenthion-Oxonsulfoxide</v>
      </c>
      <c r="B2913" t="str">
        <f ca="1">IFERROR(__xludf.DUMMYFUNCTION("""COMPUTED_VALUE"""),"RF-0187-005-PPP")</f>
        <v>RF-0187-005-PPP</v>
      </c>
    </row>
    <row r="2914" spans="1:2" ht="12.5" x14ac:dyDescent="0.25">
      <c r="A2914" t="str">
        <f ca="1">IFERROR(__xludf.DUMMYFUNCTION("""COMPUTED_VALUE"""),"Fenthion-Sulfon")</f>
        <v>Fenthion-Sulfon</v>
      </c>
      <c r="B2914" t="str">
        <f ca="1">IFERROR(__xludf.DUMMYFUNCTION("""COMPUTED_VALUE"""),"RF-0187-003-PPP")</f>
        <v>RF-0187-003-PPP</v>
      </c>
    </row>
    <row r="2915" spans="1:2" ht="12.5" x14ac:dyDescent="0.25">
      <c r="A2915" t="str">
        <f ca="1">IFERROR(__xludf.DUMMYFUNCTION("""COMPUTED_VALUE"""),"Fenthion-Sulfoxide")</f>
        <v>Fenthion-Sulfoxide</v>
      </c>
      <c r="B2915" t="str">
        <f ca="1">IFERROR(__xludf.DUMMYFUNCTION("""COMPUTED_VALUE"""),"RF-0187-002-PPP")</f>
        <v>RF-0187-002-PPP</v>
      </c>
    </row>
    <row r="2916" spans="1:2" ht="12.5" x14ac:dyDescent="0.25">
      <c r="A2916" t="str">
        <f ca="1">IFERROR(__xludf.DUMMYFUNCTION("""COMPUTED_VALUE"""),"Fentin acetate")</f>
        <v>Fentin acetate</v>
      </c>
      <c r="B2916" t="str">
        <f ca="1">IFERROR(__xludf.DUMMYFUNCTION("""COMPUTED_VALUE"""),"RF-0188-001-PPP")</f>
        <v>RF-0188-001-PPP</v>
      </c>
    </row>
    <row r="2917" spans="1:2" ht="12.5" x14ac:dyDescent="0.25">
      <c r="A2917" t="str">
        <f ca="1">IFERROR(__xludf.DUMMYFUNCTION("""COMPUTED_VALUE"""),"Fentin hydroxide")</f>
        <v>Fentin hydroxide</v>
      </c>
      <c r="B2917" t="str">
        <f ca="1">IFERROR(__xludf.DUMMYFUNCTION("""COMPUTED_VALUE"""),"RF-0189-001-PPP")</f>
        <v>RF-0189-001-PPP</v>
      </c>
    </row>
    <row r="2918" spans="1:2" ht="12.5" x14ac:dyDescent="0.25">
      <c r="A2918" t="str">
        <f ca="1">IFERROR(__xludf.DUMMYFUNCTION("""COMPUTED_VALUE"""),"Fentin, expressed as triphenlytin cation")</f>
        <v>Fentin, expressed as triphenlytin cation</v>
      </c>
      <c r="B2918" t="str">
        <f ca="1">IFERROR(__xludf.DUMMYFUNCTION("""COMPUTED_VALUE"""),"RF-0687-001-PPP")</f>
        <v>RF-0687-001-PPP</v>
      </c>
    </row>
    <row r="2919" spans="1:2" ht="12.5" x14ac:dyDescent="0.25">
      <c r="A2919" t="str">
        <f ca="1">IFERROR(__xludf.DUMMYFUNCTION("""COMPUTED_VALUE"""),"Fentrazamide")</f>
        <v>Fentrazamide</v>
      </c>
      <c r="B2919" t="str">
        <f ca="1">IFERROR(__xludf.DUMMYFUNCTION("""COMPUTED_VALUE"""),"RF-0688-001-PPP")</f>
        <v>RF-0688-001-PPP</v>
      </c>
    </row>
    <row r="2920" spans="1:2" ht="12.5" x14ac:dyDescent="0.25">
      <c r="A2920" t="str">
        <f ca="1">IFERROR(__xludf.DUMMYFUNCTION("""COMPUTED_VALUE"""),"Fenuron")</f>
        <v>Fenuron</v>
      </c>
      <c r="B2920" t="str">
        <f ca="1">IFERROR(__xludf.DUMMYFUNCTION("""COMPUTED_VALUE"""),"RF-0689-001-PPP")</f>
        <v>RF-0689-001-PPP</v>
      </c>
    </row>
    <row r="2921" spans="1:2" ht="12.5" x14ac:dyDescent="0.25">
      <c r="A2921" t="str">
        <f ca="1">IFERROR(__xludf.DUMMYFUNCTION("""COMPUTED_VALUE"""),"Fenvalerate")</f>
        <v>Fenvalerate</v>
      </c>
      <c r="B2921" t="str">
        <f ca="1">IFERROR(__xludf.DUMMYFUNCTION("""COMPUTED_VALUE"""),"RF-0973-001-PPP")</f>
        <v>RF-0973-001-PPP</v>
      </c>
    </row>
    <row r="2922" spans="1:2" ht="12.5" x14ac:dyDescent="0.25">
      <c r="A2922" t="str">
        <f ca="1">IFERROR(__xludf.DUMMYFUNCTION("""COMPUTED_VALUE"""),"Fenvalerate")</f>
        <v>Fenvalerate</v>
      </c>
      <c r="B2922" t="str">
        <f ca="1">IFERROR(__xludf.DUMMYFUNCTION("""COMPUTED_VALUE"""),"RF-0690-002-PPP")</f>
        <v>RF-0690-002-PPP</v>
      </c>
    </row>
    <row r="2923" spans="1:2" ht="12.5" x14ac:dyDescent="0.25">
      <c r="A2923" t="str">
        <f ca="1">IFERROR(__xludf.DUMMYFUNCTION("""COMPUTED_VALUE"""),"Fenvalerate (sum of RR, SS, RS and SR isomers)")</f>
        <v>Fenvalerate (sum of RR, SS, RS and SR isomers)</v>
      </c>
      <c r="B2923" t="str">
        <f ca="1">IFERROR(__xludf.DUMMYFUNCTION("""COMPUTED_VALUE"""),"RF-00000149-VET")</f>
        <v>RF-00000149-VET</v>
      </c>
    </row>
    <row r="2924" spans="1:2" ht="12.5" x14ac:dyDescent="0.25">
      <c r="A2924" t="str">
        <f ca="1">IFERROR(__xludf.DUMMYFUNCTION("""COMPUTED_VALUE"""),"Fenvalerate (sum of RR, SS, RS and SR isomers)")</f>
        <v>Fenvalerate (sum of RR, SS, RS and SR isomers)</v>
      </c>
      <c r="B2924" t="str">
        <f ca="1">IFERROR(__xludf.DUMMYFUNCTION("""COMPUTED_VALUE"""),"RF-0690-006-PPP")</f>
        <v>RF-0690-006-PPP</v>
      </c>
    </row>
    <row r="2925" spans="1:2" ht="12.5" x14ac:dyDescent="0.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x14ac:dyDescent="0.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x14ac:dyDescent="0.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x14ac:dyDescent="0.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x14ac:dyDescent="0.25">
      <c r="A2929" t="str">
        <f ca="1">IFERROR(__xludf.DUMMYFUNCTION("""COMPUTED_VALUE"""),"Fenvalerate-Esfenvalerate (sum)")</f>
        <v>Fenvalerate-Esfenvalerate (sum)</v>
      </c>
      <c r="B2929" t="str">
        <f ca="1">IFERROR(__xludf.DUMMYFUNCTION("""COMPUTED_VALUE"""),"RF-0690-001-PPP")</f>
        <v>RF-0690-001-PPP</v>
      </c>
    </row>
    <row r="2930" spans="1:2" ht="12.5" x14ac:dyDescent="0.25">
      <c r="A2930" t="str">
        <f ca="1">IFERROR(__xludf.DUMMYFUNCTION("""COMPUTED_VALUE"""),"Ferbam")</f>
        <v>Ferbam</v>
      </c>
      <c r="B2930" t="str">
        <f ca="1">IFERROR(__xludf.DUMMYFUNCTION("""COMPUTED_VALUE"""),"RF-0691-001-PPP")</f>
        <v>RF-0691-001-PPP</v>
      </c>
    </row>
    <row r="2931" spans="1:2" ht="12.5" x14ac:dyDescent="0.25">
      <c r="A2931" t="str">
        <f ca="1">IFERROR(__xludf.DUMMYFUNCTION("""COMPUTED_VALUE"""),"Ferrous gluconate")</f>
        <v>Ferrous gluconate</v>
      </c>
      <c r="B2931" t="str">
        <f ca="1">IFERROR(__xludf.DUMMYFUNCTION("""COMPUTED_VALUE"""),"RF-00000132-ADD")</f>
        <v>RF-00000132-ADD</v>
      </c>
    </row>
    <row r="2932" spans="1:2" ht="12.5" x14ac:dyDescent="0.25">
      <c r="A2932" t="str">
        <f ca="1">IFERROR(__xludf.DUMMYFUNCTION("""COMPUTED_VALUE"""),"Ferrous lactate")</f>
        <v>Ferrous lactate</v>
      </c>
      <c r="B2932" t="str">
        <f ca="1">IFERROR(__xludf.DUMMYFUNCTION("""COMPUTED_VALUE"""),"RF-00000133-ADD")</f>
        <v>RF-00000133-ADD</v>
      </c>
    </row>
    <row r="2933" spans="1:2" ht="12.5" x14ac:dyDescent="0.25">
      <c r="A2933" t="str">
        <f ca="1">IFERROR(__xludf.DUMMYFUNCTION("""COMPUTED_VALUE"""),"Festuclavine")</f>
        <v>Festuclavine</v>
      </c>
      <c r="B2933" t="str">
        <f ca="1">IFERROR(__xludf.DUMMYFUNCTION("""COMPUTED_VALUE"""),"RF-00000392-TOX")</f>
        <v>RF-00000392-TOX</v>
      </c>
    </row>
    <row r="2934" spans="1:2" ht="12.5" x14ac:dyDescent="0.25">
      <c r="A2934" t="str">
        <f ca="1">IFERROR(__xludf.DUMMYFUNCTION("""COMPUTED_VALUE"""),"fibre, crude")</f>
        <v>fibre, crude</v>
      </c>
      <c r="B2934" t="str">
        <f ca="1">IFERROR(__xludf.DUMMYFUNCTION("""COMPUTED_VALUE"""),"RF-00000283-NTR")</f>
        <v>RF-00000283-NTR</v>
      </c>
    </row>
    <row r="2935" spans="1:2" ht="12.5" x14ac:dyDescent="0.25">
      <c r="A2935" t="str">
        <f ca="1">IFERROR(__xludf.DUMMYFUNCTION("""COMPUTED_VALUE"""),"fibre, total dietary")</f>
        <v>fibre, total dietary</v>
      </c>
      <c r="B2935" t="str">
        <f ca="1">IFERROR(__xludf.DUMMYFUNCTION("""COMPUTED_VALUE"""),"RF-00000284-NTR")</f>
        <v>RF-00000284-NTR</v>
      </c>
    </row>
    <row r="2936" spans="1:2" ht="12.5" x14ac:dyDescent="0.25">
      <c r="A2936" t="str">
        <f ca="1">IFERROR(__xludf.DUMMYFUNCTION("""COMPUTED_VALUE"""),"fibre, water-insoluble")</f>
        <v>fibre, water-insoluble</v>
      </c>
      <c r="B2936" t="str">
        <f ca="1">IFERROR(__xludf.DUMMYFUNCTION("""COMPUTED_VALUE"""),"RF-00000285-NTR")</f>
        <v>RF-00000285-NTR</v>
      </c>
    </row>
    <row r="2937" spans="1:2" ht="12.5" x14ac:dyDescent="0.25">
      <c r="A2937" t="str">
        <f ca="1">IFERROR(__xludf.DUMMYFUNCTION("""COMPUTED_VALUE"""),"fibre, water-soluble")</f>
        <v>fibre, water-soluble</v>
      </c>
      <c r="B2937" t="str">
        <f ca="1">IFERROR(__xludf.DUMMYFUNCTION("""COMPUTED_VALUE"""),"RF-00000286-NTR")</f>
        <v>RF-00000286-NTR</v>
      </c>
    </row>
    <row r="2938" spans="1:2" ht="12.5" x14ac:dyDescent="0.25">
      <c r="A2938" t="str">
        <f ca="1">IFERROR(__xludf.DUMMYFUNCTION("""COMPUTED_VALUE"""),"Fipronil")</f>
        <v>Fipronil</v>
      </c>
      <c r="B2938" t="str">
        <f ca="1">IFERROR(__xludf.DUMMYFUNCTION("""COMPUTED_VALUE"""),"RF-0192-003-PPP")</f>
        <v>RF-0192-003-PPP</v>
      </c>
    </row>
    <row r="2939" spans="1:2" ht="12.5" x14ac:dyDescent="0.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x14ac:dyDescent="0.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x14ac:dyDescent="0.25">
      <c r="A2941" t="str">
        <f ca="1">IFERROR(__xludf.DUMMYFUNCTION("""COMPUTED_VALUE"""),"Fipronil-Desulfinyl")</f>
        <v>Fipronil-Desulfinyl</v>
      </c>
      <c r="B2941" t="str">
        <f ca="1">IFERROR(__xludf.DUMMYFUNCTION("""COMPUTED_VALUE"""),"RF-0692-002-PPP")</f>
        <v>RF-0692-002-PPP</v>
      </c>
    </row>
    <row r="2942" spans="1:2" ht="12.5" x14ac:dyDescent="0.25">
      <c r="A2942" t="str">
        <f ca="1">IFERROR(__xludf.DUMMYFUNCTION("""COMPUTED_VALUE"""),"Fipronil-Sulfide")</f>
        <v>Fipronil-Sulfide</v>
      </c>
      <c r="B2942" t="str">
        <f ca="1">IFERROR(__xludf.DUMMYFUNCTION("""COMPUTED_VALUE"""),"RF-0693-001-PPP")</f>
        <v>RF-0693-001-PPP</v>
      </c>
    </row>
    <row r="2943" spans="1:2" ht="12.5" x14ac:dyDescent="0.25">
      <c r="A2943" t="str">
        <f ca="1">IFERROR(__xludf.DUMMYFUNCTION("""COMPUTED_VALUE"""),"Fipronil-Sulfone")</f>
        <v>Fipronil-Sulfone</v>
      </c>
      <c r="B2943" t="str">
        <f ca="1">IFERROR(__xludf.DUMMYFUNCTION("""COMPUTED_VALUE"""),"RF-0192-002-PPP")</f>
        <v>RF-0192-002-PPP</v>
      </c>
    </row>
    <row r="2944" spans="1:2" ht="12.5" x14ac:dyDescent="0.25">
      <c r="A2944" t="str">
        <f ca="1">IFERROR(__xludf.DUMMYFUNCTION("""COMPUTED_VALUE"""),"Firocoxib")</f>
        <v>Firocoxib</v>
      </c>
      <c r="B2944" t="str">
        <f ca="1">IFERROR(__xludf.DUMMYFUNCTION("""COMPUTED_VALUE"""),"RF-00000210-VET")</f>
        <v>RF-00000210-VET</v>
      </c>
    </row>
    <row r="2945" spans="1:2" ht="12.5" x14ac:dyDescent="0.25">
      <c r="A2945" t="str">
        <f ca="1">IFERROR(__xludf.DUMMYFUNCTION("""COMPUTED_VALUE"""),"Flamprop")</f>
        <v>Flamprop</v>
      </c>
      <c r="B2945" t="str">
        <f ca="1">IFERROR(__xludf.DUMMYFUNCTION("""COMPUTED_VALUE"""),"RF-1046-001-PPP")</f>
        <v>RF-1046-001-PPP</v>
      </c>
    </row>
    <row r="2946" spans="1:2" ht="12.5" x14ac:dyDescent="0.25">
      <c r="A2946" t="str">
        <f ca="1">IFERROR(__xludf.DUMMYFUNCTION("""COMPUTED_VALUE"""),"Flamprop-isopropyl")</f>
        <v>Flamprop-isopropyl</v>
      </c>
      <c r="B2946" t="str">
        <f ca="1">IFERROR(__xludf.DUMMYFUNCTION("""COMPUTED_VALUE"""),"RF-1047-001-PPP")</f>
        <v>RF-1047-001-PPP</v>
      </c>
    </row>
    <row r="2947" spans="1:2" ht="12.5" x14ac:dyDescent="0.25">
      <c r="A2947" t="str">
        <f ca="1">IFERROR(__xludf.DUMMYFUNCTION("""COMPUTED_VALUE"""),"Flamprop-M-Isopropyl")</f>
        <v>Flamprop-M-Isopropyl</v>
      </c>
      <c r="B2947" t="str">
        <f ca="1">IFERROR(__xludf.DUMMYFUNCTION("""COMPUTED_VALUE"""),"RF-0694-001-PPP")</f>
        <v>RF-0694-001-PPP</v>
      </c>
    </row>
    <row r="2948" spans="1:2" ht="12.5" x14ac:dyDescent="0.25">
      <c r="A2948" t="str">
        <f ca="1">IFERROR(__xludf.DUMMYFUNCTION("""COMPUTED_VALUE"""),"Flamprop-M-Methyl")</f>
        <v>Flamprop-M-Methyl</v>
      </c>
      <c r="B2948" t="str">
        <f ca="1">IFERROR(__xludf.DUMMYFUNCTION("""COMPUTED_VALUE"""),"RF-0695-001-PPP")</f>
        <v>RF-0695-001-PPP</v>
      </c>
    </row>
    <row r="2949" spans="1:2" ht="12.5" x14ac:dyDescent="0.25">
      <c r="A2949" t="str">
        <f ca="1">IFERROR(__xludf.DUMMYFUNCTION("""COMPUTED_VALUE"""),"Flamprop-methyl")</f>
        <v>Flamprop-methyl</v>
      </c>
      <c r="B2949" t="str">
        <f ca="1">IFERROR(__xludf.DUMMYFUNCTION("""COMPUTED_VALUE"""),"RF-1048-001-PPP")</f>
        <v>RF-1048-001-PPP</v>
      </c>
    </row>
    <row r="2950" spans="1:2" ht="12.5" x14ac:dyDescent="0.25">
      <c r="A2950" t="str">
        <f ca="1">IFERROR(__xludf.DUMMYFUNCTION("""COMPUTED_VALUE"""),"Flavivirus")</f>
        <v>Flavivirus</v>
      </c>
      <c r="B2950" t="str">
        <f ca="1">IFERROR(__xludf.DUMMYFUNCTION("""COMPUTED_VALUE"""),"RF-00000216-MCG")</f>
        <v>RF-00000216-MCG</v>
      </c>
    </row>
    <row r="2951" spans="1:2" ht="12.5" x14ac:dyDescent="0.25">
      <c r="A2951" t="str">
        <f ca="1">IFERROR(__xludf.DUMMYFUNCTION("""COMPUTED_VALUE"""),"Flavivirus")</f>
        <v>Flavivirus</v>
      </c>
      <c r="B2951" t="str">
        <f ca="1">IFERROR(__xludf.DUMMYFUNCTION("""COMPUTED_VALUE"""),"RF-00000215-MCG")</f>
        <v>RF-00000215-MCG</v>
      </c>
    </row>
    <row r="2952" spans="1:2" ht="12.5" x14ac:dyDescent="0.25">
      <c r="A2952" t="str">
        <f ca="1">IFERROR(__xludf.DUMMYFUNCTION("""COMPUTED_VALUE"""),"Flavivirus")</f>
        <v>Flavivirus</v>
      </c>
      <c r="B2952" t="str">
        <f ca="1">IFERROR(__xludf.DUMMYFUNCTION("""COMPUTED_VALUE"""),"RF-00003896-MCG")</f>
        <v>RF-00003896-MCG</v>
      </c>
    </row>
    <row r="2953" spans="1:2" ht="12.5" x14ac:dyDescent="0.25">
      <c r="A2953" t="str">
        <f ca="1">IFERROR(__xludf.DUMMYFUNCTION("""COMPUTED_VALUE"""),"Flavivirus dengue virus")</f>
        <v>Flavivirus dengue virus</v>
      </c>
      <c r="B2953" t="str">
        <f ca="1">IFERROR(__xludf.DUMMYFUNCTION("""COMPUTED_VALUE"""),"RF-00002631-MCG")</f>
        <v>RF-00002631-MCG</v>
      </c>
    </row>
    <row r="2954" spans="1:2" ht="12.5" x14ac:dyDescent="0.25">
      <c r="A2954" t="str">
        <f ca="1">IFERROR(__xludf.DUMMYFUNCTION("""COMPUTED_VALUE"""),"Flavivirus Japanese encephalitis virus")</f>
        <v>Flavivirus Japanese encephalitis virus</v>
      </c>
      <c r="B2954" t="str">
        <f ca="1">IFERROR(__xludf.DUMMYFUNCTION("""COMPUTED_VALUE"""),"RF-00002632-MCG")</f>
        <v>RF-00002632-MCG</v>
      </c>
    </row>
    <row r="2955" spans="1:2" ht="12.5" x14ac:dyDescent="0.25">
      <c r="A2955" t="str">
        <f ca="1">IFERROR(__xludf.DUMMYFUNCTION("""COMPUTED_VALUE"""),"Flavivirus Kyasanur forest disease virus")</f>
        <v>Flavivirus Kyasanur forest disease virus</v>
      </c>
      <c r="B2955" t="str">
        <f ca="1">IFERROR(__xludf.DUMMYFUNCTION("""COMPUTED_VALUE"""),"RF-00002643-MCG")</f>
        <v>RF-00002643-MCG</v>
      </c>
    </row>
    <row r="2956" spans="1:2" ht="12.5" x14ac:dyDescent="0.25">
      <c r="A2956" t="str">
        <f ca="1">IFERROR(__xludf.DUMMYFUNCTION("""COMPUTED_VALUE"""),"Flavivirus Langat virus")</f>
        <v>Flavivirus Langat virus</v>
      </c>
      <c r="B2956" t="str">
        <f ca="1">IFERROR(__xludf.DUMMYFUNCTION("""COMPUTED_VALUE"""),"RF-00002640-MCG")</f>
        <v>RF-00002640-MCG</v>
      </c>
    </row>
    <row r="2957" spans="1:2" ht="12.5" x14ac:dyDescent="0.25">
      <c r="A2957" t="str">
        <f ca="1">IFERROR(__xludf.DUMMYFUNCTION("""COMPUTED_VALUE"""),"Flavivirus Louping ill virus")</f>
        <v>Flavivirus Louping ill virus</v>
      </c>
      <c r="B2957" t="str">
        <f ca="1">IFERROR(__xludf.DUMMYFUNCTION("""COMPUTED_VALUE"""),"RF-00002639-MCG")</f>
        <v>RF-00002639-MCG</v>
      </c>
    </row>
    <row r="2958" spans="1:2" ht="12.5" x14ac:dyDescent="0.25">
      <c r="A2958" t="str">
        <f ca="1">IFERROR(__xludf.DUMMYFUNCTION("""COMPUTED_VALUE"""),"Flavivirus Omsk haemorrhagic fever virus")</f>
        <v>Flavivirus Omsk haemorrhagic fever virus</v>
      </c>
      <c r="B2958" t="str">
        <f ca="1">IFERROR(__xludf.DUMMYFUNCTION("""COMPUTED_VALUE"""),"RF-00002642-MCG")</f>
        <v>RF-00002642-MCG</v>
      </c>
    </row>
    <row r="2959" spans="1:2" ht="12.5" x14ac:dyDescent="0.25">
      <c r="A2959" t="str">
        <f ca="1">IFERROR(__xludf.DUMMYFUNCTION("""COMPUTED_VALUE"""),"Flavivirus Powassan virus")</f>
        <v>Flavivirus Powassan virus</v>
      </c>
      <c r="B2959" t="str">
        <f ca="1">IFERROR(__xludf.DUMMYFUNCTION("""COMPUTED_VALUE"""),"RF-00002641-MCG")</f>
        <v>RF-00002641-MCG</v>
      </c>
    </row>
    <row r="2960" spans="1:2" ht="12.5" x14ac:dyDescent="0.25">
      <c r="A2960" t="str">
        <f ca="1">IFERROR(__xludf.DUMMYFUNCTION("""COMPUTED_VALUE"""),"Flavivirus St. Louis encephalitis virus")</f>
        <v>Flavivirus St. Louis encephalitis virus</v>
      </c>
      <c r="B2960" t="str">
        <f ca="1">IFERROR(__xludf.DUMMYFUNCTION("""COMPUTED_VALUE"""),"RF-00002634-MCG")</f>
        <v>RF-00002634-MCG</v>
      </c>
    </row>
    <row r="2961" spans="1:2" ht="12.5" x14ac:dyDescent="0.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x14ac:dyDescent="0.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x14ac:dyDescent="0.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x14ac:dyDescent="0.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x14ac:dyDescent="0.25">
      <c r="A2965" t="str">
        <f ca="1">IFERROR(__xludf.DUMMYFUNCTION("""COMPUTED_VALUE"""),"Flavivirus West Nile virus")</f>
        <v>Flavivirus West Nile virus</v>
      </c>
      <c r="B2965" t="str">
        <f ca="1">IFERROR(__xludf.DUMMYFUNCTION("""COMPUTED_VALUE"""),"RF-00002664-MCG")</f>
        <v>RF-00002664-MCG</v>
      </c>
    </row>
    <row r="2966" spans="1:2" ht="12.5" x14ac:dyDescent="0.25">
      <c r="A2966" t="str">
        <f ca="1">IFERROR(__xludf.DUMMYFUNCTION("""COMPUTED_VALUE"""),"Flavivirus yellow fever virus")</f>
        <v>Flavivirus yellow fever virus</v>
      </c>
      <c r="B2966" t="str">
        <f ca="1">IFERROR(__xludf.DUMMYFUNCTION("""COMPUTED_VALUE"""),"RF-00002633-MCG")</f>
        <v>RF-00002633-MCG</v>
      </c>
    </row>
    <row r="2967" spans="1:2" ht="12.5" x14ac:dyDescent="0.25">
      <c r="A2967" t="str">
        <f ca="1">IFERROR(__xludf.DUMMYFUNCTION("""COMPUTED_VALUE"""),"Flavivirus, unspecified")</f>
        <v>Flavivirus, unspecified</v>
      </c>
      <c r="B2967" t="str">
        <f ca="1">IFERROR(__xludf.DUMMYFUNCTION("""COMPUTED_VALUE"""),"RF-00000217-MCG")</f>
        <v>RF-00000217-MCG</v>
      </c>
    </row>
    <row r="2968" spans="1:2" ht="12.5" x14ac:dyDescent="0.25">
      <c r="A2968" t="str">
        <f ca="1">IFERROR(__xludf.DUMMYFUNCTION("""COMPUTED_VALUE"""),"Flavonoids")</f>
        <v>Flavonoids</v>
      </c>
      <c r="B2968" t="str">
        <f ca="1">IFERROR(__xludf.DUMMYFUNCTION("""COMPUTED_VALUE"""),"RF-00000437-NTR")</f>
        <v>RF-00000437-NTR</v>
      </c>
    </row>
    <row r="2969" spans="1:2" ht="12.5" x14ac:dyDescent="0.25">
      <c r="A2969" t="str">
        <f ca="1">IFERROR(__xludf.DUMMYFUNCTION("""COMPUTED_VALUE"""),"Flavophospholipol")</f>
        <v>Flavophospholipol</v>
      </c>
      <c r="B2969" t="str">
        <f ca="1">IFERROR(__xludf.DUMMYFUNCTION("""COMPUTED_VALUE"""),"RF-00000673-VET")</f>
        <v>RF-00000673-VET</v>
      </c>
    </row>
    <row r="2970" spans="1:2" ht="12.5" x14ac:dyDescent="0.25">
      <c r="A2970" t="str">
        <f ca="1">IFERROR(__xludf.DUMMYFUNCTION("""COMPUTED_VALUE"""),"Flazasulfuron")</f>
        <v>Flazasulfuron</v>
      </c>
      <c r="B2970" t="str">
        <f ca="1">IFERROR(__xludf.DUMMYFUNCTION("""COMPUTED_VALUE"""),"RF-0193-001-PPP")</f>
        <v>RF-0193-001-PPP</v>
      </c>
    </row>
    <row r="2971" spans="1:2" ht="12.5" x14ac:dyDescent="0.25">
      <c r="A2971" t="str">
        <f ca="1">IFERROR(__xludf.DUMMYFUNCTION("""COMPUTED_VALUE"""),"Flerobuterol")</f>
        <v>Flerobuterol</v>
      </c>
      <c r="B2971" t="str">
        <f ca="1">IFERROR(__xludf.DUMMYFUNCTION("""COMPUTED_VALUE"""),"RF-00000463-VET")</f>
        <v>RF-00000463-VET</v>
      </c>
    </row>
    <row r="2972" spans="1:2" ht="12.5" x14ac:dyDescent="0.25">
      <c r="A2972" t="str">
        <f ca="1">IFERROR(__xludf.DUMMYFUNCTION("""COMPUTED_VALUE"""),"Fleroxacin")</f>
        <v>Fleroxacin</v>
      </c>
      <c r="B2972" t="str">
        <f ca="1">IFERROR(__xludf.DUMMYFUNCTION("""COMPUTED_VALUE"""),"RF-00000599-VET")</f>
        <v>RF-00000599-VET</v>
      </c>
    </row>
    <row r="2973" spans="1:2" ht="12.5" x14ac:dyDescent="0.25">
      <c r="A2973" t="str">
        <f ca="1">IFERROR(__xludf.DUMMYFUNCTION("""COMPUTED_VALUE"""),"Flocoumafen")</f>
        <v>Flocoumafen</v>
      </c>
      <c r="B2973" t="str">
        <f ca="1">IFERROR(__xludf.DUMMYFUNCTION("""COMPUTED_VALUE"""),"RF-0696-001-PPP")</f>
        <v>RF-0696-001-PPP</v>
      </c>
    </row>
    <row r="2974" spans="1:2" ht="12.5" x14ac:dyDescent="0.25">
      <c r="A2974" t="str">
        <f ca="1">IFERROR(__xludf.DUMMYFUNCTION("""COMPUTED_VALUE"""),"Flonicamid")</f>
        <v>Flonicamid</v>
      </c>
      <c r="B2974" t="str">
        <f ca="1">IFERROR(__xludf.DUMMYFUNCTION("""COMPUTED_VALUE"""),"RF-0194-002-PPP")</f>
        <v>RF-0194-002-PPP</v>
      </c>
    </row>
    <row r="2975" spans="1:2" ht="12.5" x14ac:dyDescent="0.25">
      <c r="A2975" t="str">
        <f ca="1">IFERROR(__xludf.DUMMYFUNCTION("""COMPUTED_VALUE"""),"Flonicamid (sum of flonicamid, TNFG and TNFA)")</f>
        <v>Flonicamid (sum of flonicamid, TNFG and TNFA)</v>
      </c>
      <c r="B2975" t="str">
        <f ca="1">IFERROR(__xludf.DUMMYFUNCTION("""COMPUTED_VALUE"""),"RF-0194-001-PPP")</f>
        <v>RF-0194-001-PPP</v>
      </c>
    </row>
    <row r="2976" spans="1:2" ht="12.5" x14ac:dyDescent="0.25">
      <c r="A2976" t="str">
        <f ca="1">IFERROR(__xludf.DUMMYFUNCTION("""COMPUTED_VALUE"""),"Flonicamid and TFNA-AM, expressed as flonicamid")</f>
        <v>Flonicamid and TFNA-AM, expressed as flonicamid</v>
      </c>
      <c r="B2976" t="str">
        <f ca="1">IFERROR(__xludf.DUMMYFUNCTION("""COMPUTED_VALUE"""),"RF-1070-001-PPP")</f>
        <v>RF-1070-001-PPP</v>
      </c>
    </row>
    <row r="2977" spans="1:2" ht="12.5" x14ac:dyDescent="0.25">
      <c r="A2977" t="str">
        <f ca="1">IFERROR(__xludf.DUMMYFUNCTION("""COMPUTED_VALUE"""),"Florasulam")</f>
        <v>Florasulam</v>
      </c>
      <c r="B2977" t="str">
        <f ca="1">IFERROR(__xludf.DUMMYFUNCTION("""COMPUTED_VALUE"""),"RF-0195-001-PPP")</f>
        <v>RF-0195-001-PPP</v>
      </c>
    </row>
    <row r="2978" spans="1:2" ht="12.5" x14ac:dyDescent="0.25">
      <c r="A2978" t="str">
        <f ca="1">IFERROR(__xludf.DUMMYFUNCTION("""COMPUTED_VALUE"""),"Florfenicol")</f>
        <v>Florfenicol</v>
      </c>
      <c r="B2978" t="str">
        <f ca="1">IFERROR(__xludf.DUMMYFUNCTION("""COMPUTED_VALUE"""),"RF-00000590-VET")</f>
        <v>RF-00000590-VET</v>
      </c>
    </row>
    <row r="2979" spans="1:2" ht="12.5" x14ac:dyDescent="0.25">
      <c r="A2979" t="str">
        <f ca="1">IFERROR(__xludf.DUMMYFUNCTION("""COMPUTED_VALUE"""),"Florfenicol amine")</f>
        <v>Florfenicol amine</v>
      </c>
      <c r="B2979" t="str">
        <f ca="1">IFERROR(__xludf.DUMMYFUNCTION("""COMPUTED_VALUE"""),"RF-00000594-VET")</f>
        <v>RF-00000594-VET</v>
      </c>
    </row>
    <row r="2980" spans="1:2" ht="12.5" x14ac:dyDescent="0.25">
      <c r="A2980" t="str">
        <f ca="1">IFERROR(__xludf.DUMMYFUNCTION("""COMPUTED_VALUE"""),"Floridanine")</f>
        <v>Floridanine</v>
      </c>
      <c r="B2980" t="str">
        <f ca="1">IFERROR(__xludf.DUMMYFUNCTION("""COMPUTED_VALUE"""),"RF-00000393-TOX")</f>
        <v>RF-00000393-TOX</v>
      </c>
    </row>
    <row r="2981" spans="1:2" ht="12.5" x14ac:dyDescent="0.25">
      <c r="A2981" t="str">
        <f ca="1">IFERROR(__xludf.DUMMYFUNCTION("""COMPUTED_VALUE"""),"Florosenine")</f>
        <v>Florosenine</v>
      </c>
      <c r="B2981" t="str">
        <f ca="1">IFERROR(__xludf.DUMMYFUNCTION("""COMPUTED_VALUE"""),"RF-00000394-TOX")</f>
        <v>RF-00000394-TOX</v>
      </c>
    </row>
    <row r="2982" spans="1:2" ht="12.5" x14ac:dyDescent="0.25">
      <c r="A2982" t="str">
        <f ca="1">IFERROR(__xludf.DUMMYFUNCTION("""COMPUTED_VALUE"""),"Fluacrypyrim")</f>
        <v>Fluacrypyrim</v>
      </c>
      <c r="B2982" t="str">
        <f ca="1">IFERROR(__xludf.DUMMYFUNCTION("""COMPUTED_VALUE"""),"RF-0697-001-PPP")</f>
        <v>RF-0697-001-PPP</v>
      </c>
    </row>
    <row r="2983" spans="1:2" ht="12.5" x14ac:dyDescent="0.25">
      <c r="A2983" t="str">
        <f ca="1">IFERROR(__xludf.DUMMYFUNCTION("""COMPUTED_VALUE"""),"Fluazifop (free acid)")</f>
        <v>Fluazifop (free acid)</v>
      </c>
      <c r="B2983" t="str">
        <f ca="1">IFERROR(__xludf.DUMMYFUNCTION("""COMPUTED_VALUE"""),"RF-0698-001-PPP")</f>
        <v>RF-0698-001-PPP</v>
      </c>
    </row>
    <row r="2984" spans="1:2" ht="12.5" x14ac:dyDescent="0.25">
      <c r="A2984" t="str">
        <f ca="1">IFERROR(__xludf.DUMMYFUNCTION("""COMPUTED_VALUE"""),"Fluazifop-Butyl")</f>
        <v>Fluazifop-Butyl</v>
      </c>
      <c r="B2984" t="str">
        <f ca="1">IFERROR(__xludf.DUMMYFUNCTION("""COMPUTED_VALUE"""),"RF-0699-001-PPP")</f>
        <v>RF-0699-001-PPP</v>
      </c>
    </row>
    <row r="2985" spans="1:2" ht="12.5" x14ac:dyDescent="0.25">
      <c r="A2985" t="str">
        <f ca="1">IFERROR(__xludf.DUMMYFUNCTION("""COMPUTED_VALUE"""),"Fluazifop-methyl")</f>
        <v>Fluazifop-methyl</v>
      </c>
      <c r="B2985" t="str">
        <f ca="1">IFERROR(__xludf.DUMMYFUNCTION("""COMPUTED_VALUE"""),"RF-0699-002-PPP")</f>
        <v>RF-0699-002-PPP</v>
      </c>
    </row>
    <row r="2986" spans="1:2" ht="12.5" x14ac:dyDescent="0.25">
      <c r="A2986" t="str">
        <f ca="1">IFERROR(__xludf.DUMMYFUNCTION("""COMPUTED_VALUE"""),"Fluazifop-P")</f>
        <v>Fluazifop-P</v>
      </c>
      <c r="B2986" t="str">
        <f ca="1">IFERROR(__xludf.DUMMYFUNCTION("""COMPUTED_VALUE"""),"RF-00000022-PAR")</f>
        <v>RF-00000022-PAR</v>
      </c>
    </row>
    <row r="2987" spans="1:2" ht="12.5" x14ac:dyDescent="0.25">
      <c r="A2987" t="str">
        <f ca="1">IFERROR(__xludf.DUMMYFUNCTION("""COMPUTED_VALUE"""),"Fluazifop-P-butyl")</f>
        <v>Fluazifop-P-butyl</v>
      </c>
      <c r="B2987" t="str">
        <f ca="1">IFERROR(__xludf.DUMMYFUNCTION("""COMPUTED_VALUE"""),"RF-0197-002-PPP")</f>
        <v>RF-0197-002-PPP</v>
      </c>
    </row>
    <row r="2988" spans="1:2" ht="12.5" x14ac:dyDescent="0.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x14ac:dyDescent="0.25">
      <c r="A2989" t="str">
        <f ca="1">IFERROR(__xludf.DUMMYFUNCTION("""COMPUTED_VALUE"""),"Fluazinam")</f>
        <v>Fluazinam</v>
      </c>
      <c r="B2989" t="str">
        <f ca="1">IFERROR(__xludf.DUMMYFUNCTION("""COMPUTED_VALUE"""),"RF-0198-001-PPP")</f>
        <v>RF-0198-001-PPP</v>
      </c>
    </row>
    <row r="2990" spans="1:2" ht="12.5" x14ac:dyDescent="0.25">
      <c r="A2990" t="str">
        <f ca="1">IFERROR(__xludf.DUMMYFUNCTION("""COMPUTED_VALUE"""),"Fluazolate")</f>
        <v>Fluazolate</v>
      </c>
      <c r="B2990" t="str">
        <f ca="1">IFERROR(__xludf.DUMMYFUNCTION("""COMPUTED_VALUE"""),"RF-0700-001-PPP")</f>
        <v>RF-0700-001-PPP</v>
      </c>
    </row>
    <row r="2991" spans="1:2" ht="12.5" x14ac:dyDescent="0.25">
      <c r="A2991" t="str">
        <f ca="1">IFERROR(__xludf.DUMMYFUNCTION("""COMPUTED_VALUE"""),"Fluazuron")</f>
        <v>Fluazuron</v>
      </c>
      <c r="B2991" t="str">
        <f ca="1">IFERROR(__xludf.DUMMYFUNCTION("""COMPUTED_VALUE"""),"RF-00000244-VET")</f>
        <v>RF-00000244-VET</v>
      </c>
    </row>
    <row r="2992" spans="1:2" ht="12.5" x14ac:dyDescent="0.25">
      <c r="A2992" t="str">
        <f ca="1">IFERROR(__xludf.DUMMYFUNCTION("""COMPUTED_VALUE"""),"Fluazuron")</f>
        <v>Fluazuron</v>
      </c>
      <c r="B2992" t="str">
        <f ca="1">IFERROR(__xludf.DUMMYFUNCTION("""COMPUTED_VALUE"""),"RF-0701-001-PPP")</f>
        <v>RF-0701-001-PPP</v>
      </c>
    </row>
    <row r="2993" spans="1:2" ht="12.5" x14ac:dyDescent="0.25">
      <c r="A2993" t="str">
        <f ca="1">IFERROR(__xludf.DUMMYFUNCTION("""COMPUTED_VALUE"""),"Flubendazole")</f>
        <v>Flubendazole</v>
      </c>
      <c r="B2993" t="str">
        <f ca="1">IFERROR(__xludf.DUMMYFUNCTION("""COMPUTED_VALUE"""),"RF-00000007-VET")</f>
        <v>RF-00000007-VET</v>
      </c>
    </row>
    <row r="2994" spans="1:2" ht="12.5" x14ac:dyDescent="0.25">
      <c r="A2994" t="str">
        <f ca="1">IFERROR(__xludf.DUMMYFUNCTION("""COMPUTED_VALUE"""),"Flubendiamide")</f>
        <v>Flubendiamide</v>
      </c>
      <c r="B2994" t="str">
        <f ca="1">IFERROR(__xludf.DUMMYFUNCTION("""COMPUTED_VALUE"""),"RF-0199-001-PPP")</f>
        <v>RF-0199-001-PPP</v>
      </c>
    </row>
    <row r="2995" spans="1:2" ht="12.5" x14ac:dyDescent="0.25">
      <c r="A2995" t="str">
        <f ca="1">IFERROR(__xludf.DUMMYFUNCTION("""COMPUTED_VALUE"""),"Flubenzimine")</f>
        <v>Flubenzimine</v>
      </c>
      <c r="B2995" t="str">
        <f ca="1">IFERROR(__xludf.DUMMYFUNCTION("""COMPUTED_VALUE"""),"RF-0702-001-PPP")</f>
        <v>RF-0702-001-PPP</v>
      </c>
    </row>
    <row r="2996" spans="1:2" ht="12.5" x14ac:dyDescent="0.25">
      <c r="A2996" t="str">
        <f ca="1">IFERROR(__xludf.DUMMYFUNCTION("""COMPUTED_VALUE"""),"Fluchloralin")</f>
        <v>Fluchloralin</v>
      </c>
      <c r="B2996" t="str">
        <f ca="1">IFERROR(__xludf.DUMMYFUNCTION("""COMPUTED_VALUE"""),"RF-0703-001-PPP")</f>
        <v>RF-0703-001-PPP</v>
      </c>
    </row>
    <row r="2997" spans="1:2" ht="12.5" x14ac:dyDescent="0.25">
      <c r="A2997" t="str">
        <f ca="1">IFERROR(__xludf.DUMMYFUNCTION("""COMPUTED_VALUE"""),"Flucycloxuron")</f>
        <v>Flucycloxuron</v>
      </c>
      <c r="B2997" t="str">
        <f ca="1">IFERROR(__xludf.DUMMYFUNCTION("""COMPUTED_VALUE"""),"RF-0200-001-PPP")</f>
        <v>RF-0200-001-PPP</v>
      </c>
    </row>
    <row r="2998" spans="1:2" ht="12.5" x14ac:dyDescent="0.25">
      <c r="A2998" t="str">
        <f ca="1">IFERROR(__xludf.DUMMYFUNCTION("""COMPUTED_VALUE"""),"Flucythrinate")</f>
        <v>Flucythrinate</v>
      </c>
      <c r="B2998" t="str">
        <f ca="1">IFERROR(__xludf.DUMMYFUNCTION("""COMPUTED_VALUE"""),"RF-00000134-VET")</f>
        <v>RF-00000134-VET</v>
      </c>
    </row>
    <row r="2999" spans="1:2" ht="12.5" x14ac:dyDescent="0.25">
      <c r="A2999" t="str">
        <f ca="1">IFERROR(__xludf.DUMMYFUNCTION("""COMPUTED_VALUE"""),"Flucythrinate")</f>
        <v>Flucythrinate</v>
      </c>
      <c r="B2999" t="str">
        <f ca="1">IFERROR(__xludf.DUMMYFUNCTION("""COMPUTED_VALUE"""),"RF-0201-001-PPP")</f>
        <v>RF-0201-001-PPP</v>
      </c>
    </row>
    <row r="3000" spans="1:2" ht="12.5" x14ac:dyDescent="0.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x14ac:dyDescent="0.25">
      <c r="A3001" t="str">
        <f ca="1">IFERROR(__xludf.DUMMYFUNCTION("""COMPUTED_VALUE"""),"Fludioxonil")</f>
        <v>Fludioxonil</v>
      </c>
      <c r="B3001" t="str">
        <f ca="1">IFERROR(__xludf.DUMMYFUNCTION("""COMPUTED_VALUE"""),"RF-0202-001-PPP")</f>
        <v>RF-0202-001-PPP</v>
      </c>
    </row>
    <row r="3002" spans="1:2" ht="12.5" x14ac:dyDescent="0.25">
      <c r="A3002" t="str">
        <f ca="1">IFERROR(__xludf.DUMMYFUNCTION("""COMPUTED_VALUE"""),"Fludrocortisone")</f>
        <v>Fludrocortisone</v>
      </c>
      <c r="B3002" t="str">
        <f ca="1">IFERROR(__xludf.DUMMYFUNCTION("""COMPUTED_VALUE"""),"RF-00000256-VET")</f>
        <v>RF-00000256-VET</v>
      </c>
    </row>
    <row r="3003" spans="1:2" ht="12.5" x14ac:dyDescent="0.25">
      <c r="A3003" t="str">
        <f ca="1">IFERROR(__xludf.DUMMYFUNCTION("""COMPUTED_VALUE"""),"Flufenacet")</f>
        <v>Flufenacet</v>
      </c>
      <c r="B3003" t="str">
        <f ca="1">IFERROR(__xludf.DUMMYFUNCTION("""COMPUTED_VALUE"""),"RF-0203-002-PPP")</f>
        <v>RF-0203-002-PPP</v>
      </c>
    </row>
    <row r="3004" spans="1:2" ht="12.5" x14ac:dyDescent="0.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x14ac:dyDescent="0.25">
      <c r="A3005" t="str">
        <f ca="1">IFERROR(__xludf.DUMMYFUNCTION("""COMPUTED_VALUE"""),"Flufenamic-Acid")</f>
        <v>Flufenamic-Acid</v>
      </c>
      <c r="B3005" t="str">
        <f ca="1">IFERROR(__xludf.DUMMYFUNCTION("""COMPUTED_VALUE"""),"RF-00000214-VET")</f>
        <v>RF-00000214-VET</v>
      </c>
    </row>
    <row r="3006" spans="1:2" ht="12.5" x14ac:dyDescent="0.25">
      <c r="A3006" t="str">
        <f ca="1">IFERROR(__xludf.DUMMYFUNCTION("""COMPUTED_VALUE"""),"Flufenoxuron")</f>
        <v>Flufenoxuron</v>
      </c>
      <c r="B3006" t="str">
        <f ca="1">IFERROR(__xludf.DUMMYFUNCTION("""COMPUTED_VALUE"""),"RF-0204-001-PPP")</f>
        <v>RF-0204-001-PPP</v>
      </c>
    </row>
    <row r="3007" spans="1:2" ht="12.5" x14ac:dyDescent="0.25">
      <c r="A3007" t="str">
        <f ca="1">IFERROR(__xludf.DUMMYFUNCTION("""COMPUTED_VALUE"""),"Flufenprox")</f>
        <v>Flufenprox</v>
      </c>
      <c r="B3007" t="str">
        <f ca="1">IFERROR(__xludf.DUMMYFUNCTION("""COMPUTED_VALUE"""),"RF-0704-001-PPP")</f>
        <v>RF-0704-001-PPP</v>
      </c>
    </row>
    <row r="3008" spans="1:2" ht="12.5" x14ac:dyDescent="0.25">
      <c r="A3008" t="str">
        <f ca="1">IFERROR(__xludf.DUMMYFUNCTION("""COMPUTED_VALUE"""),"Flufenzin")</f>
        <v>Flufenzin</v>
      </c>
      <c r="B3008" t="str">
        <f ca="1">IFERROR(__xludf.DUMMYFUNCTION("""COMPUTED_VALUE"""),"RF-0205-001-PPP")</f>
        <v>RF-0205-001-PPP</v>
      </c>
    </row>
    <row r="3009" spans="1:2" ht="12.5" x14ac:dyDescent="0.25">
      <c r="A3009" t="str">
        <f ca="1">IFERROR(__xludf.DUMMYFUNCTION("""COMPUTED_VALUE"""),"Flugestone")</f>
        <v>Flugestone</v>
      </c>
      <c r="B3009" t="str">
        <f ca="1">IFERROR(__xludf.DUMMYFUNCTION("""COMPUTED_VALUE"""),"RF-00000378-VET")</f>
        <v>RF-00000378-VET</v>
      </c>
    </row>
    <row r="3010" spans="1:2" ht="12.5" x14ac:dyDescent="0.25">
      <c r="A3010" t="str">
        <f ca="1">IFERROR(__xludf.DUMMYFUNCTION("""COMPUTED_VALUE"""),"Flugestone-17-Acetate")</f>
        <v>Flugestone-17-Acetate</v>
      </c>
      <c r="B3010" t="str">
        <f ca="1">IFERROR(__xludf.DUMMYFUNCTION("""COMPUTED_VALUE"""),"RF-00000375-VET")</f>
        <v>RF-00000375-VET</v>
      </c>
    </row>
    <row r="3011" spans="1:2" ht="12.5" x14ac:dyDescent="0.25">
      <c r="A3011" t="str">
        <f ca="1">IFERROR(__xludf.DUMMYFUNCTION("""COMPUTED_VALUE"""),"Flumequine")</f>
        <v>Flumequine</v>
      </c>
      <c r="B3011" t="str">
        <f ca="1">IFERROR(__xludf.DUMMYFUNCTION("""COMPUTED_VALUE"""),"RF-00000561-VET")</f>
        <v>RF-00000561-VET</v>
      </c>
    </row>
    <row r="3012" spans="1:2" ht="12.5" x14ac:dyDescent="0.25">
      <c r="A3012" t="str">
        <f ca="1">IFERROR(__xludf.DUMMYFUNCTION("""COMPUTED_VALUE"""),"Flumethasone")</f>
        <v>Flumethasone</v>
      </c>
      <c r="B3012" t="str">
        <f ca="1">IFERROR(__xludf.DUMMYFUNCTION("""COMPUTED_VALUE"""),"RF-00000398-VET")</f>
        <v>RF-00000398-VET</v>
      </c>
    </row>
    <row r="3013" spans="1:2" ht="12.5" x14ac:dyDescent="0.25">
      <c r="A3013" t="str">
        <f ca="1">IFERROR(__xludf.DUMMYFUNCTION("""COMPUTED_VALUE"""),"Flumethrin")</f>
        <v>Flumethrin</v>
      </c>
      <c r="B3013" t="str">
        <f ca="1">IFERROR(__xludf.DUMMYFUNCTION("""COMPUTED_VALUE"""),"RF-00000136-VET")</f>
        <v>RF-00000136-VET</v>
      </c>
    </row>
    <row r="3014" spans="1:2" ht="12.5" x14ac:dyDescent="0.25">
      <c r="A3014" t="str">
        <f ca="1">IFERROR(__xludf.DUMMYFUNCTION("""COMPUTED_VALUE"""),"Flumethrin")</f>
        <v>Flumethrin</v>
      </c>
      <c r="B3014" t="str">
        <f ca="1">IFERROR(__xludf.DUMMYFUNCTION("""COMPUTED_VALUE"""),"RF-0705-001-PPP")</f>
        <v>RF-0705-001-PPP</v>
      </c>
    </row>
    <row r="3015" spans="1:2" ht="12.5" x14ac:dyDescent="0.25">
      <c r="A3015" t="str">
        <f ca="1">IFERROR(__xludf.DUMMYFUNCTION("""COMPUTED_VALUE"""),"Flumetralin")</f>
        <v>Flumetralin</v>
      </c>
      <c r="B3015" t="str">
        <f ca="1">IFERROR(__xludf.DUMMYFUNCTION("""COMPUTED_VALUE"""),"RF-0706-001-PPP")</f>
        <v>RF-0706-001-PPP</v>
      </c>
    </row>
    <row r="3016" spans="1:2" ht="12.5" x14ac:dyDescent="0.25">
      <c r="A3016" t="str">
        <f ca="1">IFERROR(__xludf.DUMMYFUNCTION("""COMPUTED_VALUE"""),"Flumetsulam")</f>
        <v>Flumetsulam</v>
      </c>
      <c r="B3016" t="str">
        <f ca="1">IFERROR(__xludf.DUMMYFUNCTION("""COMPUTED_VALUE"""),"RF-0707-001-PPP")</f>
        <v>RF-0707-001-PPP</v>
      </c>
    </row>
    <row r="3017" spans="1:2" ht="12.5" x14ac:dyDescent="0.25">
      <c r="A3017" t="str">
        <f ca="1">IFERROR(__xludf.DUMMYFUNCTION("""COMPUTED_VALUE"""),"Flumiclorac")</f>
        <v>Flumiclorac</v>
      </c>
      <c r="B3017" t="str">
        <f ca="1">IFERROR(__xludf.DUMMYFUNCTION("""COMPUTED_VALUE"""),"RF-0708-001-PPP")</f>
        <v>RF-0708-001-PPP</v>
      </c>
    </row>
    <row r="3018" spans="1:2" ht="12.5" x14ac:dyDescent="0.25">
      <c r="A3018" t="str">
        <f ca="1">IFERROR(__xludf.DUMMYFUNCTION("""COMPUTED_VALUE"""),"Flumiclorac-Pentyl")</f>
        <v>Flumiclorac-Pentyl</v>
      </c>
      <c r="B3018" t="str">
        <f ca="1">IFERROR(__xludf.DUMMYFUNCTION("""COMPUTED_VALUE"""),"RF-0709-001-PPP")</f>
        <v>RF-0709-001-PPP</v>
      </c>
    </row>
    <row r="3019" spans="1:2" ht="12.5" x14ac:dyDescent="0.25">
      <c r="A3019" t="str">
        <f ca="1">IFERROR(__xludf.DUMMYFUNCTION("""COMPUTED_VALUE"""),"Flumioxazine")</f>
        <v>Flumioxazine</v>
      </c>
      <c r="B3019" t="str">
        <f ca="1">IFERROR(__xludf.DUMMYFUNCTION("""COMPUTED_VALUE"""),"RF-0206-001-PPP")</f>
        <v>RF-0206-001-PPP</v>
      </c>
    </row>
    <row r="3020" spans="1:2" ht="12.5" x14ac:dyDescent="0.25">
      <c r="A3020" t="str">
        <f ca="1">IFERROR(__xludf.DUMMYFUNCTION("""COMPUTED_VALUE"""),"Flunisolide")</f>
        <v>Flunisolide</v>
      </c>
      <c r="B3020" t="str">
        <f ca="1">IFERROR(__xludf.DUMMYFUNCTION("""COMPUTED_VALUE"""),"RF-00000276-VET")</f>
        <v>RF-00000276-VET</v>
      </c>
    </row>
    <row r="3021" spans="1:2" ht="12.5" x14ac:dyDescent="0.25">
      <c r="A3021" t="str">
        <f ca="1">IFERROR(__xludf.DUMMYFUNCTION("""COMPUTED_VALUE"""),"Flunitrazepam")</f>
        <v>Flunitrazepam</v>
      </c>
      <c r="B3021" t="str">
        <f ca="1">IFERROR(__xludf.DUMMYFUNCTION("""COMPUTED_VALUE"""),"RF-00000180-VET")</f>
        <v>RF-00000180-VET</v>
      </c>
    </row>
    <row r="3022" spans="1:2" ht="12.5" x14ac:dyDescent="0.25">
      <c r="A3022" t="str">
        <f ca="1">IFERROR(__xludf.DUMMYFUNCTION("""COMPUTED_VALUE"""),"Flunixin")</f>
        <v>Flunixin</v>
      </c>
      <c r="B3022" t="str">
        <f ca="1">IFERROR(__xludf.DUMMYFUNCTION("""COMPUTED_VALUE"""),"RF-00000213-VET")</f>
        <v>RF-00000213-VET</v>
      </c>
    </row>
    <row r="3023" spans="1:2" ht="12.5" x14ac:dyDescent="0.25">
      <c r="A3023" t="str">
        <f ca="1">IFERROR(__xludf.DUMMYFUNCTION("""COMPUTED_VALUE"""),"Flunixin-5-Hydroxy")</f>
        <v>Flunixin-5-Hydroxy</v>
      </c>
      <c r="B3023" t="str">
        <f ca="1">IFERROR(__xludf.DUMMYFUNCTION("""COMPUTED_VALUE"""),"RF-00000212-VET")</f>
        <v>RF-00000212-VET</v>
      </c>
    </row>
    <row r="3024" spans="1:2" ht="12.5" x14ac:dyDescent="0.25">
      <c r="A3024" t="str">
        <f ca="1">IFERROR(__xludf.DUMMYFUNCTION("""COMPUTED_VALUE"""),"Flunixin-Meglumine")</f>
        <v>Flunixin-Meglumine</v>
      </c>
      <c r="B3024" t="str">
        <f ca="1">IFERROR(__xludf.DUMMYFUNCTION("""COMPUTED_VALUE"""),"RF-00000211-VET")</f>
        <v>RF-00000211-VET</v>
      </c>
    </row>
    <row r="3025" spans="1:2" ht="12.5" x14ac:dyDescent="0.25">
      <c r="A3025" t="str">
        <f ca="1">IFERROR(__xludf.DUMMYFUNCTION("""COMPUTED_VALUE"""),"Fluocinolone")</f>
        <v>Fluocinolone</v>
      </c>
      <c r="B3025" t="str">
        <f ca="1">IFERROR(__xludf.DUMMYFUNCTION("""COMPUTED_VALUE"""),"RF-00000272-VET")</f>
        <v>RF-00000272-VET</v>
      </c>
    </row>
    <row r="3026" spans="1:2" ht="12.5" x14ac:dyDescent="0.25">
      <c r="A3026" t="str">
        <f ca="1">IFERROR(__xludf.DUMMYFUNCTION("""COMPUTED_VALUE"""),"Fluometuron")</f>
        <v>Fluometuron</v>
      </c>
      <c r="B3026" t="str">
        <f ca="1">IFERROR(__xludf.DUMMYFUNCTION("""COMPUTED_VALUE"""),"RF-0207-001-PPP")</f>
        <v>RF-0207-001-PPP</v>
      </c>
    </row>
    <row r="3027" spans="1:2" ht="12.5" x14ac:dyDescent="0.25">
      <c r="A3027" t="str">
        <f ca="1">IFERROR(__xludf.DUMMYFUNCTION("""COMPUTED_VALUE"""),"Fluopicolide")</f>
        <v>Fluopicolide</v>
      </c>
      <c r="B3027" t="str">
        <f ca="1">IFERROR(__xludf.DUMMYFUNCTION("""COMPUTED_VALUE"""),"RF-0208-001-PPP")</f>
        <v>RF-0208-001-PPP</v>
      </c>
    </row>
    <row r="3028" spans="1:2" ht="12.5" x14ac:dyDescent="0.25">
      <c r="A3028" t="str">
        <f ca="1">IFERROR(__xludf.DUMMYFUNCTION("""COMPUTED_VALUE"""),"Fluopromazine (Triflupromazine)")</f>
        <v>Fluopromazine (Triflupromazine)</v>
      </c>
      <c r="B3028" t="str">
        <f ca="1">IFERROR(__xludf.DUMMYFUNCTION("""COMPUTED_VALUE"""),"RF-00000181-VET")</f>
        <v>RF-00000181-VET</v>
      </c>
    </row>
    <row r="3029" spans="1:2" ht="12.5" x14ac:dyDescent="0.25">
      <c r="A3029" t="str">
        <f ca="1">IFERROR(__xludf.DUMMYFUNCTION("""COMPUTED_VALUE"""),"Fluopyram")</f>
        <v>Fluopyram</v>
      </c>
      <c r="B3029" t="str">
        <f ca="1">IFERROR(__xludf.DUMMYFUNCTION("""COMPUTED_VALUE"""),"RF-1071-001-PPP")</f>
        <v>RF-1071-001-PPP</v>
      </c>
    </row>
    <row r="3030" spans="1:2" ht="12.5" x14ac:dyDescent="0.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x14ac:dyDescent="0.25">
      <c r="A3031" t="str">
        <f ca="1">IFERROR(__xludf.DUMMYFUNCTION("""COMPUTED_VALUE"""),"Fluor")</f>
        <v>Fluor</v>
      </c>
      <c r="B3031" t="str">
        <f ca="1">IFERROR(__xludf.DUMMYFUNCTION("""COMPUTED_VALUE"""),"RF-00000027-CHE")</f>
        <v>RF-00000027-CHE</v>
      </c>
    </row>
    <row r="3032" spans="1:2" ht="12.5" x14ac:dyDescent="0.25">
      <c r="A3032" t="str">
        <f ca="1">IFERROR(__xludf.DUMMYFUNCTION("""COMPUTED_VALUE"""),"Fluoranthene")</f>
        <v>Fluoranthene</v>
      </c>
      <c r="B3032" t="str">
        <f ca="1">IFERROR(__xludf.DUMMYFUNCTION("""COMPUTED_VALUE"""),"RF-00000066-ORG")</f>
        <v>RF-00000066-ORG</v>
      </c>
    </row>
    <row r="3033" spans="1:2" ht="12.5" x14ac:dyDescent="0.25">
      <c r="A3033" t="str">
        <f ca="1">IFERROR(__xludf.DUMMYFUNCTION("""COMPUTED_VALUE"""),"Fluoranthracene")</f>
        <v>Fluoranthracene</v>
      </c>
      <c r="B3033" t="str">
        <f ca="1">IFERROR(__xludf.DUMMYFUNCTION("""COMPUTED_VALUE"""),"RF-00000438-ORG")</f>
        <v>RF-00000438-ORG</v>
      </c>
    </row>
    <row r="3034" spans="1:2" ht="12.5" x14ac:dyDescent="0.25">
      <c r="A3034" t="str">
        <f ca="1">IFERROR(__xludf.DUMMYFUNCTION("""COMPUTED_VALUE"""),"Fluorene")</f>
        <v>Fluorene</v>
      </c>
      <c r="B3034" t="str">
        <f ca="1">IFERROR(__xludf.DUMMYFUNCTION("""COMPUTED_VALUE"""),"RF-00000060-ORG")</f>
        <v>RF-00000060-ORG</v>
      </c>
    </row>
    <row r="3035" spans="1:2" ht="12.5" x14ac:dyDescent="0.25">
      <c r="A3035" t="str">
        <f ca="1">IFERROR(__xludf.DUMMYFUNCTION("""COMPUTED_VALUE"""),"Fluoride")</f>
        <v>Fluoride</v>
      </c>
      <c r="B3035" t="str">
        <f ca="1">IFERROR(__xludf.DUMMYFUNCTION("""COMPUTED_VALUE"""),"RF-00000028-CHE")</f>
        <v>RF-00000028-CHE</v>
      </c>
    </row>
    <row r="3036" spans="1:2" ht="12.5" x14ac:dyDescent="0.25">
      <c r="A3036" t="str">
        <f ca="1">IFERROR(__xludf.DUMMYFUNCTION("""COMPUTED_VALUE"""),"Fluoride ion")</f>
        <v>Fluoride ion</v>
      </c>
      <c r="B3036" t="str">
        <f ca="1">IFERROR(__xludf.DUMMYFUNCTION("""COMPUTED_VALUE"""),"RF-0209-001-PPP")</f>
        <v>RF-0209-001-PPP</v>
      </c>
    </row>
    <row r="3037" spans="1:2" ht="12.5" x14ac:dyDescent="0.25">
      <c r="A3037" t="str">
        <f ca="1">IFERROR(__xludf.DUMMYFUNCTION("""COMPUTED_VALUE"""),"Fluorine (F)")</f>
        <v>Fluorine (F)</v>
      </c>
      <c r="B3037" t="str">
        <f ca="1">IFERROR(__xludf.DUMMYFUNCTION("""COMPUTED_VALUE"""),"RF-00000026-CHE")</f>
        <v>RF-00000026-CHE</v>
      </c>
    </row>
    <row r="3038" spans="1:2" ht="12.5" x14ac:dyDescent="0.25">
      <c r="A3038" t="str">
        <f ca="1">IFERROR(__xludf.DUMMYFUNCTION("""COMPUTED_VALUE"""),"Fluorine and derivatives")</f>
        <v>Fluorine and derivatives</v>
      </c>
      <c r="B3038" t="str">
        <f ca="1">IFERROR(__xludf.DUMMYFUNCTION("""COMPUTED_VALUE"""),"RF-00000025-CHE")</f>
        <v>RF-00000025-CHE</v>
      </c>
    </row>
    <row r="3039" spans="1:2" ht="12.5" x14ac:dyDescent="0.25">
      <c r="A3039" t="str">
        <f ca="1">IFERROR(__xludf.DUMMYFUNCTION("""COMPUTED_VALUE"""),"Fluorodifen")</f>
        <v>Fluorodifen</v>
      </c>
      <c r="B3039" t="str">
        <f ca="1">IFERROR(__xludf.DUMMYFUNCTION("""COMPUTED_VALUE"""),"RF-0710-001-PPP")</f>
        <v>RF-0710-001-PPP</v>
      </c>
    </row>
    <row r="3040" spans="1:2" ht="12.5" x14ac:dyDescent="0.25">
      <c r="A3040" t="str">
        <f ca="1">IFERROR(__xludf.DUMMYFUNCTION("""COMPUTED_VALUE"""),"Fluoroglycofen-Ethyl")</f>
        <v>Fluoroglycofen-Ethyl</v>
      </c>
      <c r="B3040" t="str">
        <f ca="1">IFERROR(__xludf.DUMMYFUNCTION("""COMPUTED_VALUE"""),"RF-0711-001-PPP")</f>
        <v>RF-0711-001-PPP</v>
      </c>
    </row>
    <row r="3041" spans="1:2" ht="12.5" x14ac:dyDescent="0.25">
      <c r="A3041" t="str">
        <f ca="1">IFERROR(__xludf.DUMMYFUNCTION("""COMPUTED_VALUE"""),"Fluoroglycofene")</f>
        <v>Fluoroglycofene</v>
      </c>
      <c r="B3041" t="str">
        <f ca="1">IFERROR(__xludf.DUMMYFUNCTION("""COMPUTED_VALUE"""),"RF-0210-001-PPP")</f>
        <v>RF-0210-001-PPP</v>
      </c>
    </row>
    <row r="3042" spans="1:2" ht="12.5" x14ac:dyDescent="0.25">
      <c r="A3042" t="str">
        <f ca="1">IFERROR(__xludf.DUMMYFUNCTION("""COMPUTED_VALUE"""),"Fluoroimide")</f>
        <v>Fluoroimide</v>
      </c>
      <c r="B3042" t="str">
        <f ca="1">IFERROR(__xludf.DUMMYFUNCTION("""COMPUTED_VALUE"""),"RF-0712-001-PPP")</f>
        <v>RF-0712-001-PPP</v>
      </c>
    </row>
    <row r="3043" spans="1:2" ht="12.5" x14ac:dyDescent="0.25">
      <c r="A3043" t="str">
        <f ca="1">IFERROR(__xludf.DUMMYFUNCTION("""COMPUTED_VALUE"""),"Fluorometholone")</f>
        <v>Fluorometholone</v>
      </c>
      <c r="B3043" t="str">
        <f ca="1">IFERROR(__xludf.DUMMYFUNCTION("""COMPUTED_VALUE"""),"RF-00000279-VET")</f>
        <v>RF-00000279-VET</v>
      </c>
    </row>
    <row r="3044" spans="1:2" ht="12.5" x14ac:dyDescent="0.25">
      <c r="A3044" t="str">
        <f ca="1">IFERROR(__xludf.DUMMYFUNCTION("""COMPUTED_VALUE"""),"Fluoroquinolones")</f>
        <v>Fluoroquinolones</v>
      </c>
      <c r="B3044" t="str">
        <f ca="1">IFERROR(__xludf.DUMMYFUNCTION("""COMPUTED_VALUE"""),"RF-00000730-VET")</f>
        <v>RF-00000730-VET</v>
      </c>
    </row>
    <row r="3045" spans="1:2" ht="12.5" x14ac:dyDescent="0.25">
      <c r="A3045" t="str">
        <f ca="1">IFERROR(__xludf.DUMMYFUNCTION("""COMPUTED_VALUE"""),"Fluotrimazole")</f>
        <v>Fluotrimazole</v>
      </c>
      <c r="B3045" t="str">
        <f ca="1">IFERROR(__xludf.DUMMYFUNCTION("""COMPUTED_VALUE"""),"RF-0713-001-PPP")</f>
        <v>RF-0713-001-PPP</v>
      </c>
    </row>
    <row r="3046" spans="1:2" ht="12.5" x14ac:dyDescent="0.25">
      <c r="A3046" t="str">
        <f ca="1">IFERROR(__xludf.DUMMYFUNCTION("""COMPUTED_VALUE"""),"Fluoxastrobin")</f>
        <v>Fluoxastrobin</v>
      </c>
      <c r="B3046" t="str">
        <f ca="1">IFERROR(__xludf.DUMMYFUNCTION("""COMPUTED_VALUE"""),"RF-0211-001-PPP")</f>
        <v>RF-0211-001-PPP</v>
      </c>
    </row>
    <row r="3047" spans="1:2" ht="12.5" x14ac:dyDescent="0.25">
      <c r="A3047" t="str">
        <f ca="1">IFERROR(__xludf.DUMMYFUNCTION("""COMPUTED_VALUE"""),"Fluoxymesteron (Flurogestone)")</f>
        <v>Fluoxymesteron (Flurogestone)</v>
      </c>
      <c r="B3047" t="str">
        <f ca="1">IFERROR(__xludf.DUMMYFUNCTION("""COMPUTED_VALUE"""),"RF-00000404-VET")</f>
        <v>RF-00000404-VET</v>
      </c>
    </row>
    <row r="3048" spans="1:2" ht="12.5" x14ac:dyDescent="0.25">
      <c r="A3048" t="str">
        <f ca="1">IFERROR(__xludf.DUMMYFUNCTION("""COMPUTED_VALUE"""),"Flupoxam")</f>
        <v>Flupoxam</v>
      </c>
      <c r="B3048" t="str">
        <f ca="1">IFERROR(__xludf.DUMMYFUNCTION("""COMPUTED_VALUE"""),"RF-0714-001-PPP")</f>
        <v>RF-0714-001-PPP</v>
      </c>
    </row>
    <row r="3049" spans="1:2" ht="12.5" x14ac:dyDescent="0.25">
      <c r="A3049" t="str">
        <f ca="1">IFERROR(__xludf.DUMMYFUNCTION("""COMPUTED_VALUE"""),"Fluprednisolone")</f>
        <v>Fluprednisolone</v>
      </c>
      <c r="B3049" t="str">
        <f ca="1">IFERROR(__xludf.DUMMYFUNCTION("""COMPUTED_VALUE"""),"RF-00000280-VET")</f>
        <v>RF-00000280-VET</v>
      </c>
    </row>
    <row r="3050" spans="1:2" ht="12.5" x14ac:dyDescent="0.25">
      <c r="A3050" t="str">
        <f ca="1">IFERROR(__xludf.DUMMYFUNCTION("""COMPUTED_VALUE"""),"Flupyrsulfuron")</f>
        <v>Flupyrsulfuron</v>
      </c>
      <c r="B3050" t="str">
        <f ca="1">IFERROR(__xludf.DUMMYFUNCTION("""COMPUTED_VALUE"""),"RF-0715-001-PPP")</f>
        <v>RF-0715-001-PPP</v>
      </c>
    </row>
    <row r="3051" spans="1:2" ht="12.5" x14ac:dyDescent="0.25">
      <c r="A3051" t="str">
        <f ca="1">IFERROR(__xludf.DUMMYFUNCTION("""COMPUTED_VALUE"""),"Flupyrsulfuron-methyl")</f>
        <v>Flupyrsulfuron-methyl</v>
      </c>
      <c r="B3051" t="str">
        <f ca="1">IFERROR(__xludf.DUMMYFUNCTION("""COMPUTED_VALUE"""),"RF-0212-001-PPP")</f>
        <v>RF-0212-001-PPP</v>
      </c>
    </row>
    <row r="3052" spans="1:2" ht="12.5" x14ac:dyDescent="0.25">
      <c r="A3052" t="str">
        <f ca="1">IFERROR(__xludf.DUMMYFUNCTION("""COMPUTED_VALUE"""),"Fluquinconazole")</f>
        <v>Fluquinconazole</v>
      </c>
      <c r="B3052" t="str">
        <f ca="1">IFERROR(__xludf.DUMMYFUNCTION("""COMPUTED_VALUE"""),"RF-0213-001-PPP")</f>
        <v>RF-0213-001-PPP</v>
      </c>
    </row>
    <row r="3053" spans="1:2" ht="12.5" x14ac:dyDescent="0.25">
      <c r="A3053" t="str">
        <f ca="1">IFERROR(__xludf.DUMMYFUNCTION("""COMPUTED_VALUE"""),"Flurazole")</f>
        <v>Flurazole</v>
      </c>
      <c r="B3053" t="str">
        <f ca="1">IFERROR(__xludf.DUMMYFUNCTION("""COMPUTED_VALUE"""),"RF-0716-001-PPP")</f>
        <v>RF-0716-001-PPP</v>
      </c>
    </row>
    <row r="3054" spans="1:2" ht="12.5" x14ac:dyDescent="0.25">
      <c r="A3054" t="str">
        <f ca="1">IFERROR(__xludf.DUMMYFUNCTION("""COMPUTED_VALUE"""),"Flurenol")</f>
        <v>Flurenol</v>
      </c>
      <c r="B3054" t="str">
        <f ca="1">IFERROR(__xludf.DUMMYFUNCTION("""COMPUTED_VALUE"""),"RF-0717-001-PPP")</f>
        <v>RF-0717-001-PPP</v>
      </c>
    </row>
    <row r="3055" spans="1:2" ht="12.5" x14ac:dyDescent="0.25">
      <c r="A3055" t="str">
        <f ca="1">IFERROR(__xludf.DUMMYFUNCTION("""COMPUTED_VALUE"""),"Flurenol-butyl")</f>
        <v>Flurenol-butyl</v>
      </c>
      <c r="B3055" t="str">
        <f ca="1">IFERROR(__xludf.DUMMYFUNCTION("""COMPUTED_VALUE"""),"RF-1016-001-PPP")</f>
        <v>RF-1016-001-PPP</v>
      </c>
    </row>
    <row r="3056" spans="1:2" ht="12.5" x14ac:dyDescent="0.25">
      <c r="A3056" t="str">
        <f ca="1">IFERROR(__xludf.DUMMYFUNCTION("""COMPUTED_VALUE"""),"Fluridone")</f>
        <v>Fluridone</v>
      </c>
      <c r="B3056" t="str">
        <f ca="1">IFERROR(__xludf.DUMMYFUNCTION("""COMPUTED_VALUE"""),"RF-0718-001-PPP")</f>
        <v>RF-0718-001-PPP</v>
      </c>
    </row>
    <row r="3057" spans="1:2" ht="12.5" x14ac:dyDescent="0.25">
      <c r="A3057" t="str">
        <f ca="1">IFERROR(__xludf.DUMMYFUNCTION("""COMPUTED_VALUE"""),"Flurochloridone")</f>
        <v>Flurochloridone</v>
      </c>
      <c r="B3057" t="str">
        <f ca="1">IFERROR(__xludf.DUMMYFUNCTION("""COMPUTED_VALUE"""),"RF-0214-001-PPP")</f>
        <v>RF-0214-001-PPP</v>
      </c>
    </row>
    <row r="3058" spans="1:2" ht="12.5" x14ac:dyDescent="0.25">
      <c r="A3058" t="str">
        <f ca="1">IFERROR(__xludf.DUMMYFUNCTION("""COMPUTED_VALUE"""),"Fluroxypyr")</f>
        <v>Fluroxypyr</v>
      </c>
      <c r="B3058" t="str">
        <f ca="1">IFERROR(__xludf.DUMMYFUNCTION("""COMPUTED_VALUE"""),"RF-0215-003-PPP")</f>
        <v>RF-0215-003-PPP</v>
      </c>
    </row>
    <row r="3059" spans="1:2" ht="12.5" x14ac:dyDescent="0.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x14ac:dyDescent="0.25">
      <c r="A3060" t="str">
        <f ca="1">IFERROR(__xludf.DUMMYFUNCTION("""COMPUTED_VALUE"""),"Fluroxypyr-Meptyl")</f>
        <v>Fluroxypyr-Meptyl</v>
      </c>
      <c r="B3060" t="str">
        <f ca="1">IFERROR(__xludf.DUMMYFUNCTION("""COMPUTED_VALUE"""),"RF-0215-002-PPP")</f>
        <v>RF-0215-002-PPP</v>
      </c>
    </row>
    <row r="3061" spans="1:2" ht="12.5" x14ac:dyDescent="0.25">
      <c r="A3061" t="str">
        <f ca="1">IFERROR(__xludf.DUMMYFUNCTION("""COMPUTED_VALUE"""),"Flurprimidole")</f>
        <v>Flurprimidole</v>
      </c>
      <c r="B3061" t="str">
        <f ca="1">IFERROR(__xludf.DUMMYFUNCTION("""COMPUTED_VALUE"""),"RF-0216-001-PPP")</f>
        <v>RF-0216-001-PPP</v>
      </c>
    </row>
    <row r="3062" spans="1:2" ht="12.5" x14ac:dyDescent="0.25">
      <c r="A3062" t="str">
        <f ca="1">IFERROR(__xludf.DUMMYFUNCTION("""COMPUTED_VALUE"""),"Flurtamone")</f>
        <v>Flurtamone</v>
      </c>
      <c r="B3062" t="str">
        <f ca="1">IFERROR(__xludf.DUMMYFUNCTION("""COMPUTED_VALUE"""),"RF-0217-001-PPP")</f>
        <v>RF-0217-001-PPP</v>
      </c>
    </row>
    <row r="3063" spans="1:2" ht="12.5" x14ac:dyDescent="0.25">
      <c r="A3063" t="str">
        <f ca="1">IFERROR(__xludf.DUMMYFUNCTION("""COMPUTED_VALUE"""),"Flusilazole")</f>
        <v>Flusilazole</v>
      </c>
      <c r="B3063" t="str">
        <f ca="1">IFERROR(__xludf.DUMMYFUNCTION("""COMPUTED_VALUE"""),"RF-0218-001-PPP")</f>
        <v>RF-0218-001-PPP</v>
      </c>
    </row>
    <row r="3064" spans="1:2" ht="12.5" x14ac:dyDescent="0.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x14ac:dyDescent="0.25">
      <c r="A3065" t="str">
        <f ca="1">IFERROR(__xludf.DUMMYFUNCTION("""COMPUTED_VALUE"""),"Flusulfamide")</f>
        <v>Flusulfamide</v>
      </c>
      <c r="B3065" t="str">
        <f ca="1">IFERROR(__xludf.DUMMYFUNCTION("""COMPUTED_VALUE"""),"RF-0719-001-PPP")</f>
        <v>RF-0719-001-PPP</v>
      </c>
    </row>
    <row r="3066" spans="1:2" ht="12.5" x14ac:dyDescent="0.25">
      <c r="A3066" t="str">
        <f ca="1">IFERROR(__xludf.DUMMYFUNCTION("""COMPUTED_VALUE"""),"Fluthiacet-Methyl")</f>
        <v>Fluthiacet-Methyl</v>
      </c>
      <c r="B3066" t="str">
        <f ca="1">IFERROR(__xludf.DUMMYFUNCTION("""COMPUTED_VALUE"""),"RF-0720-001-PPP")</f>
        <v>RF-0720-001-PPP</v>
      </c>
    </row>
    <row r="3067" spans="1:2" ht="12.5" x14ac:dyDescent="0.25">
      <c r="A3067" t="str">
        <f ca="1">IFERROR(__xludf.DUMMYFUNCTION("""COMPUTED_VALUE"""),"Flutolanil")</f>
        <v>Flutolanil</v>
      </c>
      <c r="B3067" t="str">
        <f ca="1">IFERROR(__xludf.DUMMYFUNCTION("""COMPUTED_VALUE"""),"RF-0219-001-PPP")</f>
        <v>RF-0219-001-PPP</v>
      </c>
    </row>
    <row r="3068" spans="1:2" ht="12.5" x14ac:dyDescent="0.25">
      <c r="A3068" t="str">
        <f ca="1">IFERROR(__xludf.DUMMYFUNCTION("""COMPUTED_VALUE"""),"Flutriafol")</f>
        <v>Flutriafol</v>
      </c>
      <c r="B3068" t="str">
        <f ca="1">IFERROR(__xludf.DUMMYFUNCTION("""COMPUTED_VALUE"""),"RF-0220-001-PPP")</f>
        <v>RF-0220-001-PPP</v>
      </c>
    </row>
    <row r="3069" spans="1:2" ht="12.5" x14ac:dyDescent="0.25">
      <c r="A3069" t="str">
        <f ca="1">IFERROR(__xludf.DUMMYFUNCTION("""COMPUTED_VALUE"""),"Fluvalinate")</f>
        <v>Fluvalinate</v>
      </c>
      <c r="B3069" t="str">
        <f ca="1">IFERROR(__xludf.DUMMYFUNCTION("""COMPUTED_VALUE"""),"RF-00000135-VET")</f>
        <v>RF-00000135-VET</v>
      </c>
    </row>
    <row r="3070" spans="1:2" ht="12.5" x14ac:dyDescent="0.25">
      <c r="A3070" t="str">
        <f ca="1">IFERROR(__xludf.DUMMYFUNCTION("""COMPUTED_VALUE"""),"Fluvalinate")</f>
        <v>Fluvalinate</v>
      </c>
      <c r="B3070" t="str">
        <f ca="1">IFERROR(__xludf.DUMMYFUNCTION("""COMPUTED_VALUE"""),"RF-0721-001-PPP")</f>
        <v>RF-0721-001-PPP</v>
      </c>
    </row>
    <row r="3071" spans="1:2" ht="12.5" x14ac:dyDescent="0.25">
      <c r="A3071" t="str">
        <f ca="1">IFERROR(__xludf.DUMMYFUNCTION("""COMPUTED_VALUE"""),"Fluvalinate-Tau")</f>
        <v>Fluvalinate-Tau</v>
      </c>
      <c r="B3071" t="str">
        <f ca="1">IFERROR(__xludf.DUMMYFUNCTION("""COMPUTED_VALUE"""),"RF-00000124-VET")</f>
        <v>RF-00000124-VET</v>
      </c>
    </row>
    <row r="3072" spans="1:2" ht="12.5" x14ac:dyDescent="0.25">
      <c r="A3072" t="str">
        <f ca="1">IFERROR(__xludf.DUMMYFUNCTION("""COMPUTED_VALUE"""),"Fluxapyroxad")</f>
        <v>Fluxapyroxad</v>
      </c>
      <c r="B3072" t="str">
        <f ca="1">IFERROR(__xludf.DUMMYFUNCTION("""COMPUTED_VALUE"""),"RF-00000024-PAR")</f>
        <v>RF-00000024-PAR</v>
      </c>
    </row>
    <row r="3073" spans="1:2" ht="12.5" x14ac:dyDescent="0.25">
      <c r="A3073" t="str">
        <f ca="1">IFERROR(__xludf.DUMMYFUNCTION("""COMPUTED_VALUE"""),"Fluxofenim")</f>
        <v>Fluxofenim</v>
      </c>
      <c r="B3073" t="str">
        <f ca="1">IFERROR(__xludf.DUMMYFUNCTION("""COMPUTED_VALUE"""),"RF-0722-001-PPP")</f>
        <v>RF-0722-001-PPP</v>
      </c>
    </row>
    <row r="3074" spans="1:2" ht="12.5" x14ac:dyDescent="0.25">
      <c r="A3074" t="str">
        <f ca="1">IFERROR(__xludf.DUMMYFUNCTION("""COMPUTED_VALUE"""),"folate")</f>
        <v>folate</v>
      </c>
      <c r="B3074" t="str">
        <f ca="1">IFERROR(__xludf.DUMMYFUNCTION("""COMPUTED_VALUE"""),"RF-00000438-NTR")</f>
        <v>RF-00000438-NTR</v>
      </c>
    </row>
    <row r="3075" spans="1:2" ht="12.5" x14ac:dyDescent="0.25">
      <c r="A3075" t="str">
        <f ca="1">IFERROR(__xludf.DUMMYFUNCTION("""COMPUTED_VALUE"""),"folate, bound")</f>
        <v>folate, bound</v>
      </c>
      <c r="B3075" t="str">
        <f ca="1">IFERROR(__xludf.DUMMYFUNCTION("""COMPUTED_VALUE"""),"RF-00000287-NTR")</f>
        <v>RF-00000287-NTR</v>
      </c>
    </row>
    <row r="3076" spans="1:2" ht="12.5" x14ac:dyDescent="0.25">
      <c r="A3076" t="str">
        <f ca="1">IFERROR(__xludf.DUMMYFUNCTION("""COMPUTED_VALUE"""),"folate, free")</f>
        <v>folate, free</v>
      </c>
      <c r="B3076" t="str">
        <f ca="1">IFERROR(__xludf.DUMMYFUNCTION("""COMPUTED_VALUE"""),"RF-00000288-NTR")</f>
        <v>RF-00000288-NTR</v>
      </c>
    </row>
    <row r="3077" spans="1:2" ht="12.5" x14ac:dyDescent="0.25">
      <c r="A3077" t="str">
        <f ca="1">IFERROR(__xludf.DUMMYFUNCTION("""COMPUTED_VALUE"""),"folate, total")</f>
        <v>folate, total</v>
      </c>
      <c r="B3077" t="str">
        <f ca="1">IFERROR(__xludf.DUMMYFUNCTION("""COMPUTED_VALUE"""),"RF-00000289-NTR")</f>
        <v>RF-00000289-NTR</v>
      </c>
    </row>
    <row r="3078" spans="1:2" ht="12.5" x14ac:dyDescent="0.25">
      <c r="A3078" t="str">
        <f ca="1">IFERROR(__xludf.DUMMYFUNCTION("""COMPUTED_VALUE"""),"folic acid")</f>
        <v>folic acid</v>
      </c>
      <c r="B3078" t="str">
        <f ca="1">IFERROR(__xludf.DUMMYFUNCTION("""COMPUTED_VALUE"""),"RF-00000290-NTR")</f>
        <v>RF-00000290-NTR</v>
      </c>
    </row>
    <row r="3079" spans="1:2" ht="12.5" x14ac:dyDescent="0.25">
      <c r="A3079" t="str">
        <f ca="1">IFERROR(__xludf.DUMMYFUNCTION("""COMPUTED_VALUE"""),"Folpet")</f>
        <v>Folpet</v>
      </c>
      <c r="B3079" t="str">
        <f ca="1">IFERROR(__xludf.DUMMYFUNCTION("""COMPUTED_VALUE"""),"RF-0221-001-PPP")</f>
        <v>RF-0221-001-PPP</v>
      </c>
    </row>
    <row r="3080" spans="1:2" ht="12.5" x14ac:dyDescent="0.25">
      <c r="A3080" t="str">
        <f ca="1">IFERROR(__xludf.DUMMYFUNCTION("""COMPUTED_VALUE"""),"Fomesafen")</f>
        <v>Fomesafen</v>
      </c>
      <c r="B3080" t="str">
        <f ca="1">IFERROR(__xludf.DUMMYFUNCTION("""COMPUTED_VALUE"""),"RF-0723-001-PPP")</f>
        <v>RF-0723-001-PPP</v>
      </c>
    </row>
    <row r="3081" spans="1:2" ht="12.5" x14ac:dyDescent="0.25">
      <c r="A3081" t="str">
        <f ca="1">IFERROR(__xludf.DUMMYFUNCTION("""COMPUTED_VALUE"""),"Fonofos")</f>
        <v>Fonofos</v>
      </c>
      <c r="B3081" t="str">
        <f ca="1">IFERROR(__xludf.DUMMYFUNCTION("""COMPUTED_VALUE"""),"RF-0724-001-PPP")</f>
        <v>RF-0724-001-PPP</v>
      </c>
    </row>
    <row r="3082" spans="1:2" ht="12.5" x14ac:dyDescent="0.25">
      <c r="A3082" t="str">
        <f ca="1">IFERROR(__xludf.DUMMYFUNCTION("""COMPUTED_VALUE"""),"Food additives")</f>
        <v>Food additives</v>
      </c>
      <c r="B3082" t="str">
        <f ca="1">IFERROR(__xludf.DUMMYFUNCTION("""COMPUTED_VALUE"""),"RF-00000001-ADD")</f>
        <v>RF-00000001-ADD</v>
      </c>
    </row>
    <row r="3083" spans="1:2" ht="12.5" x14ac:dyDescent="0.25">
      <c r="A3083" t="str">
        <f ca="1">IFERROR(__xludf.DUMMYFUNCTION("""COMPUTED_VALUE"""),"Foodborne viruses")</f>
        <v>Foodborne viruses</v>
      </c>
      <c r="B3083" t="str">
        <f ca="1">IFERROR(__xludf.DUMMYFUNCTION("""COMPUTED_VALUE"""),"RF-00000219-MCG")</f>
        <v>RF-00000219-MCG</v>
      </c>
    </row>
    <row r="3084" spans="1:2" ht="12.5" x14ac:dyDescent="0.25">
      <c r="A3084" t="str">
        <f ca="1">IFERROR(__xludf.DUMMYFUNCTION("""COMPUTED_VALUE"""),"Foramsulfuron")</f>
        <v>Foramsulfuron</v>
      </c>
      <c r="B3084" t="str">
        <f ca="1">IFERROR(__xludf.DUMMYFUNCTION("""COMPUTED_VALUE"""),"RF-0222-001-PPP")</f>
        <v>RF-0222-001-PPP</v>
      </c>
    </row>
    <row r="3085" spans="1:2" ht="12.5" x14ac:dyDescent="0.25">
      <c r="A3085" t="str">
        <f ca="1">IFERROR(__xludf.DUMMYFUNCTION("""COMPUTED_VALUE"""),"Forchlorfenuron")</f>
        <v>Forchlorfenuron</v>
      </c>
      <c r="B3085" t="str">
        <f ca="1">IFERROR(__xludf.DUMMYFUNCTION("""COMPUTED_VALUE"""),"RF-0196-001-PPP")</f>
        <v>RF-0196-001-PPP</v>
      </c>
    </row>
    <row r="3086" spans="1:2" ht="12.5" x14ac:dyDescent="0.25">
      <c r="A3086" t="str">
        <f ca="1">IFERROR(__xludf.DUMMYFUNCTION("""COMPUTED_VALUE"""),"Formetanate")</f>
        <v>Formetanate</v>
      </c>
      <c r="B3086" t="str">
        <f ca="1">IFERROR(__xludf.DUMMYFUNCTION("""COMPUTED_VALUE"""),"RF-0223-002-PPP")</f>
        <v>RF-0223-002-PPP</v>
      </c>
    </row>
    <row r="3087" spans="1:2" ht="12.5" x14ac:dyDescent="0.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x14ac:dyDescent="0.25">
      <c r="A3088" t="str">
        <f ca="1">IFERROR(__xludf.DUMMYFUNCTION("""COMPUTED_VALUE"""),"formononetin")</f>
        <v>formononetin</v>
      </c>
      <c r="B3088" t="str">
        <f ca="1">IFERROR(__xludf.DUMMYFUNCTION("""COMPUTED_VALUE"""),"RF-00000291-NTR")</f>
        <v>RF-00000291-NTR</v>
      </c>
    </row>
    <row r="3089" spans="1:2" ht="12.5" x14ac:dyDescent="0.25">
      <c r="A3089" t="str">
        <f ca="1">IFERROR(__xludf.DUMMYFUNCTION("""COMPUTED_VALUE"""),"Formothion")</f>
        <v>Formothion</v>
      </c>
      <c r="B3089" t="str">
        <f ca="1">IFERROR(__xludf.DUMMYFUNCTION("""COMPUTED_VALUE"""),"RF-0224-001-PPP")</f>
        <v>RF-0224-001-PPP</v>
      </c>
    </row>
    <row r="3090" spans="1:2" ht="12.5" x14ac:dyDescent="0.25">
      <c r="A3090" t="str">
        <f ca="1">IFERROR(__xludf.DUMMYFUNCTION("""COMPUTED_VALUE"""),"Fosamine")</f>
        <v>Fosamine</v>
      </c>
      <c r="B3090" t="str">
        <f ca="1">IFERROR(__xludf.DUMMYFUNCTION("""COMPUTED_VALUE"""),"RF-0725-001-PPP")</f>
        <v>RF-0725-001-PPP</v>
      </c>
    </row>
    <row r="3091" spans="1:2" ht="12.5" x14ac:dyDescent="0.25">
      <c r="A3091" t="str">
        <f ca="1">IFERROR(__xludf.DUMMYFUNCTION("""COMPUTED_VALUE"""),"Fosetyl")</f>
        <v>Fosetyl</v>
      </c>
      <c r="B3091" t="str">
        <f ca="1">IFERROR(__xludf.DUMMYFUNCTION("""COMPUTED_VALUE"""),"RF-1059-001-PPP")</f>
        <v>RF-1059-001-PPP</v>
      </c>
    </row>
    <row r="3092" spans="1:2" ht="12.5" x14ac:dyDescent="0.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x14ac:dyDescent="0.25">
      <c r="A3093" t="str">
        <f ca="1">IFERROR(__xludf.DUMMYFUNCTION("""COMPUTED_VALUE"""),"Fosetyl-aluminium")</f>
        <v>Fosetyl-aluminium</v>
      </c>
      <c r="B3093" t="str">
        <f ca="1">IFERROR(__xludf.DUMMYFUNCTION("""COMPUTED_VALUE"""),"RF-1059-002-PPP")</f>
        <v>RF-1059-002-PPP</v>
      </c>
    </row>
    <row r="3094" spans="1:2" ht="12.5" x14ac:dyDescent="0.25">
      <c r="A3094" t="str">
        <f ca="1">IFERROR(__xludf.DUMMYFUNCTION("""COMPUTED_VALUE"""),"Fosfestrol")</f>
        <v>Fosfestrol</v>
      </c>
      <c r="B3094" t="str">
        <f ca="1">IFERROR(__xludf.DUMMYFUNCTION("""COMPUTED_VALUE"""),"RF-00000285-VET")</f>
        <v>RF-00000285-VET</v>
      </c>
    </row>
    <row r="3095" spans="1:2" ht="12.5" x14ac:dyDescent="0.25">
      <c r="A3095" t="str">
        <f ca="1">IFERROR(__xludf.DUMMYFUNCTION("""COMPUTED_VALUE"""),"Fosthiazate")</f>
        <v>Fosthiazate</v>
      </c>
      <c r="B3095" t="str">
        <f ca="1">IFERROR(__xludf.DUMMYFUNCTION("""COMPUTED_VALUE"""),"RF-0226-001-PPP")</f>
        <v>RF-0226-001-PPP</v>
      </c>
    </row>
    <row r="3096" spans="1:2" ht="12.5" x14ac:dyDescent="0.25">
      <c r="A3096" t="str">
        <f ca="1">IFERROR(__xludf.DUMMYFUNCTION("""COMPUTED_VALUE"""),"Fosthietan")</f>
        <v>Fosthietan</v>
      </c>
      <c r="B3096" t="str">
        <f ca="1">IFERROR(__xludf.DUMMYFUNCTION("""COMPUTED_VALUE"""),"RF-0726-001-PPP")</f>
        <v>RF-0726-001-PPP</v>
      </c>
    </row>
    <row r="3097" spans="1:2" ht="12.5" x14ac:dyDescent="0.25">
      <c r="A3097" t="str">
        <f ca="1">IFERROR(__xludf.DUMMYFUNCTION("""COMPUTED_VALUE"""),"FOX")</f>
        <v>FOX</v>
      </c>
      <c r="B3097" t="str">
        <f ca="1">IFERROR(__xludf.DUMMYFUNCTION("""COMPUTED_VALUE"""),"RF-00000757-PAR")</f>
        <v>RF-00000757-PAR</v>
      </c>
    </row>
    <row r="3098" spans="1:2" ht="12.5" x14ac:dyDescent="0.25">
      <c r="A3098" t="str">
        <f ca="1">IFERROR(__xludf.DUMMYFUNCTION("""COMPUTED_VALUE"""),"FOX-1")</f>
        <v>FOX-1</v>
      </c>
      <c r="B3098" t="str">
        <f ca="1">IFERROR(__xludf.DUMMYFUNCTION("""COMPUTED_VALUE"""),"RF-00000758-PAR")</f>
        <v>RF-00000758-PAR</v>
      </c>
    </row>
    <row r="3099" spans="1:2" ht="12.5" x14ac:dyDescent="0.25">
      <c r="A3099" t="str">
        <f ca="1">IFERROR(__xludf.DUMMYFUNCTION("""COMPUTED_VALUE"""),"FOX-10")</f>
        <v>FOX-10</v>
      </c>
      <c r="B3099" t="str">
        <f ca="1">IFERROR(__xludf.DUMMYFUNCTION("""COMPUTED_VALUE"""),"RF-00000767-PAR")</f>
        <v>RF-00000767-PAR</v>
      </c>
    </row>
    <row r="3100" spans="1:2" ht="12.5" x14ac:dyDescent="0.25">
      <c r="A3100" t="str">
        <f ca="1">IFERROR(__xludf.DUMMYFUNCTION("""COMPUTED_VALUE"""),"FOX-2")</f>
        <v>FOX-2</v>
      </c>
      <c r="B3100" t="str">
        <f ca="1">IFERROR(__xludf.DUMMYFUNCTION("""COMPUTED_VALUE"""),"RF-00000759-PAR")</f>
        <v>RF-00000759-PAR</v>
      </c>
    </row>
    <row r="3101" spans="1:2" ht="12.5" x14ac:dyDescent="0.25">
      <c r="A3101" t="str">
        <f ca="1">IFERROR(__xludf.DUMMYFUNCTION("""COMPUTED_VALUE"""),"FOX-3")</f>
        <v>FOX-3</v>
      </c>
      <c r="B3101" t="str">
        <f ca="1">IFERROR(__xludf.DUMMYFUNCTION("""COMPUTED_VALUE"""),"RF-00000760-PAR")</f>
        <v>RF-00000760-PAR</v>
      </c>
    </row>
    <row r="3102" spans="1:2" ht="12.5" x14ac:dyDescent="0.25">
      <c r="A3102" t="str">
        <f ca="1">IFERROR(__xludf.DUMMYFUNCTION("""COMPUTED_VALUE"""),"FOX-4")</f>
        <v>FOX-4</v>
      </c>
      <c r="B3102" t="str">
        <f ca="1">IFERROR(__xludf.DUMMYFUNCTION("""COMPUTED_VALUE"""),"RF-00000761-PAR")</f>
        <v>RF-00000761-PAR</v>
      </c>
    </row>
    <row r="3103" spans="1:2" ht="12.5" x14ac:dyDescent="0.25">
      <c r="A3103" t="str">
        <f ca="1">IFERROR(__xludf.DUMMYFUNCTION("""COMPUTED_VALUE"""),"FOX-5")</f>
        <v>FOX-5</v>
      </c>
      <c r="B3103" t="str">
        <f ca="1">IFERROR(__xludf.DUMMYFUNCTION("""COMPUTED_VALUE"""),"RF-00000762-PAR")</f>
        <v>RF-00000762-PAR</v>
      </c>
    </row>
    <row r="3104" spans="1:2" ht="12.5" x14ac:dyDescent="0.25">
      <c r="A3104" t="str">
        <f ca="1">IFERROR(__xludf.DUMMYFUNCTION("""COMPUTED_VALUE"""),"FOX-6")</f>
        <v>FOX-6</v>
      </c>
      <c r="B3104" t="str">
        <f ca="1">IFERROR(__xludf.DUMMYFUNCTION("""COMPUTED_VALUE"""),"RF-00000763-PAR")</f>
        <v>RF-00000763-PAR</v>
      </c>
    </row>
    <row r="3105" spans="1:2" ht="12.5" x14ac:dyDescent="0.25">
      <c r="A3105" t="str">
        <f ca="1">IFERROR(__xludf.DUMMYFUNCTION("""COMPUTED_VALUE"""),"FOX-7")</f>
        <v>FOX-7</v>
      </c>
      <c r="B3105" t="str">
        <f ca="1">IFERROR(__xludf.DUMMYFUNCTION("""COMPUTED_VALUE"""),"RF-00000764-PAR")</f>
        <v>RF-00000764-PAR</v>
      </c>
    </row>
    <row r="3106" spans="1:2" ht="12.5" x14ac:dyDescent="0.25">
      <c r="A3106" t="str">
        <f ca="1">IFERROR(__xludf.DUMMYFUNCTION("""COMPUTED_VALUE"""),"FOX-8")</f>
        <v>FOX-8</v>
      </c>
      <c r="B3106" t="str">
        <f ca="1">IFERROR(__xludf.DUMMYFUNCTION("""COMPUTED_VALUE"""),"RF-00000765-PAR")</f>
        <v>RF-00000765-PAR</v>
      </c>
    </row>
    <row r="3107" spans="1:2" ht="12.5" x14ac:dyDescent="0.25">
      <c r="A3107" t="str">
        <f ca="1">IFERROR(__xludf.DUMMYFUNCTION("""COMPUTED_VALUE"""),"FOX-9")</f>
        <v>FOX-9</v>
      </c>
      <c r="B3107" t="str">
        <f ca="1">IFERROR(__xludf.DUMMYFUNCTION("""COMPUTED_VALUE"""),"RF-00000766-PAR")</f>
        <v>RF-00000766-PAR</v>
      </c>
    </row>
    <row r="3108" spans="1:2" ht="12.5" x14ac:dyDescent="0.25">
      <c r="A3108" t="str">
        <f ca="1">IFERROR(__xludf.DUMMYFUNCTION("""COMPUTED_VALUE"""),"Framycetin (Neomycin B)")</f>
        <v>Framycetin (Neomycin B)</v>
      </c>
      <c r="B3108" t="str">
        <f ca="1">IFERROR(__xludf.DUMMYFUNCTION("""COMPUTED_VALUE"""),"RF-00000683-VET")</f>
        <v>RF-00000683-VET</v>
      </c>
    </row>
    <row r="3109" spans="1:2" ht="12.5" x14ac:dyDescent="0.25">
      <c r="A3109" t="str">
        <f ca="1">IFERROR(__xludf.DUMMYFUNCTION("""COMPUTED_VALUE"""),"Francisella")</f>
        <v>Francisella</v>
      </c>
      <c r="B3109" t="str">
        <f ca="1">IFERROR(__xludf.DUMMYFUNCTION("""COMPUTED_VALUE"""),"RF-00000223-MCG")</f>
        <v>RF-00000223-MCG</v>
      </c>
    </row>
    <row r="3110" spans="1:2" ht="12.5" x14ac:dyDescent="0.25">
      <c r="A3110" t="str">
        <f ca="1">IFERROR(__xludf.DUMMYFUNCTION("""COMPUTED_VALUE"""),"Francisella philomiragia")</f>
        <v>Francisella philomiragia</v>
      </c>
      <c r="B3110" t="str">
        <f ca="1">IFERROR(__xludf.DUMMYFUNCTION("""COMPUTED_VALUE"""),"RF-00002786-MCG")</f>
        <v>RF-00002786-MCG</v>
      </c>
    </row>
    <row r="3111" spans="1:2" ht="12.5" x14ac:dyDescent="0.25">
      <c r="A3111" t="str">
        <f ca="1">IFERROR(__xludf.DUMMYFUNCTION("""COMPUTED_VALUE"""),"Francisella spp.,  unspecified")</f>
        <v>Francisella spp.,  unspecified</v>
      </c>
      <c r="B3111" t="str">
        <f ca="1">IFERROR(__xludf.DUMMYFUNCTION("""COMPUTED_VALUE"""),"RF-00000225-MCG")</f>
        <v>RF-00000225-MCG</v>
      </c>
    </row>
    <row r="3112" spans="1:2" ht="12.5" x14ac:dyDescent="0.25">
      <c r="A3112" t="str">
        <f ca="1">IFERROR(__xludf.DUMMYFUNCTION("""COMPUTED_VALUE"""),"Francisella tularensis")</f>
        <v>Francisella tularensis</v>
      </c>
      <c r="B3112" t="str">
        <f ca="1">IFERROR(__xludf.DUMMYFUNCTION("""COMPUTED_VALUE"""),"RF-00000224-MCG")</f>
        <v>RF-00000224-MCG</v>
      </c>
    </row>
    <row r="3113" spans="1:2" ht="12.5" x14ac:dyDescent="0.25">
      <c r="A3113" t="str">
        <f ca="1">IFERROR(__xludf.DUMMYFUNCTION("""COMPUTED_VALUE"""),"Free chlorine residual")</f>
        <v>Free chlorine residual</v>
      </c>
      <c r="B3113" t="str">
        <f ca="1">IFERROR(__xludf.DUMMYFUNCTION("""COMPUTED_VALUE"""),"RF-00000018-CHE")</f>
        <v>RF-00000018-CHE</v>
      </c>
    </row>
    <row r="3114" spans="1:2" ht="12.5" x14ac:dyDescent="0.25">
      <c r="A3114" t="str">
        <f ca="1">IFERROR(__xludf.DUMMYFUNCTION("""COMPUTED_VALUE"""),"Free gossypol")</f>
        <v>Free gossypol</v>
      </c>
      <c r="B3114" t="str">
        <f ca="1">IFERROR(__xludf.DUMMYFUNCTION("""COMPUTED_VALUE"""),"RF-00000332-TOX")</f>
        <v>RF-00000332-TOX</v>
      </c>
    </row>
    <row r="3115" spans="1:2" ht="12.5" x14ac:dyDescent="0.25">
      <c r="A3115" t="str">
        <f ca="1">IFERROR(__xludf.DUMMYFUNCTION("""COMPUTED_VALUE"""),"fructose")</f>
        <v>fructose</v>
      </c>
      <c r="B3115" t="str">
        <f ca="1">IFERROR(__xludf.DUMMYFUNCTION("""COMPUTED_VALUE"""),"RF-00000292-NTR")</f>
        <v>RF-00000292-NTR</v>
      </c>
    </row>
    <row r="3116" spans="1:2" ht="12.5" x14ac:dyDescent="0.25">
      <c r="A3116" t="str">
        <f ca="1">IFERROR(__xludf.DUMMYFUNCTION("""COMPUTED_VALUE"""),"Fuberidazole")</f>
        <v>Fuberidazole</v>
      </c>
      <c r="B3116" t="str">
        <f ca="1">IFERROR(__xludf.DUMMYFUNCTION("""COMPUTED_VALUE"""),"RF-0227-001-PPP")</f>
        <v>RF-0227-001-PPP</v>
      </c>
    </row>
    <row r="3117" spans="1:2" ht="12.5" x14ac:dyDescent="0.25">
      <c r="A3117" t="str">
        <f ca="1">IFERROR(__xludf.DUMMYFUNCTION("""COMPUTED_VALUE"""),"Fuchsisenecionine")</f>
        <v>Fuchsisenecionine</v>
      </c>
      <c r="B3117" t="str">
        <f ca="1">IFERROR(__xludf.DUMMYFUNCTION("""COMPUTED_VALUE"""),"RF-00000281-TOX")</f>
        <v>RF-00000281-TOX</v>
      </c>
    </row>
    <row r="3118" spans="1:2" ht="12.5" x14ac:dyDescent="0.25">
      <c r="A3118" t="str">
        <f ca="1">IFERROR(__xludf.DUMMYFUNCTION("""COMPUTED_VALUE"""),"fucosterol")</f>
        <v>fucosterol</v>
      </c>
      <c r="B3118" t="str">
        <f ca="1">IFERROR(__xludf.DUMMYFUNCTION("""COMPUTED_VALUE"""),"RF-00000293-NTR")</f>
        <v>RF-00000293-NTR</v>
      </c>
    </row>
    <row r="3119" spans="1:2" ht="12.5" x14ac:dyDescent="0.25">
      <c r="A3119" t="str">
        <f ca="1">IFERROR(__xludf.DUMMYFUNCTION("""COMPUTED_VALUE"""),"Fumagillin")</f>
        <v>Fumagillin</v>
      </c>
      <c r="B3119" t="str">
        <f ca="1">IFERROR(__xludf.DUMMYFUNCTION("""COMPUTED_VALUE"""),"RF-00000686-VET")</f>
        <v>RF-00000686-VET</v>
      </c>
    </row>
    <row r="3120" spans="1:2" ht="12.5" x14ac:dyDescent="0.25">
      <c r="A3120" t="str">
        <f ca="1">IFERROR(__xludf.DUMMYFUNCTION("""COMPUTED_VALUE"""),"Fumaric acid")</f>
        <v>Fumaric acid</v>
      </c>
      <c r="B3120" t="str">
        <f ca="1">IFERROR(__xludf.DUMMYFUNCTION("""COMPUTED_VALUE"""),"RF-00000134-ADD")</f>
        <v>RF-00000134-ADD</v>
      </c>
    </row>
    <row r="3121" spans="1:2" ht="12.5" x14ac:dyDescent="0.25">
      <c r="A3121" t="str">
        <f ca="1">IFERROR(__xludf.DUMMYFUNCTION("""COMPUTED_VALUE"""),"Fumonisin A1")</f>
        <v>Fumonisin A1</v>
      </c>
      <c r="B3121" t="str">
        <f ca="1">IFERROR(__xludf.DUMMYFUNCTION("""COMPUTED_VALUE"""),"RF-00000175-TOX")</f>
        <v>RF-00000175-TOX</v>
      </c>
    </row>
    <row r="3122" spans="1:2" ht="12.5" x14ac:dyDescent="0.25">
      <c r="A3122" t="str">
        <f ca="1">IFERROR(__xludf.DUMMYFUNCTION("""COMPUTED_VALUE"""),"Fumonisin A2")</f>
        <v>Fumonisin A2</v>
      </c>
      <c r="B3122" t="str">
        <f ca="1">IFERROR(__xludf.DUMMYFUNCTION("""COMPUTED_VALUE"""),"RF-00000176-TOX")</f>
        <v>RF-00000176-TOX</v>
      </c>
    </row>
    <row r="3123" spans="1:2" ht="12.5" x14ac:dyDescent="0.25">
      <c r="A3123" t="str">
        <f ca="1">IFERROR(__xludf.DUMMYFUNCTION("""COMPUTED_VALUE"""),"Fumonisin B1")</f>
        <v>Fumonisin B1</v>
      </c>
      <c r="B3123" t="str">
        <f ca="1">IFERROR(__xludf.DUMMYFUNCTION("""COMPUTED_VALUE"""),"RF-00000177-TOX")</f>
        <v>RF-00000177-TOX</v>
      </c>
    </row>
    <row r="3124" spans="1:2" ht="12.5" x14ac:dyDescent="0.25">
      <c r="A3124" t="str">
        <f ca="1">IFERROR(__xludf.DUMMYFUNCTION("""COMPUTED_VALUE"""),"Fumonisin B2")</f>
        <v>Fumonisin B2</v>
      </c>
      <c r="B3124" t="str">
        <f ca="1">IFERROR(__xludf.DUMMYFUNCTION("""COMPUTED_VALUE"""),"RF-00000178-TOX")</f>
        <v>RF-00000178-TOX</v>
      </c>
    </row>
    <row r="3125" spans="1:2" ht="12.5" x14ac:dyDescent="0.25">
      <c r="A3125" t="str">
        <f ca="1">IFERROR(__xludf.DUMMYFUNCTION("""COMPUTED_VALUE"""),"Fumonisin B3")</f>
        <v>Fumonisin B3</v>
      </c>
      <c r="B3125" t="str">
        <f ca="1">IFERROR(__xludf.DUMMYFUNCTION("""COMPUTED_VALUE"""),"RF-00000179-TOX")</f>
        <v>RF-00000179-TOX</v>
      </c>
    </row>
    <row r="3126" spans="1:2" ht="12.5" x14ac:dyDescent="0.25">
      <c r="A3126" t="str">
        <f ca="1">IFERROR(__xludf.DUMMYFUNCTION("""COMPUTED_VALUE"""),"Fumonisin B4")</f>
        <v>Fumonisin B4</v>
      </c>
      <c r="B3126" t="str">
        <f ca="1">IFERROR(__xludf.DUMMYFUNCTION("""COMPUTED_VALUE"""),"RF-00000180-TOX")</f>
        <v>RF-00000180-TOX</v>
      </c>
    </row>
    <row r="3127" spans="1:2" ht="12.5" x14ac:dyDescent="0.25">
      <c r="A3127" t="str">
        <f ca="1">IFERROR(__xludf.DUMMYFUNCTION("""COMPUTED_VALUE"""),"Fumonisins")</f>
        <v>Fumonisins</v>
      </c>
      <c r="B3127" t="str">
        <f ca="1">IFERROR(__xludf.DUMMYFUNCTION("""COMPUTED_VALUE"""),"RF-00000174-TOX")</f>
        <v>RF-00000174-TOX</v>
      </c>
    </row>
    <row r="3128" spans="1:2" ht="12.5" x14ac:dyDescent="0.25">
      <c r="A3128" t="str">
        <f ca="1">IFERROR(__xludf.DUMMYFUNCTION("""COMPUTED_VALUE"""),"Fungi")</f>
        <v>Fungi</v>
      </c>
      <c r="B3128" t="str">
        <f ca="1">IFERROR(__xludf.DUMMYFUNCTION("""COMPUTED_VALUE"""),"RF-00002797-MCG")</f>
        <v>RF-00002797-MCG</v>
      </c>
    </row>
    <row r="3129" spans="1:2" ht="12.5" x14ac:dyDescent="0.25">
      <c r="A3129" t="str">
        <f ca="1">IFERROR(__xludf.DUMMYFUNCTION("""COMPUTED_VALUE"""),"Furalaxyl")</f>
        <v>Furalaxyl</v>
      </c>
      <c r="B3129" t="str">
        <f ca="1">IFERROR(__xludf.DUMMYFUNCTION("""COMPUTED_VALUE"""),"RF-0727-001-PPP")</f>
        <v>RF-0727-001-PPP</v>
      </c>
    </row>
    <row r="3130" spans="1:2" ht="12.5" x14ac:dyDescent="0.25">
      <c r="A3130" t="str">
        <f ca="1">IFERROR(__xludf.DUMMYFUNCTION("""COMPUTED_VALUE"""),"Furaltadone")</f>
        <v>Furaltadone</v>
      </c>
      <c r="B3130" t="str">
        <f ca="1">IFERROR(__xludf.DUMMYFUNCTION("""COMPUTED_VALUE"""),"RF-00000511-VET")</f>
        <v>RF-00000511-VET</v>
      </c>
    </row>
    <row r="3131" spans="1:2" ht="12.5" x14ac:dyDescent="0.25">
      <c r="A3131" t="str">
        <f ca="1">IFERROR(__xludf.DUMMYFUNCTION("""COMPUTED_VALUE"""),"Furan")</f>
        <v>Furan</v>
      </c>
      <c r="B3131" t="str">
        <f ca="1">IFERROR(__xludf.DUMMYFUNCTION("""COMPUTED_VALUE"""),"RF-00000073-ORG")</f>
        <v>RF-00000073-ORG</v>
      </c>
    </row>
    <row r="3132" spans="1:2" ht="12.5" x14ac:dyDescent="0.25">
      <c r="A3132" t="str">
        <f ca="1">IFERROR(__xludf.DUMMYFUNCTION("""COMPUTED_VALUE"""),"Furathiocarb")</f>
        <v>Furathiocarb</v>
      </c>
      <c r="B3132" t="str">
        <f ca="1">IFERROR(__xludf.DUMMYFUNCTION("""COMPUTED_VALUE"""),"RF-00000145-VET")</f>
        <v>RF-00000145-VET</v>
      </c>
    </row>
    <row r="3133" spans="1:2" ht="12.5" x14ac:dyDescent="0.25">
      <c r="A3133" t="str">
        <f ca="1">IFERROR(__xludf.DUMMYFUNCTION("""COMPUTED_VALUE"""),"Furathiocarb")</f>
        <v>Furathiocarb</v>
      </c>
      <c r="B3133" t="str">
        <f ca="1">IFERROR(__xludf.DUMMYFUNCTION("""COMPUTED_VALUE"""),"RF-0228-001-PPP")</f>
        <v>RF-0228-001-PPP</v>
      </c>
    </row>
    <row r="3134" spans="1:2" ht="12.5" x14ac:dyDescent="0.25">
      <c r="A3134" t="str">
        <f ca="1">IFERROR(__xludf.DUMMYFUNCTION("""COMPUTED_VALUE"""),"Furazolidone")</f>
        <v>Furazolidone</v>
      </c>
      <c r="B3134" t="str">
        <f ca="1">IFERROR(__xludf.DUMMYFUNCTION("""COMPUTED_VALUE"""),"RF-00000520-VET")</f>
        <v>RF-00000520-VET</v>
      </c>
    </row>
    <row r="3135" spans="1:2" ht="12.5" x14ac:dyDescent="0.25">
      <c r="A3135" t="str">
        <f ca="1">IFERROR(__xludf.DUMMYFUNCTION("""COMPUTED_VALUE"""),"Furconazole")</f>
        <v>Furconazole</v>
      </c>
      <c r="B3135" t="str">
        <f ca="1">IFERROR(__xludf.DUMMYFUNCTION("""COMPUTED_VALUE"""),"RF-0229-001-PPP")</f>
        <v>RF-0229-001-PPP</v>
      </c>
    </row>
    <row r="3136" spans="1:2" ht="12.5" x14ac:dyDescent="0.25">
      <c r="A3136" t="str">
        <f ca="1">IFERROR(__xludf.DUMMYFUNCTION("""COMPUTED_VALUE"""),"Furfural")</f>
        <v>Furfural</v>
      </c>
      <c r="B3136" t="str">
        <f ca="1">IFERROR(__xludf.DUMMYFUNCTION("""COMPUTED_VALUE"""),"RF-1009-001-PPP")</f>
        <v>RF-1009-001-PPP</v>
      </c>
    </row>
    <row r="3137" spans="1:2" ht="12.5" x14ac:dyDescent="0.25">
      <c r="A3137" t="str">
        <f ca="1">IFERROR(__xludf.DUMMYFUNCTION("""COMPUTED_VALUE"""),"Furilazole")</f>
        <v>Furilazole</v>
      </c>
      <c r="B3137" t="str">
        <f ca="1">IFERROR(__xludf.DUMMYFUNCTION("""COMPUTED_VALUE"""),"RF-0728-001-PPP")</f>
        <v>RF-0728-001-PPP</v>
      </c>
    </row>
    <row r="3138" spans="1:2" ht="12.5" x14ac:dyDescent="0.25">
      <c r="A3138" t="str">
        <f ca="1">IFERROR(__xludf.DUMMYFUNCTION("""COMPUTED_VALUE"""),"Furmecyclox")</f>
        <v>Furmecyclox</v>
      </c>
      <c r="B3138" t="str">
        <f ca="1">IFERROR(__xludf.DUMMYFUNCTION("""COMPUTED_VALUE"""),"RF-0729-001-PPP")</f>
        <v>RF-0729-001-PPP</v>
      </c>
    </row>
    <row r="3139" spans="1:2" ht="12.5" x14ac:dyDescent="0.25">
      <c r="A3139" t="str">
        <f ca="1">IFERROR(__xludf.DUMMYFUNCTION("""COMPUTED_VALUE"""),"Fusarenon X")</f>
        <v>Fusarenon X</v>
      </c>
      <c r="B3139" t="str">
        <f ca="1">IFERROR(__xludf.DUMMYFUNCTION("""COMPUTED_VALUE"""),"RF-00000186-TOX")</f>
        <v>RF-00000186-TOX</v>
      </c>
    </row>
    <row r="3140" spans="1:2" ht="12.5" x14ac:dyDescent="0.25">
      <c r="A3140" t="str">
        <f ca="1">IFERROR(__xludf.DUMMYFUNCTION("""COMPUTED_VALUE"""),"Fusaric acid")</f>
        <v>Fusaric acid</v>
      </c>
      <c r="B3140" t="str">
        <f ca="1">IFERROR(__xludf.DUMMYFUNCTION("""COMPUTED_VALUE"""),"RF-00000181-TOX")</f>
        <v>RF-00000181-TOX</v>
      </c>
    </row>
    <row r="3141" spans="1:2" ht="12.5" x14ac:dyDescent="0.25">
      <c r="A3141" t="str">
        <f ca="1">IFERROR(__xludf.DUMMYFUNCTION("""COMPUTED_VALUE"""),"Fusarium Toxins")</f>
        <v>Fusarium Toxins</v>
      </c>
      <c r="B3141" t="str">
        <f ca="1">IFERROR(__xludf.DUMMYFUNCTION("""COMPUTED_VALUE"""),"RF-00000158-TOX")</f>
        <v>RF-00000158-TOX</v>
      </c>
    </row>
    <row r="3142" spans="1:2" ht="12.5" x14ac:dyDescent="0.25">
      <c r="A3142" t="str">
        <f ca="1">IFERROR(__xludf.DUMMYFUNCTION("""COMPUTED_VALUE"""),"Fusidanes")</f>
        <v>Fusidanes</v>
      </c>
      <c r="B3142" t="str">
        <f ca="1">IFERROR(__xludf.DUMMYFUNCTION("""COMPUTED_VALUE"""),"RF-00000737-VET")</f>
        <v>RF-00000737-VET</v>
      </c>
    </row>
    <row r="3143" spans="1:2" ht="12.5" x14ac:dyDescent="0.25">
      <c r="A3143" t="str">
        <f ca="1">IFERROR(__xludf.DUMMYFUNCTION("""COMPUTED_VALUE"""),"Fusidic acid")</f>
        <v>Fusidic acid</v>
      </c>
      <c r="B3143" t="str">
        <f ca="1">IFERROR(__xludf.DUMMYFUNCTION("""COMPUTED_VALUE"""),"RF-00000738-VET")</f>
        <v>RF-00000738-VET</v>
      </c>
    </row>
    <row r="3144" spans="1:2" ht="12.5" x14ac:dyDescent="0.25">
      <c r="A3144" t="str">
        <f ca="1">IFERROR(__xludf.DUMMYFUNCTION("""COMPUTED_VALUE"""),"galactose")</f>
        <v>galactose</v>
      </c>
      <c r="B3144" t="str">
        <f ca="1">IFERROR(__xludf.DUMMYFUNCTION("""COMPUTED_VALUE"""),"RF-00000294-NTR")</f>
        <v>RF-00000294-NTR</v>
      </c>
    </row>
    <row r="3145" spans="1:2" ht="12.5" x14ac:dyDescent="0.25">
      <c r="A3145" t="str">
        <f ca="1">IFERROR(__xludf.DUMMYFUNCTION("""COMPUTED_VALUE"""),"Gamma activity")</f>
        <v>Gamma activity</v>
      </c>
      <c r="B3145" t="str">
        <f ca="1">IFERROR(__xludf.DUMMYFUNCTION("""COMPUTED_VALUE"""),"RF-00000006-RAD")</f>
        <v>RF-00000006-RAD</v>
      </c>
    </row>
    <row r="3146" spans="1:2" ht="12.5" x14ac:dyDescent="0.25">
      <c r="A3146" t="str">
        <f ca="1">IFERROR(__xludf.DUMMYFUNCTION("""COMPUTED_VALUE"""),"gamma-carotene")</f>
        <v>gamma-carotene</v>
      </c>
      <c r="B3146" t="str">
        <f ca="1">IFERROR(__xludf.DUMMYFUNCTION("""COMPUTED_VALUE"""),"RF-00000295-NTR")</f>
        <v>RF-00000295-NTR</v>
      </c>
    </row>
    <row r="3147" spans="1:2" ht="12.5" x14ac:dyDescent="0.25">
      <c r="A3147" t="str">
        <f ca="1">IFERROR(__xludf.DUMMYFUNCTION("""COMPUTED_VALUE"""),"Gamma-tocopherol")</f>
        <v>Gamma-tocopherol</v>
      </c>
      <c r="B3147" t="str">
        <f ca="1">IFERROR(__xludf.DUMMYFUNCTION("""COMPUTED_VALUE"""),"RF-00000135-ADD")</f>
        <v>RF-00000135-ADD</v>
      </c>
    </row>
    <row r="3148" spans="1:2" ht="12.5" x14ac:dyDescent="0.25">
      <c r="A3148" t="str">
        <f ca="1">IFERROR(__xludf.DUMMYFUNCTION("""COMPUTED_VALUE"""),"gamma-tocotrienol")</f>
        <v>gamma-tocotrienol</v>
      </c>
      <c r="B3148" t="str">
        <f ca="1">IFERROR(__xludf.DUMMYFUNCTION("""COMPUTED_VALUE"""),"RF-00000296-NTR")</f>
        <v>RF-00000296-NTR</v>
      </c>
    </row>
    <row r="3149" spans="1:2" ht="12.5" x14ac:dyDescent="0.25">
      <c r="A3149" t="str">
        <f ca="1">IFERROR(__xludf.DUMMYFUNCTION("""COMPUTED_VALUE"""),"Gatifloxacin")</f>
        <v>Gatifloxacin</v>
      </c>
      <c r="B3149" t="str">
        <f ca="1">IFERROR(__xludf.DUMMYFUNCTION("""COMPUTED_VALUE"""),"RF-00000533-VET")</f>
        <v>RF-00000533-VET</v>
      </c>
    </row>
    <row r="3150" spans="1:2" ht="12.5" x14ac:dyDescent="0.25">
      <c r="A3150" t="str">
        <f ca="1">IFERROR(__xludf.DUMMYFUNCTION("""COMPUTED_VALUE"""),"Gellan gum")</f>
        <v>Gellan gum</v>
      </c>
      <c r="B3150" t="str">
        <f ca="1">IFERROR(__xludf.DUMMYFUNCTION("""COMPUTED_VALUE"""),"RF-00000136-ADD")</f>
        <v>RF-00000136-ADD</v>
      </c>
    </row>
    <row r="3151" spans="1:2" ht="12.5" x14ac:dyDescent="0.25">
      <c r="A3151" t="str">
        <f ca="1">IFERROR(__xludf.DUMMYFUNCTION("""COMPUTED_VALUE"""),"Gemifloxacin")</f>
        <v>Gemifloxacin</v>
      </c>
      <c r="B3151" t="str">
        <f ca="1">IFERROR(__xludf.DUMMYFUNCTION("""COMPUTED_VALUE"""),"RF-00000732-VET")</f>
        <v>RF-00000732-VET</v>
      </c>
    </row>
    <row r="3152" spans="1:2" ht="12.5" x14ac:dyDescent="0.25">
      <c r="A3152" t="str">
        <f ca="1">IFERROR(__xludf.DUMMYFUNCTION("""COMPUTED_VALUE"""),"genistein")</f>
        <v>genistein</v>
      </c>
      <c r="B3152" t="str">
        <f ca="1">IFERROR(__xludf.DUMMYFUNCTION("""COMPUTED_VALUE"""),"RF-00000297-NTR")</f>
        <v>RF-00000297-NTR</v>
      </c>
    </row>
    <row r="3153" spans="1:2" ht="12.5" x14ac:dyDescent="0.25">
      <c r="A3153" t="str">
        <f ca="1">IFERROR(__xludf.DUMMYFUNCTION("""COMPUTED_VALUE"""),"Genite")</f>
        <v>Genite</v>
      </c>
      <c r="B3153" t="str">
        <f ca="1">IFERROR(__xludf.DUMMYFUNCTION("""COMPUTED_VALUE"""),"RF-0730-001-PPP")</f>
        <v>RF-0730-001-PPP</v>
      </c>
    </row>
    <row r="3154" spans="1:2" ht="12.5" x14ac:dyDescent="0.25">
      <c r="A3154" t="str">
        <f ca="1">IFERROR(__xludf.DUMMYFUNCTION("""COMPUTED_VALUE"""),"Gentamicin")</f>
        <v>Gentamicin</v>
      </c>
      <c r="B3154" t="str">
        <f ca="1">IFERROR(__xludf.DUMMYFUNCTION("""COMPUTED_VALUE"""),"RF-00000536-VET")</f>
        <v>RF-00000536-VET</v>
      </c>
    </row>
    <row r="3155" spans="1:2" ht="12.5" x14ac:dyDescent="0.25">
      <c r="A3155" t="str">
        <f ca="1">IFERROR(__xludf.DUMMYFUNCTION("""COMPUTED_VALUE"""),"GES")</f>
        <v>GES</v>
      </c>
      <c r="B3155" t="str">
        <f ca="1">IFERROR(__xludf.DUMMYFUNCTION("""COMPUTED_VALUE"""),"RF-00000177-PAR")</f>
        <v>RF-00000177-PAR</v>
      </c>
    </row>
    <row r="3156" spans="1:2" ht="12.5" x14ac:dyDescent="0.25">
      <c r="A3156" t="str">
        <f ca="1">IFERROR(__xludf.DUMMYFUNCTION("""COMPUTED_VALUE"""),"GES-1")</f>
        <v>GES-1</v>
      </c>
      <c r="B3156" t="str">
        <f ca="1">IFERROR(__xludf.DUMMYFUNCTION("""COMPUTED_VALUE"""),"RF-00000178-PAR")</f>
        <v>RF-00000178-PAR</v>
      </c>
    </row>
    <row r="3157" spans="1:2" ht="12.5" x14ac:dyDescent="0.25">
      <c r="A3157" t="str">
        <f ca="1">IFERROR(__xludf.DUMMYFUNCTION("""COMPUTED_VALUE"""),"GES-10")</f>
        <v>GES-10</v>
      </c>
      <c r="B3157" t="str">
        <f ca="1">IFERROR(__xludf.DUMMYFUNCTION("""COMPUTED_VALUE"""),"RF-00000187-PAR")</f>
        <v>RF-00000187-PAR</v>
      </c>
    </row>
    <row r="3158" spans="1:2" ht="12.5" x14ac:dyDescent="0.25">
      <c r="A3158" t="str">
        <f ca="1">IFERROR(__xludf.DUMMYFUNCTION("""COMPUTED_VALUE"""),"GES-11")</f>
        <v>GES-11</v>
      </c>
      <c r="B3158" t="str">
        <f ca="1">IFERROR(__xludf.DUMMYFUNCTION("""COMPUTED_VALUE"""),"RF-00000188-PAR")</f>
        <v>RF-00000188-PAR</v>
      </c>
    </row>
    <row r="3159" spans="1:2" ht="12.5" x14ac:dyDescent="0.25">
      <c r="A3159" t="str">
        <f ca="1">IFERROR(__xludf.DUMMYFUNCTION("""COMPUTED_VALUE"""),"GES-12")</f>
        <v>GES-12</v>
      </c>
      <c r="B3159" t="str">
        <f ca="1">IFERROR(__xludf.DUMMYFUNCTION("""COMPUTED_VALUE"""),"RF-00000189-PAR")</f>
        <v>RF-00000189-PAR</v>
      </c>
    </row>
    <row r="3160" spans="1:2" ht="12.5" x14ac:dyDescent="0.25">
      <c r="A3160" t="str">
        <f ca="1">IFERROR(__xludf.DUMMYFUNCTION("""COMPUTED_VALUE"""),"GES-13")</f>
        <v>GES-13</v>
      </c>
      <c r="B3160" t="str">
        <f ca="1">IFERROR(__xludf.DUMMYFUNCTION("""COMPUTED_VALUE"""),"RF-00000190-PAR")</f>
        <v>RF-00000190-PAR</v>
      </c>
    </row>
    <row r="3161" spans="1:2" ht="12.5" x14ac:dyDescent="0.25">
      <c r="A3161" t="str">
        <f ca="1">IFERROR(__xludf.DUMMYFUNCTION("""COMPUTED_VALUE"""),"GES-14")</f>
        <v>GES-14</v>
      </c>
      <c r="B3161" t="str">
        <f ca="1">IFERROR(__xludf.DUMMYFUNCTION("""COMPUTED_VALUE"""),"RF-00000191-PAR")</f>
        <v>RF-00000191-PAR</v>
      </c>
    </row>
    <row r="3162" spans="1:2" ht="12.5" x14ac:dyDescent="0.25">
      <c r="A3162" t="str">
        <f ca="1">IFERROR(__xludf.DUMMYFUNCTION("""COMPUTED_VALUE"""),"GES-15")</f>
        <v>GES-15</v>
      </c>
      <c r="B3162" t="str">
        <f ca="1">IFERROR(__xludf.DUMMYFUNCTION("""COMPUTED_VALUE"""),"RF-00000192-PAR")</f>
        <v>RF-00000192-PAR</v>
      </c>
    </row>
    <row r="3163" spans="1:2" ht="12.5" x14ac:dyDescent="0.25">
      <c r="A3163" t="str">
        <f ca="1">IFERROR(__xludf.DUMMYFUNCTION("""COMPUTED_VALUE"""),"GES-16")</f>
        <v>GES-16</v>
      </c>
      <c r="B3163" t="str">
        <f ca="1">IFERROR(__xludf.DUMMYFUNCTION("""COMPUTED_VALUE"""),"RF-00000193-PAR")</f>
        <v>RF-00000193-PAR</v>
      </c>
    </row>
    <row r="3164" spans="1:2" ht="12.5" x14ac:dyDescent="0.25">
      <c r="A3164" t="str">
        <f ca="1">IFERROR(__xludf.DUMMYFUNCTION("""COMPUTED_VALUE"""),"GES-17")</f>
        <v>GES-17</v>
      </c>
      <c r="B3164" t="str">
        <f ca="1">IFERROR(__xludf.DUMMYFUNCTION("""COMPUTED_VALUE"""),"RF-00000194-PAR")</f>
        <v>RF-00000194-PAR</v>
      </c>
    </row>
    <row r="3165" spans="1:2" ht="12.5" x14ac:dyDescent="0.25">
      <c r="A3165" t="str">
        <f ca="1">IFERROR(__xludf.DUMMYFUNCTION("""COMPUTED_VALUE"""),"GES-18")</f>
        <v>GES-18</v>
      </c>
      <c r="B3165" t="str">
        <f ca="1">IFERROR(__xludf.DUMMYFUNCTION("""COMPUTED_VALUE"""),"RF-00000195-PAR")</f>
        <v>RF-00000195-PAR</v>
      </c>
    </row>
    <row r="3166" spans="1:2" ht="12.5" x14ac:dyDescent="0.25">
      <c r="A3166" t="str">
        <f ca="1">IFERROR(__xludf.DUMMYFUNCTION("""COMPUTED_VALUE"""),"GES-19")</f>
        <v>GES-19</v>
      </c>
      <c r="B3166" t="str">
        <f ca="1">IFERROR(__xludf.DUMMYFUNCTION("""COMPUTED_VALUE"""),"RF-00000196-PAR")</f>
        <v>RF-00000196-PAR</v>
      </c>
    </row>
    <row r="3167" spans="1:2" ht="12.5" x14ac:dyDescent="0.25">
      <c r="A3167" t="str">
        <f ca="1">IFERROR(__xludf.DUMMYFUNCTION("""COMPUTED_VALUE"""),"GES-2")</f>
        <v>GES-2</v>
      </c>
      <c r="B3167" t="str">
        <f ca="1">IFERROR(__xludf.DUMMYFUNCTION("""COMPUTED_VALUE"""),"RF-00000179-PAR")</f>
        <v>RF-00000179-PAR</v>
      </c>
    </row>
    <row r="3168" spans="1:2" ht="12.5" x14ac:dyDescent="0.25">
      <c r="A3168" t="str">
        <f ca="1">IFERROR(__xludf.DUMMYFUNCTION("""COMPUTED_VALUE"""),"GES-20")</f>
        <v>GES-20</v>
      </c>
      <c r="B3168" t="str">
        <f ca="1">IFERROR(__xludf.DUMMYFUNCTION("""COMPUTED_VALUE"""),"RF-00000197-PAR")</f>
        <v>RF-00000197-PAR</v>
      </c>
    </row>
    <row r="3169" spans="1:2" ht="12.5" x14ac:dyDescent="0.25">
      <c r="A3169" t="str">
        <f ca="1">IFERROR(__xludf.DUMMYFUNCTION("""COMPUTED_VALUE"""),"GES-21")</f>
        <v>GES-21</v>
      </c>
      <c r="B3169" t="str">
        <f ca="1">IFERROR(__xludf.DUMMYFUNCTION("""COMPUTED_VALUE"""),"RF-00000198-PAR")</f>
        <v>RF-00000198-PAR</v>
      </c>
    </row>
    <row r="3170" spans="1:2" ht="12.5" x14ac:dyDescent="0.25">
      <c r="A3170" t="str">
        <f ca="1">IFERROR(__xludf.DUMMYFUNCTION("""COMPUTED_VALUE"""),"GES-22")</f>
        <v>GES-22</v>
      </c>
      <c r="B3170" t="str">
        <f ca="1">IFERROR(__xludf.DUMMYFUNCTION("""COMPUTED_VALUE"""),"RF-00000199-PAR")</f>
        <v>RF-00000199-PAR</v>
      </c>
    </row>
    <row r="3171" spans="1:2" ht="12.5" x14ac:dyDescent="0.25">
      <c r="A3171" t="str">
        <f ca="1">IFERROR(__xludf.DUMMYFUNCTION("""COMPUTED_VALUE"""),"GES-3")</f>
        <v>GES-3</v>
      </c>
      <c r="B3171" t="str">
        <f ca="1">IFERROR(__xludf.DUMMYFUNCTION("""COMPUTED_VALUE"""),"RF-00000180-PAR")</f>
        <v>RF-00000180-PAR</v>
      </c>
    </row>
    <row r="3172" spans="1:2" ht="12.5" x14ac:dyDescent="0.25">
      <c r="A3172" t="str">
        <f ca="1">IFERROR(__xludf.DUMMYFUNCTION("""COMPUTED_VALUE"""),"GES-4")</f>
        <v>GES-4</v>
      </c>
      <c r="B3172" t="str">
        <f ca="1">IFERROR(__xludf.DUMMYFUNCTION("""COMPUTED_VALUE"""),"RF-00000181-PAR")</f>
        <v>RF-00000181-PAR</v>
      </c>
    </row>
    <row r="3173" spans="1:2" ht="12.5" x14ac:dyDescent="0.25">
      <c r="A3173" t="str">
        <f ca="1">IFERROR(__xludf.DUMMYFUNCTION("""COMPUTED_VALUE"""),"GES-5")</f>
        <v>GES-5</v>
      </c>
      <c r="B3173" t="str">
        <f ca="1">IFERROR(__xludf.DUMMYFUNCTION("""COMPUTED_VALUE"""),"RF-00000182-PAR")</f>
        <v>RF-00000182-PAR</v>
      </c>
    </row>
    <row r="3174" spans="1:2" ht="12.5" x14ac:dyDescent="0.25">
      <c r="A3174" t="str">
        <f ca="1">IFERROR(__xludf.DUMMYFUNCTION("""COMPUTED_VALUE"""),"GES-6")</f>
        <v>GES-6</v>
      </c>
      <c r="B3174" t="str">
        <f ca="1">IFERROR(__xludf.DUMMYFUNCTION("""COMPUTED_VALUE"""),"RF-00000183-PAR")</f>
        <v>RF-00000183-PAR</v>
      </c>
    </row>
    <row r="3175" spans="1:2" ht="12.5" x14ac:dyDescent="0.25">
      <c r="A3175" t="str">
        <f ca="1">IFERROR(__xludf.DUMMYFUNCTION("""COMPUTED_VALUE"""),"GES-7 (IBC-1)")</f>
        <v>GES-7 (IBC-1)</v>
      </c>
      <c r="B3175" t="str">
        <f ca="1">IFERROR(__xludf.DUMMYFUNCTION("""COMPUTED_VALUE"""),"RF-00000184-PAR")</f>
        <v>RF-00000184-PAR</v>
      </c>
    </row>
    <row r="3176" spans="1:2" ht="12.5" x14ac:dyDescent="0.25">
      <c r="A3176" t="str">
        <f ca="1">IFERROR(__xludf.DUMMYFUNCTION("""COMPUTED_VALUE"""),"GES-8 (IBC-2)")</f>
        <v>GES-8 (IBC-2)</v>
      </c>
      <c r="B3176" t="str">
        <f ca="1">IFERROR(__xludf.DUMMYFUNCTION("""COMPUTED_VALUE"""),"RF-00000185-PAR")</f>
        <v>RF-00000185-PAR</v>
      </c>
    </row>
    <row r="3177" spans="1:2" ht="12.5" x14ac:dyDescent="0.25">
      <c r="A3177" t="str">
        <f ca="1">IFERROR(__xludf.DUMMYFUNCTION("""COMPUTED_VALUE"""),"GES-9")</f>
        <v>GES-9</v>
      </c>
      <c r="B3177" t="str">
        <f ca="1">IFERROR(__xludf.DUMMYFUNCTION("""COMPUTED_VALUE"""),"RF-00000186-PAR")</f>
        <v>RF-00000186-PAR</v>
      </c>
    </row>
    <row r="3178" spans="1:2" ht="12.5" x14ac:dyDescent="0.25">
      <c r="A3178" t="str">
        <f ca="1">IFERROR(__xludf.DUMMYFUNCTION("""COMPUTED_VALUE"""),"Gestagens")</f>
        <v>Gestagens</v>
      </c>
      <c r="B3178" t="str">
        <f ca="1">IFERROR(__xludf.DUMMYFUNCTION("""COMPUTED_VALUE"""),"RF-00000701-VET")</f>
        <v>RF-00000701-VET</v>
      </c>
    </row>
    <row r="3179" spans="1:2" ht="12.5" x14ac:dyDescent="0.25">
      <c r="A3179" t="str">
        <f ca="1">IFERROR(__xludf.DUMMYFUNCTION("""COMPUTED_VALUE"""),"Giardia")</f>
        <v>Giardia</v>
      </c>
      <c r="B3179" t="str">
        <f ca="1">IFERROR(__xludf.DUMMYFUNCTION("""COMPUTED_VALUE"""),"RF-00000226-MCG")</f>
        <v>RF-00000226-MCG</v>
      </c>
    </row>
    <row r="3180" spans="1:2" ht="12.5" x14ac:dyDescent="0.25">
      <c r="A3180" t="str">
        <f ca="1">IFERROR(__xludf.DUMMYFUNCTION("""COMPUTED_VALUE"""),"Giardia intestinalis (lamblia)")</f>
        <v>Giardia intestinalis (lamblia)</v>
      </c>
      <c r="B3180" t="str">
        <f ca="1">IFERROR(__xludf.DUMMYFUNCTION("""COMPUTED_VALUE"""),"RF-00000227-MCG")</f>
        <v>RF-00000227-MCG</v>
      </c>
    </row>
    <row r="3181" spans="1:2" ht="12.5" x14ac:dyDescent="0.25">
      <c r="A3181" t="str">
        <f ca="1">IFERROR(__xludf.DUMMYFUNCTION("""COMPUTED_VALUE"""),"Giardia spp., unspecified")</f>
        <v>Giardia spp., unspecified</v>
      </c>
      <c r="B3181" t="str">
        <f ca="1">IFERROR(__xludf.DUMMYFUNCTION("""COMPUTED_VALUE"""),"RF-00000228-MCG")</f>
        <v>RF-00000228-MCG</v>
      </c>
    </row>
    <row r="3182" spans="1:2" ht="12.5" x14ac:dyDescent="0.25">
      <c r="A3182" t="str">
        <f ca="1">IFERROR(__xludf.DUMMYFUNCTION("""COMPUTED_VALUE"""),"Gibberellic acid")</f>
        <v>Gibberellic acid</v>
      </c>
      <c r="B3182" t="str">
        <f ca="1">IFERROR(__xludf.DUMMYFUNCTION("""COMPUTED_VALUE"""),"RF-0230-001-PPP")</f>
        <v>RF-0230-001-PPP</v>
      </c>
    </row>
    <row r="3183" spans="1:2" ht="12.5" x14ac:dyDescent="0.25">
      <c r="A3183" t="str">
        <f ca="1">IFERROR(__xludf.DUMMYFUNCTION("""COMPUTED_VALUE"""),"Gluconic acid")</f>
        <v>Gluconic acid</v>
      </c>
      <c r="B3183" t="str">
        <f ca="1">IFERROR(__xludf.DUMMYFUNCTION("""COMPUTED_VALUE"""),"RF-00000137-ADD")</f>
        <v>RF-00000137-ADD</v>
      </c>
    </row>
    <row r="3184" spans="1:2" ht="12.5" x14ac:dyDescent="0.25">
      <c r="A3184" t="str">
        <f ca="1">IFERROR(__xludf.DUMMYFUNCTION("""COMPUTED_VALUE"""),"Glucono-delta-lactone")</f>
        <v>Glucono-delta-lactone</v>
      </c>
      <c r="B3184" t="str">
        <f ca="1">IFERROR(__xludf.DUMMYFUNCTION("""COMPUTED_VALUE"""),"RF-00000138-ADD")</f>
        <v>RF-00000138-ADD</v>
      </c>
    </row>
    <row r="3185" spans="1:2" ht="12.5" x14ac:dyDescent="0.25">
      <c r="A3185" t="str">
        <f ca="1">IFERROR(__xludf.DUMMYFUNCTION("""COMPUTED_VALUE"""),"glucose")</f>
        <v>glucose</v>
      </c>
      <c r="B3185" t="str">
        <f ca="1">IFERROR(__xludf.DUMMYFUNCTION("""COMPUTED_VALUE"""),"RF-00000298-NTR")</f>
        <v>RF-00000298-NTR</v>
      </c>
    </row>
    <row r="3186" spans="1:2" ht="12.5" x14ac:dyDescent="0.25">
      <c r="A3186" t="str">
        <f ca="1">IFERROR(__xludf.DUMMYFUNCTION("""COMPUTED_VALUE"""),"Glucosinolates")</f>
        <v>Glucosinolates</v>
      </c>
      <c r="B3186" t="str">
        <f ca="1">IFERROR(__xludf.DUMMYFUNCTION("""COMPUTED_VALUE"""),"RF-00000330-TOX")</f>
        <v>RF-00000330-TOX</v>
      </c>
    </row>
    <row r="3187" spans="1:2" ht="12.5" x14ac:dyDescent="0.25">
      <c r="A3187" t="str">
        <f ca="1">IFERROR(__xludf.DUMMYFUNCTION("""COMPUTED_VALUE"""),"Glufosinate-ammonium")</f>
        <v>Glufosinate-ammonium</v>
      </c>
      <c r="B3187" t="str">
        <f ca="1">IFERROR(__xludf.DUMMYFUNCTION("""COMPUTED_VALUE"""),"RF-0231-001-PPP")</f>
        <v>RF-0231-001-PPP</v>
      </c>
    </row>
    <row r="3188" spans="1:2" ht="12.5" x14ac:dyDescent="0.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x14ac:dyDescent="0.25">
      <c r="A3189" t="str">
        <f ca="1">IFERROR(__xludf.DUMMYFUNCTION("""COMPUTED_VALUE"""),"Glutamic acid")</f>
        <v>Glutamic acid</v>
      </c>
      <c r="B3189" t="str">
        <f ca="1">IFERROR(__xludf.DUMMYFUNCTION("""COMPUTED_VALUE"""),"RF-00000139-ADD")</f>
        <v>RF-00000139-ADD</v>
      </c>
    </row>
    <row r="3190" spans="1:2" ht="12.5" x14ac:dyDescent="0.25">
      <c r="A3190" t="str">
        <f ca="1">IFERROR(__xludf.DUMMYFUNCTION("""COMPUTED_VALUE"""),"glutamine")</f>
        <v>glutamine</v>
      </c>
      <c r="B3190" t="str">
        <f ca="1">IFERROR(__xludf.DUMMYFUNCTION("""COMPUTED_VALUE"""),"RF-00000299-NTR")</f>
        <v>RF-00000299-NTR</v>
      </c>
    </row>
    <row r="3191" spans="1:2" ht="12.5" x14ac:dyDescent="0.25">
      <c r="A3191" t="str">
        <f ca="1">IFERROR(__xludf.DUMMYFUNCTION("""COMPUTED_VALUE"""),"gluten")</f>
        <v>gluten</v>
      </c>
      <c r="B3191" t="str">
        <f ca="1">IFERROR(__xludf.DUMMYFUNCTION("""COMPUTED_VALUE"""),"RF-00000300-NTR")</f>
        <v>RF-00000300-NTR</v>
      </c>
    </row>
    <row r="3192" spans="1:2" ht="12.5" x14ac:dyDescent="0.25">
      <c r="A3192" t="str">
        <f ca="1">IFERROR(__xludf.DUMMYFUNCTION("""COMPUTED_VALUE"""),"Glycerol")</f>
        <v>Glycerol</v>
      </c>
      <c r="B3192" t="str">
        <f ca="1">IFERROR(__xludf.DUMMYFUNCTION("""COMPUTED_VALUE"""),"RF-00000140-ADD")</f>
        <v>RF-00000140-ADD</v>
      </c>
    </row>
    <row r="3193" spans="1:2" ht="12.5" x14ac:dyDescent="0.25">
      <c r="A3193" t="str">
        <f ca="1">IFERROR(__xludf.DUMMYFUNCTION("""COMPUTED_VALUE"""),"Glycerol esters of wood rosins")</f>
        <v>Glycerol esters of wood rosins</v>
      </c>
      <c r="B3193" t="str">
        <f ca="1">IFERROR(__xludf.DUMMYFUNCTION("""COMPUTED_VALUE"""),"RF-00000141-ADD")</f>
        <v>RF-00000141-ADD</v>
      </c>
    </row>
    <row r="3194" spans="1:2" ht="12.5" x14ac:dyDescent="0.25">
      <c r="A3194" t="str">
        <f ca="1">IFERROR(__xludf.DUMMYFUNCTION("""COMPUTED_VALUE"""),"Glyceryl diacetate (diacetin)")</f>
        <v>Glyceryl diacetate (diacetin)</v>
      </c>
      <c r="B3194" t="str">
        <f ca="1">IFERROR(__xludf.DUMMYFUNCTION("""COMPUTED_VALUE"""),"RF-00000142-ADD")</f>
        <v>RF-00000142-ADD</v>
      </c>
    </row>
    <row r="3195" spans="1:2" ht="12.5" x14ac:dyDescent="0.25">
      <c r="A3195" t="str">
        <f ca="1">IFERROR(__xludf.DUMMYFUNCTION("""COMPUTED_VALUE"""),"Glyceryl triacetate (triacetin)")</f>
        <v>Glyceryl triacetate (triacetin)</v>
      </c>
      <c r="B3195" t="str">
        <f ca="1">IFERROR(__xludf.DUMMYFUNCTION("""COMPUTED_VALUE"""),"RF-00000143-ADD")</f>
        <v>RF-00000143-ADD</v>
      </c>
    </row>
    <row r="3196" spans="1:2" ht="12.5" x14ac:dyDescent="0.25">
      <c r="A3196" t="str">
        <f ca="1">IFERROR(__xludf.DUMMYFUNCTION("""COMPUTED_VALUE"""),"glycine")</f>
        <v>glycine</v>
      </c>
      <c r="B3196" t="str">
        <f ca="1">IFERROR(__xludf.DUMMYFUNCTION("""COMPUTED_VALUE"""),"RF-00000301-NTR")</f>
        <v>RF-00000301-NTR</v>
      </c>
    </row>
    <row r="3197" spans="1:2" ht="12.5" x14ac:dyDescent="0.25">
      <c r="A3197" t="str">
        <f ca="1">IFERROR(__xludf.DUMMYFUNCTION("""COMPUTED_VALUE"""),"Glycine and its sodium salt")</f>
        <v>Glycine and its sodium salt</v>
      </c>
      <c r="B3197" t="str">
        <f ca="1">IFERROR(__xludf.DUMMYFUNCTION("""COMPUTED_VALUE"""),"RF-00000144-ADD")</f>
        <v>RF-00000144-ADD</v>
      </c>
    </row>
    <row r="3198" spans="1:2" ht="12.5" x14ac:dyDescent="0.25">
      <c r="A3198" t="str">
        <f ca="1">IFERROR(__xludf.DUMMYFUNCTION("""COMPUTED_VALUE"""),"glycitein")</f>
        <v>glycitein</v>
      </c>
      <c r="B3198" t="str">
        <f ca="1">IFERROR(__xludf.DUMMYFUNCTION("""COMPUTED_VALUE"""),"RF-00000302-NTR")</f>
        <v>RF-00000302-NTR</v>
      </c>
    </row>
    <row r="3199" spans="1:2" ht="12.5" x14ac:dyDescent="0.25">
      <c r="A3199" t="str">
        <f ca="1">IFERROR(__xludf.DUMMYFUNCTION("""COMPUTED_VALUE"""),"glycogen")</f>
        <v>glycogen</v>
      </c>
      <c r="B3199" t="str">
        <f ca="1">IFERROR(__xludf.DUMMYFUNCTION("""COMPUTED_VALUE"""),"RF-00000303-NTR")</f>
        <v>RF-00000303-NTR</v>
      </c>
    </row>
    <row r="3200" spans="1:2" ht="12.5" x14ac:dyDescent="0.25">
      <c r="A3200" t="str">
        <f ca="1">IFERROR(__xludf.DUMMYFUNCTION("""COMPUTED_VALUE"""),"Glycolipids")</f>
        <v>Glycolipids</v>
      </c>
      <c r="B3200" t="str">
        <f ca="1">IFERROR(__xludf.DUMMYFUNCTION("""COMPUTED_VALUE"""),"RF-00000739-VET")</f>
        <v>RF-00000739-VET</v>
      </c>
    </row>
    <row r="3201" spans="1:2" ht="12.5" x14ac:dyDescent="0.25">
      <c r="A3201" t="str">
        <f ca="1">IFERROR(__xludf.DUMMYFUNCTION("""COMPUTED_VALUE"""),"glycolipids, total")</f>
        <v>glycolipids, total</v>
      </c>
      <c r="B3201" t="str">
        <f ca="1">IFERROR(__xludf.DUMMYFUNCTION("""COMPUTED_VALUE"""),"RF-00000304-NTR")</f>
        <v>RF-00000304-NTR</v>
      </c>
    </row>
    <row r="3202" spans="1:2" ht="12.5" x14ac:dyDescent="0.25">
      <c r="A3202" t="str">
        <f ca="1">IFERROR(__xludf.DUMMYFUNCTION("""COMPUTED_VALUE"""),"Glycopeptides (Cyclic peptides, Polypeptides)")</f>
        <v>Glycopeptides (Cyclic peptides, Polypeptides)</v>
      </c>
      <c r="B3202" t="str">
        <f ca="1">IFERROR(__xludf.DUMMYFUNCTION("""COMPUTED_VALUE"""),"RF-00000741-VET")</f>
        <v>RF-00000741-VET</v>
      </c>
    </row>
    <row r="3203" spans="1:2" ht="12.5" x14ac:dyDescent="0.25">
      <c r="A3203" t="str">
        <f ca="1">IFERROR(__xludf.DUMMYFUNCTION("""COMPUTED_VALUE"""),"Glycylcyclines")</f>
        <v>Glycylcyclines</v>
      </c>
      <c r="B3203" t="str">
        <f ca="1">IFERROR(__xludf.DUMMYFUNCTION("""COMPUTED_VALUE"""),"RF-00000744-VET")</f>
        <v>RF-00000744-VET</v>
      </c>
    </row>
    <row r="3204" spans="1:2" ht="12.5" x14ac:dyDescent="0.25">
      <c r="A3204" t="str">
        <f ca="1">IFERROR(__xludf.DUMMYFUNCTION("""COMPUTED_VALUE"""),"Glyphosate")</f>
        <v>Glyphosate</v>
      </c>
      <c r="B3204" t="str">
        <f ca="1">IFERROR(__xludf.DUMMYFUNCTION("""COMPUTED_VALUE"""),"RF-1020-001-PPP")</f>
        <v>RF-1020-001-PPP</v>
      </c>
    </row>
    <row r="3205" spans="1:2" ht="12.5" x14ac:dyDescent="0.25">
      <c r="A3205" t="str">
        <f ca="1">IFERROR(__xludf.DUMMYFUNCTION("""COMPUTED_VALUE"""),"Glyphosate-Trimesium")</f>
        <v>Glyphosate-Trimesium</v>
      </c>
      <c r="B3205" t="str">
        <f ca="1">IFERROR(__xludf.DUMMYFUNCTION("""COMPUTED_VALUE"""),"RF-0731-001-PPP")</f>
        <v>RF-0731-001-PPP</v>
      </c>
    </row>
    <row r="3206" spans="1:2" ht="12.5" x14ac:dyDescent="0.25">
      <c r="A3206" t="str">
        <f ca="1">IFERROR(__xludf.DUMMYFUNCTION("""COMPUTED_VALUE"""),"Gold")</f>
        <v>Gold</v>
      </c>
      <c r="B3206" t="str">
        <f ca="1">IFERROR(__xludf.DUMMYFUNCTION("""COMPUTED_VALUE"""),"RF-00000145-ADD")</f>
        <v>RF-00000145-ADD</v>
      </c>
    </row>
    <row r="3207" spans="1:2" ht="12.5" x14ac:dyDescent="0.25">
      <c r="A3207" t="str">
        <f ca="1">IFERROR(__xludf.DUMMYFUNCTION("""COMPUTED_VALUE"""),"gonyautoxins 1")</f>
        <v>gonyautoxins 1</v>
      </c>
      <c r="B3207" t="str">
        <f ca="1">IFERROR(__xludf.DUMMYFUNCTION("""COMPUTED_VALUE"""),"RF-00000093-TOX")</f>
        <v>RF-00000093-TOX</v>
      </c>
    </row>
    <row r="3208" spans="1:2" ht="12.5" x14ac:dyDescent="0.25">
      <c r="A3208" t="str">
        <f ca="1">IFERROR(__xludf.DUMMYFUNCTION("""COMPUTED_VALUE"""),"gonyautoxins 1, 4")</f>
        <v>gonyautoxins 1, 4</v>
      </c>
      <c r="B3208" t="str">
        <f ca="1">IFERROR(__xludf.DUMMYFUNCTION("""COMPUTED_VALUE"""),"RF-00000097-TOX")</f>
        <v>RF-00000097-TOX</v>
      </c>
    </row>
    <row r="3209" spans="1:2" ht="12.5" x14ac:dyDescent="0.25">
      <c r="A3209" t="str">
        <f ca="1">IFERROR(__xludf.DUMMYFUNCTION("""COMPUTED_VALUE"""),"gonyautoxins 2")</f>
        <v>gonyautoxins 2</v>
      </c>
      <c r="B3209" t="str">
        <f ca="1">IFERROR(__xludf.DUMMYFUNCTION("""COMPUTED_VALUE"""),"RF-00000094-TOX")</f>
        <v>RF-00000094-TOX</v>
      </c>
    </row>
    <row r="3210" spans="1:2" ht="12.5" x14ac:dyDescent="0.25">
      <c r="A3210" t="str">
        <f ca="1">IFERROR(__xludf.DUMMYFUNCTION("""COMPUTED_VALUE"""),"gonyautoxins 2,3")</f>
        <v>gonyautoxins 2,3</v>
      </c>
      <c r="B3210" t="str">
        <f ca="1">IFERROR(__xludf.DUMMYFUNCTION("""COMPUTED_VALUE"""),"RF-00000098-TOX")</f>
        <v>RF-00000098-TOX</v>
      </c>
    </row>
    <row r="3211" spans="1:2" ht="12.5" x14ac:dyDescent="0.25">
      <c r="A3211" t="str">
        <f ca="1">IFERROR(__xludf.DUMMYFUNCTION("""COMPUTED_VALUE"""),"gonyautoxins 3")</f>
        <v>gonyautoxins 3</v>
      </c>
      <c r="B3211" t="str">
        <f ca="1">IFERROR(__xludf.DUMMYFUNCTION("""COMPUTED_VALUE"""),"RF-00000095-TOX")</f>
        <v>RF-00000095-TOX</v>
      </c>
    </row>
    <row r="3212" spans="1:2" ht="12.5" x14ac:dyDescent="0.25">
      <c r="A3212" t="str">
        <f ca="1">IFERROR(__xludf.DUMMYFUNCTION("""COMPUTED_VALUE"""),"gonyautoxins 4")</f>
        <v>gonyautoxins 4</v>
      </c>
      <c r="B3212" t="str">
        <f ca="1">IFERROR(__xludf.DUMMYFUNCTION("""COMPUTED_VALUE"""),"RF-00000096-TOX")</f>
        <v>RF-00000096-TOX</v>
      </c>
    </row>
    <row r="3213" spans="1:2" ht="12.5" x14ac:dyDescent="0.25">
      <c r="A3213" t="str">
        <f ca="1">IFERROR(__xludf.DUMMYFUNCTION("""COMPUTED_VALUE"""),"Green S")</f>
        <v>Green S</v>
      </c>
      <c r="B3213" t="str">
        <f ca="1">IFERROR(__xludf.DUMMYFUNCTION("""COMPUTED_VALUE"""),"RF-00000146-ADD")</f>
        <v>RF-00000146-ADD</v>
      </c>
    </row>
    <row r="3214" spans="1:2" ht="12.5" x14ac:dyDescent="0.25">
      <c r="A3214" t="str">
        <f ca="1">IFERROR(__xludf.DUMMYFUNCTION("""COMPUTED_VALUE"""),"Grepafloxacin")</f>
        <v>Grepafloxacin</v>
      </c>
      <c r="B3214" t="str">
        <f ca="1">IFERROR(__xludf.DUMMYFUNCTION("""COMPUTED_VALUE"""),"RF-00000609-VET")</f>
        <v>RF-00000609-VET</v>
      </c>
    </row>
    <row r="3215" spans="1:2" ht="12.5" x14ac:dyDescent="0.25">
      <c r="A3215" t="str">
        <f ca="1">IFERROR(__xludf.DUMMYFUNCTION("""COMPUTED_VALUE"""),"Griseofulvin")</f>
        <v>Griseofulvin</v>
      </c>
      <c r="B3215" t="str">
        <f ca="1">IFERROR(__xludf.DUMMYFUNCTION("""COMPUTED_VALUE"""),"RF-1032-001-PPP")</f>
        <v>RF-1032-001-PPP</v>
      </c>
    </row>
    <row r="3216" spans="1:2" ht="12.5" x14ac:dyDescent="0.25">
      <c r="A3216" t="str">
        <f ca="1">IFERROR(__xludf.DUMMYFUNCTION("""COMPUTED_VALUE"""),"Guanylic acid")</f>
        <v>Guanylic acid</v>
      </c>
      <c r="B3216" t="str">
        <f ca="1">IFERROR(__xludf.DUMMYFUNCTION("""COMPUTED_VALUE"""),"RF-00000147-ADD")</f>
        <v>RF-00000147-ADD</v>
      </c>
    </row>
    <row r="3217" spans="1:2" ht="12.5" x14ac:dyDescent="0.25">
      <c r="A3217" t="str">
        <f ca="1">IFERROR(__xludf.DUMMYFUNCTION("""COMPUTED_VALUE"""),"Guar gum")</f>
        <v>Guar gum</v>
      </c>
      <c r="B3217" t="str">
        <f ca="1">IFERROR(__xludf.DUMMYFUNCTION("""COMPUTED_VALUE"""),"RF-00000148-ADD")</f>
        <v>RF-00000148-ADD</v>
      </c>
    </row>
    <row r="3218" spans="1:2" ht="12.5" x14ac:dyDescent="0.25">
      <c r="A3218" t="str">
        <f ca="1">IFERROR(__xludf.DUMMYFUNCTION("""COMPUTED_VALUE"""),"Guazatine")</f>
        <v>Guazatine</v>
      </c>
      <c r="B3218" t="str">
        <f ca="1">IFERROR(__xludf.DUMMYFUNCTION("""COMPUTED_VALUE"""),"RF-0233-001-PPP")</f>
        <v>RF-0233-001-PPP</v>
      </c>
    </row>
    <row r="3219" spans="1:2" ht="12.5" x14ac:dyDescent="0.25">
      <c r="A3219" t="str">
        <f ca="1">IFERROR(__xludf.DUMMYFUNCTION("""COMPUTED_VALUE"""),"Gum arabic (acacia gum)")</f>
        <v>Gum arabic (acacia gum)</v>
      </c>
      <c r="B3219" t="str">
        <f ca="1">IFERROR(__xludf.DUMMYFUNCTION("""COMPUTED_VALUE"""),"RF-00000149-ADD")</f>
        <v>RF-00000149-ADD</v>
      </c>
    </row>
    <row r="3220" spans="1:2" ht="12.5" x14ac:dyDescent="0.25">
      <c r="A3220" t="str">
        <f ca="1">IFERROR(__xludf.DUMMYFUNCTION("""COMPUTED_VALUE"""),"Halfenprox")</f>
        <v>Halfenprox</v>
      </c>
      <c r="B3220" t="str">
        <f ca="1">IFERROR(__xludf.DUMMYFUNCTION("""COMPUTED_VALUE"""),"RF-0732-001-PPP")</f>
        <v>RF-0732-001-PPP</v>
      </c>
    </row>
    <row r="3221" spans="1:2" ht="12.5" x14ac:dyDescent="0.25">
      <c r="A3221" t="str">
        <f ca="1">IFERROR(__xludf.DUMMYFUNCTION("""COMPUTED_VALUE"""),"Halofenozide")</f>
        <v>Halofenozide</v>
      </c>
      <c r="B3221" t="str">
        <f ca="1">IFERROR(__xludf.DUMMYFUNCTION("""COMPUTED_VALUE"""),"RF-0733-001-PPP")</f>
        <v>RF-0733-001-PPP</v>
      </c>
    </row>
    <row r="3222" spans="1:2" ht="12.5" x14ac:dyDescent="0.25">
      <c r="A3222" t="str">
        <f ca="1">IFERROR(__xludf.DUMMYFUNCTION("""COMPUTED_VALUE"""),"Halofuginone")</f>
        <v>Halofuginone</v>
      </c>
      <c r="B3222" t="str">
        <f ca="1">IFERROR(__xludf.DUMMYFUNCTION("""COMPUTED_VALUE"""),"RF-00000093-VET")</f>
        <v>RF-00000093-VET</v>
      </c>
    </row>
    <row r="3223" spans="1:2" ht="12.5" x14ac:dyDescent="0.25">
      <c r="A3223" t="str">
        <f ca="1">IFERROR(__xludf.DUMMYFUNCTION("""COMPUTED_VALUE"""),"Halogenated Hydrocarbons")</f>
        <v>Halogenated Hydrocarbons</v>
      </c>
      <c r="B3223" t="str">
        <f ca="1">IFERROR(__xludf.DUMMYFUNCTION("""COMPUTED_VALUE"""),"RF-00000033-ORG")</f>
        <v>RF-00000033-ORG</v>
      </c>
    </row>
    <row r="3224" spans="1:2" ht="12.5" x14ac:dyDescent="0.25">
      <c r="A3224" t="str">
        <f ca="1">IFERROR(__xludf.DUMMYFUNCTION("""COMPUTED_VALUE"""),"Haloperidol")</f>
        <v>Haloperidol</v>
      </c>
      <c r="B3224" t="str">
        <f ca="1">IFERROR(__xludf.DUMMYFUNCTION("""COMPUTED_VALUE"""),"RF-00000188-VET")</f>
        <v>RF-00000188-VET</v>
      </c>
    </row>
    <row r="3225" spans="1:2" ht="12.5" x14ac:dyDescent="0.25">
      <c r="A3225" t="str">
        <f ca="1">IFERROR(__xludf.DUMMYFUNCTION("""COMPUTED_VALUE"""),"Halosulfuron")</f>
        <v>Halosulfuron</v>
      </c>
      <c r="B3225" t="str">
        <f ca="1">IFERROR(__xludf.DUMMYFUNCTION("""COMPUTED_VALUE"""),"RF-0734-001-PPP")</f>
        <v>RF-0734-001-PPP</v>
      </c>
    </row>
    <row r="3226" spans="1:2" ht="12.5" x14ac:dyDescent="0.25">
      <c r="A3226" t="str">
        <f ca="1">IFERROR(__xludf.DUMMYFUNCTION("""COMPUTED_VALUE"""),"Halosulfuron methyl")</f>
        <v>Halosulfuron methyl</v>
      </c>
      <c r="B3226" t="str">
        <f ca="1">IFERROR(__xludf.DUMMYFUNCTION("""COMPUTED_VALUE"""),"RF-0234-001-PPP")</f>
        <v>RF-0234-001-PPP</v>
      </c>
    </row>
    <row r="3227" spans="1:2" ht="12.5" x14ac:dyDescent="0.25">
      <c r="A3227" t="str">
        <f ca="1">IFERROR(__xludf.DUMMYFUNCTION("""COMPUTED_VALUE"""),"Haloxon")</f>
        <v>Haloxon</v>
      </c>
      <c r="B3227" t="str">
        <f ca="1">IFERROR(__xludf.DUMMYFUNCTION("""COMPUTED_VALUE"""),"RF-00000027-VET")</f>
        <v>RF-00000027-VET</v>
      </c>
    </row>
    <row r="3228" spans="1:2" ht="12.5" x14ac:dyDescent="0.25">
      <c r="A3228" t="str">
        <f ca="1">IFERROR(__xludf.DUMMYFUNCTION("""COMPUTED_VALUE"""),"Haloxyfop")</f>
        <v>Haloxyfop</v>
      </c>
      <c r="B3228" t="str">
        <f ca="1">IFERROR(__xludf.DUMMYFUNCTION("""COMPUTED_VALUE"""),"RF-0235-004-PPP")</f>
        <v>RF-0235-004-PPP</v>
      </c>
    </row>
    <row r="3229" spans="1:2" ht="12.5" x14ac:dyDescent="0.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x14ac:dyDescent="0.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x14ac:dyDescent="0.25">
      <c r="A3231" t="str">
        <f ca="1">IFERROR(__xludf.DUMMYFUNCTION("""COMPUTED_VALUE"""),"Haloxyfop-Ethoxyethylester")</f>
        <v>Haloxyfop-Ethoxyethylester</v>
      </c>
      <c r="B3231" t="str">
        <f ca="1">IFERROR(__xludf.DUMMYFUNCTION("""COMPUTED_VALUE"""),"RF-0235-003-PPP")</f>
        <v>RF-0235-003-PPP</v>
      </c>
    </row>
    <row r="3232" spans="1:2" ht="12.5" x14ac:dyDescent="0.25">
      <c r="A3232" t="str">
        <f ca="1">IFERROR(__xludf.DUMMYFUNCTION("""COMPUTED_VALUE"""),"Haloxyfop-Methyl")</f>
        <v>Haloxyfop-Methyl</v>
      </c>
      <c r="B3232" t="str">
        <f ca="1">IFERROR(__xludf.DUMMYFUNCTION("""COMPUTED_VALUE"""),"RF-0235-002-PPP")</f>
        <v>RF-0235-002-PPP</v>
      </c>
    </row>
    <row r="3233" spans="1:2" ht="12.5" x14ac:dyDescent="0.25">
      <c r="A3233" t="str">
        <f ca="1">IFERROR(__xludf.DUMMYFUNCTION("""COMPUTED_VALUE"""),"Haloxyfop-P")</f>
        <v>Haloxyfop-P</v>
      </c>
      <c r="B3233" t="str">
        <f ca="1">IFERROR(__xludf.DUMMYFUNCTION("""COMPUTED_VALUE"""),"RF-0735-001-PPP")</f>
        <v>RF-0735-001-PPP</v>
      </c>
    </row>
    <row r="3234" spans="1:2" ht="12.5" x14ac:dyDescent="0.25">
      <c r="A3234" t="str">
        <f ca="1">IFERROR(__xludf.DUMMYFUNCTION("""COMPUTED_VALUE"""),"Haloxyfop-P")</f>
        <v>Haloxyfop-P</v>
      </c>
      <c r="B3234" t="str">
        <f ca="1">IFERROR(__xludf.DUMMYFUNCTION("""COMPUTED_VALUE"""),"RF-0235-006-PPP")</f>
        <v>RF-0235-006-PPP</v>
      </c>
    </row>
    <row r="3235" spans="1:2" ht="12.5" x14ac:dyDescent="0.25">
      <c r="A3235" t="str">
        <f ca="1">IFERROR(__xludf.DUMMYFUNCTION("""COMPUTED_VALUE"""),"Haloxyfop-P-methyl")</f>
        <v>Haloxyfop-P-methyl</v>
      </c>
      <c r="B3235" t="str">
        <f ca="1">IFERROR(__xludf.DUMMYFUNCTION("""COMPUTED_VALUE"""),"RF-0235-007-PPP")</f>
        <v>RF-0235-007-PPP</v>
      </c>
    </row>
    <row r="3236" spans="1:2" ht="12.5" x14ac:dyDescent="0.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x14ac:dyDescent="0.25">
      <c r="A3237" t="str">
        <f ca="1">IFERROR(__xludf.DUMMYFUNCTION("""COMPUTED_VALUE"""),"Hantavirus")</f>
        <v>Hantavirus</v>
      </c>
      <c r="B3237" t="str">
        <f ca="1">IFERROR(__xludf.DUMMYFUNCTION("""COMPUTED_VALUE"""),"RF-00003895-MCG")</f>
        <v>RF-00003895-MCG</v>
      </c>
    </row>
    <row r="3238" spans="1:2" ht="12.5" x14ac:dyDescent="0.25">
      <c r="A3238" t="str">
        <f ca="1">IFERROR(__xludf.DUMMYFUNCTION("""COMPUTED_VALUE"""),"HBCD alpha isomer")</f>
        <v>HBCD alpha isomer</v>
      </c>
      <c r="B3238" t="str">
        <f ca="1">IFERROR(__xludf.DUMMYFUNCTION("""COMPUTED_VALUE"""),"RF-00000078-ORG")</f>
        <v>RF-00000078-ORG</v>
      </c>
    </row>
    <row r="3239" spans="1:2" ht="12.5" x14ac:dyDescent="0.25">
      <c r="A3239" t="str">
        <f ca="1">IFERROR(__xludf.DUMMYFUNCTION("""COMPUTED_VALUE"""),"HBCD beta isomer")</f>
        <v>HBCD beta isomer</v>
      </c>
      <c r="B3239" t="str">
        <f ca="1">IFERROR(__xludf.DUMMYFUNCTION("""COMPUTED_VALUE"""),"RF-00000079-ORG")</f>
        <v>RF-00000079-ORG</v>
      </c>
    </row>
    <row r="3240" spans="1:2" ht="12.5" x14ac:dyDescent="0.25">
      <c r="A3240" t="str">
        <f ca="1">IFERROR(__xludf.DUMMYFUNCTION("""COMPUTED_VALUE"""),"HBCD gamma isomer")</f>
        <v>HBCD gamma isomer</v>
      </c>
      <c r="B3240" t="str">
        <f ca="1">IFERROR(__xludf.DUMMYFUNCTION("""COMPUTED_VALUE"""),"RF-00000080-ORG")</f>
        <v>RF-00000080-ORG</v>
      </c>
    </row>
    <row r="3241" spans="1:2" ht="12.5" x14ac:dyDescent="0.25">
      <c r="A3241" t="str">
        <f ca="1">IFERROR(__xludf.DUMMYFUNCTION("""COMPUTED_VALUE"""),"HCH-epsilon")</f>
        <v>HCH-epsilon</v>
      </c>
      <c r="B3241" t="str">
        <f ca="1">IFERROR(__xludf.DUMMYFUNCTION("""COMPUTED_VALUE"""),"RF-0240-004-PPP")</f>
        <v>RF-0240-004-PPP</v>
      </c>
    </row>
    <row r="3242" spans="1:2" ht="12.5" x14ac:dyDescent="0.25">
      <c r="A3242" t="str">
        <f ca="1">IFERROR(__xludf.DUMMYFUNCTION("""COMPUTED_VALUE"""),"HCH, delta-")</f>
        <v>HCH, delta-</v>
      </c>
      <c r="B3242" t="str">
        <f ca="1">IFERROR(__xludf.DUMMYFUNCTION("""COMPUTED_VALUE"""),"RF-0736-001-PPP")</f>
        <v>RF-0736-001-PPP</v>
      </c>
    </row>
    <row r="3243" spans="1:2" ht="12.5" x14ac:dyDescent="0.25">
      <c r="A3243" t="str">
        <f ca="1">IFERROR(__xludf.DUMMYFUNCTION("""COMPUTED_VALUE"""),"Heleurine-N-oxide")</f>
        <v>Heleurine-N-oxide</v>
      </c>
      <c r="B3243" t="str">
        <f ca="1">IFERROR(__xludf.DUMMYFUNCTION("""COMPUTED_VALUE"""),"RF-00000395-TOX")</f>
        <v>RF-00000395-TOX</v>
      </c>
    </row>
    <row r="3244" spans="1:2" ht="12.5" x14ac:dyDescent="0.25">
      <c r="A3244" t="str">
        <f ca="1">IFERROR(__xludf.DUMMYFUNCTION("""COMPUTED_VALUE"""),"Heliosupine")</f>
        <v>Heliosupine</v>
      </c>
      <c r="B3244" t="str">
        <f ca="1">IFERROR(__xludf.DUMMYFUNCTION("""COMPUTED_VALUE"""),"RF-00000282-TOX")</f>
        <v>RF-00000282-TOX</v>
      </c>
    </row>
    <row r="3245" spans="1:2" ht="12.5" x14ac:dyDescent="0.25">
      <c r="A3245" t="str">
        <f ca="1">IFERROR(__xludf.DUMMYFUNCTION("""COMPUTED_VALUE"""),"Heliotrine")</f>
        <v>Heliotrine</v>
      </c>
      <c r="B3245" t="str">
        <f ca="1">IFERROR(__xludf.DUMMYFUNCTION("""COMPUTED_VALUE"""),"RF-00000240-TOX")</f>
        <v>RF-00000240-TOX</v>
      </c>
    </row>
    <row r="3246" spans="1:2" ht="12.5" x14ac:dyDescent="0.25">
      <c r="A3246" t="str">
        <f ca="1">IFERROR(__xludf.DUMMYFUNCTION("""COMPUTED_VALUE"""),"Heliotrine-N-oxide")</f>
        <v>Heliotrine-N-oxide</v>
      </c>
      <c r="B3246" t="str">
        <f ca="1">IFERROR(__xludf.DUMMYFUNCTION("""COMPUTED_VALUE"""),"RF-00000363-TOX")</f>
        <v>RF-00000363-TOX</v>
      </c>
    </row>
    <row r="3247" spans="1:2" ht="12.5" x14ac:dyDescent="0.25">
      <c r="A3247" t="str">
        <f ca="1">IFERROR(__xludf.DUMMYFUNCTION("""COMPUTED_VALUE"""),"Helium")</f>
        <v>Helium</v>
      </c>
      <c r="B3247" t="str">
        <f ca="1">IFERROR(__xludf.DUMMYFUNCTION("""COMPUTED_VALUE"""),"RF-00000150-ADD")</f>
        <v>RF-00000150-ADD</v>
      </c>
    </row>
    <row r="3248" spans="1:2" ht="12.5" x14ac:dyDescent="0.25">
      <c r="A3248" t="str">
        <f ca="1">IFERROR(__xludf.DUMMYFUNCTION("""COMPUTED_VALUE"""),"Hepatitis A virus")</f>
        <v>Hepatitis A virus</v>
      </c>
      <c r="B3248" t="str">
        <f ca="1">IFERROR(__xludf.DUMMYFUNCTION("""COMPUTED_VALUE"""),"RF-00000230-MCG")</f>
        <v>RF-00000230-MCG</v>
      </c>
    </row>
    <row r="3249" spans="1:2" ht="12.5" x14ac:dyDescent="0.25">
      <c r="A3249" t="str">
        <f ca="1">IFERROR(__xludf.DUMMYFUNCTION("""COMPUTED_VALUE"""),"Hepatitis B virus")</f>
        <v>Hepatitis B virus</v>
      </c>
      <c r="B3249" t="str">
        <f ca="1">IFERROR(__xludf.DUMMYFUNCTION("""COMPUTED_VALUE"""),"RF-00000231-MCG")</f>
        <v>RF-00000231-MCG</v>
      </c>
    </row>
    <row r="3250" spans="1:2" ht="12.5" x14ac:dyDescent="0.25">
      <c r="A3250" t="str">
        <f ca="1">IFERROR(__xludf.DUMMYFUNCTION("""COMPUTED_VALUE"""),"Hepatitis virus")</f>
        <v>Hepatitis virus</v>
      </c>
      <c r="B3250" t="str">
        <f ca="1">IFERROR(__xludf.DUMMYFUNCTION("""COMPUTED_VALUE"""),"RF-00000229-MCG")</f>
        <v>RF-00000229-MCG</v>
      </c>
    </row>
    <row r="3251" spans="1:2" ht="12.5" x14ac:dyDescent="0.25">
      <c r="A3251" t="str">
        <f ca="1">IFERROR(__xludf.DUMMYFUNCTION("""COMPUTED_VALUE"""),"Hepatozoon")</f>
        <v>Hepatozoon</v>
      </c>
      <c r="B3251" t="str">
        <f ca="1">IFERROR(__xludf.DUMMYFUNCTION("""COMPUTED_VALUE"""),"RF-00002787-MCG")</f>
        <v>RF-00002787-MCG</v>
      </c>
    </row>
    <row r="3252" spans="1:2" ht="12.5" x14ac:dyDescent="0.25">
      <c r="A3252" t="str">
        <f ca="1">IFERROR(__xludf.DUMMYFUNCTION("""COMPUTED_VALUE"""),"Hepatozoon canis")</f>
        <v>Hepatozoon canis</v>
      </c>
      <c r="B3252" t="str">
        <f ca="1">IFERROR(__xludf.DUMMYFUNCTION("""COMPUTED_VALUE"""),"RF-00002789-MCG")</f>
        <v>RF-00002789-MCG</v>
      </c>
    </row>
    <row r="3253" spans="1:2" ht="12.5" x14ac:dyDescent="0.25">
      <c r="A3253" t="str">
        <f ca="1">IFERROR(__xludf.DUMMYFUNCTION("""COMPUTED_VALUE"""),"Hepatozoon felis")</f>
        <v>Hepatozoon felis</v>
      </c>
      <c r="B3253" t="str">
        <f ca="1">IFERROR(__xludf.DUMMYFUNCTION("""COMPUTED_VALUE"""),"RF-00002790-MCG")</f>
        <v>RF-00002790-MCG</v>
      </c>
    </row>
    <row r="3254" spans="1:2" ht="12.5" x14ac:dyDescent="0.25">
      <c r="A3254" t="str">
        <f ca="1">IFERROR(__xludf.DUMMYFUNCTION("""COMPUTED_VALUE"""),"Hepatozoon spp., unidentified")</f>
        <v>Hepatozoon spp., unidentified</v>
      </c>
      <c r="B3254" t="str">
        <f ca="1">IFERROR(__xludf.DUMMYFUNCTION("""COMPUTED_VALUE"""),"RF-00002788-MCG")</f>
        <v>RF-00002788-MCG</v>
      </c>
    </row>
    <row r="3255" spans="1:2" ht="12.5" x14ac:dyDescent="0.25">
      <c r="A3255" t="str">
        <f ca="1">IFERROR(__xludf.DUMMYFUNCTION("""COMPUTED_VALUE"""),"Hepatozoon ursi")</f>
        <v>Hepatozoon ursi</v>
      </c>
      <c r="B3255" t="str">
        <f ca="1">IFERROR(__xludf.DUMMYFUNCTION("""COMPUTED_VALUE"""),"RF-00002791-MCG")</f>
        <v>RF-00002791-MCG</v>
      </c>
    </row>
    <row r="3256" spans="1:2" ht="12.5" x14ac:dyDescent="0.25">
      <c r="A3256" t="str">
        <f ca="1">IFERROR(__xludf.DUMMYFUNCTION("""COMPUTED_VALUE"""),"Heptachlor")</f>
        <v>Heptachlor</v>
      </c>
      <c r="B3256" t="str">
        <f ca="1">IFERROR(__xludf.DUMMYFUNCTION("""COMPUTED_VALUE"""),"RF-0236-004-PPP")</f>
        <v>RF-0236-004-PPP</v>
      </c>
    </row>
    <row r="3257" spans="1:2" ht="12.5" x14ac:dyDescent="0.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x14ac:dyDescent="0.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x14ac:dyDescent="0.25">
      <c r="A3259" t="str">
        <f ca="1">IFERROR(__xludf.DUMMYFUNCTION("""COMPUTED_VALUE"""),"Heptachlor and trans-heptachlor epoxide")</f>
        <v>Heptachlor and trans-heptachlor epoxide</v>
      </c>
      <c r="B3259" t="str">
        <f ca="1">IFERROR(__xludf.DUMMYFUNCTION("""COMPUTED_VALUE"""),"RF-1012-001-PPP")</f>
        <v>RF-1012-001-PPP</v>
      </c>
    </row>
    <row r="3260" spans="1:2" ht="12.5" x14ac:dyDescent="0.25">
      <c r="A3260" t="str">
        <f ca="1">IFERROR(__xludf.DUMMYFUNCTION("""COMPUTED_VALUE"""),"Heptachlor endo-epoxide")</f>
        <v>Heptachlor endo-epoxide</v>
      </c>
      <c r="B3260" t="str">
        <f ca="1">IFERROR(__xludf.DUMMYFUNCTION("""COMPUTED_VALUE"""),"RF-0236-007-PPP")</f>
        <v>RF-0236-007-PPP</v>
      </c>
    </row>
    <row r="3261" spans="1:2" ht="12.5" x14ac:dyDescent="0.25">
      <c r="A3261" t="str">
        <f ca="1">IFERROR(__xludf.DUMMYFUNCTION("""COMPUTED_VALUE"""),"Heptachlor epoxide")</f>
        <v>Heptachlor epoxide</v>
      </c>
      <c r="B3261" t="str">
        <f ca="1">IFERROR(__xludf.DUMMYFUNCTION("""COMPUTED_VALUE"""),"RF-0236-005-PPP")</f>
        <v>RF-0236-005-PPP</v>
      </c>
    </row>
    <row r="3262" spans="1:2" ht="12.5" x14ac:dyDescent="0.25">
      <c r="A3262" t="str">
        <f ca="1">IFERROR(__xludf.DUMMYFUNCTION("""COMPUTED_VALUE"""),"Heptachlor exo-epoxide")</f>
        <v>Heptachlor exo-epoxide</v>
      </c>
      <c r="B3262" t="str">
        <f ca="1">IFERROR(__xludf.DUMMYFUNCTION("""COMPUTED_VALUE"""),"RF-0236-008-PPP")</f>
        <v>RF-0236-008-PPP</v>
      </c>
    </row>
    <row r="3263" spans="1:2" ht="12.5" x14ac:dyDescent="0.25">
      <c r="A3263" t="str">
        <f ca="1">IFERROR(__xludf.DUMMYFUNCTION("""COMPUTED_VALUE"""),"Heptachlorepoxide, cis-")</f>
        <v>Heptachlorepoxide, cis-</v>
      </c>
      <c r="B3263" t="str">
        <f ca="1">IFERROR(__xludf.DUMMYFUNCTION("""COMPUTED_VALUE"""),"RF-0236-002-PPP")</f>
        <v>RF-0236-002-PPP</v>
      </c>
    </row>
    <row r="3264" spans="1:2" ht="12.5" x14ac:dyDescent="0.25">
      <c r="A3264" t="str">
        <f ca="1">IFERROR(__xludf.DUMMYFUNCTION("""COMPUTED_VALUE"""),"Heptachlorepoxide, trans-")</f>
        <v>Heptachlorepoxide, trans-</v>
      </c>
      <c r="B3264" t="str">
        <f ca="1">IFERROR(__xludf.DUMMYFUNCTION("""COMPUTED_VALUE"""),"RF-0236-003-PPP")</f>
        <v>RF-0236-003-PPP</v>
      </c>
    </row>
    <row r="3265" spans="1:2" ht="12.5" x14ac:dyDescent="0.25">
      <c r="A3265" t="str">
        <f ca="1">IFERROR(__xludf.DUMMYFUNCTION("""COMPUTED_VALUE"""),"Heptenophos")</f>
        <v>Heptenophos</v>
      </c>
      <c r="B3265" t="str">
        <f ca="1">IFERROR(__xludf.DUMMYFUNCTION("""COMPUTED_VALUE"""),"RF-0737-001-PPP")</f>
        <v>RF-0737-001-PPP</v>
      </c>
    </row>
    <row r="3266" spans="1:2" ht="12.5" x14ac:dyDescent="0.25">
      <c r="A3266" t="str">
        <f ca="1">IFERROR(__xludf.DUMMYFUNCTION("""COMPUTED_VALUE"""),"Hexabromobenzene")</f>
        <v>Hexabromobenzene</v>
      </c>
      <c r="B3266" t="str">
        <f ca="1">IFERROR(__xludf.DUMMYFUNCTION("""COMPUTED_VALUE"""),"RF-00000084-ORG")</f>
        <v>RF-00000084-ORG</v>
      </c>
    </row>
    <row r="3267" spans="1:2" ht="12.5" x14ac:dyDescent="0.25">
      <c r="A3267" t="str">
        <f ca="1">IFERROR(__xludf.DUMMYFUNCTION("""COMPUTED_VALUE"""),"Hexabromocyclodecane (HBCD)")</f>
        <v>Hexabromocyclodecane (HBCD)</v>
      </c>
      <c r="B3267" t="str">
        <f ca="1">IFERROR(__xludf.DUMMYFUNCTION("""COMPUTED_VALUE"""),"RF-00000076-ORG")</f>
        <v>RF-00000076-ORG</v>
      </c>
    </row>
    <row r="3268" spans="1:2" ht="12.5" x14ac:dyDescent="0.25">
      <c r="A3268" t="str">
        <f ca="1">IFERROR(__xludf.DUMMYFUNCTION("""COMPUTED_VALUE"""),"Hexabromocyclodecane (HBCD) (Total)")</f>
        <v>Hexabromocyclodecane (HBCD) (Total)</v>
      </c>
      <c r="B3268" t="str">
        <f ca="1">IFERROR(__xludf.DUMMYFUNCTION("""COMPUTED_VALUE"""),"RF-00000077-ORG")</f>
        <v>RF-00000077-ORG</v>
      </c>
    </row>
    <row r="3269" spans="1:2" ht="12.5" x14ac:dyDescent="0.25">
      <c r="A3269" t="str">
        <f ca="1">IFERROR(__xludf.DUMMYFUNCTION("""COMPUTED_VALUE"""),"Hexachlorobenzene")</f>
        <v>Hexachlorobenzene</v>
      </c>
      <c r="B3269" t="str">
        <f ca="1">IFERROR(__xludf.DUMMYFUNCTION("""COMPUTED_VALUE"""),"RF-0237-001-PPP")</f>
        <v>RF-0237-001-PPP</v>
      </c>
    </row>
    <row r="3270" spans="1:2" ht="12.5" x14ac:dyDescent="0.25">
      <c r="A3270" t="str">
        <f ca="1">IFERROR(__xludf.DUMMYFUNCTION("""COMPUTED_VALUE"""),"Hexachlorobutadiene")</f>
        <v>Hexachlorobutadiene</v>
      </c>
      <c r="B3270" t="str">
        <f ca="1">IFERROR(__xludf.DUMMYFUNCTION("""COMPUTED_VALUE"""),"RF-1033-001-PPP")</f>
        <v>RF-1033-001-PPP</v>
      </c>
    </row>
    <row r="3271" spans="1:2" ht="12.5" x14ac:dyDescent="0.25">
      <c r="A3271" t="str">
        <f ca="1">IFERROR(__xludf.DUMMYFUNCTION("""COMPUTED_VALUE"""),"Hexachlorocyclohexane (HCH), alpha-isomer")</f>
        <v>Hexachlorocyclohexane (HCH), alpha-isomer</v>
      </c>
      <c r="B3271" t="str">
        <f ca="1">IFERROR(__xludf.DUMMYFUNCTION("""COMPUTED_VALUE"""),"RF-0238-001-PPP")</f>
        <v>RF-0238-001-PPP</v>
      </c>
    </row>
    <row r="3272" spans="1:2" ht="12.5" x14ac:dyDescent="0.25">
      <c r="A3272" t="str">
        <f ca="1">IFERROR(__xludf.DUMMYFUNCTION("""COMPUTED_VALUE"""),"Hexachlorocyclohexane (HCH), beta-isomer")</f>
        <v>Hexachlorocyclohexane (HCH), beta-isomer</v>
      </c>
      <c r="B3272" t="str">
        <f ca="1">IFERROR(__xludf.DUMMYFUNCTION("""COMPUTED_VALUE"""),"RF-0239-002-PPP")</f>
        <v>RF-0239-002-PPP</v>
      </c>
    </row>
    <row r="3273" spans="1:2" ht="12.5" x14ac:dyDescent="0.25">
      <c r="A3273" t="str">
        <f ca="1">IFERROR(__xludf.DUMMYFUNCTION("""COMPUTED_VALUE"""),"Hexachlorocyclohexane (HCH), gamma-isomer")</f>
        <v>Hexachlorocyclohexane (HCH), gamma-isomer</v>
      </c>
      <c r="B3273" t="str">
        <f ca="1">IFERROR(__xludf.DUMMYFUNCTION("""COMPUTED_VALUE"""),"RF-00000005-PAR")</f>
        <v>RF-00000005-PAR</v>
      </c>
    </row>
    <row r="3274" spans="1:2" ht="12.5" x14ac:dyDescent="0.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x14ac:dyDescent="0.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x14ac:dyDescent="0.25">
      <c r="A3276" t="str">
        <f ca="1">IFERROR(__xludf.DUMMYFUNCTION("""COMPUTED_VALUE"""),"Hexaconazole")</f>
        <v>Hexaconazole</v>
      </c>
      <c r="B3276" t="str">
        <f ca="1">IFERROR(__xludf.DUMMYFUNCTION("""COMPUTED_VALUE"""),"RF-0241-001-PPP")</f>
        <v>RF-0241-001-PPP</v>
      </c>
    </row>
    <row r="3277" spans="1:2" ht="12.5" x14ac:dyDescent="0.25">
      <c r="A3277" t="str">
        <f ca="1">IFERROR(__xludf.DUMMYFUNCTION("""COMPUTED_VALUE"""),"Hexaflumuron")</f>
        <v>Hexaflumuron</v>
      </c>
      <c r="B3277" t="str">
        <f ca="1">IFERROR(__xludf.DUMMYFUNCTION("""COMPUTED_VALUE"""),"RF-0738-001-PPP")</f>
        <v>RF-0738-001-PPP</v>
      </c>
    </row>
    <row r="3278" spans="1:2" ht="12.5" x14ac:dyDescent="0.25">
      <c r="A3278" t="str">
        <f ca="1">IFERROR(__xludf.DUMMYFUNCTION("""COMPUTED_VALUE"""),"Hexamethylene tetramine")</f>
        <v>Hexamethylene tetramine</v>
      </c>
      <c r="B3278" t="str">
        <f ca="1">IFERROR(__xludf.DUMMYFUNCTION("""COMPUTED_VALUE"""),"RF-00000151-ADD")</f>
        <v>RF-00000151-ADD</v>
      </c>
    </row>
    <row r="3279" spans="1:2" ht="12.5" x14ac:dyDescent="0.25">
      <c r="A3279" t="str">
        <f ca="1">IFERROR(__xludf.DUMMYFUNCTION("""COMPUTED_VALUE"""),"Hexazinone")</f>
        <v>Hexazinone</v>
      </c>
      <c r="B3279" t="str">
        <f ca="1">IFERROR(__xludf.DUMMYFUNCTION("""COMPUTED_VALUE"""),"RF-0739-001-PPP")</f>
        <v>RF-0739-001-PPP</v>
      </c>
    </row>
    <row r="3280" spans="1:2" ht="12.5" x14ac:dyDescent="0.25">
      <c r="A3280" t="str">
        <f ca="1">IFERROR(__xludf.DUMMYFUNCTION("""COMPUTED_VALUE"""),"Hexestrol")</f>
        <v>Hexestrol</v>
      </c>
      <c r="B3280" t="str">
        <f ca="1">IFERROR(__xludf.DUMMYFUNCTION("""COMPUTED_VALUE"""),"RF-00000292-VET")</f>
        <v>RF-00000292-VET</v>
      </c>
    </row>
    <row r="3281" spans="1:2" ht="12.5" x14ac:dyDescent="0.25">
      <c r="A3281" t="str">
        <f ca="1">IFERROR(__xludf.DUMMYFUNCTION("""COMPUTED_VALUE"""),"hexoses in dietary fibre")</f>
        <v>hexoses in dietary fibre</v>
      </c>
      <c r="B3281" t="str">
        <f ca="1">IFERROR(__xludf.DUMMYFUNCTION("""COMPUTED_VALUE"""),"RF-00000305-NTR")</f>
        <v>RF-00000305-NTR</v>
      </c>
    </row>
    <row r="3282" spans="1:2" ht="12.5" x14ac:dyDescent="0.25">
      <c r="A3282" t="str">
        <f ca="1">IFERROR(__xludf.DUMMYFUNCTION("""COMPUTED_VALUE"""),"Hexythiazox")</f>
        <v>Hexythiazox</v>
      </c>
      <c r="B3282" t="str">
        <f ca="1">IFERROR(__xludf.DUMMYFUNCTION("""COMPUTED_VALUE"""),"RF-0242-001-PPP")</f>
        <v>RF-0242-001-PPP</v>
      </c>
    </row>
    <row r="3283" spans="1:2" ht="12.5" x14ac:dyDescent="0.25">
      <c r="A3283" t="str">
        <f ca="1">IFERROR(__xludf.DUMMYFUNCTION("""COMPUTED_VALUE"""),"Histamine")</f>
        <v>Histamine</v>
      </c>
      <c r="B3283" t="str">
        <f ca="1">IFERROR(__xludf.DUMMYFUNCTION("""COMPUTED_VALUE"""),"RF-00000232-MCG")</f>
        <v>RF-00000232-MCG</v>
      </c>
    </row>
    <row r="3284" spans="1:2" ht="12.5" x14ac:dyDescent="0.25">
      <c r="A3284" t="str">
        <f ca="1">IFERROR(__xludf.DUMMYFUNCTION("""COMPUTED_VALUE"""),"Histamine")</f>
        <v>Histamine</v>
      </c>
      <c r="B3284" t="str">
        <f ca="1">IFERROR(__xludf.DUMMYFUNCTION("""COMPUTED_VALUE"""),"RF-00000233-MCG")</f>
        <v>RF-00000233-MCG</v>
      </c>
    </row>
    <row r="3285" spans="1:2" ht="12.5" x14ac:dyDescent="0.25">
      <c r="A3285" t="str">
        <f ca="1">IFERROR(__xludf.DUMMYFUNCTION("""COMPUTED_VALUE"""),"Histamine")</f>
        <v>Histamine</v>
      </c>
      <c r="B3285" t="str">
        <f ca="1">IFERROR(__xludf.DUMMYFUNCTION("""COMPUTED_VALUE"""),"RF-00000003-BGA")</f>
        <v>RF-00000003-BGA</v>
      </c>
    </row>
    <row r="3286" spans="1:2" ht="12.5" x14ac:dyDescent="0.25">
      <c r="A3286" t="str">
        <f ca="1">IFERROR(__xludf.DUMMYFUNCTION("""COMPUTED_VALUE"""),"histidine")</f>
        <v>histidine</v>
      </c>
      <c r="B3286" t="str">
        <f ca="1">IFERROR(__xludf.DUMMYFUNCTION("""COMPUTED_VALUE"""),"RF-00000306-NTR")</f>
        <v>RF-00000306-NTR</v>
      </c>
    </row>
    <row r="3287" spans="1:2" ht="12.5" x14ac:dyDescent="0.25">
      <c r="A3287" t="str">
        <f ca="1">IFERROR(__xludf.DUMMYFUNCTION("""COMPUTED_VALUE"""),"HMMNI (2-hydroxymethyl-1-methyl-5-nitroimidazole)")</f>
        <v>HMMNI (2-hydroxymethyl-1-methyl-5-nitroimidazole)</v>
      </c>
      <c r="B3287" t="str">
        <f ca="1">IFERROR(__xludf.DUMMYFUNCTION("""COMPUTED_VALUE"""),"RF-00000502-VET")</f>
        <v>RF-00000502-VET</v>
      </c>
    </row>
    <row r="3288" spans="1:2" ht="12.5" x14ac:dyDescent="0.25">
      <c r="A3288" t="str">
        <f ca="1">IFERROR(__xludf.DUMMYFUNCTION("""COMPUTED_VALUE"""),"Homopalytoxin")</f>
        <v>Homopalytoxin</v>
      </c>
      <c r="B3288" t="str">
        <f ca="1">IFERROR(__xludf.DUMMYFUNCTION("""COMPUTED_VALUE"""),"RF-00000075-TOX")</f>
        <v>RF-00000075-TOX</v>
      </c>
    </row>
    <row r="3289" spans="1:2" ht="12.5" x14ac:dyDescent="0.25">
      <c r="A3289" t="str">
        <f ca="1">IFERROR(__xludf.DUMMYFUNCTION("""COMPUTED_VALUE"""),"HT-2 toxin")</f>
        <v>HT-2 toxin</v>
      </c>
      <c r="B3289" t="str">
        <f ca="1">IFERROR(__xludf.DUMMYFUNCTION("""COMPUTED_VALUE"""),"RF-00000162-TOX")</f>
        <v>RF-00000162-TOX</v>
      </c>
    </row>
    <row r="3290" spans="1:2" ht="12.5" x14ac:dyDescent="0.25">
      <c r="A3290" t="str">
        <f ca="1">IFERROR(__xludf.DUMMYFUNCTION("""COMPUTED_VALUE"""),"Hydramethylnon")</f>
        <v>Hydramethylnon</v>
      </c>
      <c r="B3290" t="str">
        <f ca="1">IFERROR(__xludf.DUMMYFUNCTION("""COMPUTED_VALUE"""),"RF-0740-001-PPP")</f>
        <v>RF-0740-001-PPP</v>
      </c>
    </row>
    <row r="3291" spans="1:2" ht="12.5" x14ac:dyDescent="0.25">
      <c r="A3291" t="str">
        <f ca="1">IFERROR(__xludf.DUMMYFUNCTION("""COMPUTED_VALUE"""),"Hydrochloric acid")</f>
        <v>Hydrochloric acid</v>
      </c>
      <c r="B3291" t="str">
        <f ca="1">IFERROR(__xludf.DUMMYFUNCTION("""COMPUTED_VALUE"""),"RF-00000152-ADD")</f>
        <v>RF-00000152-ADD</v>
      </c>
    </row>
    <row r="3292" spans="1:2" ht="12.5" x14ac:dyDescent="0.25">
      <c r="A3292" t="str">
        <f ca="1">IFERROR(__xludf.DUMMYFUNCTION("""COMPUTED_VALUE"""),"Hydrocortisone sodium phosphate")</f>
        <v>Hydrocortisone sodium phosphate</v>
      </c>
      <c r="B3292" t="str">
        <f ca="1">IFERROR(__xludf.DUMMYFUNCTION("""COMPUTED_VALUE"""),"RF-00000252-VET")</f>
        <v>RF-00000252-VET</v>
      </c>
    </row>
    <row r="3293" spans="1:2" ht="12.5" x14ac:dyDescent="0.25">
      <c r="A3293" t="str">
        <f ca="1">IFERROR(__xludf.DUMMYFUNCTION("""COMPUTED_VALUE"""),"Hydrocyanic acid")</f>
        <v>Hydrocyanic acid</v>
      </c>
      <c r="B3293" t="str">
        <f ca="1">IFERROR(__xludf.DUMMYFUNCTION("""COMPUTED_VALUE"""),"RF-00000333-TOX")</f>
        <v>RF-00000333-TOX</v>
      </c>
    </row>
    <row r="3294" spans="1:2" ht="12.5" x14ac:dyDescent="0.25">
      <c r="A3294" t="str">
        <f ca="1">IFERROR(__xludf.DUMMYFUNCTION("""COMPUTED_VALUE"""),"Hydrogen")</f>
        <v>Hydrogen</v>
      </c>
      <c r="B3294" t="str">
        <f ca="1">IFERROR(__xludf.DUMMYFUNCTION("""COMPUTED_VALUE"""),"RF-00000153-ADD")</f>
        <v>RF-00000153-ADD</v>
      </c>
    </row>
    <row r="3295" spans="1:2" ht="12.5" x14ac:dyDescent="0.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x14ac:dyDescent="0.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x14ac:dyDescent="0.25">
      <c r="A3297" t="str">
        <f ca="1">IFERROR(__xludf.DUMMYFUNCTION("""COMPUTED_VALUE"""),"Hydrogenated poly-1-decene")</f>
        <v>Hydrogenated poly-1-decene</v>
      </c>
      <c r="B3297" t="str">
        <f ca="1">IFERROR(__xludf.DUMMYFUNCTION("""COMPUTED_VALUE"""),"RF-00000154-ADD")</f>
        <v>RF-00000154-ADD</v>
      </c>
    </row>
    <row r="3298" spans="1:2" ht="12.5" x14ac:dyDescent="0.25">
      <c r="A3298" t="str">
        <f ca="1">IFERROR(__xludf.DUMMYFUNCTION("""COMPUTED_VALUE"""),"Hydroxy propyl distarch phosphate")</f>
        <v>Hydroxy propyl distarch phosphate</v>
      </c>
      <c r="B3298" t="str">
        <f ca="1">IFERROR(__xludf.DUMMYFUNCTION("""COMPUTED_VALUE"""),"RF-00000155-ADD")</f>
        <v>RF-00000155-ADD</v>
      </c>
    </row>
    <row r="3299" spans="1:2" ht="12.5" x14ac:dyDescent="0.25">
      <c r="A3299" t="str">
        <f ca="1">IFERROR(__xludf.DUMMYFUNCTION("""COMPUTED_VALUE"""),"Hydroxy propyl starch")</f>
        <v>Hydroxy propyl starch</v>
      </c>
      <c r="B3299" t="str">
        <f ca="1">IFERROR(__xludf.DUMMYFUNCTION("""COMPUTED_VALUE"""),"RF-00000156-ADD")</f>
        <v>RF-00000156-ADD</v>
      </c>
    </row>
    <row r="3300" spans="1:2" ht="12.5" x14ac:dyDescent="0.25">
      <c r="A3300" t="str">
        <f ca="1">IFERROR(__xludf.DUMMYFUNCTION("""COMPUTED_VALUE"""),"Hydroxylated saxitoxins")</f>
        <v>Hydroxylated saxitoxins</v>
      </c>
      <c r="B3300" t="str">
        <f ca="1">IFERROR(__xludf.DUMMYFUNCTION("""COMPUTED_VALUE"""),"RF-00000115-TOX")</f>
        <v>RF-00000115-TOX</v>
      </c>
    </row>
    <row r="3301" spans="1:2" ht="12.5" x14ac:dyDescent="0.25">
      <c r="A3301" t="str">
        <f ca="1">IFERROR(__xludf.DUMMYFUNCTION("""COMPUTED_VALUE"""),"Hydroxymebendazol")</f>
        <v>Hydroxymebendazol</v>
      </c>
      <c r="B3301" t="str">
        <f ca="1">IFERROR(__xludf.DUMMYFUNCTION("""COMPUTED_VALUE"""),"RF-00000019-VET")</f>
        <v>RF-00000019-VET</v>
      </c>
    </row>
    <row r="3302" spans="1:2" ht="12.5" x14ac:dyDescent="0.25">
      <c r="A3302" t="str">
        <f ca="1">IFERROR(__xludf.DUMMYFUNCTION("""COMPUTED_VALUE"""),"Hydroxymethylfurfural")</f>
        <v>Hydroxymethylfurfural</v>
      </c>
      <c r="B3302" t="str">
        <f ca="1">IFERROR(__xludf.DUMMYFUNCTION("""COMPUTED_VALUE"""),"RF-00000379-ORG")</f>
        <v>RF-00000379-ORG</v>
      </c>
    </row>
    <row r="3303" spans="1:2" ht="12.5" x14ac:dyDescent="0.25">
      <c r="A3303" t="str">
        <f ca="1">IFERROR(__xludf.DUMMYFUNCTION("""COMPUTED_VALUE"""),"Hydroxymetronidazol (MNZOH)")</f>
        <v>Hydroxymetronidazol (MNZOH)</v>
      </c>
      <c r="B3303" t="str">
        <f ca="1">IFERROR(__xludf.DUMMYFUNCTION("""COMPUTED_VALUE"""),"RF-00000519-VET")</f>
        <v>RF-00000519-VET</v>
      </c>
    </row>
    <row r="3304" spans="1:2" ht="12.5" x14ac:dyDescent="0.25">
      <c r="A3304" t="str">
        <f ca="1">IFERROR(__xludf.DUMMYFUNCTION("""COMPUTED_VALUE"""),"hydroxyproline")</f>
        <v>hydroxyproline</v>
      </c>
      <c r="B3304" t="str">
        <f ca="1">IFERROR(__xludf.DUMMYFUNCTION("""COMPUTED_VALUE"""),"RF-00000307-NTR")</f>
        <v>RF-00000307-NTR</v>
      </c>
    </row>
    <row r="3305" spans="1:2" ht="12.5" x14ac:dyDescent="0.25">
      <c r="A3305" t="str">
        <f ca="1">IFERROR(__xludf.DUMMYFUNCTION("""COMPUTED_VALUE"""),"Hydroxypropyl cellulose")</f>
        <v>Hydroxypropyl cellulose</v>
      </c>
      <c r="B3305" t="str">
        <f ca="1">IFERROR(__xludf.DUMMYFUNCTION("""COMPUTED_VALUE"""),"RF-00000157-ADD")</f>
        <v>RF-00000157-ADD</v>
      </c>
    </row>
    <row r="3306" spans="1:2" ht="12.5" x14ac:dyDescent="0.25">
      <c r="A3306" t="str">
        <f ca="1">IFERROR(__xludf.DUMMYFUNCTION("""COMPUTED_VALUE"""),"Hydroxypropyl methyl cellulose")</f>
        <v>Hydroxypropyl methyl cellulose</v>
      </c>
      <c r="B3306" t="str">
        <f ca="1">IFERROR(__xludf.DUMMYFUNCTION("""COMPUTED_VALUE"""),"RF-00000158-ADD")</f>
        <v>RF-00000158-ADD</v>
      </c>
    </row>
    <row r="3307" spans="1:2" ht="12.5" x14ac:dyDescent="0.25">
      <c r="A3307" t="str">
        <f ca="1">IFERROR(__xludf.DUMMYFUNCTION("""COMPUTED_VALUE"""),"Hydroxyquinestrol-11 alpha")</f>
        <v>Hydroxyquinestrol-11 alpha</v>
      </c>
      <c r="B3307" t="str">
        <f ca="1">IFERROR(__xludf.DUMMYFUNCTION("""COMPUTED_VALUE"""),"RF-00000379-VET")</f>
        <v>RF-00000379-VET</v>
      </c>
    </row>
    <row r="3308" spans="1:2" ht="12.5" x14ac:dyDescent="0.25">
      <c r="A3308" t="str">
        <f ca="1">IFERROR(__xludf.DUMMYFUNCTION("""COMPUTED_VALUE"""),"Hydroxyquinoline sulfate, 8-")</f>
        <v>Hydroxyquinoline sulfate, 8-</v>
      </c>
      <c r="B3308" t="str">
        <f ca="1">IFERROR(__xludf.DUMMYFUNCTION("""COMPUTED_VALUE"""),"RF-0741-001-PPP")</f>
        <v>RF-0741-001-PPP</v>
      </c>
    </row>
    <row r="3309" spans="1:2" ht="12.5" x14ac:dyDescent="0.25">
      <c r="A3309" t="str">
        <f ca="1">IFERROR(__xludf.DUMMYFUNCTION("""COMPUTED_VALUE"""),"Hydroxysalmeterol-alpha")</f>
        <v>Hydroxysalmeterol-alpha</v>
      </c>
      <c r="B3309" t="str">
        <f ca="1">IFERROR(__xludf.DUMMYFUNCTION("""COMPUTED_VALUE"""),"RF-00000472-VET")</f>
        <v>RF-00000472-VET</v>
      </c>
    </row>
    <row r="3310" spans="1:2" ht="12.5" x14ac:dyDescent="0.25">
      <c r="A3310" t="str">
        <f ca="1">IFERROR(__xludf.DUMMYFUNCTION("""COMPUTED_VALUE"""),"Hydroxysenkirkine")</f>
        <v>Hydroxysenkirkine</v>
      </c>
      <c r="B3310" t="str">
        <f ca="1">IFERROR(__xludf.DUMMYFUNCTION("""COMPUTED_VALUE"""),"RF-00000283-TOX")</f>
        <v>RF-00000283-TOX</v>
      </c>
    </row>
    <row r="3311" spans="1:2" ht="12.5" x14ac:dyDescent="0.25">
      <c r="A3311" t="str">
        <f ca="1">IFERROR(__xludf.DUMMYFUNCTION("""COMPUTED_VALUE"""),"Hymexazol")</f>
        <v>Hymexazol</v>
      </c>
      <c r="B3311" t="str">
        <f ca="1">IFERROR(__xludf.DUMMYFUNCTION("""COMPUTED_VALUE"""),"RF-0245-001-PPP")</f>
        <v>RF-0245-001-PPP</v>
      </c>
    </row>
    <row r="3312" spans="1:2" ht="12.5" x14ac:dyDescent="0.25">
      <c r="A3312" t="str">
        <f ca="1">IFERROR(__xludf.DUMMYFUNCTION("""COMPUTED_VALUE"""),"Hyoscyamine")</f>
        <v>Hyoscyamine</v>
      </c>
      <c r="B3312" t="str">
        <f ca="1">IFERROR(__xludf.DUMMYFUNCTION("""COMPUTED_VALUE"""),"RF-00000247-TOX")</f>
        <v>RF-00000247-TOX</v>
      </c>
    </row>
    <row r="3313" spans="1:2" ht="12.5" x14ac:dyDescent="0.25">
      <c r="A3313" t="str">
        <f ca="1">IFERROR(__xludf.DUMMYFUNCTION("""COMPUTED_VALUE"""),"I-131")</f>
        <v>I-131</v>
      </c>
      <c r="B3313" t="str">
        <f ca="1">IFERROR(__xludf.DUMMYFUNCTION("""COMPUTED_VALUE"""),"RF-00000051-CHE")</f>
        <v>RF-00000051-CHE</v>
      </c>
    </row>
    <row r="3314" spans="1:2" ht="12.5" x14ac:dyDescent="0.25">
      <c r="A3314" t="str">
        <f ca="1">IFERROR(__xludf.DUMMYFUNCTION("""COMPUTED_VALUE"""),"Ibafloxacin")</f>
        <v>Ibafloxacin</v>
      </c>
      <c r="B3314" t="str">
        <f ca="1">IFERROR(__xludf.DUMMYFUNCTION("""COMPUTED_VALUE"""),"RF-00000733-VET")</f>
        <v>RF-00000733-VET</v>
      </c>
    </row>
    <row r="3315" spans="1:2" ht="12.5" x14ac:dyDescent="0.25">
      <c r="A3315" t="str">
        <f ca="1">IFERROR(__xludf.DUMMYFUNCTION("""COMPUTED_VALUE"""),"Ibuprofen")</f>
        <v>Ibuprofen</v>
      </c>
      <c r="B3315" t="str">
        <f ca="1">IFERROR(__xludf.DUMMYFUNCTION("""COMPUTED_VALUE"""),"RF-00000219-VET")</f>
        <v>RF-00000219-VET</v>
      </c>
    </row>
    <row r="3316" spans="1:2" ht="12.5" x14ac:dyDescent="0.25">
      <c r="A3316" t="str">
        <f ca="1">IFERROR(__xludf.DUMMYFUNCTION("""COMPUTED_VALUE"""),"Imazalil")</f>
        <v>Imazalil</v>
      </c>
      <c r="B3316" t="str">
        <f ca="1">IFERROR(__xludf.DUMMYFUNCTION("""COMPUTED_VALUE"""),"RF-0246-001-PPP")</f>
        <v>RF-0246-001-PPP</v>
      </c>
    </row>
    <row r="3317" spans="1:2" ht="12.5" x14ac:dyDescent="0.25">
      <c r="A3317" t="str">
        <f ca="1">IFERROR(__xludf.DUMMYFUNCTION("""COMPUTED_VALUE"""),"Imazamethabenz-Methyl")</f>
        <v>Imazamethabenz-Methyl</v>
      </c>
      <c r="B3317" t="str">
        <f ca="1">IFERROR(__xludf.DUMMYFUNCTION("""COMPUTED_VALUE"""),"RF-0742-001-PPP")</f>
        <v>RF-0742-001-PPP</v>
      </c>
    </row>
    <row r="3318" spans="1:2" ht="12.5" x14ac:dyDescent="0.25">
      <c r="A3318" t="str">
        <f ca="1">IFERROR(__xludf.DUMMYFUNCTION("""COMPUTED_VALUE"""),"Imazamox")</f>
        <v>Imazamox</v>
      </c>
      <c r="B3318" t="str">
        <f ca="1">IFERROR(__xludf.DUMMYFUNCTION("""COMPUTED_VALUE"""),"RF-0247-001-PPP")</f>
        <v>RF-0247-001-PPP</v>
      </c>
    </row>
    <row r="3319" spans="1:2" ht="12.5" x14ac:dyDescent="0.25">
      <c r="A3319" t="str">
        <f ca="1">IFERROR(__xludf.DUMMYFUNCTION("""COMPUTED_VALUE"""),"Imazapic")</f>
        <v>Imazapic</v>
      </c>
      <c r="B3319" t="str">
        <f ca="1">IFERROR(__xludf.DUMMYFUNCTION("""COMPUTED_VALUE"""),"RF-0743-001-PPP")</f>
        <v>RF-0743-001-PPP</v>
      </c>
    </row>
    <row r="3320" spans="1:2" ht="12.5" x14ac:dyDescent="0.25">
      <c r="A3320" t="str">
        <f ca="1">IFERROR(__xludf.DUMMYFUNCTION("""COMPUTED_VALUE"""),"Imazapyr")</f>
        <v>Imazapyr</v>
      </c>
      <c r="B3320" t="str">
        <f ca="1">IFERROR(__xludf.DUMMYFUNCTION("""COMPUTED_VALUE"""),"RF-0744-001-PPP")</f>
        <v>RF-0744-001-PPP</v>
      </c>
    </row>
    <row r="3321" spans="1:2" ht="12.5" x14ac:dyDescent="0.25">
      <c r="A3321" t="str">
        <f ca="1">IFERROR(__xludf.DUMMYFUNCTION("""COMPUTED_VALUE"""),"Imazaquin")</f>
        <v>Imazaquin</v>
      </c>
      <c r="B3321" t="str">
        <f ca="1">IFERROR(__xludf.DUMMYFUNCTION("""COMPUTED_VALUE"""),"RF-0248-001-PPP")</f>
        <v>RF-0248-001-PPP</v>
      </c>
    </row>
    <row r="3322" spans="1:2" ht="12.5" x14ac:dyDescent="0.25">
      <c r="A3322" t="str">
        <f ca="1">IFERROR(__xludf.DUMMYFUNCTION("""COMPUTED_VALUE"""),"Imazethapyr")</f>
        <v>Imazethapyr</v>
      </c>
      <c r="B3322" t="str">
        <f ca="1">IFERROR(__xludf.DUMMYFUNCTION("""COMPUTED_VALUE"""),"RF-0745-001-PPP")</f>
        <v>RF-0745-001-PPP</v>
      </c>
    </row>
    <row r="3323" spans="1:2" ht="12.5" x14ac:dyDescent="0.25">
      <c r="A3323" t="str">
        <f ca="1">IFERROR(__xludf.DUMMYFUNCTION("""COMPUTED_VALUE"""),"Imazosulfuron")</f>
        <v>Imazosulfuron</v>
      </c>
      <c r="B3323" t="str">
        <f ca="1">IFERROR(__xludf.DUMMYFUNCTION("""COMPUTED_VALUE"""),"RF-0249-001-PPP")</f>
        <v>RF-0249-001-PPP</v>
      </c>
    </row>
    <row r="3324" spans="1:2" ht="12.5" x14ac:dyDescent="0.25">
      <c r="A3324" t="str">
        <f ca="1">IFERROR(__xludf.DUMMYFUNCTION("""COMPUTED_VALUE"""),"Imibenconazole")</f>
        <v>Imibenconazole</v>
      </c>
      <c r="B3324" t="str">
        <f ca="1">IFERROR(__xludf.DUMMYFUNCTION("""COMPUTED_VALUE"""),"RF-0746-001-PPP")</f>
        <v>RF-0746-001-PPP</v>
      </c>
    </row>
    <row r="3325" spans="1:2" ht="12.5" x14ac:dyDescent="0.25">
      <c r="A3325" t="str">
        <f ca="1">IFERROR(__xludf.DUMMYFUNCTION("""COMPUTED_VALUE"""),"Imidacloprid")</f>
        <v>Imidacloprid</v>
      </c>
      <c r="B3325" t="str">
        <f ca="1">IFERROR(__xludf.DUMMYFUNCTION("""COMPUTED_VALUE"""),"RF-0250-001-PPP")</f>
        <v>RF-0250-001-PPP</v>
      </c>
    </row>
    <row r="3326" spans="1:2" ht="12.5" x14ac:dyDescent="0.25">
      <c r="A3326" t="str">
        <f ca="1">IFERROR(__xludf.DUMMYFUNCTION("""COMPUTED_VALUE"""),"Imidacloprid, 5-Hydroxy-")</f>
        <v>Imidacloprid, 5-Hydroxy-</v>
      </c>
      <c r="B3326" t="str">
        <f ca="1">IFERROR(__xludf.DUMMYFUNCTION("""COMPUTED_VALUE"""),"RF-0747-001-PPP")</f>
        <v>RF-0747-001-PPP</v>
      </c>
    </row>
    <row r="3327" spans="1:2" ht="12.5" x14ac:dyDescent="0.25">
      <c r="A3327" t="str">
        <f ca="1">IFERROR(__xludf.DUMMYFUNCTION("""COMPUTED_VALUE"""),"Imidacloprid, Olefin-")</f>
        <v>Imidacloprid, Olefin-</v>
      </c>
      <c r="B3327" t="str">
        <f ca="1">IFERROR(__xludf.DUMMYFUNCTION("""COMPUTED_VALUE"""),"RF-0748-001-PPP")</f>
        <v>RF-0748-001-PPP</v>
      </c>
    </row>
    <row r="3328" spans="1:2" ht="12.5" x14ac:dyDescent="0.25">
      <c r="A3328" t="str">
        <f ca="1">IFERROR(__xludf.DUMMYFUNCTION("""COMPUTED_VALUE"""),"Imidocarb")</f>
        <v>Imidocarb</v>
      </c>
      <c r="B3328" t="str">
        <f ca="1">IFERROR(__xludf.DUMMYFUNCTION("""COMPUTED_VALUE"""),"RF-00000106-VET")</f>
        <v>RF-00000106-VET</v>
      </c>
    </row>
    <row r="3329" spans="1:2" ht="12.5" x14ac:dyDescent="0.25">
      <c r="A3329" t="str">
        <f ca="1">IFERROR(__xludf.DUMMYFUNCTION("""COMPUTED_VALUE"""),"Iminoctadine")</f>
        <v>Iminoctadine</v>
      </c>
      <c r="B3329" t="str">
        <f ca="1">IFERROR(__xludf.DUMMYFUNCTION("""COMPUTED_VALUE"""),"RF-0749-001-PPP")</f>
        <v>RF-0749-001-PPP</v>
      </c>
    </row>
    <row r="3330" spans="1:2" ht="12.5" x14ac:dyDescent="0.25">
      <c r="A3330" t="str">
        <f ca="1">IFERROR(__xludf.DUMMYFUNCTION("""COMPUTED_VALUE"""),"Imipenem")</f>
        <v>Imipenem</v>
      </c>
      <c r="B3330" t="str">
        <f ca="1">IFERROR(__xludf.DUMMYFUNCTION("""COMPUTED_VALUE"""),"RF-00000711-VET")</f>
        <v>RF-00000711-VET</v>
      </c>
    </row>
    <row r="3331" spans="1:2" ht="12.5" x14ac:dyDescent="0.25">
      <c r="A3331" t="str">
        <f ca="1">IFERROR(__xludf.DUMMYFUNCTION("""COMPUTED_VALUE"""),"IMP")</f>
        <v>IMP</v>
      </c>
      <c r="B3331" t="str">
        <f ca="1">IFERROR(__xludf.DUMMYFUNCTION("""COMPUTED_VALUE"""),"RF-00000883-PAR")</f>
        <v>RF-00000883-PAR</v>
      </c>
    </row>
    <row r="3332" spans="1:2" ht="12.5" x14ac:dyDescent="0.25">
      <c r="A3332" t="str">
        <f ca="1">IFERROR(__xludf.DUMMYFUNCTION("""COMPUTED_VALUE"""),"IMP-1")</f>
        <v>IMP-1</v>
      </c>
      <c r="B3332" t="str">
        <f ca="1">IFERROR(__xludf.DUMMYFUNCTION("""COMPUTED_VALUE"""),"RF-00000884-PAR")</f>
        <v>RF-00000884-PAR</v>
      </c>
    </row>
    <row r="3333" spans="1:2" ht="12.5" x14ac:dyDescent="0.25">
      <c r="A3333" t="str">
        <f ca="1">IFERROR(__xludf.DUMMYFUNCTION("""COMPUTED_VALUE"""),"IMP-10")</f>
        <v>IMP-10</v>
      </c>
      <c r="B3333" t="str">
        <f ca="1">IFERROR(__xludf.DUMMYFUNCTION("""COMPUTED_VALUE"""),"RF-00000893-PAR")</f>
        <v>RF-00000893-PAR</v>
      </c>
    </row>
    <row r="3334" spans="1:2" ht="12.5" x14ac:dyDescent="0.25">
      <c r="A3334" t="str">
        <f ca="1">IFERROR(__xludf.DUMMYFUNCTION("""COMPUTED_VALUE"""),"IMP-11")</f>
        <v>IMP-11</v>
      </c>
      <c r="B3334" t="str">
        <f ca="1">IFERROR(__xludf.DUMMYFUNCTION("""COMPUTED_VALUE"""),"RF-00000894-PAR")</f>
        <v>RF-00000894-PAR</v>
      </c>
    </row>
    <row r="3335" spans="1:2" ht="12.5" x14ac:dyDescent="0.25">
      <c r="A3335" t="str">
        <f ca="1">IFERROR(__xludf.DUMMYFUNCTION("""COMPUTED_VALUE"""),"IMP-12")</f>
        <v>IMP-12</v>
      </c>
      <c r="B3335" t="str">
        <f ca="1">IFERROR(__xludf.DUMMYFUNCTION("""COMPUTED_VALUE"""),"RF-00000895-PAR")</f>
        <v>RF-00000895-PAR</v>
      </c>
    </row>
    <row r="3336" spans="1:2" ht="12.5" x14ac:dyDescent="0.25">
      <c r="A3336" t="str">
        <f ca="1">IFERROR(__xludf.DUMMYFUNCTION("""COMPUTED_VALUE"""),"IMP-13")</f>
        <v>IMP-13</v>
      </c>
      <c r="B3336" t="str">
        <f ca="1">IFERROR(__xludf.DUMMYFUNCTION("""COMPUTED_VALUE"""),"RF-00000896-PAR")</f>
        <v>RF-00000896-PAR</v>
      </c>
    </row>
    <row r="3337" spans="1:2" ht="12.5" x14ac:dyDescent="0.25">
      <c r="A3337" t="str">
        <f ca="1">IFERROR(__xludf.DUMMYFUNCTION("""COMPUTED_VALUE"""),"IMP-14")</f>
        <v>IMP-14</v>
      </c>
      <c r="B3337" t="str">
        <f ca="1">IFERROR(__xludf.DUMMYFUNCTION("""COMPUTED_VALUE"""),"RF-00000897-PAR")</f>
        <v>RF-00000897-PAR</v>
      </c>
    </row>
    <row r="3338" spans="1:2" ht="12.5" x14ac:dyDescent="0.25">
      <c r="A3338" t="str">
        <f ca="1">IFERROR(__xludf.DUMMYFUNCTION("""COMPUTED_VALUE"""),"IMP-15")</f>
        <v>IMP-15</v>
      </c>
      <c r="B3338" t="str">
        <f ca="1">IFERROR(__xludf.DUMMYFUNCTION("""COMPUTED_VALUE"""),"RF-00000898-PAR")</f>
        <v>RF-00000898-PAR</v>
      </c>
    </row>
    <row r="3339" spans="1:2" ht="12.5" x14ac:dyDescent="0.25">
      <c r="A3339" t="str">
        <f ca="1">IFERROR(__xludf.DUMMYFUNCTION("""COMPUTED_VALUE"""),"IMP-16")</f>
        <v>IMP-16</v>
      </c>
      <c r="B3339" t="str">
        <f ca="1">IFERROR(__xludf.DUMMYFUNCTION("""COMPUTED_VALUE"""),"RF-00000899-PAR")</f>
        <v>RF-00000899-PAR</v>
      </c>
    </row>
    <row r="3340" spans="1:2" ht="12.5" x14ac:dyDescent="0.25">
      <c r="A3340" t="str">
        <f ca="1">IFERROR(__xludf.DUMMYFUNCTION("""COMPUTED_VALUE"""),"IMP-17")</f>
        <v>IMP-17</v>
      </c>
      <c r="B3340" t="str">
        <f ca="1">IFERROR(__xludf.DUMMYFUNCTION("""COMPUTED_VALUE"""),"RF-00000900-PAR")</f>
        <v>RF-00000900-PAR</v>
      </c>
    </row>
    <row r="3341" spans="1:2" ht="12.5" x14ac:dyDescent="0.25">
      <c r="A3341" t="str">
        <f ca="1">IFERROR(__xludf.DUMMYFUNCTION("""COMPUTED_VALUE"""),"IMP-18")</f>
        <v>IMP-18</v>
      </c>
      <c r="B3341" t="str">
        <f ca="1">IFERROR(__xludf.DUMMYFUNCTION("""COMPUTED_VALUE"""),"RF-00000901-PAR")</f>
        <v>RF-00000901-PAR</v>
      </c>
    </row>
    <row r="3342" spans="1:2" ht="12.5" x14ac:dyDescent="0.25">
      <c r="A3342" t="str">
        <f ca="1">IFERROR(__xludf.DUMMYFUNCTION("""COMPUTED_VALUE"""),"IMP-19")</f>
        <v>IMP-19</v>
      </c>
      <c r="B3342" t="str">
        <f ca="1">IFERROR(__xludf.DUMMYFUNCTION("""COMPUTED_VALUE"""),"RF-00000902-PAR")</f>
        <v>RF-00000902-PAR</v>
      </c>
    </row>
    <row r="3343" spans="1:2" ht="12.5" x14ac:dyDescent="0.25">
      <c r="A3343" t="str">
        <f ca="1">IFERROR(__xludf.DUMMYFUNCTION("""COMPUTED_VALUE"""),"IMP-2")</f>
        <v>IMP-2</v>
      </c>
      <c r="B3343" t="str">
        <f ca="1">IFERROR(__xludf.DUMMYFUNCTION("""COMPUTED_VALUE"""),"RF-00000885-PAR")</f>
        <v>RF-00000885-PAR</v>
      </c>
    </row>
    <row r="3344" spans="1:2" ht="12.5" x14ac:dyDescent="0.25">
      <c r="A3344" t="str">
        <f ca="1">IFERROR(__xludf.DUMMYFUNCTION("""COMPUTED_VALUE"""),"IMP-20")</f>
        <v>IMP-20</v>
      </c>
      <c r="B3344" t="str">
        <f ca="1">IFERROR(__xludf.DUMMYFUNCTION("""COMPUTED_VALUE"""),"RF-00000903-PAR")</f>
        <v>RF-00000903-PAR</v>
      </c>
    </row>
    <row r="3345" spans="1:2" ht="12.5" x14ac:dyDescent="0.25">
      <c r="A3345" t="str">
        <f ca="1">IFERROR(__xludf.DUMMYFUNCTION("""COMPUTED_VALUE"""),"IMP-21")</f>
        <v>IMP-21</v>
      </c>
      <c r="B3345" t="str">
        <f ca="1">IFERROR(__xludf.DUMMYFUNCTION("""COMPUTED_VALUE"""),"RF-00000904-PAR")</f>
        <v>RF-00000904-PAR</v>
      </c>
    </row>
    <row r="3346" spans="1:2" ht="12.5" x14ac:dyDescent="0.25">
      <c r="A3346" t="str">
        <f ca="1">IFERROR(__xludf.DUMMYFUNCTION("""COMPUTED_VALUE"""),"IMP-22")</f>
        <v>IMP-22</v>
      </c>
      <c r="B3346" t="str">
        <f ca="1">IFERROR(__xludf.DUMMYFUNCTION("""COMPUTED_VALUE"""),"RF-00000905-PAR")</f>
        <v>RF-00000905-PAR</v>
      </c>
    </row>
    <row r="3347" spans="1:2" ht="12.5" x14ac:dyDescent="0.25">
      <c r="A3347" t="str">
        <f ca="1">IFERROR(__xludf.DUMMYFUNCTION("""COMPUTED_VALUE"""),"IMP-23")</f>
        <v>IMP-23</v>
      </c>
      <c r="B3347" t="str">
        <f ca="1">IFERROR(__xludf.DUMMYFUNCTION("""COMPUTED_VALUE"""),"RF-00000906-PAR")</f>
        <v>RF-00000906-PAR</v>
      </c>
    </row>
    <row r="3348" spans="1:2" ht="12.5" x14ac:dyDescent="0.25">
      <c r="A3348" t="str">
        <f ca="1">IFERROR(__xludf.DUMMYFUNCTION("""COMPUTED_VALUE"""),"IMP-24")</f>
        <v>IMP-24</v>
      </c>
      <c r="B3348" t="str">
        <f ca="1">IFERROR(__xludf.DUMMYFUNCTION("""COMPUTED_VALUE"""),"RF-00000907-PAR")</f>
        <v>RF-00000907-PAR</v>
      </c>
    </row>
    <row r="3349" spans="1:2" ht="12.5" x14ac:dyDescent="0.25">
      <c r="A3349" t="str">
        <f ca="1">IFERROR(__xludf.DUMMYFUNCTION("""COMPUTED_VALUE"""),"IMP-25")</f>
        <v>IMP-25</v>
      </c>
      <c r="B3349" t="str">
        <f ca="1">IFERROR(__xludf.DUMMYFUNCTION("""COMPUTED_VALUE"""),"RF-00000908-PAR")</f>
        <v>RF-00000908-PAR</v>
      </c>
    </row>
    <row r="3350" spans="1:2" ht="12.5" x14ac:dyDescent="0.25">
      <c r="A3350" t="str">
        <f ca="1">IFERROR(__xludf.DUMMYFUNCTION("""COMPUTED_VALUE"""),"IMP-26")</f>
        <v>IMP-26</v>
      </c>
      <c r="B3350" t="str">
        <f ca="1">IFERROR(__xludf.DUMMYFUNCTION("""COMPUTED_VALUE"""),"RF-00000909-PAR")</f>
        <v>RF-00000909-PAR</v>
      </c>
    </row>
    <row r="3351" spans="1:2" ht="12.5" x14ac:dyDescent="0.25">
      <c r="A3351" t="str">
        <f ca="1">IFERROR(__xludf.DUMMYFUNCTION("""COMPUTED_VALUE"""),"IMP-27")</f>
        <v>IMP-27</v>
      </c>
      <c r="B3351" t="str">
        <f ca="1">IFERROR(__xludf.DUMMYFUNCTION("""COMPUTED_VALUE"""),"RF-00000910-PAR")</f>
        <v>RF-00000910-PAR</v>
      </c>
    </row>
    <row r="3352" spans="1:2" ht="12.5" x14ac:dyDescent="0.25">
      <c r="A3352" t="str">
        <f ca="1">IFERROR(__xludf.DUMMYFUNCTION("""COMPUTED_VALUE"""),"IMP-28")</f>
        <v>IMP-28</v>
      </c>
      <c r="B3352" t="str">
        <f ca="1">IFERROR(__xludf.DUMMYFUNCTION("""COMPUTED_VALUE"""),"RF-00000911-PAR")</f>
        <v>RF-00000911-PAR</v>
      </c>
    </row>
    <row r="3353" spans="1:2" ht="12.5" x14ac:dyDescent="0.25">
      <c r="A3353" t="str">
        <f ca="1">IFERROR(__xludf.DUMMYFUNCTION("""COMPUTED_VALUE"""),"IMP-29")</f>
        <v>IMP-29</v>
      </c>
      <c r="B3353" t="str">
        <f ca="1">IFERROR(__xludf.DUMMYFUNCTION("""COMPUTED_VALUE"""),"RF-00000912-PAR")</f>
        <v>RF-00000912-PAR</v>
      </c>
    </row>
    <row r="3354" spans="1:2" ht="12.5" x14ac:dyDescent="0.25">
      <c r="A3354" t="str">
        <f ca="1">IFERROR(__xludf.DUMMYFUNCTION("""COMPUTED_VALUE"""),"IMP-3")</f>
        <v>IMP-3</v>
      </c>
      <c r="B3354" t="str">
        <f ca="1">IFERROR(__xludf.DUMMYFUNCTION("""COMPUTED_VALUE"""),"RF-00000886-PAR")</f>
        <v>RF-00000886-PAR</v>
      </c>
    </row>
    <row r="3355" spans="1:2" ht="12.5" x14ac:dyDescent="0.25">
      <c r="A3355" t="str">
        <f ca="1">IFERROR(__xludf.DUMMYFUNCTION("""COMPUTED_VALUE"""),"IMP-30")</f>
        <v>IMP-30</v>
      </c>
      <c r="B3355" t="str">
        <f ca="1">IFERROR(__xludf.DUMMYFUNCTION("""COMPUTED_VALUE"""),"RF-00000913-PAR")</f>
        <v>RF-00000913-PAR</v>
      </c>
    </row>
    <row r="3356" spans="1:2" ht="12.5" x14ac:dyDescent="0.25">
      <c r="A3356" t="str">
        <f ca="1">IFERROR(__xludf.DUMMYFUNCTION("""COMPUTED_VALUE"""),"IMP-31")</f>
        <v>IMP-31</v>
      </c>
      <c r="B3356" t="str">
        <f ca="1">IFERROR(__xludf.DUMMYFUNCTION("""COMPUTED_VALUE"""),"RF-00000914-PAR")</f>
        <v>RF-00000914-PAR</v>
      </c>
    </row>
    <row r="3357" spans="1:2" ht="12.5" x14ac:dyDescent="0.25">
      <c r="A3357" t="str">
        <f ca="1">IFERROR(__xludf.DUMMYFUNCTION("""COMPUTED_VALUE"""),"IMP-32")</f>
        <v>IMP-32</v>
      </c>
      <c r="B3357" t="str">
        <f ca="1">IFERROR(__xludf.DUMMYFUNCTION("""COMPUTED_VALUE"""),"RF-00000915-PAR")</f>
        <v>RF-00000915-PAR</v>
      </c>
    </row>
    <row r="3358" spans="1:2" ht="12.5" x14ac:dyDescent="0.25">
      <c r="A3358" t="str">
        <f ca="1">IFERROR(__xludf.DUMMYFUNCTION("""COMPUTED_VALUE"""),"IMP-33")</f>
        <v>IMP-33</v>
      </c>
      <c r="B3358" t="str">
        <f ca="1">IFERROR(__xludf.DUMMYFUNCTION("""COMPUTED_VALUE"""),"RF-00000916-PAR")</f>
        <v>RF-00000916-PAR</v>
      </c>
    </row>
    <row r="3359" spans="1:2" ht="12.5" x14ac:dyDescent="0.25">
      <c r="A3359" t="str">
        <f ca="1">IFERROR(__xludf.DUMMYFUNCTION("""COMPUTED_VALUE"""),"IMP-34")</f>
        <v>IMP-34</v>
      </c>
      <c r="B3359" t="str">
        <f ca="1">IFERROR(__xludf.DUMMYFUNCTION("""COMPUTED_VALUE"""),"RF-00000917-PAR")</f>
        <v>RF-00000917-PAR</v>
      </c>
    </row>
    <row r="3360" spans="1:2" ht="12.5" x14ac:dyDescent="0.25">
      <c r="A3360" t="str">
        <f ca="1">IFERROR(__xludf.DUMMYFUNCTION("""COMPUTED_VALUE"""),"IMP-35")</f>
        <v>IMP-35</v>
      </c>
      <c r="B3360" t="str">
        <f ca="1">IFERROR(__xludf.DUMMYFUNCTION("""COMPUTED_VALUE"""),"RF-00000918-PAR")</f>
        <v>RF-00000918-PAR</v>
      </c>
    </row>
    <row r="3361" spans="1:2" ht="12.5" x14ac:dyDescent="0.25">
      <c r="A3361" t="str">
        <f ca="1">IFERROR(__xludf.DUMMYFUNCTION("""COMPUTED_VALUE"""),"IMP-36")</f>
        <v>IMP-36</v>
      </c>
      <c r="B3361" t="str">
        <f ca="1">IFERROR(__xludf.DUMMYFUNCTION("""COMPUTED_VALUE"""),"RF-00000919-PAR")</f>
        <v>RF-00000919-PAR</v>
      </c>
    </row>
    <row r="3362" spans="1:2" ht="12.5" x14ac:dyDescent="0.25">
      <c r="A3362" t="str">
        <f ca="1">IFERROR(__xludf.DUMMYFUNCTION("""COMPUTED_VALUE"""),"IMP-37")</f>
        <v>IMP-37</v>
      </c>
      <c r="B3362" t="str">
        <f ca="1">IFERROR(__xludf.DUMMYFUNCTION("""COMPUTED_VALUE"""),"RF-00000920-PAR")</f>
        <v>RF-00000920-PAR</v>
      </c>
    </row>
    <row r="3363" spans="1:2" ht="12.5" x14ac:dyDescent="0.25">
      <c r="A3363" t="str">
        <f ca="1">IFERROR(__xludf.DUMMYFUNCTION("""COMPUTED_VALUE"""),"IMP-38")</f>
        <v>IMP-38</v>
      </c>
      <c r="B3363" t="str">
        <f ca="1">IFERROR(__xludf.DUMMYFUNCTION("""COMPUTED_VALUE"""),"RF-00000921-PAR")</f>
        <v>RF-00000921-PAR</v>
      </c>
    </row>
    <row r="3364" spans="1:2" ht="12.5" x14ac:dyDescent="0.25">
      <c r="A3364" t="str">
        <f ca="1">IFERROR(__xludf.DUMMYFUNCTION("""COMPUTED_VALUE"""),"IMP-39")</f>
        <v>IMP-39</v>
      </c>
      <c r="B3364" t="str">
        <f ca="1">IFERROR(__xludf.DUMMYFUNCTION("""COMPUTED_VALUE"""),"RF-00000922-PAR")</f>
        <v>RF-00000922-PAR</v>
      </c>
    </row>
    <row r="3365" spans="1:2" ht="12.5" x14ac:dyDescent="0.25">
      <c r="A3365" t="str">
        <f ca="1">IFERROR(__xludf.DUMMYFUNCTION("""COMPUTED_VALUE"""),"IMP-4")</f>
        <v>IMP-4</v>
      </c>
      <c r="B3365" t="str">
        <f ca="1">IFERROR(__xludf.DUMMYFUNCTION("""COMPUTED_VALUE"""),"RF-00000887-PAR")</f>
        <v>RF-00000887-PAR</v>
      </c>
    </row>
    <row r="3366" spans="1:2" ht="12.5" x14ac:dyDescent="0.25">
      <c r="A3366" t="str">
        <f ca="1">IFERROR(__xludf.DUMMYFUNCTION("""COMPUTED_VALUE"""),"IMP-40")</f>
        <v>IMP-40</v>
      </c>
      <c r="B3366" t="str">
        <f ca="1">IFERROR(__xludf.DUMMYFUNCTION("""COMPUTED_VALUE"""),"RF-00000923-PAR")</f>
        <v>RF-00000923-PAR</v>
      </c>
    </row>
    <row r="3367" spans="1:2" ht="12.5" x14ac:dyDescent="0.25">
      <c r="A3367" t="str">
        <f ca="1">IFERROR(__xludf.DUMMYFUNCTION("""COMPUTED_VALUE"""),"IMP-41")</f>
        <v>IMP-41</v>
      </c>
      <c r="B3367" t="str">
        <f ca="1">IFERROR(__xludf.DUMMYFUNCTION("""COMPUTED_VALUE"""),"RF-00000924-PAR")</f>
        <v>RF-00000924-PAR</v>
      </c>
    </row>
    <row r="3368" spans="1:2" ht="12.5" x14ac:dyDescent="0.25">
      <c r="A3368" t="str">
        <f ca="1">IFERROR(__xludf.DUMMYFUNCTION("""COMPUTED_VALUE"""),"IMP-42")</f>
        <v>IMP-42</v>
      </c>
      <c r="B3368" t="str">
        <f ca="1">IFERROR(__xludf.DUMMYFUNCTION("""COMPUTED_VALUE"""),"RF-00000925-PAR")</f>
        <v>RF-00000925-PAR</v>
      </c>
    </row>
    <row r="3369" spans="1:2" ht="12.5" x14ac:dyDescent="0.25">
      <c r="A3369" t="str">
        <f ca="1">IFERROR(__xludf.DUMMYFUNCTION("""COMPUTED_VALUE"""),"IMP-5")</f>
        <v>IMP-5</v>
      </c>
      <c r="B3369" t="str">
        <f ca="1">IFERROR(__xludf.DUMMYFUNCTION("""COMPUTED_VALUE"""),"RF-00000888-PAR")</f>
        <v>RF-00000888-PAR</v>
      </c>
    </row>
    <row r="3370" spans="1:2" ht="12.5" x14ac:dyDescent="0.25">
      <c r="A3370" t="str">
        <f ca="1">IFERROR(__xludf.DUMMYFUNCTION("""COMPUTED_VALUE"""),"IMP-6")</f>
        <v>IMP-6</v>
      </c>
      <c r="B3370" t="str">
        <f ca="1">IFERROR(__xludf.DUMMYFUNCTION("""COMPUTED_VALUE"""),"RF-00000889-PAR")</f>
        <v>RF-00000889-PAR</v>
      </c>
    </row>
    <row r="3371" spans="1:2" ht="12.5" x14ac:dyDescent="0.25">
      <c r="A3371" t="str">
        <f ca="1">IFERROR(__xludf.DUMMYFUNCTION("""COMPUTED_VALUE"""),"IMP-7")</f>
        <v>IMP-7</v>
      </c>
      <c r="B3371" t="str">
        <f ca="1">IFERROR(__xludf.DUMMYFUNCTION("""COMPUTED_VALUE"""),"RF-00000890-PAR")</f>
        <v>RF-00000890-PAR</v>
      </c>
    </row>
    <row r="3372" spans="1:2" ht="12.5" x14ac:dyDescent="0.25">
      <c r="A3372" t="str">
        <f ca="1">IFERROR(__xludf.DUMMYFUNCTION("""COMPUTED_VALUE"""),"IMP-8")</f>
        <v>IMP-8</v>
      </c>
      <c r="B3372" t="str">
        <f ca="1">IFERROR(__xludf.DUMMYFUNCTION("""COMPUTED_VALUE"""),"RF-00000891-PAR")</f>
        <v>RF-00000891-PAR</v>
      </c>
    </row>
    <row r="3373" spans="1:2" ht="12.5" x14ac:dyDescent="0.25">
      <c r="A3373" t="str">
        <f ca="1">IFERROR(__xludf.DUMMYFUNCTION("""COMPUTED_VALUE"""),"IMP-9")</f>
        <v>IMP-9</v>
      </c>
      <c r="B3373" t="str">
        <f ca="1">IFERROR(__xludf.DUMMYFUNCTION("""COMPUTED_VALUE"""),"RF-00000892-PAR")</f>
        <v>RF-00000892-PAR</v>
      </c>
    </row>
    <row r="3374" spans="1:2" ht="12.5" x14ac:dyDescent="0.25">
      <c r="A3374" t="str">
        <f ca="1">IFERROR(__xludf.DUMMYFUNCTION("""COMPUTED_VALUE"""),"Inabenfide")</f>
        <v>Inabenfide</v>
      </c>
      <c r="B3374" t="str">
        <f ca="1">IFERROR(__xludf.DUMMYFUNCTION("""COMPUTED_VALUE"""),"RF-0750-001-PPP")</f>
        <v>RF-0750-001-PPP</v>
      </c>
    </row>
    <row r="3375" spans="1:2" ht="12.5" x14ac:dyDescent="0.25">
      <c r="A3375" t="str">
        <f ca="1">IFERROR(__xludf.DUMMYFUNCTION("""COMPUTED_VALUE"""),"Indenol-1,2,3,c,d-pyrene")</f>
        <v>Indenol-1,2,3,c,d-pyrene</v>
      </c>
      <c r="B3375" t="str">
        <f ca="1">IFERROR(__xludf.DUMMYFUNCTION("""COMPUTED_VALUE"""),"RF-00000061-ORG")</f>
        <v>RF-00000061-ORG</v>
      </c>
    </row>
    <row r="3376" spans="1:2" ht="12.5" x14ac:dyDescent="0.25">
      <c r="A3376" t="str">
        <f ca="1">IFERROR(__xludf.DUMMYFUNCTION("""COMPUTED_VALUE"""),"Indicine")</f>
        <v>Indicine</v>
      </c>
      <c r="B3376" t="str">
        <f ca="1">IFERROR(__xludf.DUMMYFUNCTION("""COMPUTED_VALUE"""),"RF-00000284-TOX")</f>
        <v>RF-00000284-TOX</v>
      </c>
    </row>
    <row r="3377" spans="1:2" ht="12.5" x14ac:dyDescent="0.25">
      <c r="A3377" t="str">
        <f ca="1">IFERROR(__xludf.DUMMYFUNCTION("""COMPUTED_VALUE"""),"Indigotine, Indigo carmine")</f>
        <v>Indigotine, Indigo carmine</v>
      </c>
      <c r="B3377" t="str">
        <f ca="1">IFERROR(__xludf.DUMMYFUNCTION("""COMPUTED_VALUE"""),"RF-00000159-ADD")</f>
        <v>RF-00000159-ADD</v>
      </c>
    </row>
    <row r="3378" spans="1:2" ht="12.5" x14ac:dyDescent="0.25">
      <c r="A3378" t="str">
        <f ca="1">IFERROR(__xludf.DUMMYFUNCTION("""COMPUTED_VALUE"""),"Indomethacin")</f>
        <v>Indomethacin</v>
      </c>
      <c r="B3378" t="str">
        <f ca="1">IFERROR(__xludf.DUMMYFUNCTION("""COMPUTED_VALUE"""),"RF-00000198-VET")</f>
        <v>RF-00000198-VET</v>
      </c>
    </row>
    <row r="3379" spans="1:2" ht="12.5" x14ac:dyDescent="0.25">
      <c r="A3379" t="str">
        <f ca="1">IFERROR(__xludf.DUMMYFUNCTION("""COMPUTED_VALUE"""),"Indoprofen")</f>
        <v>Indoprofen</v>
      </c>
      <c r="B3379" t="str">
        <f ca="1">IFERROR(__xludf.DUMMYFUNCTION("""COMPUTED_VALUE"""),"RF-00000233-VET")</f>
        <v>RF-00000233-VET</v>
      </c>
    </row>
    <row r="3380" spans="1:2" ht="12.5" x14ac:dyDescent="0.25">
      <c r="A3380" t="str">
        <f ca="1">IFERROR(__xludf.DUMMYFUNCTION("""COMPUTED_VALUE"""),"Indoxacarb as sum of the isomers S and R")</f>
        <v>Indoxacarb as sum of the isomers S and R</v>
      </c>
      <c r="B3380" t="str">
        <f ca="1">IFERROR(__xludf.DUMMYFUNCTION("""COMPUTED_VALUE"""),"RF-0251-001-PPP")</f>
        <v>RF-0251-001-PPP</v>
      </c>
    </row>
    <row r="3381" spans="1:2" ht="12.5" x14ac:dyDescent="0.25">
      <c r="A3381" t="str">
        <f ca="1">IFERROR(__xludf.DUMMYFUNCTION("""COMPUTED_VALUE"""),"Inhibitors")</f>
        <v>Inhibitors</v>
      </c>
      <c r="B3381" t="str">
        <f ca="1">IFERROR(__xludf.DUMMYFUNCTION("""COMPUTED_VALUE"""),"RF-00000585-VET")</f>
        <v>RF-00000585-VET</v>
      </c>
    </row>
    <row r="3382" spans="1:2" ht="12.5" x14ac:dyDescent="0.25">
      <c r="A3382" t="str">
        <f ca="1">IFERROR(__xludf.DUMMYFUNCTION("""COMPUTED_VALUE"""),"Inorganic Arsenic")</f>
        <v>Inorganic Arsenic</v>
      </c>
      <c r="B3382" t="str">
        <f ca="1">IFERROR(__xludf.DUMMYFUNCTION("""COMPUTED_VALUE"""),"RF-00000135-CHE")</f>
        <v>RF-00000135-CHE</v>
      </c>
    </row>
    <row r="3383" spans="1:2" ht="12.5" x14ac:dyDescent="0.25">
      <c r="A3383" t="str">
        <f ca="1">IFERROR(__xludf.DUMMYFUNCTION("""COMPUTED_VALUE"""),"Inorganic Chromium")</f>
        <v>Inorganic Chromium</v>
      </c>
      <c r="B3383" t="str">
        <f ca="1">IFERROR(__xludf.DUMMYFUNCTION("""COMPUTED_VALUE"""),"RF-00000155-CHE")</f>
        <v>RF-00000155-CHE</v>
      </c>
    </row>
    <row r="3384" spans="1:2" ht="12.5" x14ac:dyDescent="0.25">
      <c r="A3384" t="str">
        <f ca="1">IFERROR(__xludf.DUMMYFUNCTION("""COMPUTED_VALUE"""),"Inorganic mercury")</f>
        <v>Inorganic mercury</v>
      </c>
      <c r="B3384" t="str">
        <f ca="1">IFERROR(__xludf.DUMMYFUNCTION("""COMPUTED_VALUE"""),"RF-00000251-CHE")</f>
        <v>RF-00000251-CHE</v>
      </c>
    </row>
    <row r="3385" spans="1:2" ht="12.5" x14ac:dyDescent="0.25">
      <c r="A3385" t="str">
        <f ca="1">IFERROR(__xludf.DUMMYFUNCTION("""COMPUTED_VALUE"""),"Inorganic Selenium")</f>
        <v>Inorganic Selenium</v>
      </c>
      <c r="B3385" t="str">
        <f ca="1">IFERROR(__xludf.DUMMYFUNCTION("""COMPUTED_VALUE"""),"RF-00000187-CHE")</f>
        <v>RF-00000187-CHE</v>
      </c>
    </row>
    <row r="3386" spans="1:2" ht="12.5" x14ac:dyDescent="0.25">
      <c r="A3386" t="str">
        <f ca="1">IFERROR(__xludf.DUMMYFUNCTION("""COMPUTED_VALUE"""),"Inorganic tin")</f>
        <v>Inorganic tin</v>
      </c>
      <c r="B3386" t="str">
        <f ca="1">IFERROR(__xludf.DUMMYFUNCTION("""COMPUTED_VALUE"""),"RF-00000252-CHE")</f>
        <v>RF-00000252-CHE</v>
      </c>
    </row>
    <row r="3387" spans="1:2" ht="12.5" x14ac:dyDescent="0.25">
      <c r="A3387" t="str">
        <f ca="1">IFERROR(__xludf.DUMMYFUNCTION("""COMPUTED_VALUE"""),"Inosinic acid")</f>
        <v>Inosinic acid</v>
      </c>
      <c r="B3387" t="str">
        <f ca="1">IFERROR(__xludf.DUMMYFUNCTION("""COMPUTED_VALUE"""),"RF-00000160-ADD")</f>
        <v>RF-00000160-ADD</v>
      </c>
    </row>
    <row r="3388" spans="1:2" ht="12.5" x14ac:dyDescent="0.25">
      <c r="A3388" t="str">
        <f ca="1">IFERROR(__xludf.DUMMYFUNCTION("""COMPUTED_VALUE"""),"inositol")</f>
        <v>inositol</v>
      </c>
      <c r="B3388" t="str">
        <f ca="1">IFERROR(__xludf.DUMMYFUNCTION("""COMPUTED_VALUE"""),"RF-00000308-NTR")</f>
        <v>RF-00000308-NTR</v>
      </c>
    </row>
    <row r="3389" spans="1:2" ht="12.5" x14ac:dyDescent="0.25">
      <c r="A3389" t="str">
        <f ca="1">IFERROR(__xludf.DUMMYFUNCTION("""COMPUTED_VALUE"""),"Integerrimine")</f>
        <v>Integerrimine</v>
      </c>
      <c r="B3389" t="str">
        <f ca="1">IFERROR(__xludf.DUMMYFUNCTION("""COMPUTED_VALUE"""),"RF-00000285-TOX")</f>
        <v>RF-00000285-TOX</v>
      </c>
    </row>
    <row r="3390" spans="1:2" ht="12.5" x14ac:dyDescent="0.25">
      <c r="A3390" t="str">
        <f ca="1">IFERROR(__xludf.DUMMYFUNCTION("""COMPUTED_VALUE"""),"Integerrimine-N-oxide")</f>
        <v>Integerrimine-N-oxide</v>
      </c>
      <c r="B3390" t="str">
        <f ca="1">IFERROR(__xludf.DUMMYFUNCTION("""COMPUTED_VALUE"""),"RF-00000426-TOX")</f>
        <v>RF-00000426-TOX</v>
      </c>
    </row>
    <row r="3391" spans="1:2" ht="12.5" x14ac:dyDescent="0.25">
      <c r="A3391" t="str">
        <f ca="1">IFERROR(__xludf.DUMMYFUNCTION("""COMPUTED_VALUE"""),"Intermedine")</f>
        <v>Intermedine</v>
      </c>
      <c r="B3391" t="str">
        <f ca="1">IFERROR(__xludf.DUMMYFUNCTION("""COMPUTED_VALUE"""),"RF-00000227-TOX")</f>
        <v>RF-00000227-TOX</v>
      </c>
    </row>
    <row r="3392" spans="1:2" ht="12.5" x14ac:dyDescent="0.25">
      <c r="A3392" t="str">
        <f ca="1">IFERROR(__xludf.DUMMYFUNCTION("""COMPUTED_VALUE"""),"inulin")</f>
        <v>inulin</v>
      </c>
      <c r="B3392" t="str">
        <f ca="1">IFERROR(__xludf.DUMMYFUNCTION("""COMPUTED_VALUE"""),"RF-00000309-NTR")</f>
        <v>RF-00000309-NTR</v>
      </c>
    </row>
    <row r="3393" spans="1:2" ht="12.5" x14ac:dyDescent="0.25">
      <c r="A3393" t="str">
        <f ca="1">IFERROR(__xludf.DUMMYFUNCTION("""COMPUTED_VALUE"""),"Invertase")</f>
        <v>Invertase</v>
      </c>
      <c r="B3393" t="str">
        <f ca="1">IFERROR(__xludf.DUMMYFUNCTION("""COMPUTED_VALUE"""),"RF-00000161-ADD")</f>
        <v>RF-00000161-ADD</v>
      </c>
    </row>
    <row r="3394" spans="1:2" ht="12.5" x14ac:dyDescent="0.25">
      <c r="A3394" t="str">
        <f ca="1">IFERROR(__xludf.DUMMYFUNCTION("""COMPUTED_VALUE"""),"Iodates")</f>
        <v>Iodates</v>
      </c>
      <c r="B3394" t="str">
        <f ca="1">IFERROR(__xludf.DUMMYFUNCTION("""COMPUTED_VALUE"""),"RF-00000049-CHE")</f>
        <v>RF-00000049-CHE</v>
      </c>
    </row>
    <row r="3395" spans="1:2" ht="12.5" x14ac:dyDescent="0.25">
      <c r="A3395" t="str">
        <f ca="1">IFERROR(__xludf.DUMMYFUNCTION("""COMPUTED_VALUE"""),"Iode 131")</f>
        <v>Iode 131</v>
      </c>
      <c r="B3395" t="str">
        <f ca="1">IFERROR(__xludf.DUMMYFUNCTION("""COMPUTED_VALUE"""),"RF-00000007-RAD")</f>
        <v>RF-00000007-RAD</v>
      </c>
    </row>
    <row r="3396" spans="1:2" ht="12.5" x14ac:dyDescent="0.25">
      <c r="A3396" t="str">
        <f ca="1">IFERROR(__xludf.DUMMYFUNCTION("""COMPUTED_VALUE"""),"iodide")</f>
        <v>iodide</v>
      </c>
      <c r="B3396" t="str">
        <f ca="1">IFERROR(__xludf.DUMMYFUNCTION("""COMPUTED_VALUE"""),"RF-00000310-NTR")</f>
        <v>RF-00000310-NTR</v>
      </c>
    </row>
    <row r="3397" spans="1:2" ht="12.5" x14ac:dyDescent="0.25">
      <c r="A3397" t="str">
        <f ca="1">IFERROR(__xludf.DUMMYFUNCTION("""COMPUTED_VALUE"""),"Iodine")</f>
        <v>Iodine</v>
      </c>
      <c r="B3397" t="str">
        <f ca="1">IFERROR(__xludf.DUMMYFUNCTION("""COMPUTED_VALUE"""),"RF-00000050-CHE")</f>
        <v>RF-00000050-CHE</v>
      </c>
    </row>
    <row r="3398" spans="1:2" ht="12.5" x14ac:dyDescent="0.25">
      <c r="A3398" t="str">
        <f ca="1">IFERROR(__xludf.DUMMYFUNCTION("""COMPUTED_VALUE"""),"Iodine and derivatives")</f>
        <v>Iodine and derivatives</v>
      </c>
      <c r="B3398" t="str">
        <f ca="1">IFERROR(__xludf.DUMMYFUNCTION("""COMPUTED_VALUE"""),"RF-00000048-CHE")</f>
        <v>RF-00000048-CHE</v>
      </c>
    </row>
    <row r="3399" spans="1:2" ht="12.5" x14ac:dyDescent="0.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x14ac:dyDescent="0.25">
      <c r="A3400" t="str">
        <f ca="1">IFERROR(__xludf.DUMMYFUNCTION("""COMPUTED_VALUE"""),"Ionomycin calcium")</f>
        <v>Ionomycin calcium</v>
      </c>
      <c r="B3400" t="str">
        <f ca="1">IFERROR(__xludf.DUMMYFUNCTION("""COMPUTED_VALUE"""),"RF-00000062-VET")</f>
        <v>RF-00000062-VET</v>
      </c>
    </row>
    <row r="3401" spans="1:2" ht="12.5" x14ac:dyDescent="0.25">
      <c r="A3401" t="str">
        <f ca="1">IFERROR(__xludf.DUMMYFUNCTION("""COMPUTED_VALUE"""),"Ionophores")</f>
        <v>Ionophores</v>
      </c>
      <c r="B3401" t="str">
        <f ca="1">IFERROR(__xludf.DUMMYFUNCTION("""COMPUTED_VALUE"""),"RF-00000746-VET")</f>
        <v>RF-00000746-VET</v>
      </c>
    </row>
    <row r="3402" spans="1:2" ht="12.5" x14ac:dyDescent="0.25">
      <c r="A3402" t="str">
        <f ca="1">IFERROR(__xludf.DUMMYFUNCTION("""COMPUTED_VALUE"""),"Ioxynil")</f>
        <v>Ioxynil</v>
      </c>
      <c r="B3402" t="str">
        <f ca="1">IFERROR(__xludf.DUMMYFUNCTION("""COMPUTED_VALUE"""),"RF-0253-002-PPP")</f>
        <v>RF-0253-002-PPP</v>
      </c>
    </row>
    <row r="3403" spans="1:2" ht="12.5" x14ac:dyDescent="0.25">
      <c r="A3403" t="str">
        <f ca="1">IFERROR(__xludf.DUMMYFUNCTION("""COMPUTED_VALUE"""),"Ioxynil octanoate")</f>
        <v>Ioxynil octanoate</v>
      </c>
      <c r="B3403" t="str">
        <f ca="1">IFERROR(__xludf.DUMMYFUNCTION("""COMPUTED_VALUE"""),"RF-0253-003-PPP")</f>
        <v>RF-0253-003-PPP</v>
      </c>
    </row>
    <row r="3404" spans="1:2" ht="12.5" x14ac:dyDescent="0.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x14ac:dyDescent="0.25">
      <c r="A3405" t="str">
        <f ca="1">IFERROR(__xludf.DUMMYFUNCTION("""COMPUTED_VALUE"""),"Ipconazole")</f>
        <v>Ipconazole</v>
      </c>
      <c r="B3405" t="str">
        <f ca="1">IFERROR(__xludf.DUMMYFUNCTION("""COMPUTED_VALUE"""),"RF-0254-001-PPP")</f>
        <v>RF-0254-001-PPP</v>
      </c>
    </row>
    <row r="3406" spans="1:2" ht="12.5" x14ac:dyDescent="0.25">
      <c r="A3406" t="str">
        <f ca="1">IFERROR(__xludf.DUMMYFUNCTION("""COMPUTED_VALUE"""),"IPOH (Hydroxyipronidazole)")</f>
        <v>IPOH (Hydroxyipronidazole)</v>
      </c>
      <c r="B3406" t="str">
        <f ca="1">IFERROR(__xludf.DUMMYFUNCTION("""COMPUTED_VALUE"""),"RF-00000069-VET")</f>
        <v>RF-00000069-VET</v>
      </c>
    </row>
    <row r="3407" spans="1:2" ht="12.5" x14ac:dyDescent="0.25">
      <c r="A3407" t="str">
        <f ca="1">IFERROR(__xludf.DUMMYFUNCTION("""COMPUTED_VALUE"""),"Iprobenfos")</f>
        <v>Iprobenfos</v>
      </c>
      <c r="B3407" t="str">
        <f ca="1">IFERROR(__xludf.DUMMYFUNCTION("""COMPUTED_VALUE"""),"RF-0751-001-PPP")</f>
        <v>RF-0751-001-PPP</v>
      </c>
    </row>
    <row r="3408" spans="1:2" ht="12.5" x14ac:dyDescent="0.25">
      <c r="A3408" t="str">
        <f ca="1">IFERROR(__xludf.DUMMYFUNCTION("""COMPUTED_VALUE"""),"Iprodione")</f>
        <v>Iprodione</v>
      </c>
      <c r="B3408" t="str">
        <f ca="1">IFERROR(__xludf.DUMMYFUNCTION("""COMPUTED_VALUE"""),"RF-0255-001-PPP")</f>
        <v>RF-0255-001-PPP</v>
      </c>
    </row>
    <row r="3409" spans="1:2" ht="12.5" x14ac:dyDescent="0.25">
      <c r="A3409" t="str">
        <f ca="1">IFERROR(__xludf.DUMMYFUNCTION("""COMPUTED_VALUE"""),"Ipronidazole")</f>
        <v>Ipronidazole</v>
      </c>
      <c r="B3409" t="str">
        <f ca="1">IFERROR(__xludf.DUMMYFUNCTION("""COMPUTED_VALUE"""),"RF-00000072-VET")</f>
        <v>RF-00000072-VET</v>
      </c>
    </row>
    <row r="3410" spans="1:2" ht="12.5" x14ac:dyDescent="0.25">
      <c r="A3410" t="str">
        <f ca="1">IFERROR(__xludf.DUMMYFUNCTION("""COMPUTED_VALUE"""),"Iprovalicarb")</f>
        <v>Iprovalicarb</v>
      </c>
      <c r="B3410" t="str">
        <f ca="1">IFERROR(__xludf.DUMMYFUNCTION("""COMPUTED_VALUE"""),"RF-00000111-VET")</f>
        <v>RF-00000111-VET</v>
      </c>
    </row>
    <row r="3411" spans="1:2" ht="12.5" x14ac:dyDescent="0.25">
      <c r="A3411" t="str">
        <f ca="1">IFERROR(__xludf.DUMMYFUNCTION("""COMPUTED_VALUE"""),"Iprovalicarb")</f>
        <v>Iprovalicarb</v>
      </c>
      <c r="B3411" t="str">
        <f ca="1">IFERROR(__xludf.DUMMYFUNCTION("""COMPUTED_VALUE"""),"RF-0256-001-PPP")</f>
        <v>RF-0256-001-PPP</v>
      </c>
    </row>
    <row r="3412" spans="1:2" ht="12.5" x14ac:dyDescent="0.25">
      <c r="A3412" t="str">
        <f ca="1">IFERROR(__xludf.DUMMYFUNCTION("""COMPUTED_VALUE"""),"Iron (Fe)")</f>
        <v>Iron (Fe)</v>
      </c>
      <c r="B3412" t="str">
        <f ca="1">IFERROR(__xludf.DUMMYFUNCTION("""COMPUTED_VALUE"""),"RF-00000164-CHE")</f>
        <v>RF-00000164-CHE</v>
      </c>
    </row>
    <row r="3413" spans="1:2" ht="12.5" x14ac:dyDescent="0.25">
      <c r="A3413" t="str">
        <f ca="1">IFERROR(__xludf.DUMMYFUNCTION("""COMPUTED_VALUE"""),"Iron and derivatives")</f>
        <v>Iron and derivatives</v>
      </c>
      <c r="B3413" t="str">
        <f ca="1">IFERROR(__xludf.DUMMYFUNCTION("""COMPUTED_VALUE"""),"RF-00000163-CHE")</f>
        <v>RF-00000163-CHE</v>
      </c>
    </row>
    <row r="3414" spans="1:2" ht="12.5" x14ac:dyDescent="0.25">
      <c r="A3414" t="str">
        <f ca="1">IFERROR(__xludf.DUMMYFUNCTION("""COMPUTED_VALUE"""),"Iron oxides and hydroxides")</f>
        <v>Iron oxides and hydroxides</v>
      </c>
      <c r="B3414" t="str">
        <f ca="1">IFERROR(__xludf.DUMMYFUNCTION("""COMPUTED_VALUE"""),"RF-00000162-ADD")</f>
        <v>RF-00000162-ADD</v>
      </c>
    </row>
    <row r="3415" spans="1:2" ht="12.5" x14ac:dyDescent="0.25">
      <c r="A3415" t="str">
        <f ca="1">IFERROR(__xludf.DUMMYFUNCTION("""COMPUTED_VALUE"""),"iron, haem")</f>
        <v>iron, haem</v>
      </c>
      <c r="B3415" t="str">
        <f ca="1">IFERROR(__xludf.DUMMYFUNCTION("""COMPUTED_VALUE"""),"RF-00000311-NTR")</f>
        <v>RF-00000311-NTR</v>
      </c>
    </row>
    <row r="3416" spans="1:2" ht="12.5" x14ac:dyDescent="0.25">
      <c r="A3416" t="str">
        <f ca="1">IFERROR(__xludf.DUMMYFUNCTION("""COMPUTED_VALUE"""),"iron, non-haem")</f>
        <v>iron, non-haem</v>
      </c>
      <c r="B3416" t="str">
        <f ca="1">IFERROR(__xludf.DUMMYFUNCTION("""COMPUTED_VALUE"""),"RF-00000312-NTR")</f>
        <v>RF-00000312-NTR</v>
      </c>
    </row>
    <row r="3417" spans="1:2" ht="12.5" x14ac:dyDescent="0.25">
      <c r="A3417" t="str">
        <f ca="1">IFERROR(__xludf.DUMMYFUNCTION("""COMPUTED_VALUE"""),"Isatidine")</f>
        <v>Isatidine</v>
      </c>
      <c r="B3417" t="str">
        <f ca="1">IFERROR(__xludf.DUMMYFUNCTION("""COMPUTED_VALUE"""),"RF-00000286-TOX")</f>
        <v>RF-00000286-TOX</v>
      </c>
    </row>
    <row r="3418" spans="1:2" ht="12.5" x14ac:dyDescent="0.25">
      <c r="A3418" t="str">
        <f ca="1">IFERROR(__xludf.DUMMYFUNCTION("""COMPUTED_VALUE"""),"Isazofos")</f>
        <v>Isazofos</v>
      </c>
      <c r="B3418" t="str">
        <f ca="1">IFERROR(__xludf.DUMMYFUNCTION("""COMPUTED_VALUE"""),"RF-0752-001-PPP")</f>
        <v>RF-0752-001-PPP</v>
      </c>
    </row>
    <row r="3419" spans="1:2" ht="12.5" x14ac:dyDescent="0.25">
      <c r="A3419" t="str">
        <f ca="1">IFERROR(__xludf.DUMMYFUNCTION("""COMPUTED_VALUE"""),"Iso-Acetylechimidine")</f>
        <v>Iso-Acetylechimidine</v>
      </c>
      <c r="B3419" t="str">
        <f ca="1">IFERROR(__xludf.DUMMYFUNCTION("""COMPUTED_VALUE"""),"RF-00000396-TOX")</f>
        <v>RF-00000396-TOX</v>
      </c>
    </row>
    <row r="3420" spans="1:2" ht="12.5" x14ac:dyDescent="0.25">
      <c r="A3420" t="str">
        <f ca="1">IFERROR(__xludf.DUMMYFUNCTION("""COMPUTED_VALUE"""),"Iso-Acetylechimidine-N-oxide")</f>
        <v>Iso-Acetylechimidine-N-oxide</v>
      </c>
      <c r="B3420" t="str">
        <f ca="1">IFERROR(__xludf.DUMMYFUNCTION("""COMPUTED_VALUE"""),"RF-00000397-TOX")</f>
        <v>RF-00000397-TOX</v>
      </c>
    </row>
    <row r="3421" spans="1:2" ht="12.5" x14ac:dyDescent="0.25">
      <c r="A3421" t="str">
        <f ca="1">IFERROR(__xludf.DUMMYFUNCTION("""COMPUTED_VALUE"""),"Iso-Acetyllycopsamine")</f>
        <v>Iso-Acetyllycopsamine</v>
      </c>
      <c r="B3421" t="str">
        <f ca="1">IFERROR(__xludf.DUMMYFUNCTION("""COMPUTED_VALUE"""),"RF-00000421-TOX")</f>
        <v>RF-00000421-TOX</v>
      </c>
    </row>
    <row r="3422" spans="1:2" ht="12.5" x14ac:dyDescent="0.25">
      <c r="A3422" t="str">
        <f ca="1">IFERROR(__xludf.DUMMYFUNCTION("""COMPUTED_VALUE"""),"Iso-Acetyllycopsamine-N-oxide")</f>
        <v>Iso-Acetyllycopsamine-N-oxide</v>
      </c>
      <c r="B3422" t="str">
        <f ca="1">IFERROR(__xludf.DUMMYFUNCTION("""COMPUTED_VALUE"""),"RF-00000427-TOX")</f>
        <v>RF-00000427-TOX</v>
      </c>
    </row>
    <row r="3423" spans="1:2" ht="12.5" x14ac:dyDescent="0.25">
      <c r="A3423" t="str">
        <f ca="1">IFERROR(__xludf.DUMMYFUNCTION("""COMPUTED_VALUE"""),"iso-DA A")</f>
        <v>iso-DA A</v>
      </c>
      <c r="B3423" t="str">
        <f ca="1">IFERROR(__xludf.DUMMYFUNCTION("""COMPUTED_VALUE"""),"RF-00000056-TOX")</f>
        <v>RF-00000056-TOX</v>
      </c>
    </row>
    <row r="3424" spans="1:2" ht="12.5" x14ac:dyDescent="0.25">
      <c r="A3424" t="str">
        <f ca="1">IFERROR(__xludf.DUMMYFUNCTION("""COMPUTED_VALUE"""),"iso-DA B")</f>
        <v>iso-DA B</v>
      </c>
      <c r="B3424" t="str">
        <f ca="1">IFERROR(__xludf.DUMMYFUNCTION("""COMPUTED_VALUE"""),"RF-00000057-TOX")</f>
        <v>RF-00000057-TOX</v>
      </c>
    </row>
    <row r="3425" spans="1:2" ht="12.5" x14ac:dyDescent="0.25">
      <c r="A3425" t="str">
        <f ca="1">IFERROR(__xludf.DUMMYFUNCTION("""COMPUTED_VALUE"""),"iso-DA C")</f>
        <v>iso-DA C</v>
      </c>
      <c r="B3425" t="str">
        <f ca="1">IFERROR(__xludf.DUMMYFUNCTION("""COMPUTED_VALUE"""),"RF-00000058-TOX")</f>
        <v>RF-00000058-TOX</v>
      </c>
    </row>
    <row r="3426" spans="1:2" ht="12.5" x14ac:dyDescent="0.25">
      <c r="A3426" t="str">
        <f ca="1">IFERROR(__xludf.DUMMYFUNCTION("""COMPUTED_VALUE"""),"iso-DA D")</f>
        <v>iso-DA D</v>
      </c>
      <c r="B3426" t="str">
        <f ca="1">IFERROR(__xludf.DUMMYFUNCTION("""COMPUTED_VALUE"""),"RF-00000059-TOX")</f>
        <v>RF-00000059-TOX</v>
      </c>
    </row>
    <row r="3427" spans="1:2" ht="12.5" x14ac:dyDescent="0.25">
      <c r="A3427" t="str">
        <f ca="1">IFERROR(__xludf.DUMMYFUNCTION("""COMPUTED_VALUE"""),"iso-DA E")</f>
        <v>iso-DA E</v>
      </c>
      <c r="B3427" t="str">
        <f ca="1">IFERROR(__xludf.DUMMYFUNCTION("""COMPUTED_VALUE"""),"RF-00000060-TOX")</f>
        <v>RF-00000060-TOX</v>
      </c>
    </row>
    <row r="3428" spans="1:2" ht="12.5" x14ac:dyDescent="0.25">
      <c r="A3428" t="str">
        <f ca="1">IFERROR(__xludf.DUMMYFUNCTION("""COMPUTED_VALUE"""),"iso-DA F")</f>
        <v>iso-DA F</v>
      </c>
      <c r="B3428" t="str">
        <f ca="1">IFERROR(__xludf.DUMMYFUNCTION("""COMPUTED_VALUE"""),"RF-00000061-TOX")</f>
        <v>RF-00000061-TOX</v>
      </c>
    </row>
    <row r="3429" spans="1:2" ht="12.5" x14ac:dyDescent="0.25">
      <c r="A3429" t="str">
        <f ca="1">IFERROR(__xludf.DUMMYFUNCTION("""COMPUTED_VALUE"""),"iso-DA G")</f>
        <v>iso-DA G</v>
      </c>
      <c r="B3429" t="str">
        <f ca="1">IFERROR(__xludf.DUMMYFUNCTION("""COMPUTED_VALUE"""),"RF-00000062-TOX")</f>
        <v>RF-00000062-TOX</v>
      </c>
    </row>
    <row r="3430" spans="1:2" ht="12.5" x14ac:dyDescent="0.25">
      <c r="A3430" t="str">
        <f ca="1">IFERROR(__xludf.DUMMYFUNCTION("""COMPUTED_VALUE"""),"iso-DA H")</f>
        <v>iso-DA H</v>
      </c>
      <c r="B3430" t="str">
        <f ca="1">IFERROR(__xludf.DUMMYFUNCTION("""COMPUTED_VALUE"""),"RF-00000063-TOX")</f>
        <v>RF-00000063-TOX</v>
      </c>
    </row>
    <row r="3431" spans="1:2" ht="12.5" x14ac:dyDescent="0.25">
      <c r="A3431" t="str">
        <f ca="1">IFERROR(__xludf.DUMMYFUNCTION("""COMPUTED_VALUE"""),"Iso-Desacetylechimidine")</f>
        <v>Iso-Desacetylechimidine</v>
      </c>
      <c r="B3431" t="str">
        <f ca="1">IFERROR(__xludf.DUMMYFUNCTION("""COMPUTED_VALUE"""),"RF-00000398-TOX")</f>
        <v>RF-00000398-TOX</v>
      </c>
    </row>
    <row r="3432" spans="1:2" ht="12.5" x14ac:dyDescent="0.25">
      <c r="A3432" t="str">
        <f ca="1">IFERROR(__xludf.DUMMYFUNCTION("""COMPUTED_VALUE"""),"Iso-Desacetylechimidine-N-oxide")</f>
        <v>Iso-Desacetylechimidine-N-oxide</v>
      </c>
      <c r="B3432" t="str">
        <f ca="1">IFERROR(__xludf.DUMMYFUNCTION("""COMPUTED_VALUE"""),"RF-00000399-TOX")</f>
        <v>RF-00000399-TOX</v>
      </c>
    </row>
    <row r="3433" spans="1:2" ht="12.5" x14ac:dyDescent="0.25">
      <c r="A3433" t="str">
        <f ca="1">IFERROR(__xludf.DUMMYFUNCTION("""COMPUTED_VALUE"""),"Iso-Echimidine")</f>
        <v>Iso-Echimidine</v>
      </c>
      <c r="B3433" t="str">
        <f ca="1">IFERROR(__xludf.DUMMYFUNCTION("""COMPUTED_VALUE"""),"RF-00000423-TOX")</f>
        <v>RF-00000423-TOX</v>
      </c>
    </row>
    <row r="3434" spans="1:2" ht="12.5" x14ac:dyDescent="0.25">
      <c r="A3434" t="str">
        <f ca="1">IFERROR(__xludf.DUMMYFUNCTION("""COMPUTED_VALUE"""),"Iso-Echimidine-N-oxide")</f>
        <v>Iso-Echimidine-N-oxide</v>
      </c>
      <c r="B3434" t="str">
        <f ca="1">IFERROR(__xludf.DUMMYFUNCTION("""COMPUTED_VALUE"""),"RF-00000400-TOX")</f>
        <v>RF-00000400-TOX</v>
      </c>
    </row>
    <row r="3435" spans="1:2" ht="12.5" x14ac:dyDescent="0.25">
      <c r="A3435" t="str">
        <f ca="1">IFERROR(__xludf.DUMMYFUNCTION("""COMPUTED_VALUE"""),"Iso-Lycopsamine")</f>
        <v>Iso-Lycopsamine</v>
      </c>
      <c r="B3435" t="str">
        <f ca="1">IFERROR(__xludf.DUMMYFUNCTION("""COMPUTED_VALUE"""),"RF-00000422-TOX")</f>
        <v>RF-00000422-TOX</v>
      </c>
    </row>
    <row r="3436" spans="1:2" ht="12.5" x14ac:dyDescent="0.25">
      <c r="A3436" t="str">
        <f ca="1">IFERROR(__xludf.DUMMYFUNCTION("""COMPUTED_VALUE"""),"Iso-Lycopsamine-N-oxide")</f>
        <v>Iso-Lycopsamine-N-oxide</v>
      </c>
      <c r="B3436" t="str">
        <f ca="1">IFERROR(__xludf.DUMMYFUNCTION("""COMPUTED_VALUE"""),"RF-00000401-TOX")</f>
        <v>RF-00000401-TOX</v>
      </c>
    </row>
    <row r="3437" spans="1:2" ht="12.5" x14ac:dyDescent="0.25">
      <c r="A3437" t="str">
        <f ca="1">IFERROR(__xludf.DUMMYFUNCTION("""COMPUTED_VALUE"""),"Isoamylamine")</f>
        <v>Isoamylamine</v>
      </c>
      <c r="B3437" t="str">
        <f ca="1">IFERROR(__xludf.DUMMYFUNCTION("""COMPUTED_VALUE"""),"RF-00000476-ORG")</f>
        <v>RF-00000476-ORG</v>
      </c>
    </row>
    <row r="3438" spans="1:2" ht="12.5" x14ac:dyDescent="0.25">
      <c r="A3438" t="str">
        <f ca="1">IFERROR(__xludf.DUMMYFUNCTION("""COMPUTED_VALUE"""),"Isobenzan")</f>
        <v>Isobenzan</v>
      </c>
      <c r="B3438" t="str">
        <f ca="1">IFERROR(__xludf.DUMMYFUNCTION("""COMPUTED_VALUE"""),"RF-0998-001-PPP")</f>
        <v>RF-0998-001-PPP</v>
      </c>
    </row>
    <row r="3439" spans="1:2" ht="12.5" x14ac:dyDescent="0.25">
      <c r="A3439" t="str">
        <f ca="1">IFERROR(__xludf.DUMMYFUNCTION("""COMPUTED_VALUE"""),"Isobutane")</f>
        <v>Isobutane</v>
      </c>
      <c r="B3439" t="str">
        <f ca="1">IFERROR(__xludf.DUMMYFUNCTION("""COMPUTED_VALUE"""),"RF-00000163-ADD")</f>
        <v>RF-00000163-ADD</v>
      </c>
    </row>
    <row r="3440" spans="1:2" ht="12.5" x14ac:dyDescent="0.25">
      <c r="A3440" t="str">
        <f ca="1">IFERROR(__xludf.DUMMYFUNCTION("""COMPUTED_VALUE"""),"Isobutylidenediurea")</f>
        <v>Isobutylidenediurea</v>
      </c>
      <c r="B3440" t="str">
        <f ca="1">IFERROR(__xludf.DUMMYFUNCTION("""COMPUTED_VALUE"""),"RF-00000109-CHE")</f>
        <v>RF-00000109-CHE</v>
      </c>
    </row>
    <row r="3441" spans="1:2" ht="12.5" x14ac:dyDescent="0.25">
      <c r="A3441" t="str">
        <f ca="1">IFERROR(__xludf.DUMMYFUNCTION("""COMPUTED_VALUE"""),"Isocarbamid")</f>
        <v>Isocarbamid</v>
      </c>
      <c r="B3441" t="str">
        <f ca="1">IFERROR(__xludf.DUMMYFUNCTION("""COMPUTED_VALUE"""),"RF-0753-001-PPP")</f>
        <v>RF-0753-001-PPP</v>
      </c>
    </row>
    <row r="3442" spans="1:2" ht="12.5" x14ac:dyDescent="0.25">
      <c r="A3442" t="str">
        <f ca="1">IFERROR(__xludf.DUMMYFUNCTION("""COMPUTED_VALUE"""),"Isocarbophos")</f>
        <v>Isocarbophos</v>
      </c>
      <c r="B3442" t="str">
        <f ca="1">IFERROR(__xludf.DUMMYFUNCTION("""COMPUTED_VALUE"""),"RF-0754-001-PPP")</f>
        <v>RF-0754-001-PPP</v>
      </c>
    </row>
    <row r="3443" spans="1:2" ht="12.5" x14ac:dyDescent="0.25">
      <c r="A3443" t="str">
        <f ca="1">IFERROR(__xludf.DUMMYFUNCTION("""COMPUTED_VALUE"""),"isocitric acid")</f>
        <v>isocitric acid</v>
      </c>
      <c r="B3443" t="str">
        <f ca="1">IFERROR(__xludf.DUMMYFUNCTION("""COMPUTED_VALUE"""),"RF-00000313-NTR")</f>
        <v>RF-00000313-NTR</v>
      </c>
    </row>
    <row r="3444" spans="1:2" ht="12.5" x14ac:dyDescent="0.25">
      <c r="A3444" t="str">
        <f ca="1">IFERROR(__xludf.DUMMYFUNCTION("""COMPUTED_VALUE"""),"Isocyanates")</f>
        <v>Isocyanates</v>
      </c>
      <c r="B3444" t="str">
        <f ca="1">IFERROR(__xludf.DUMMYFUNCTION("""COMPUTED_VALUE"""),"RF-00000023-CHE")</f>
        <v>RF-00000023-CHE</v>
      </c>
    </row>
    <row r="3445" spans="1:2" ht="12.5" x14ac:dyDescent="0.25">
      <c r="A3445" t="str">
        <f ca="1">IFERROR(__xludf.DUMMYFUNCTION("""COMPUTED_VALUE"""),"Isodomoic acids")</f>
        <v>Isodomoic acids</v>
      </c>
      <c r="B3445" t="str">
        <f ca="1">IFERROR(__xludf.DUMMYFUNCTION("""COMPUTED_VALUE"""),"RF-00000055-TOX")</f>
        <v>RF-00000055-TOX</v>
      </c>
    </row>
    <row r="3446" spans="1:2" ht="12.5" x14ac:dyDescent="0.25">
      <c r="A3446" t="str">
        <f ca="1">IFERROR(__xludf.DUMMYFUNCTION("""COMPUTED_VALUE"""),"Isodrin")</f>
        <v>Isodrin</v>
      </c>
      <c r="B3446" t="str">
        <f ca="1">IFERROR(__xludf.DUMMYFUNCTION("""COMPUTED_VALUE"""),"RF-0755-001-PPP")</f>
        <v>RF-0755-001-PPP</v>
      </c>
    </row>
    <row r="3447" spans="1:2" ht="12.5" x14ac:dyDescent="0.25">
      <c r="A3447" t="str">
        <f ca="1">IFERROR(__xludf.DUMMYFUNCTION("""COMPUTED_VALUE"""),"Isofenphos")</f>
        <v>Isofenphos</v>
      </c>
      <c r="B3447" t="str">
        <f ca="1">IFERROR(__xludf.DUMMYFUNCTION("""COMPUTED_VALUE"""),"RF-0756-001-PPP")</f>
        <v>RF-0756-001-PPP</v>
      </c>
    </row>
    <row r="3448" spans="1:2" ht="12.5" x14ac:dyDescent="0.25">
      <c r="A3448" t="str">
        <f ca="1">IFERROR(__xludf.DUMMYFUNCTION("""COMPUTED_VALUE"""),"Isofenphos (sum)")</f>
        <v>Isofenphos (sum)</v>
      </c>
      <c r="B3448" t="str">
        <f ca="1">IFERROR(__xludf.DUMMYFUNCTION("""COMPUTED_VALUE"""),"RF-0757-001-PPP")</f>
        <v>RF-0757-001-PPP</v>
      </c>
    </row>
    <row r="3449" spans="1:2" ht="12.5" x14ac:dyDescent="0.25">
      <c r="A3449" t="str">
        <f ca="1">IFERROR(__xludf.DUMMYFUNCTION("""COMPUTED_VALUE"""),"Isofenphos-methyl")</f>
        <v>Isofenphos-methyl</v>
      </c>
      <c r="B3449" t="str">
        <f ca="1">IFERROR(__xludf.DUMMYFUNCTION("""COMPUTED_VALUE"""),"RF-0758-001-PPP")</f>
        <v>RF-0758-001-PPP</v>
      </c>
    </row>
    <row r="3450" spans="1:2" ht="12.5" x14ac:dyDescent="0.25">
      <c r="A3450" t="str">
        <f ca="1">IFERROR(__xludf.DUMMYFUNCTION("""COMPUTED_VALUE"""),"Isofenphos-methyl-oxon")</f>
        <v>Isofenphos-methyl-oxon</v>
      </c>
      <c r="B3450" t="str">
        <f ca="1">IFERROR(__xludf.DUMMYFUNCTION("""COMPUTED_VALUE"""),"RF-1060-001-PPP")</f>
        <v>RF-1060-001-PPP</v>
      </c>
    </row>
    <row r="3451" spans="1:2" ht="12.5" x14ac:dyDescent="0.25">
      <c r="A3451" t="str">
        <f ca="1">IFERROR(__xludf.DUMMYFUNCTION("""COMPUTED_VALUE"""),"Isofenphos-oxon")</f>
        <v>Isofenphos-oxon</v>
      </c>
      <c r="B3451" t="str">
        <f ca="1">IFERROR(__xludf.DUMMYFUNCTION("""COMPUTED_VALUE"""),"RF-0759-001-PPP")</f>
        <v>RF-0759-001-PPP</v>
      </c>
    </row>
    <row r="3452" spans="1:2" ht="12.5" x14ac:dyDescent="0.25">
      <c r="A3452" t="str">
        <f ca="1">IFERROR(__xludf.DUMMYFUNCTION("""COMPUTED_VALUE"""),"Isoflavonoids")</f>
        <v>Isoflavonoids</v>
      </c>
      <c r="B3452" t="str">
        <f ca="1">IFERROR(__xludf.DUMMYFUNCTION("""COMPUTED_VALUE"""),"RF-00000439-NTR")</f>
        <v>RF-00000439-NTR</v>
      </c>
    </row>
    <row r="3453" spans="1:2" ht="12.5" x14ac:dyDescent="0.25">
      <c r="A3453" t="str">
        <f ca="1">IFERROR(__xludf.DUMMYFUNCTION("""COMPUTED_VALUE"""),"isoflavonoids, total")</f>
        <v>isoflavonoids, total</v>
      </c>
      <c r="B3453" t="str">
        <f ca="1">IFERROR(__xludf.DUMMYFUNCTION("""COMPUTED_VALUE"""),"RF-00000314-NTR")</f>
        <v>RF-00000314-NTR</v>
      </c>
    </row>
    <row r="3454" spans="1:2" ht="12.5" x14ac:dyDescent="0.25">
      <c r="A3454" t="str">
        <f ca="1">IFERROR(__xludf.DUMMYFUNCTION("""COMPUTED_VALUE"""),"Isoflupredone")</f>
        <v>Isoflupredone</v>
      </c>
      <c r="B3454" t="str">
        <f ca="1">IFERROR(__xludf.DUMMYFUNCTION("""COMPUTED_VALUE"""),"RF-00000275-VET")</f>
        <v>RF-00000275-VET</v>
      </c>
    </row>
    <row r="3455" spans="1:2" ht="12.5" x14ac:dyDescent="0.25">
      <c r="A3455" t="str">
        <f ca="1">IFERROR(__xludf.DUMMYFUNCTION("""COMPUTED_VALUE"""),"isofucosterol")</f>
        <v>isofucosterol</v>
      </c>
      <c r="B3455" t="str">
        <f ca="1">IFERROR(__xludf.DUMMYFUNCTION("""COMPUTED_VALUE"""),"RF-00000315-NTR")</f>
        <v>RF-00000315-NTR</v>
      </c>
    </row>
    <row r="3456" spans="1:2" ht="12.5" x14ac:dyDescent="0.25">
      <c r="A3456" t="str">
        <f ca="1">IFERROR(__xludf.DUMMYFUNCTION("""COMPUTED_VALUE"""),"Isolane")</f>
        <v>Isolane</v>
      </c>
      <c r="B3456" t="str">
        <f ca="1">IFERROR(__xludf.DUMMYFUNCTION("""COMPUTED_VALUE"""),"RF-0760-001-PPP")</f>
        <v>RF-0760-001-PPP</v>
      </c>
    </row>
    <row r="3457" spans="1:2" ht="12.5" x14ac:dyDescent="0.25">
      <c r="A3457" t="str">
        <f ca="1">IFERROR(__xludf.DUMMYFUNCTION("""COMPUTED_VALUE"""),"isoleucine")</f>
        <v>isoleucine</v>
      </c>
      <c r="B3457" t="str">
        <f ca="1">IFERROR(__xludf.DUMMYFUNCTION("""COMPUTED_VALUE"""),"RF-00000316-NTR")</f>
        <v>RF-00000316-NTR</v>
      </c>
    </row>
    <row r="3458" spans="1:2" ht="12.5" x14ac:dyDescent="0.25">
      <c r="A3458" t="str">
        <f ca="1">IFERROR(__xludf.DUMMYFUNCTION("""COMPUTED_VALUE"""),"Isomalathion")</f>
        <v>Isomalathion</v>
      </c>
      <c r="B3458" t="str">
        <f ca="1">IFERROR(__xludf.DUMMYFUNCTION("""COMPUTED_VALUE"""),"RF-1034-001-PPP")</f>
        <v>RF-1034-001-PPP</v>
      </c>
    </row>
    <row r="3459" spans="1:2" ht="12.5" x14ac:dyDescent="0.25">
      <c r="A3459" t="str">
        <f ca="1">IFERROR(__xludf.DUMMYFUNCTION("""COMPUTED_VALUE"""),"Isomalt")</f>
        <v>Isomalt</v>
      </c>
      <c r="B3459" t="str">
        <f ca="1">IFERROR(__xludf.DUMMYFUNCTION("""COMPUTED_VALUE"""),"RF-00000164-ADD")</f>
        <v>RF-00000164-ADD</v>
      </c>
    </row>
    <row r="3460" spans="1:2" ht="12.5" x14ac:dyDescent="0.25">
      <c r="A3460" t="str">
        <f ca="1">IFERROR(__xludf.DUMMYFUNCTION("""COMPUTED_VALUE"""),"Isomethiozin")</f>
        <v>Isomethiozin</v>
      </c>
      <c r="B3460" t="str">
        <f ca="1">IFERROR(__xludf.DUMMYFUNCTION("""COMPUTED_VALUE"""),"RF-0761-001-PPP")</f>
        <v>RF-0761-001-PPP</v>
      </c>
    </row>
    <row r="3461" spans="1:2" ht="12.5" x14ac:dyDescent="0.25">
      <c r="A3461" t="str">
        <f ca="1">IFERROR(__xludf.DUMMYFUNCTION("""COMPUTED_VALUE"""),"Isoniazid")</f>
        <v>Isoniazid</v>
      </c>
      <c r="B3461" t="str">
        <f ca="1">IFERROR(__xludf.DUMMYFUNCTION("""COMPUTED_VALUE"""),"RF-00000707-VET")</f>
        <v>RF-00000707-VET</v>
      </c>
    </row>
    <row r="3462" spans="1:2" ht="12.5" x14ac:dyDescent="0.25">
      <c r="A3462" t="str">
        <f ca="1">IFERROR(__xludf.DUMMYFUNCTION("""COMPUTED_VALUE"""),"Isonoruron")</f>
        <v>Isonoruron</v>
      </c>
      <c r="B3462" t="str">
        <f ca="1">IFERROR(__xludf.DUMMYFUNCTION("""COMPUTED_VALUE"""),"RF-1035-001-PPP")</f>
        <v>RF-1035-001-PPP</v>
      </c>
    </row>
    <row r="3463" spans="1:2" ht="12.5" x14ac:dyDescent="0.25">
      <c r="A3463" t="str">
        <f ca="1">IFERROR(__xludf.DUMMYFUNCTION("""COMPUTED_VALUE"""),"Isoprocarb")</f>
        <v>Isoprocarb</v>
      </c>
      <c r="B3463" t="str">
        <f ca="1">IFERROR(__xludf.DUMMYFUNCTION("""COMPUTED_VALUE"""),"RF-00000109-VET")</f>
        <v>RF-00000109-VET</v>
      </c>
    </row>
    <row r="3464" spans="1:2" ht="12.5" x14ac:dyDescent="0.25">
      <c r="A3464" t="str">
        <f ca="1">IFERROR(__xludf.DUMMYFUNCTION("""COMPUTED_VALUE"""),"Isoprocarb")</f>
        <v>Isoprocarb</v>
      </c>
      <c r="B3464" t="str">
        <f ca="1">IFERROR(__xludf.DUMMYFUNCTION("""COMPUTED_VALUE"""),"RF-0762-001-PPP")</f>
        <v>RF-0762-001-PPP</v>
      </c>
    </row>
    <row r="3465" spans="1:2" ht="12.5" x14ac:dyDescent="0.25">
      <c r="A3465" t="str">
        <f ca="1">IFERROR(__xludf.DUMMYFUNCTION("""COMPUTED_VALUE"""),"Isopropalin")</f>
        <v>Isopropalin</v>
      </c>
      <c r="B3465" t="str">
        <f ca="1">IFERROR(__xludf.DUMMYFUNCTION("""COMPUTED_VALUE"""),"RF-0763-001-PPP")</f>
        <v>RF-0763-001-PPP</v>
      </c>
    </row>
    <row r="3466" spans="1:2" ht="12.5" x14ac:dyDescent="0.25">
      <c r="A3466" t="str">
        <f ca="1">IFERROR(__xludf.DUMMYFUNCTION("""COMPUTED_VALUE"""),"Isoproterenol")</f>
        <v>Isoproterenol</v>
      </c>
      <c r="B3466" t="str">
        <f ca="1">IFERROR(__xludf.DUMMYFUNCTION("""COMPUTED_VALUE"""),"RF-00000464-VET")</f>
        <v>RF-00000464-VET</v>
      </c>
    </row>
    <row r="3467" spans="1:2" ht="12.5" x14ac:dyDescent="0.25">
      <c r="A3467" t="str">
        <f ca="1">IFERROR(__xludf.DUMMYFUNCTION("""COMPUTED_VALUE"""),"Isoprothiolane")</f>
        <v>Isoprothiolane</v>
      </c>
      <c r="B3467" t="str">
        <f ca="1">IFERROR(__xludf.DUMMYFUNCTION("""COMPUTED_VALUE"""),"RF-0764-001-PPP")</f>
        <v>RF-0764-001-PPP</v>
      </c>
    </row>
    <row r="3468" spans="1:2" ht="12.5" x14ac:dyDescent="0.25">
      <c r="A3468" t="str">
        <f ca="1">IFERROR(__xludf.DUMMYFUNCTION("""COMPUTED_VALUE"""),"Isoproturon")</f>
        <v>Isoproturon</v>
      </c>
      <c r="B3468" t="str">
        <f ca="1">IFERROR(__xludf.DUMMYFUNCTION("""COMPUTED_VALUE"""),"RF-0257-001-PPP")</f>
        <v>RF-0257-001-PPP</v>
      </c>
    </row>
    <row r="3469" spans="1:2" ht="12.5" x14ac:dyDescent="0.25">
      <c r="A3469" t="str">
        <f ca="1">IFERROR(__xludf.DUMMYFUNCTION("""COMPUTED_VALUE"""),"Isopyrazam")</f>
        <v>Isopyrazam</v>
      </c>
      <c r="B3469" t="str">
        <f ca="1">IFERROR(__xludf.DUMMYFUNCTION("""COMPUTED_VALUE"""),"RF-00000025-PAR")</f>
        <v>RF-00000025-PAR</v>
      </c>
    </row>
    <row r="3470" spans="1:2" ht="12.5" x14ac:dyDescent="0.25">
      <c r="A3470" t="str">
        <f ca="1">IFERROR(__xludf.DUMMYFUNCTION("""COMPUTED_VALUE"""),"Isopyrin (Ramifenazone)")</f>
        <v>Isopyrin (Ramifenazone)</v>
      </c>
      <c r="B3470" t="str">
        <f ca="1">IFERROR(__xludf.DUMMYFUNCTION("""COMPUTED_VALUE"""),"RF-00000206-VET")</f>
        <v>RF-00000206-VET</v>
      </c>
    </row>
    <row r="3471" spans="1:2" ht="12.5" x14ac:dyDescent="0.25">
      <c r="A3471" t="str">
        <f ca="1">IFERROR(__xludf.DUMMYFUNCTION("""COMPUTED_VALUE"""),"Isosulfamerazin (Sulfaperin)")</f>
        <v>Isosulfamerazin (Sulfaperin)</v>
      </c>
      <c r="B3471" t="str">
        <f ca="1">IFERROR(__xludf.DUMMYFUNCTION("""COMPUTED_VALUE"""),"RF-00000542-VET")</f>
        <v>RF-00000542-VET</v>
      </c>
    </row>
    <row r="3472" spans="1:2" ht="12.5" x14ac:dyDescent="0.25">
      <c r="A3472" t="str">
        <f ca="1">IFERROR(__xludf.DUMMYFUNCTION("""COMPUTED_VALUE"""),"Isoxaben")</f>
        <v>Isoxaben</v>
      </c>
      <c r="B3472" t="str">
        <f ca="1">IFERROR(__xludf.DUMMYFUNCTION("""COMPUTED_VALUE"""),"RF-0258-001-PPP")</f>
        <v>RF-0258-001-PPP</v>
      </c>
    </row>
    <row r="3473" spans="1:2" ht="12.5" x14ac:dyDescent="0.25">
      <c r="A3473" t="str">
        <f ca="1">IFERROR(__xludf.DUMMYFUNCTION("""COMPUTED_VALUE"""),"Isoxadifen")</f>
        <v>Isoxadifen</v>
      </c>
      <c r="B3473" t="str">
        <f ca="1">IFERROR(__xludf.DUMMYFUNCTION("""COMPUTED_VALUE"""),"RF-1049-001-PPP")</f>
        <v>RF-1049-001-PPP</v>
      </c>
    </row>
    <row r="3474" spans="1:2" ht="12.5" x14ac:dyDescent="0.25">
      <c r="A3474" t="str">
        <f ca="1">IFERROR(__xludf.DUMMYFUNCTION("""COMPUTED_VALUE"""),"Isoxadifen-ethyl")</f>
        <v>Isoxadifen-ethyl</v>
      </c>
      <c r="B3474" t="str">
        <f ca="1">IFERROR(__xludf.DUMMYFUNCTION("""COMPUTED_VALUE"""),"RF-0765-001-PPP")</f>
        <v>RF-0765-001-PPP</v>
      </c>
    </row>
    <row r="3475" spans="1:2" ht="12.5" x14ac:dyDescent="0.25">
      <c r="A3475" t="str">
        <f ca="1">IFERROR(__xludf.DUMMYFUNCTION("""COMPUTED_VALUE"""),"Isoxaflutole")</f>
        <v>Isoxaflutole</v>
      </c>
      <c r="B3475" t="str">
        <f ca="1">IFERROR(__xludf.DUMMYFUNCTION("""COMPUTED_VALUE"""),"RF-0259-002-PPP")</f>
        <v>RF-0259-002-PPP</v>
      </c>
    </row>
    <row r="3476" spans="1:2" ht="12.5" x14ac:dyDescent="0.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x14ac:dyDescent="0.25">
      <c r="A3477" t="str">
        <f ca="1">IFERROR(__xludf.DUMMYFUNCTION("""COMPUTED_VALUE"""),"Isoxathion")</f>
        <v>Isoxathion</v>
      </c>
      <c r="B3477" t="str">
        <f ca="1">IFERROR(__xludf.DUMMYFUNCTION("""COMPUTED_VALUE"""),"RF-0766-001-PPP")</f>
        <v>RF-0766-001-PPP</v>
      </c>
    </row>
    <row r="3478" spans="1:2" ht="12.5" x14ac:dyDescent="0.25">
      <c r="A3478" t="str">
        <f ca="1">IFERROR(__xludf.DUMMYFUNCTION("""COMPUTED_VALUE"""),"Isoxsuprine")</f>
        <v>Isoxsuprine</v>
      </c>
      <c r="B3478" t="str">
        <f ca="1">IFERROR(__xludf.DUMMYFUNCTION("""COMPUTED_VALUE"""),"RF-00000461-VET")</f>
        <v>RF-00000461-VET</v>
      </c>
    </row>
    <row r="3479" spans="1:2" ht="12.5" x14ac:dyDescent="0.25">
      <c r="A3479" t="str">
        <f ca="1">IFERROR(__xludf.DUMMYFUNCTION("""COMPUTED_VALUE"""),"Ivermectin")</f>
        <v>Ivermectin</v>
      </c>
      <c r="B3479" t="str">
        <f ca="1">IFERROR(__xludf.DUMMYFUNCTION("""COMPUTED_VALUE"""),"RF-00000029-VET")</f>
        <v>RF-00000029-VET</v>
      </c>
    </row>
    <row r="3480" spans="1:2" ht="12.5" x14ac:dyDescent="0.25">
      <c r="A3480" t="str">
        <f ca="1">IFERROR(__xludf.DUMMYFUNCTION("""COMPUTED_VALUE"""),"Ivermectin")</f>
        <v>Ivermectin</v>
      </c>
      <c r="B3480" t="str">
        <f ca="1">IFERROR(__xludf.DUMMYFUNCTION("""COMPUTED_VALUE"""),"RF-0767-001-PPP")</f>
        <v>RF-0767-001-PPP</v>
      </c>
    </row>
    <row r="3481" spans="1:2" ht="12.5" x14ac:dyDescent="0.25">
      <c r="A3481" t="str">
        <f ca="1">IFERROR(__xludf.DUMMYFUNCTION("""COMPUTED_VALUE"""),"Jacobine")</f>
        <v>Jacobine</v>
      </c>
      <c r="B3481" t="str">
        <f ca="1">IFERROR(__xludf.DUMMYFUNCTION("""COMPUTED_VALUE"""),"RF-00000234-TOX")</f>
        <v>RF-00000234-TOX</v>
      </c>
    </row>
    <row r="3482" spans="1:2" ht="12.5" x14ac:dyDescent="0.25">
      <c r="A3482" t="str">
        <f ca="1">IFERROR(__xludf.DUMMYFUNCTION("""COMPUTED_VALUE"""),"Jacobine-N-oxide")</f>
        <v>Jacobine-N-oxide</v>
      </c>
      <c r="B3482" t="str">
        <f ca="1">IFERROR(__xludf.DUMMYFUNCTION("""COMPUTED_VALUE"""),"RF-00000403-TOX")</f>
        <v>RF-00000403-TOX</v>
      </c>
    </row>
    <row r="3483" spans="1:2" ht="12.5" x14ac:dyDescent="0.25">
      <c r="A3483" t="str">
        <f ca="1">IFERROR(__xludf.DUMMYFUNCTION("""COMPUTED_VALUE"""),"Jacoline")</f>
        <v>Jacoline</v>
      </c>
      <c r="B3483" t="str">
        <f ca="1">IFERROR(__xludf.DUMMYFUNCTION("""COMPUTED_VALUE"""),"RF-00000235-TOX")</f>
        <v>RF-00000235-TOX</v>
      </c>
    </row>
    <row r="3484" spans="1:2" ht="12.5" x14ac:dyDescent="0.25">
      <c r="A3484" t="str">
        <f ca="1">IFERROR(__xludf.DUMMYFUNCTION("""COMPUTED_VALUE"""),"Jacoline-N-oxide")</f>
        <v>Jacoline-N-oxide</v>
      </c>
      <c r="B3484" t="str">
        <f ca="1">IFERROR(__xludf.DUMMYFUNCTION("""COMPUTED_VALUE"""),"RF-00000404-TOX")</f>
        <v>RF-00000404-TOX</v>
      </c>
    </row>
    <row r="3485" spans="1:2" ht="12.5" x14ac:dyDescent="0.25">
      <c r="A3485" t="str">
        <f ca="1">IFERROR(__xludf.DUMMYFUNCTION("""COMPUTED_VALUE"""),"Jaconine")</f>
        <v>Jaconine</v>
      </c>
      <c r="B3485" t="str">
        <f ca="1">IFERROR(__xludf.DUMMYFUNCTION("""COMPUTED_VALUE"""),"RF-00000287-TOX")</f>
        <v>RF-00000287-TOX</v>
      </c>
    </row>
    <row r="3486" spans="1:2" ht="12.5" x14ac:dyDescent="0.25">
      <c r="A3486" t="str">
        <f ca="1">IFERROR(__xludf.DUMMYFUNCTION("""COMPUTED_VALUE"""),"Jaconine-N-oxide")</f>
        <v>Jaconine-N-oxide</v>
      </c>
      <c r="B3486" t="str">
        <f ca="1">IFERROR(__xludf.DUMMYFUNCTION("""COMPUTED_VALUE"""),"RF-00000405-TOX")</f>
        <v>RF-00000405-TOX</v>
      </c>
    </row>
    <row r="3487" spans="1:2" ht="12.5" x14ac:dyDescent="0.25">
      <c r="A3487" t="str">
        <f ca="1">IFERROR(__xludf.DUMMYFUNCTION("""COMPUTED_VALUE"""),"Jacozine")</f>
        <v>Jacozine</v>
      </c>
      <c r="B3487" t="str">
        <f ca="1">IFERROR(__xludf.DUMMYFUNCTION("""COMPUTED_VALUE"""),"RF-00000236-TOX")</f>
        <v>RF-00000236-TOX</v>
      </c>
    </row>
    <row r="3488" spans="1:2" ht="12.5" x14ac:dyDescent="0.25">
      <c r="A3488" t="str">
        <f ca="1">IFERROR(__xludf.DUMMYFUNCTION("""COMPUTED_VALUE"""),"Jacozine-N-oxide")</f>
        <v>Jacozine-N-oxide</v>
      </c>
      <c r="B3488" t="str">
        <f ca="1">IFERROR(__xludf.DUMMYFUNCTION("""COMPUTED_VALUE"""),"RF-00000406-TOX")</f>
        <v>RF-00000406-TOX</v>
      </c>
    </row>
    <row r="3489" spans="1:2" ht="12.5" x14ac:dyDescent="0.25">
      <c r="A3489" t="str">
        <f ca="1">IFERROR(__xludf.DUMMYFUNCTION("""COMPUTED_VALUE"""),"Jasmolin I")</f>
        <v>Jasmolin I</v>
      </c>
      <c r="B3489" t="str">
        <f ca="1">IFERROR(__xludf.DUMMYFUNCTION("""COMPUTED_VALUE"""),"RF-0374-004-PPP")</f>
        <v>RF-0374-004-PPP</v>
      </c>
    </row>
    <row r="3490" spans="1:2" ht="12.5" x14ac:dyDescent="0.25">
      <c r="A3490" t="str">
        <f ca="1">IFERROR(__xludf.DUMMYFUNCTION("""COMPUTED_VALUE"""),"Jasmolin II")</f>
        <v>Jasmolin II</v>
      </c>
      <c r="B3490" t="str">
        <f ca="1">IFERROR(__xludf.DUMMYFUNCTION("""COMPUTED_VALUE"""),"RF-0374-005-PPP")</f>
        <v>RF-0374-005-PPP</v>
      </c>
    </row>
    <row r="3491" spans="1:2" ht="12.5" x14ac:dyDescent="0.25">
      <c r="A3491" t="str">
        <f ca="1">IFERROR(__xludf.DUMMYFUNCTION("""COMPUTED_VALUE"""),"Jodfenphos")</f>
        <v>Jodfenphos</v>
      </c>
      <c r="B3491" t="str">
        <f ca="1">IFERROR(__xludf.DUMMYFUNCTION("""COMPUTED_VALUE"""),"RF-0768-001-PPP")</f>
        <v>RF-0768-001-PPP</v>
      </c>
    </row>
    <row r="3492" spans="1:2" ht="12.5" x14ac:dyDescent="0.25">
      <c r="A3492" t="str">
        <f ca="1">IFERROR(__xludf.DUMMYFUNCTION("""COMPUTED_VALUE"""),"Josamycin")</f>
        <v>Josamycin</v>
      </c>
      <c r="B3492" t="str">
        <f ca="1">IFERROR(__xludf.DUMMYFUNCTION("""COMPUTED_VALUE"""),"RF-00000528-VET")</f>
        <v>RF-00000528-VET</v>
      </c>
    </row>
    <row r="3493" spans="1:2" ht="12.5" x14ac:dyDescent="0.25">
      <c r="A3493" t="str">
        <f ca="1">IFERROR(__xludf.DUMMYFUNCTION("""COMPUTED_VALUE"""),"K-penicillin-G")</f>
        <v>K-penicillin-G</v>
      </c>
      <c r="B3493" t="str">
        <f ca="1">IFERROR(__xludf.DUMMYFUNCTION("""COMPUTED_VALUE"""),"RF-00000676-VET")</f>
        <v>RF-00000676-VET</v>
      </c>
    </row>
    <row r="3494" spans="1:2" ht="12.5" x14ac:dyDescent="0.25">
      <c r="A3494" t="str">
        <f ca="1">IFERROR(__xludf.DUMMYFUNCTION("""COMPUTED_VALUE"""),"Kadethrin")</f>
        <v>Kadethrin</v>
      </c>
      <c r="B3494" t="str">
        <f ca="1">IFERROR(__xludf.DUMMYFUNCTION("""COMPUTED_VALUE"""),"RF-0769-001-PPP")</f>
        <v>RF-0769-001-PPP</v>
      </c>
    </row>
    <row r="3495" spans="1:2" ht="12.5" x14ac:dyDescent="0.25">
      <c r="A3495" t="str">
        <f ca="1">IFERROR(__xludf.DUMMYFUNCTION("""COMPUTED_VALUE"""),"kaempferol")</f>
        <v>kaempferol</v>
      </c>
      <c r="B3495" t="str">
        <f ca="1">IFERROR(__xludf.DUMMYFUNCTION("""COMPUTED_VALUE"""),"RF-00000317-NTR")</f>
        <v>RF-00000317-NTR</v>
      </c>
    </row>
    <row r="3496" spans="1:2" ht="12.5" x14ac:dyDescent="0.25">
      <c r="A3496" t="str">
        <f ca="1">IFERROR(__xludf.DUMMYFUNCTION("""COMPUTED_VALUE"""),"Kanamycin")</f>
        <v>Kanamycin</v>
      </c>
      <c r="B3496" t="str">
        <f ca="1">IFERROR(__xludf.DUMMYFUNCTION("""COMPUTED_VALUE"""),"RF-00000527-VET")</f>
        <v>RF-00000527-VET</v>
      </c>
    </row>
    <row r="3497" spans="1:2" ht="12.5" x14ac:dyDescent="0.25">
      <c r="A3497" t="str">
        <f ca="1">IFERROR(__xludf.DUMMYFUNCTION("""COMPUTED_VALUE"""),"Karaya gum")</f>
        <v>Karaya gum</v>
      </c>
      <c r="B3497" t="str">
        <f ca="1">IFERROR(__xludf.DUMMYFUNCTION("""COMPUTED_VALUE"""),"RF-00000165-ADD")</f>
        <v>RF-00000165-ADD</v>
      </c>
    </row>
    <row r="3498" spans="1:2" ht="12.5" x14ac:dyDescent="0.25">
      <c r="A3498" t="str">
        <f ca="1">IFERROR(__xludf.DUMMYFUNCTION("""COMPUTED_VALUE"""),"Karbutilate")</f>
        <v>Karbutilate</v>
      </c>
      <c r="B3498" t="str">
        <f ca="1">IFERROR(__xludf.DUMMYFUNCTION("""COMPUTED_VALUE"""),"RF-0770-001-PPP")</f>
        <v>RF-0770-001-PPP</v>
      </c>
    </row>
    <row r="3499" spans="1:2" ht="12.5" x14ac:dyDescent="0.25">
      <c r="A3499" t="str">
        <f ca="1">IFERROR(__xludf.DUMMYFUNCTION("""COMPUTED_VALUE"""),"Karetazan")</f>
        <v>Karetazan</v>
      </c>
      <c r="B3499" t="str">
        <f ca="1">IFERROR(__xludf.DUMMYFUNCTION("""COMPUTED_VALUE"""),"RF-0771-001-PPP")</f>
        <v>RF-0771-001-PPP</v>
      </c>
    </row>
    <row r="3500" spans="1:2" ht="12.5" x14ac:dyDescent="0.25">
      <c r="A3500" t="str">
        <f ca="1">IFERROR(__xludf.DUMMYFUNCTION("""COMPUTED_VALUE"""),"Kasugamycin")</f>
        <v>Kasugamycin</v>
      </c>
      <c r="B3500" t="str">
        <f ca="1">IFERROR(__xludf.DUMMYFUNCTION("""COMPUTED_VALUE"""),"RF-0772-001-PPP")</f>
        <v>RF-0772-001-PPP</v>
      </c>
    </row>
    <row r="3501" spans="1:2" ht="12.5" x14ac:dyDescent="0.25">
      <c r="A3501" t="str">
        <f ca="1">IFERROR(__xludf.DUMMYFUNCTION("""COMPUTED_VALUE"""),"Kelevan")</f>
        <v>Kelevan</v>
      </c>
      <c r="B3501" t="str">
        <f ca="1">IFERROR(__xludf.DUMMYFUNCTION("""COMPUTED_VALUE"""),"RF-0773-001-PPP")</f>
        <v>RF-0773-001-PPP</v>
      </c>
    </row>
    <row r="3502" spans="1:2" ht="12.5" x14ac:dyDescent="0.25">
      <c r="A3502" t="str">
        <f ca="1">IFERROR(__xludf.DUMMYFUNCTION("""COMPUTED_VALUE"""),"Ketamine")</f>
        <v>Ketamine</v>
      </c>
      <c r="B3502" t="str">
        <f ca="1">IFERROR(__xludf.DUMMYFUNCTION("""COMPUTED_VALUE"""),"RF-00000189-VET")</f>
        <v>RF-00000189-VET</v>
      </c>
    </row>
    <row r="3503" spans="1:2" ht="12.5" x14ac:dyDescent="0.25">
      <c r="A3503" t="str">
        <f ca="1">IFERROR(__xludf.DUMMYFUNCTION("""COMPUTED_VALUE"""),"Ketoprofen")</f>
        <v>Ketoprofen</v>
      </c>
      <c r="B3503" t="str">
        <f ca="1">IFERROR(__xludf.DUMMYFUNCTION("""COMPUTED_VALUE"""),"RF-00000224-VET")</f>
        <v>RF-00000224-VET</v>
      </c>
    </row>
    <row r="3504" spans="1:2" ht="12.5" x14ac:dyDescent="0.25">
      <c r="A3504" t="str">
        <f ca="1">IFERROR(__xludf.DUMMYFUNCTION("""COMPUTED_VALUE"""),"ketoYTX")</f>
        <v>ketoYTX</v>
      </c>
      <c r="B3504" t="str">
        <f ca="1">IFERROR(__xludf.DUMMYFUNCTION("""COMPUTED_VALUE"""),"RF-00000122-TOX")</f>
        <v>RF-00000122-TOX</v>
      </c>
    </row>
    <row r="3505" spans="1:2" ht="12.5" x14ac:dyDescent="0.25">
      <c r="A3505" t="str">
        <f ca="1">IFERROR(__xludf.DUMMYFUNCTION("""COMPUTED_VALUE"""),"Kitasamycin")</f>
        <v>Kitasamycin</v>
      </c>
      <c r="B3505" t="str">
        <f ca="1">IFERROR(__xludf.DUMMYFUNCTION("""COMPUTED_VALUE"""),"RF-00000538-VET")</f>
        <v>RF-00000538-VET</v>
      </c>
    </row>
    <row r="3506" spans="1:2" ht="12.5" x14ac:dyDescent="0.25">
      <c r="A3506" t="str">
        <f ca="1">IFERROR(__xludf.DUMMYFUNCTION("""COMPUTED_VALUE"""),"Klebsiella")</f>
        <v>Klebsiella</v>
      </c>
      <c r="B3506" t="str">
        <f ca="1">IFERROR(__xludf.DUMMYFUNCTION("""COMPUTED_VALUE"""),"RF-00000234-MCG")</f>
        <v>RF-00000234-MCG</v>
      </c>
    </row>
    <row r="3507" spans="1:2" ht="12.5" x14ac:dyDescent="0.25">
      <c r="A3507" t="str">
        <f ca="1">IFERROR(__xludf.DUMMYFUNCTION("""COMPUTED_VALUE"""),"Klebsiella pneumoniae")</f>
        <v>Klebsiella pneumoniae</v>
      </c>
      <c r="B3507" t="str">
        <f ca="1">IFERROR(__xludf.DUMMYFUNCTION("""COMPUTED_VALUE"""),"RF-00000235-MCG")</f>
        <v>RF-00000235-MCG</v>
      </c>
    </row>
    <row r="3508" spans="1:2" ht="12.5" x14ac:dyDescent="0.25">
      <c r="A3508" t="str">
        <f ca="1">IFERROR(__xludf.DUMMYFUNCTION("""COMPUTED_VALUE"""),"Klebsiella spp.,  unspecified")</f>
        <v>Klebsiella spp.,  unspecified</v>
      </c>
      <c r="B3508" t="str">
        <f ca="1">IFERROR(__xludf.DUMMYFUNCTION("""COMPUTED_VALUE"""),"RF-00000236-MCG")</f>
        <v>RF-00000236-MCG</v>
      </c>
    </row>
    <row r="3509" spans="1:2" ht="12.5" x14ac:dyDescent="0.25">
      <c r="A3509" t="str">
        <f ca="1">IFERROR(__xludf.DUMMYFUNCTION("""COMPUTED_VALUE"""),"Kobuvirus")</f>
        <v>Kobuvirus</v>
      </c>
      <c r="B3509" t="str">
        <f ca="1">IFERROR(__xludf.DUMMYFUNCTION("""COMPUTED_VALUE"""),"RF-00002564-MCG")</f>
        <v>RF-00002564-MCG</v>
      </c>
    </row>
    <row r="3510" spans="1:2" ht="12.5" x14ac:dyDescent="0.25">
      <c r="A3510" t="str">
        <f ca="1">IFERROR(__xludf.DUMMYFUNCTION("""COMPUTED_VALUE"""),"Konjac")</f>
        <v>Konjac</v>
      </c>
      <c r="B3510" t="str">
        <f ca="1">IFERROR(__xludf.DUMMYFUNCTION("""COMPUTED_VALUE"""),"RF-00000166-ADD")</f>
        <v>RF-00000166-ADD</v>
      </c>
    </row>
    <row r="3511" spans="1:2" ht="12.5" x14ac:dyDescent="0.25">
      <c r="A3511" t="str">
        <f ca="1">IFERROR(__xludf.DUMMYFUNCTION("""COMPUTED_VALUE"""),"KPC")</f>
        <v>KPC</v>
      </c>
      <c r="B3511" t="str">
        <f ca="1">IFERROR(__xludf.DUMMYFUNCTION("""COMPUTED_VALUE"""),"RF-00000868-PAR")</f>
        <v>RF-00000868-PAR</v>
      </c>
    </row>
    <row r="3512" spans="1:2" ht="12.5" x14ac:dyDescent="0.25">
      <c r="A3512" t="str">
        <f ca="1">IFERROR(__xludf.DUMMYFUNCTION("""COMPUTED_VALUE"""),"KPC-10")</f>
        <v>KPC-10</v>
      </c>
      <c r="B3512" t="str">
        <f ca="1">IFERROR(__xludf.DUMMYFUNCTION("""COMPUTED_VALUE"""),"RF-00000877-PAR")</f>
        <v>RF-00000877-PAR</v>
      </c>
    </row>
    <row r="3513" spans="1:2" ht="12.5" x14ac:dyDescent="0.25">
      <c r="A3513" t="str">
        <f ca="1">IFERROR(__xludf.DUMMYFUNCTION("""COMPUTED_VALUE"""),"KPC-11")</f>
        <v>KPC-11</v>
      </c>
      <c r="B3513" t="str">
        <f ca="1">IFERROR(__xludf.DUMMYFUNCTION("""COMPUTED_VALUE"""),"RF-00000878-PAR")</f>
        <v>RF-00000878-PAR</v>
      </c>
    </row>
    <row r="3514" spans="1:2" ht="12.5" x14ac:dyDescent="0.25">
      <c r="A3514" t="str">
        <f ca="1">IFERROR(__xludf.DUMMYFUNCTION("""COMPUTED_VALUE"""),"KPC-12")</f>
        <v>KPC-12</v>
      </c>
      <c r="B3514" t="str">
        <f ca="1">IFERROR(__xludf.DUMMYFUNCTION("""COMPUTED_VALUE"""),"RF-00000879-PAR")</f>
        <v>RF-00000879-PAR</v>
      </c>
    </row>
    <row r="3515" spans="1:2" ht="12.5" x14ac:dyDescent="0.25">
      <c r="A3515" t="str">
        <f ca="1">IFERROR(__xludf.DUMMYFUNCTION("""COMPUTED_VALUE"""),"KPC-13")</f>
        <v>KPC-13</v>
      </c>
      <c r="B3515" t="str">
        <f ca="1">IFERROR(__xludf.DUMMYFUNCTION("""COMPUTED_VALUE"""),"RF-00000880-PAR")</f>
        <v>RF-00000880-PAR</v>
      </c>
    </row>
    <row r="3516" spans="1:2" ht="12.5" x14ac:dyDescent="0.25">
      <c r="A3516" t="str">
        <f ca="1">IFERROR(__xludf.DUMMYFUNCTION("""COMPUTED_VALUE"""),"KPC-14")</f>
        <v>KPC-14</v>
      </c>
      <c r="B3516" t="str">
        <f ca="1">IFERROR(__xludf.DUMMYFUNCTION("""COMPUTED_VALUE"""),"RF-00000881-PAR")</f>
        <v>RF-00000881-PAR</v>
      </c>
    </row>
    <row r="3517" spans="1:2" ht="12.5" x14ac:dyDescent="0.25">
      <c r="A3517" t="str">
        <f ca="1">IFERROR(__xludf.DUMMYFUNCTION("""COMPUTED_VALUE"""),"KPC-15")</f>
        <v>KPC-15</v>
      </c>
      <c r="B3517" t="str">
        <f ca="1">IFERROR(__xludf.DUMMYFUNCTION("""COMPUTED_VALUE"""),"RF-00000882-PAR")</f>
        <v>RF-00000882-PAR</v>
      </c>
    </row>
    <row r="3518" spans="1:2" ht="12.5" x14ac:dyDescent="0.25">
      <c r="A3518" t="str">
        <f ca="1">IFERROR(__xludf.DUMMYFUNCTION("""COMPUTED_VALUE"""),"KPC-2")</f>
        <v>KPC-2</v>
      </c>
      <c r="B3518" t="str">
        <f ca="1">IFERROR(__xludf.DUMMYFUNCTION("""COMPUTED_VALUE"""),"RF-00000869-PAR")</f>
        <v>RF-00000869-PAR</v>
      </c>
    </row>
    <row r="3519" spans="1:2" ht="12.5" x14ac:dyDescent="0.25">
      <c r="A3519" t="str">
        <f ca="1">IFERROR(__xludf.DUMMYFUNCTION("""COMPUTED_VALUE"""),"KPC-3")</f>
        <v>KPC-3</v>
      </c>
      <c r="B3519" t="str">
        <f ca="1">IFERROR(__xludf.DUMMYFUNCTION("""COMPUTED_VALUE"""),"RF-00000870-PAR")</f>
        <v>RF-00000870-PAR</v>
      </c>
    </row>
    <row r="3520" spans="1:2" ht="12.5" x14ac:dyDescent="0.25">
      <c r="A3520" t="str">
        <f ca="1">IFERROR(__xludf.DUMMYFUNCTION("""COMPUTED_VALUE"""),"KPC-4")</f>
        <v>KPC-4</v>
      </c>
      <c r="B3520" t="str">
        <f ca="1">IFERROR(__xludf.DUMMYFUNCTION("""COMPUTED_VALUE"""),"RF-00000871-PAR")</f>
        <v>RF-00000871-PAR</v>
      </c>
    </row>
    <row r="3521" spans="1:2" ht="12.5" x14ac:dyDescent="0.25">
      <c r="A3521" t="str">
        <f ca="1">IFERROR(__xludf.DUMMYFUNCTION("""COMPUTED_VALUE"""),"KPC-5")</f>
        <v>KPC-5</v>
      </c>
      <c r="B3521" t="str">
        <f ca="1">IFERROR(__xludf.DUMMYFUNCTION("""COMPUTED_VALUE"""),"RF-00000872-PAR")</f>
        <v>RF-00000872-PAR</v>
      </c>
    </row>
    <row r="3522" spans="1:2" ht="12.5" x14ac:dyDescent="0.25">
      <c r="A3522" t="str">
        <f ca="1">IFERROR(__xludf.DUMMYFUNCTION("""COMPUTED_VALUE"""),"KPC-6")</f>
        <v>KPC-6</v>
      </c>
      <c r="B3522" t="str">
        <f ca="1">IFERROR(__xludf.DUMMYFUNCTION("""COMPUTED_VALUE"""),"RF-00000873-PAR")</f>
        <v>RF-00000873-PAR</v>
      </c>
    </row>
    <row r="3523" spans="1:2" ht="12.5" x14ac:dyDescent="0.25">
      <c r="A3523" t="str">
        <f ca="1">IFERROR(__xludf.DUMMYFUNCTION("""COMPUTED_VALUE"""),"KPC-7")</f>
        <v>KPC-7</v>
      </c>
      <c r="B3523" t="str">
        <f ca="1">IFERROR(__xludf.DUMMYFUNCTION("""COMPUTED_VALUE"""),"RF-00000874-PAR")</f>
        <v>RF-00000874-PAR</v>
      </c>
    </row>
    <row r="3524" spans="1:2" ht="12.5" x14ac:dyDescent="0.25">
      <c r="A3524" t="str">
        <f ca="1">IFERROR(__xludf.DUMMYFUNCTION("""COMPUTED_VALUE"""),"KPC-8")</f>
        <v>KPC-8</v>
      </c>
      <c r="B3524" t="str">
        <f ca="1">IFERROR(__xludf.DUMMYFUNCTION("""COMPUTED_VALUE"""),"RF-00000875-PAR")</f>
        <v>RF-00000875-PAR</v>
      </c>
    </row>
    <row r="3525" spans="1:2" ht="12.5" x14ac:dyDescent="0.25">
      <c r="A3525" t="str">
        <f ca="1">IFERROR(__xludf.DUMMYFUNCTION("""COMPUTED_VALUE"""),"KPC-9")</f>
        <v>KPC-9</v>
      </c>
      <c r="B3525" t="str">
        <f ca="1">IFERROR(__xludf.DUMMYFUNCTION("""COMPUTED_VALUE"""),"RF-00000876-PAR")</f>
        <v>RF-00000876-PAR</v>
      </c>
    </row>
    <row r="3526" spans="1:2" ht="12.5" x14ac:dyDescent="0.25">
      <c r="A3526" t="str">
        <f ca="1">IFERROR(__xludf.DUMMYFUNCTION("""COMPUTED_VALUE"""),"Kresoxim-methyl")</f>
        <v>Kresoxim-methyl</v>
      </c>
      <c r="B3526" t="str">
        <f ca="1">IFERROR(__xludf.DUMMYFUNCTION("""COMPUTED_VALUE"""),"RF-0260-001-PPP")</f>
        <v>RF-0260-001-PPP</v>
      </c>
    </row>
    <row r="3527" spans="1:2" ht="12.5" x14ac:dyDescent="0.25">
      <c r="A3527" t="str">
        <f ca="1">IFERROR(__xludf.DUMMYFUNCTION("""COMPUTED_VALUE"""),"L-ascorbic acid")</f>
        <v>L-ascorbic acid</v>
      </c>
      <c r="B3527" t="str">
        <f ca="1">IFERROR(__xludf.DUMMYFUNCTION("""COMPUTED_VALUE"""),"RF-00000319-NTR")</f>
        <v>RF-00000319-NTR</v>
      </c>
    </row>
    <row r="3528" spans="1:2" ht="12.5" x14ac:dyDescent="0.25">
      <c r="A3528" t="str">
        <f ca="1">IFERROR(__xludf.DUMMYFUNCTION("""COMPUTED_VALUE"""),"L-dehydroascorbic acid")</f>
        <v>L-dehydroascorbic acid</v>
      </c>
      <c r="B3528" t="str">
        <f ca="1">IFERROR(__xludf.DUMMYFUNCTION("""COMPUTED_VALUE"""),"RF-00000320-NTR")</f>
        <v>RF-00000320-NTR</v>
      </c>
    </row>
    <row r="3529" spans="1:2" ht="12.5" x14ac:dyDescent="0.25">
      <c r="A3529" t="str">
        <f ca="1">IFERROR(__xludf.DUMMYFUNCTION("""COMPUTED_VALUE"""),"L-lactic acid")</f>
        <v>L-lactic acid</v>
      </c>
      <c r="B3529" t="str">
        <f ca="1">IFERROR(__xludf.DUMMYFUNCTION("""COMPUTED_VALUE"""),"RF-00000324-NTR")</f>
        <v>RF-00000324-NTR</v>
      </c>
    </row>
    <row r="3530" spans="1:2" ht="12.5" x14ac:dyDescent="0.25">
      <c r="A3530" t="str">
        <f ca="1">IFERROR(__xludf.DUMMYFUNCTION("""COMPUTED_VALUE"""),"Labetalol")</f>
        <v>Labetalol</v>
      </c>
      <c r="B3530" t="str">
        <f ca="1">IFERROR(__xludf.DUMMYFUNCTION("""COMPUTED_VALUE"""),"RF-00000460-VET")</f>
        <v>RF-00000460-VET</v>
      </c>
    </row>
    <row r="3531" spans="1:2" ht="12.5" x14ac:dyDescent="0.25">
      <c r="A3531" t="str">
        <f ca="1">IFERROR(__xludf.DUMMYFUNCTION("""COMPUTED_VALUE"""),"Laburnine")</f>
        <v>Laburnine</v>
      </c>
      <c r="B3531" t="str">
        <f ca="1">IFERROR(__xludf.DUMMYFUNCTION("""COMPUTED_VALUE"""),"RF-00000288-TOX")</f>
        <v>RF-00000288-TOX</v>
      </c>
    </row>
    <row r="3532" spans="1:2" ht="12.5" x14ac:dyDescent="0.25">
      <c r="A3532" t="str">
        <f ca="1">IFERROR(__xludf.DUMMYFUNCTION("""COMPUTED_VALUE"""),"Lactamase inhibitors")</f>
        <v>Lactamase inhibitors</v>
      </c>
      <c r="B3532" t="str">
        <f ca="1">IFERROR(__xludf.DUMMYFUNCTION("""COMPUTED_VALUE"""),"RF-00000667-VET")</f>
        <v>RF-00000667-VET</v>
      </c>
    </row>
    <row r="3533" spans="1:2" ht="12.5" x14ac:dyDescent="0.25">
      <c r="A3533" t="str">
        <f ca="1">IFERROR(__xludf.DUMMYFUNCTION("""COMPUTED_VALUE"""),"Lactic acid")</f>
        <v>Lactic acid</v>
      </c>
      <c r="B3533" t="str">
        <f ca="1">IFERROR(__xludf.DUMMYFUNCTION("""COMPUTED_VALUE"""),"RF-00000167-ADD")</f>
        <v>RF-00000167-ADD</v>
      </c>
    </row>
    <row r="3534" spans="1:2" ht="12.5" x14ac:dyDescent="0.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x14ac:dyDescent="0.25">
      <c r="A3535" t="str">
        <f ca="1">IFERROR(__xludf.DUMMYFUNCTION("""COMPUTED_VALUE"""),"Lactitol")</f>
        <v>Lactitol</v>
      </c>
      <c r="B3535" t="str">
        <f ca="1">IFERROR(__xludf.DUMMYFUNCTION("""COMPUTED_VALUE"""),"RF-00000169-ADD")</f>
        <v>RF-00000169-ADD</v>
      </c>
    </row>
    <row r="3536" spans="1:2" ht="12.5" x14ac:dyDescent="0.25">
      <c r="A3536" t="str">
        <f ca="1">IFERROR(__xludf.DUMMYFUNCTION("""COMPUTED_VALUE"""),"Lactofen")</f>
        <v>Lactofen</v>
      </c>
      <c r="B3536" t="str">
        <f ca="1">IFERROR(__xludf.DUMMYFUNCTION("""COMPUTED_VALUE"""),"RF-0774-001-PPP")</f>
        <v>RF-0774-001-PPP</v>
      </c>
    </row>
    <row r="3537" spans="1:2" ht="12.5" x14ac:dyDescent="0.25">
      <c r="A3537" t="str">
        <f ca="1">IFERROR(__xludf.DUMMYFUNCTION("""COMPUTED_VALUE"""),"lactose")</f>
        <v>lactose</v>
      </c>
      <c r="B3537" t="str">
        <f ca="1">IFERROR(__xludf.DUMMYFUNCTION("""COMPUTED_VALUE"""),"RF-00000318-NTR")</f>
        <v>RF-00000318-NTR</v>
      </c>
    </row>
    <row r="3538" spans="1:2" ht="12.5" x14ac:dyDescent="0.25">
      <c r="A3538" t="str">
        <f ca="1">IFERROR(__xludf.DUMMYFUNCTION("""COMPUTED_VALUE"""),"Lagos bat virus")</f>
        <v>Lagos bat virus</v>
      </c>
      <c r="B3538" t="str">
        <f ca="1">IFERROR(__xludf.DUMMYFUNCTION("""COMPUTED_VALUE"""),"RF-00000269-MCG")</f>
        <v>RF-00000269-MCG</v>
      </c>
    </row>
    <row r="3539" spans="1:2" ht="12.5" x14ac:dyDescent="0.25">
      <c r="A3539" t="str">
        <f ca="1">IFERROR(__xludf.DUMMYFUNCTION("""COMPUTED_VALUE"""),"Laidlomycin propionate potassium")</f>
        <v>Laidlomycin propionate potassium</v>
      </c>
      <c r="B3539" t="str">
        <f ca="1">IFERROR(__xludf.DUMMYFUNCTION("""COMPUTED_VALUE"""),"RF-00000082-VET")</f>
        <v>RF-00000082-VET</v>
      </c>
    </row>
    <row r="3540" spans="1:2" ht="12.5" x14ac:dyDescent="0.25">
      <c r="A3540" t="str">
        <f ca="1">IFERROR(__xludf.DUMMYFUNCTION("""COMPUTED_VALUE"""),"Lambda-Cyhalothrin")</f>
        <v>Lambda-Cyhalothrin</v>
      </c>
      <c r="B3540" t="str">
        <f ca="1">IFERROR(__xludf.DUMMYFUNCTION("""COMPUTED_VALUE"""),"RF-0261-001-PPP")</f>
        <v>RF-0261-001-PPP</v>
      </c>
    </row>
    <row r="3541" spans="1:2" ht="12.5" x14ac:dyDescent="0.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x14ac:dyDescent="0.25">
      <c r="A3542" t="str">
        <f ca="1">IFERROR(__xludf.DUMMYFUNCTION("""COMPUTED_VALUE"""),"Lasalocid")</f>
        <v>Lasalocid</v>
      </c>
      <c r="B3542" t="str">
        <f ca="1">IFERROR(__xludf.DUMMYFUNCTION("""COMPUTED_VALUE"""),"RF-00000080-VET")</f>
        <v>RF-00000080-VET</v>
      </c>
    </row>
    <row r="3543" spans="1:2" ht="12.5" x14ac:dyDescent="0.25">
      <c r="A3543" t="str">
        <f ca="1">IFERROR(__xludf.DUMMYFUNCTION("""COMPUTED_VALUE"""),"Lasalocid-Sodium")</f>
        <v>Lasalocid-Sodium</v>
      </c>
      <c r="B3543" t="str">
        <f ca="1">IFERROR(__xludf.DUMMYFUNCTION("""COMPUTED_VALUE"""),"RF-00000079-VET")</f>
        <v>RF-00000079-VET</v>
      </c>
    </row>
    <row r="3544" spans="1:2" ht="12.5" x14ac:dyDescent="0.25">
      <c r="A3544" t="str">
        <f ca="1">IFERROR(__xludf.DUMMYFUNCTION("""COMPUTED_VALUE"""),"Lasiocarpine")</f>
        <v>Lasiocarpine</v>
      </c>
      <c r="B3544" t="str">
        <f ca="1">IFERROR(__xludf.DUMMYFUNCTION("""COMPUTED_VALUE"""),"RF-00000241-TOX")</f>
        <v>RF-00000241-TOX</v>
      </c>
    </row>
    <row r="3545" spans="1:2" ht="12.5" x14ac:dyDescent="0.25">
      <c r="A3545" t="str">
        <f ca="1">IFERROR(__xludf.DUMMYFUNCTION("""COMPUTED_VALUE"""),"Lasiocarpine-N-oxide")</f>
        <v>Lasiocarpine-N-oxide</v>
      </c>
      <c r="B3545" t="str">
        <f ca="1">IFERROR(__xludf.DUMMYFUNCTION("""COMPUTED_VALUE"""),"RF-00000289-TOX")</f>
        <v>RF-00000289-TOX</v>
      </c>
    </row>
    <row r="3546" spans="1:2" ht="12.5" x14ac:dyDescent="0.25">
      <c r="A3546" t="str">
        <f ca="1">IFERROR(__xludf.DUMMYFUNCTION("""COMPUTED_VALUE"""),"Lead (Pb)")</f>
        <v>Lead (Pb)</v>
      </c>
      <c r="B3546" t="str">
        <f ca="1">IFERROR(__xludf.DUMMYFUNCTION("""COMPUTED_VALUE"""),"RF-00000174-CHE")</f>
        <v>RF-00000174-CHE</v>
      </c>
    </row>
    <row r="3547" spans="1:2" ht="12.5" x14ac:dyDescent="0.25">
      <c r="A3547" t="str">
        <f ca="1">IFERROR(__xludf.DUMMYFUNCTION("""COMPUTED_VALUE"""),"Lead and derivatives")</f>
        <v>Lead and derivatives</v>
      </c>
      <c r="B3547" t="str">
        <f ca="1">IFERROR(__xludf.DUMMYFUNCTION("""COMPUTED_VALUE"""),"RF-00000173-CHE")</f>
        <v>RF-00000173-CHE</v>
      </c>
    </row>
    <row r="3548" spans="1:2" ht="12.5" x14ac:dyDescent="0.25">
      <c r="A3548" t="str">
        <f ca="1">IFERROR(__xludf.DUMMYFUNCTION("""COMPUTED_VALUE"""),"Lecithins")</f>
        <v>Lecithins</v>
      </c>
      <c r="B3548" t="str">
        <f ca="1">IFERROR(__xludf.DUMMYFUNCTION("""COMPUTED_VALUE"""),"RF-00000171-ADD")</f>
        <v>RF-00000171-ADD</v>
      </c>
    </row>
    <row r="3549" spans="1:2" ht="12.5" x14ac:dyDescent="0.25">
      <c r="A3549" t="str">
        <f ca="1">IFERROR(__xludf.DUMMYFUNCTION("""COMPUTED_VALUE"""),"Lectin")</f>
        <v>Lectin</v>
      </c>
      <c r="B3549" t="str">
        <f ca="1">IFERROR(__xludf.DUMMYFUNCTION("""COMPUTED_VALUE"""),"RF-00000439-ORG")</f>
        <v>RF-00000439-ORG</v>
      </c>
    </row>
    <row r="3550" spans="1:2" ht="12.5" x14ac:dyDescent="0.25">
      <c r="A3550" t="str">
        <f ca="1">IFERROR(__xludf.DUMMYFUNCTION("""COMPUTED_VALUE"""),"Leishmania")</f>
        <v>Leishmania</v>
      </c>
      <c r="B3550" t="str">
        <f ca="1">IFERROR(__xludf.DUMMYFUNCTION("""COMPUTED_VALUE"""),"RF-00002569-MCG")</f>
        <v>RF-00002569-MCG</v>
      </c>
    </row>
    <row r="3551" spans="1:2" ht="12.5" x14ac:dyDescent="0.25">
      <c r="A3551" t="str">
        <f ca="1">IFERROR(__xludf.DUMMYFUNCTION("""COMPUTED_VALUE"""),"Leishmania (Leishmania) aethiopica")</f>
        <v>Leishmania (Leishmania) aethiopica</v>
      </c>
      <c r="B3551" t="str">
        <f ca="1">IFERROR(__xludf.DUMMYFUNCTION("""COMPUTED_VALUE"""),"RF-00002581-MCG")</f>
        <v>RF-00002581-MCG</v>
      </c>
    </row>
    <row r="3552" spans="1:2" ht="12.5" x14ac:dyDescent="0.25">
      <c r="A3552" t="str">
        <f ca="1">IFERROR(__xludf.DUMMYFUNCTION("""COMPUTED_VALUE"""),"Leishmania (Leishmania) amazonensis")</f>
        <v>Leishmania (Leishmania) amazonensis</v>
      </c>
      <c r="B3552" t="str">
        <f ca="1">IFERROR(__xludf.DUMMYFUNCTION("""COMPUTED_VALUE"""),"RF-00002584-MCG")</f>
        <v>RF-00002584-MCG</v>
      </c>
    </row>
    <row r="3553" spans="1:2" ht="12.5" x14ac:dyDescent="0.25">
      <c r="A3553" t="str">
        <f ca="1">IFERROR(__xludf.DUMMYFUNCTION("""COMPUTED_VALUE"""),"Leishmania (Leishmania) arabica")</f>
        <v>Leishmania (Leishmania) arabica</v>
      </c>
      <c r="B3553" t="str">
        <f ca="1">IFERROR(__xludf.DUMMYFUNCTION("""COMPUTED_VALUE"""),"RF-00002589-MCG")</f>
        <v>RF-00002589-MCG</v>
      </c>
    </row>
    <row r="3554" spans="1:2" ht="12.5" x14ac:dyDescent="0.25">
      <c r="A3554" t="str">
        <f ca="1">IFERROR(__xludf.DUMMYFUNCTION("""COMPUTED_VALUE"""),"Leishmania (Leishmania) archibaldi")</f>
        <v>Leishmania (Leishmania) archibaldi</v>
      </c>
      <c r="B3554" t="str">
        <f ca="1">IFERROR(__xludf.DUMMYFUNCTION("""COMPUTED_VALUE"""),"RF-00002574-MCG")</f>
        <v>RF-00002574-MCG</v>
      </c>
    </row>
    <row r="3555" spans="1:2" ht="12.5" x14ac:dyDescent="0.25">
      <c r="A3555" t="str">
        <f ca="1">IFERROR(__xludf.DUMMYFUNCTION("""COMPUTED_VALUE"""),"Leishmania (Leishmania) aristedesi")</f>
        <v>Leishmania (Leishmania) aristedesi</v>
      </c>
      <c r="B3555" t="str">
        <f ca="1">IFERROR(__xludf.DUMMYFUNCTION("""COMPUTED_VALUE"""),"RF-00002592-MCG")</f>
        <v>RF-00002592-MCG</v>
      </c>
    </row>
    <row r="3556" spans="1:2" ht="12.5" x14ac:dyDescent="0.25">
      <c r="A3556" t="str">
        <f ca="1">IFERROR(__xludf.DUMMYFUNCTION("""COMPUTED_VALUE"""),"Leishmania (Leishmania) chagasi")</f>
        <v>Leishmania (Leishmania) chagasi</v>
      </c>
      <c r="B3556" t="str">
        <f ca="1">IFERROR(__xludf.DUMMYFUNCTION("""COMPUTED_VALUE"""),"RF-00002573-MCG")</f>
        <v>RF-00002573-MCG</v>
      </c>
    </row>
    <row r="3557" spans="1:2" ht="12.5" x14ac:dyDescent="0.25">
      <c r="A3557" t="str">
        <f ca="1">IFERROR(__xludf.DUMMYFUNCTION("""COMPUTED_VALUE"""),"Leishmania (Leishmania) deanei")</f>
        <v>Leishmania (Leishmania) deanei</v>
      </c>
      <c r="B3557" t="str">
        <f ca="1">IFERROR(__xludf.DUMMYFUNCTION("""COMPUTED_VALUE"""),"RF-00002594-MCG")</f>
        <v>RF-00002594-MCG</v>
      </c>
    </row>
    <row r="3558" spans="1:2" ht="12.5" x14ac:dyDescent="0.25">
      <c r="A3558" t="str">
        <f ca="1">IFERROR(__xludf.DUMMYFUNCTION("""COMPUTED_VALUE"""),"Leishmania (Leishmania) donovani")</f>
        <v>Leishmania (Leishmania) donovani</v>
      </c>
      <c r="B3558" t="str">
        <f ca="1">IFERROR(__xludf.DUMMYFUNCTION("""COMPUTED_VALUE"""),"RF-00002572-MCG")</f>
        <v>RF-00002572-MCG</v>
      </c>
    </row>
    <row r="3559" spans="1:2" ht="12.5" x14ac:dyDescent="0.25">
      <c r="A3559" t="str">
        <f ca="1">IFERROR(__xludf.DUMMYFUNCTION("""COMPUTED_VALUE"""),"Leishmania (Leishmania) enriettii")</f>
        <v>Leishmania (Leishmania) enriettii</v>
      </c>
      <c r="B3559" t="str">
        <f ca="1">IFERROR(__xludf.DUMMYFUNCTION("""COMPUTED_VALUE"""),"RF-00002593-MCG")</f>
        <v>RF-00002593-MCG</v>
      </c>
    </row>
    <row r="3560" spans="1:2" ht="12.5" x14ac:dyDescent="0.25">
      <c r="A3560" t="str">
        <f ca="1">IFERROR(__xludf.DUMMYFUNCTION("""COMPUTED_VALUE"""),"Leishmania (Leishmania) forattinii")</f>
        <v>Leishmania (Leishmania) forattinii</v>
      </c>
      <c r="B3560" t="str">
        <f ca="1">IFERROR(__xludf.DUMMYFUNCTION("""COMPUTED_VALUE"""),"RF-00002588-MCG")</f>
        <v>RF-00002588-MCG</v>
      </c>
    </row>
    <row r="3561" spans="1:2" ht="12.5" x14ac:dyDescent="0.25">
      <c r="A3561" t="str">
        <f ca="1">IFERROR(__xludf.DUMMYFUNCTION("""COMPUTED_VALUE"""),"Leishmania (Leishmania) garnhami")</f>
        <v>Leishmania (Leishmania) garnhami</v>
      </c>
      <c r="B3561" t="str">
        <f ca="1">IFERROR(__xludf.DUMMYFUNCTION("""COMPUTED_VALUE"""),"RF-00002585-MCG")</f>
        <v>RF-00002585-MCG</v>
      </c>
    </row>
    <row r="3562" spans="1:2" ht="12.5" x14ac:dyDescent="0.25">
      <c r="A3562" t="str">
        <f ca="1">IFERROR(__xludf.DUMMYFUNCTION("""COMPUTED_VALUE"""),"Leishmania (Leishmania) gerbili")</f>
        <v>Leishmania (Leishmania) gerbili</v>
      </c>
      <c r="B3562" t="str">
        <f ca="1">IFERROR(__xludf.DUMMYFUNCTION("""COMPUTED_VALUE"""),"RF-00002590-MCG")</f>
        <v>RF-00002590-MCG</v>
      </c>
    </row>
    <row r="3563" spans="1:2" ht="12.5" x14ac:dyDescent="0.25">
      <c r="A3563" t="str">
        <f ca="1">IFERROR(__xludf.DUMMYFUNCTION("""COMPUTED_VALUE"""),"Leishmania (Leishmania) hertigi")</f>
        <v>Leishmania (Leishmania) hertigi</v>
      </c>
      <c r="B3563" t="str">
        <f ca="1">IFERROR(__xludf.DUMMYFUNCTION("""COMPUTED_VALUE"""),"RF-00002595-MCG")</f>
        <v>RF-00002595-MCG</v>
      </c>
    </row>
    <row r="3564" spans="1:2" ht="12.5" x14ac:dyDescent="0.25">
      <c r="A3564" t="str">
        <f ca="1">IFERROR(__xludf.DUMMYFUNCTION("""COMPUTED_VALUE"""),"Leishmania (Leishmania) infantum")</f>
        <v>Leishmania (Leishmania) infantum</v>
      </c>
      <c r="B3564" t="str">
        <f ca="1">IFERROR(__xludf.DUMMYFUNCTION("""COMPUTED_VALUE"""),"RF-00002571-MCG")</f>
        <v>RF-00002571-MCG</v>
      </c>
    </row>
    <row r="3565" spans="1:2" ht="12.5" x14ac:dyDescent="0.25">
      <c r="A3565" t="str">
        <f ca="1">IFERROR(__xludf.DUMMYFUNCTION("""COMPUTED_VALUE"""),"Leishmania (Leishmania) killicki")</f>
        <v>Leishmania (Leishmania) killicki</v>
      </c>
      <c r="B3565" t="str">
        <f ca="1">IFERROR(__xludf.DUMMYFUNCTION("""COMPUTED_VALUE"""),"RF-00002576-MCG")</f>
        <v>RF-00002576-MCG</v>
      </c>
    </row>
    <row r="3566" spans="1:2" ht="12.5" x14ac:dyDescent="0.25">
      <c r="A3566" t="str">
        <f ca="1">IFERROR(__xludf.DUMMYFUNCTION("""COMPUTED_VALUE"""),"Leishmania (Leishmania) major")</f>
        <v>Leishmania (Leishmania) major</v>
      </c>
      <c r="B3566" t="str">
        <f ca="1">IFERROR(__xludf.DUMMYFUNCTION("""COMPUTED_VALUE"""),"RF-00002579-MCG")</f>
        <v>RF-00002579-MCG</v>
      </c>
    </row>
    <row r="3567" spans="1:2" ht="12.5" x14ac:dyDescent="0.25">
      <c r="A3567" t="str">
        <f ca="1">IFERROR(__xludf.DUMMYFUNCTION("""COMPUTED_VALUE"""),"Leishmania (Leishmania) mexicana")</f>
        <v>Leishmania (Leishmania) mexicana</v>
      </c>
      <c r="B3567" t="str">
        <f ca="1">IFERROR(__xludf.DUMMYFUNCTION("""COMPUTED_VALUE"""),"RF-00002583-MCG")</f>
        <v>RF-00002583-MCG</v>
      </c>
    </row>
    <row r="3568" spans="1:2" ht="12.5" x14ac:dyDescent="0.25">
      <c r="A3568" t="str">
        <f ca="1">IFERROR(__xludf.DUMMYFUNCTION("""COMPUTED_VALUE"""),"Leishmania (Leishmania) pifanoi")</f>
        <v>Leishmania (Leishmania) pifanoi</v>
      </c>
      <c r="B3568" t="str">
        <f ca="1">IFERROR(__xludf.DUMMYFUNCTION("""COMPUTED_VALUE"""),"RF-00002586-MCG")</f>
        <v>RF-00002586-MCG</v>
      </c>
    </row>
    <row r="3569" spans="1:2" ht="12.5" x14ac:dyDescent="0.25">
      <c r="A3569" t="str">
        <f ca="1">IFERROR(__xludf.DUMMYFUNCTION("""COMPUTED_VALUE"""),"Leishmania (Leishmania) tropica")</f>
        <v>Leishmania (Leishmania) tropica</v>
      </c>
      <c r="B3569" t="str">
        <f ca="1">IFERROR(__xludf.DUMMYFUNCTION("""COMPUTED_VALUE"""),"RF-00002577-MCG")</f>
        <v>RF-00002577-MCG</v>
      </c>
    </row>
    <row r="3570" spans="1:2" ht="12.5" x14ac:dyDescent="0.25">
      <c r="A3570" t="str">
        <f ca="1">IFERROR(__xludf.DUMMYFUNCTION("""COMPUTED_VALUE"""),"Leishmania (Leishmania) turanica")</f>
        <v>Leishmania (Leishmania) turanica</v>
      </c>
      <c r="B3570" t="str">
        <f ca="1">IFERROR(__xludf.DUMMYFUNCTION("""COMPUTED_VALUE"""),"RF-00002591-MCG")</f>
        <v>RF-00002591-MCG</v>
      </c>
    </row>
    <row r="3571" spans="1:2" ht="12.5" x14ac:dyDescent="0.25">
      <c r="A3571" t="str">
        <f ca="1">IFERROR(__xludf.DUMMYFUNCTION("""COMPUTED_VALUE"""),"Leishmania (Leishmania) venezuelensis")</f>
        <v>Leishmania (Leishmania) venezuelensis</v>
      </c>
      <c r="B3571" t="str">
        <f ca="1">IFERROR(__xludf.DUMMYFUNCTION("""COMPUTED_VALUE"""),"RF-00002587-MCG")</f>
        <v>RF-00002587-MCG</v>
      </c>
    </row>
    <row r="3572" spans="1:2" ht="12.5" x14ac:dyDescent="0.25">
      <c r="A3572" t="str">
        <f ca="1">IFERROR(__xludf.DUMMYFUNCTION("""COMPUTED_VALUE"""),"Leishmania (Viannia) braziliensis")</f>
        <v>Leishmania (Viannia) braziliensis</v>
      </c>
      <c r="B3572" t="str">
        <f ca="1">IFERROR(__xludf.DUMMYFUNCTION("""COMPUTED_VALUE"""),"RF-00002597-MCG")</f>
        <v>RF-00002597-MCG</v>
      </c>
    </row>
    <row r="3573" spans="1:2" ht="12.5" x14ac:dyDescent="0.25">
      <c r="A3573" t="str">
        <f ca="1">IFERROR(__xludf.DUMMYFUNCTION("""COMPUTED_VALUE"""),"Leishmania (Viannia) colombiensis")</f>
        <v>Leishmania (Viannia) colombiensis</v>
      </c>
      <c r="B3573" t="str">
        <f ca="1">IFERROR(__xludf.DUMMYFUNCTION("""COMPUTED_VALUE"""),"RF-00002607-MCG")</f>
        <v>RF-00002607-MCG</v>
      </c>
    </row>
    <row r="3574" spans="1:2" ht="12.5" x14ac:dyDescent="0.25">
      <c r="A3574" t="str">
        <f ca="1">IFERROR(__xludf.DUMMYFUNCTION("""COMPUTED_VALUE"""),"Leishmania (Viannia) equatorensis")</f>
        <v>Leishmania (Viannia) equatorensis</v>
      </c>
      <c r="B3574" t="str">
        <f ca="1">IFERROR(__xludf.DUMMYFUNCTION("""COMPUTED_VALUE"""),"RF-00002608-MCG")</f>
        <v>RF-00002608-MCG</v>
      </c>
    </row>
    <row r="3575" spans="1:2" ht="12.5" x14ac:dyDescent="0.25">
      <c r="A3575" t="str">
        <f ca="1">IFERROR(__xludf.DUMMYFUNCTION("""COMPUTED_VALUE"""),"Leishmania (Viannia) guyanensis")</f>
        <v>Leishmania (Viannia) guyanensis</v>
      </c>
      <c r="B3575" t="str">
        <f ca="1">IFERROR(__xludf.DUMMYFUNCTION("""COMPUTED_VALUE"""),"RF-00002600-MCG")</f>
        <v>RF-00002600-MCG</v>
      </c>
    </row>
    <row r="3576" spans="1:2" ht="12.5" x14ac:dyDescent="0.25">
      <c r="A3576" t="str">
        <f ca="1">IFERROR(__xludf.DUMMYFUNCTION("""COMPUTED_VALUE"""),"Leishmania (Viannia) lainsoni")</f>
        <v>Leishmania (Viannia) lainsoni</v>
      </c>
      <c r="B3576" t="str">
        <f ca="1">IFERROR(__xludf.DUMMYFUNCTION("""COMPUTED_VALUE"""),"RF-00002606-MCG")</f>
        <v>RF-00002606-MCG</v>
      </c>
    </row>
    <row r="3577" spans="1:2" ht="12.5" x14ac:dyDescent="0.25">
      <c r="A3577" t="str">
        <f ca="1">IFERROR(__xludf.DUMMYFUNCTION("""COMPUTED_VALUE"""),"Leishmania (Viannia) naiffi")</f>
        <v>Leishmania (Viannia) naiffi</v>
      </c>
      <c r="B3577" t="str">
        <f ca="1">IFERROR(__xludf.DUMMYFUNCTION("""COMPUTED_VALUE"""),"RF-00002604-MCG")</f>
        <v>RF-00002604-MCG</v>
      </c>
    </row>
    <row r="3578" spans="1:2" ht="12.5" x14ac:dyDescent="0.25">
      <c r="A3578" t="str">
        <f ca="1">IFERROR(__xludf.DUMMYFUNCTION("""COMPUTED_VALUE"""),"Leishmania (Viannia) panamensis")</f>
        <v>Leishmania (Viannia) panamensis</v>
      </c>
      <c r="B3578" t="str">
        <f ca="1">IFERROR(__xludf.DUMMYFUNCTION("""COMPUTED_VALUE"""),"RF-00002601-MCG")</f>
        <v>RF-00002601-MCG</v>
      </c>
    </row>
    <row r="3579" spans="1:2" ht="12.5" x14ac:dyDescent="0.25">
      <c r="A3579" t="str">
        <f ca="1">IFERROR(__xludf.DUMMYFUNCTION("""COMPUTED_VALUE"""),"Leishmania (Viannia) peruviana")</f>
        <v>Leishmania (Viannia) peruviana</v>
      </c>
      <c r="B3579" t="str">
        <f ca="1">IFERROR(__xludf.DUMMYFUNCTION("""COMPUTED_VALUE"""),"RF-00002598-MCG")</f>
        <v>RF-00002598-MCG</v>
      </c>
    </row>
    <row r="3580" spans="1:2" ht="12.5" x14ac:dyDescent="0.25">
      <c r="A3580" t="str">
        <f ca="1">IFERROR(__xludf.DUMMYFUNCTION("""COMPUTED_VALUE"""),"Leishmania (Viannia) pifanoi")</f>
        <v>Leishmania (Viannia) pifanoi</v>
      </c>
      <c r="B3580" t="str">
        <f ca="1">IFERROR(__xludf.DUMMYFUNCTION("""COMPUTED_VALUE"""),"RF-00002609-MCG")</f>
        <v>RF-00002609-MCG</v>
      </c>
    </row>
    <row r="3581" spans="1:2" ht="12.5" x14ac:dyDescent="0.25">
      <c r="A3581" t="str">
        <f ca="1">IFERROR(__xludf.DUMMYFUNCTION("""COMPUTED_VALUE"""),"Leishmania (Viannia) shawi")</f>
        <v>Leishmania (Viannia) shawi</v>
      </c>
      <c r="B3581" t="str">
        <f ca="1">IFERROR(__xludf.DUMMYFUNCTION("""COMPUTED_VALUE"""),"RF-00002602-MCG")</f>
        <v>RF-00002602-MCG</v>
      </c>
    </row>
    <row r="3582" spans="1:2" ht="12.5" x14ac:dyDescent="0.25">
      <c r="A3582" t="str">
        <f ca="1">IFERROR(__xludf.DUMMYFUNCTION("""COMPUTED_VALUE"""),"Leishmania aethiopica complex")</f>
        <v>Leishmania aethiopica complex</v>
      </c>
      <c r="B3582" t="str">
        <f ca="1">IFERROR(__xludf.DUMMYFUNCTION("""COMPUTED_VALUE"""),"RF-00002580-MCG")</f>
        <v>RF-00002580-MCG</v>
      </c>
    </row>
    <row r="3583" spans="1:2" ht="12.5" x14ac:dyDescent="0.25">
      <c r="A3583" t="str">
        <f ca="1">IFERROR(__xludf.DUMMYFUNCTION("""COMPUTED_VALUE"""),"Leishmania braziliensis complex")</f>
        <v>Leishmania braziliensis complex</v>
      </c>
      <c r="B3583" t="str">
        <f ca="1">IFERROR(__xludf.DUMMYFUNCTION("""COMPUTED_VALUE"""),"RF-00002596-MCG")</f>
        <v>RF-00002596-MCG</v>
      </c>
    </row>
    <row r="3584" spans="1:2" ht="12.5" x14ac:dyDescent="0.25">
      <c r="A3584" t="str">
        <f ca="1">IFERROR(__xludf.DUMMYFUNCTION("""COMPUTED_VALUE"""),"Leishmania donovani complex")</f>
        <v>Leishmania donovani complex</v>
      </c>
      <c r="B3584" t="str">
        <f ca="1">IFERROR(__xludf.DUMMYFUNCTION("""COMPUTED_VALUE"""),"RF-00002570-MCG")</f>
        <v>RF-00002570-MCG</v>
      </c>
    </row>
    <row r="3585" spans="1:2" ht="12.5" x14ac:dyDescent="0.25">
      <c r="A3585" t="str">
        <f ca="1">IFERROR(__xludf.DUMMYFUNCTION("""COMPUTED_VALUE"""),"Leishmania guyanensis complex")</f>
        <v>Leishmania guyanensis complex</v>
      </c>
      <c r="B3585" t="str">
        <f ca="1">IFERROR(__xludf.DUMMYFUNCTION("""COMPUTED_VALUE"""),"RF-00002599-MCG")</f>
        <v>RF-00002599-MCG</v>
      </c>
    </row>
    <row r="3586" spans="1:2" ht="12.5" x14ac:dyDescent="0.25">
      <c r="A3586" t="str">
        <f ca="1">IFERROR(__xludf.DUMMYFUNCTION("""COMPUTED_VALUE"""),"Leishmania herreri")</f>
        <v>Leishmania herreri</v>
      </c>
      <c r="B3586" t="str">
        <f ca="1">IFERROR(__xludf.DUMMYFUNCTION("""COMPUTED_VALUE"""),"RF-00002611-MCG")</f>
        <v>RF-00002611-MCG</v>
      </c>
    </row>
    <row r="3587" spans="1:2" ht="12.5" x14ac:dyDescent="0.25">
      <c r="A3587" t="str">
        <f ca="1">IFERROR(__xludf.DUMMYFUNCTION("""COMPUTED_VALUE"""),"Leishmania lainsoni complex")</f>
        <v>Leishmania lainsoni complex</v>
      </c>
      <c r="B3587" t="str">
        <f ca="1">IFERROR(__xludf.DUMMYFUNCTION("""COMPUTED_VALUE"""),"RF-00002605-MCG")</f>
        <v>RF-00002605-MCG</v>
      </c>
    </row>
    <row r="3588" spans="1:2" ht="12.5" x14ac:dyDescent="0.25">
      <c r="A3588" t="str">
        <f ca="1">IFERROR(__xludf.DUMMYFUNCTION("""COMPUTED_VALUE"""),"Leishmania major complex")</f>
        <v>Leishmania major complex</v>
      </c>
      <c r="B3588" t="str">
        <f ca="1">IFERROR(__xludf.DUMMYFUNCTION("""COMPUTED_VALUE"""),"RF-00002578-MCG")</f>
        <v>RF-00002578-MCG</v>
      </c>
    </row>
    <row r="3589" spans="1:2" ht="12.5" x14ac:dyDescent="0.25">
      <c r="A3589" t="str">
        <f ca="1">IFERROR(__xludf.DUMMYFUNCTION("""COMPUTED_VALUE"""),"Leishmania mexicana complex")</f>
        <v>Leishmania mexicana complex</v>
      </c>
      <c r="B3589" t="str">
        <f ca="1">IFERROR(__xludf.DUMMYFUNCTION("""COMPUTED_VALUE"""),"RF-00002582-MCG")</f>
        <v>RF-00002582-MCG</v>
      </c>
    </row>
    <row r="3590" spans="1:2" ht="12.5" x14ac:dyDescent="0.25">
      <c r="A3590" t="str">
        <f ca="1">IFERROR(__xludf.DUMMYFUNCTION("""COMPUTED_VALUE"""),"Leishmania naiffi complex")</f>
        <v>Leishmania naiffi complex</v>
      </c>
      <c r="B3590" t="str">
        <f ca="1">IFERROR(__xludf.DUMMYFUNCTION("""COMPUTED_VALUE"""),"RF-00002603-MCG")</f>
        <v>RF-00002603-MCG</v>
      </c>
    </row>
    <row r="3591" spans="1:2" ht="12.5" x14ac:dyDescent="0.25">
      <c r="A3591" t="str">
        <f ca="1">IFERROR(__xludf.DUMMYFUNCTION("""COMPUTED_VALUE"""),"Leishmania tarentolae")</f>
        <v>Leishmania tarentolae</v>
      </c>
      <c r="B3591" t="str">
        <f ca="1">IFERROR(__xludf.DUMMYFUNCTION("""COMPUTED_VALUE"""),"RF-00002610-MCG")</f>
        <v>RF-00002610-MCG</v>
      </c>
    </row>
    <row r="3592" spans="1:2" ht="12.5" x14ac:dyDescent="0.25">
      <c r="A3592" t="str">
        <f ca="1">IFERROR(__xludf.DUMMYFUNCTION("""COMPUTED_VALUE"""),"Leishmania tropica complex")</f>
        <v>Leishmania tropica complex</v>
      </c>
      <c r="B3592" t="str">
        <f ca="1">IFERROR(__xludf.DUMMYFUNCTION("""COMPUTED_VALUE"""),"RF-00002575-MCG")</f>
        <v>RF-00002575-MCG</v>
      </c>
    </row>
    <row r="3593" spans="1:2" ht="12.5" x14ac:dyDescent="0.25">
      <c r="A3593" t="str">
        <f ca="1">IFERROR(__xludf.DUMMYFUNCTION("""COMPUTED_VALUE"""),"Lenacil")</f>
        <v>Lenacil</v>
      </c>
      <c r="B3593" t="str">
        <f ca="1">IFERROR(__xludf.DUMMYFUNCTION("""COMPUTED_VALUE"""),"RF-0262-001-PPP")</f>
        <v>RF-0262-001-PPP</v>
      </c>
    </row>
    <row r="3594" spans="1:2" ht="12.5" x14ac:dyDescent="0.25">
      <c r="A3594" t="str">
        <f ca="1">IFERROR(__xludf.DUMMYFUNCTION("""COMPUTED_VALUE"""),"Leptophos")</f>
        <v>Leptophos</v>
      </c>
      <c r="B3594" t="str">
        <f ca="1">IFERROR(__xludf.DUMMYFUNCTION("""COMPUTED_VALUE"""),"RF-0775-001-PPP")</f>
        <v>RF-0775-001-PPP</v>
      </c>
    </row>
    <row r="3595" spans="1:2" ht="12.5" x14ac:dyDescent="0.25">
      <c r="A3595" t="str">
        <f ca="1">IFERROR(__xludf.DUMMYFUNCTION("""COMPUTED_VALUE"""),"Leptospira")</f>
        <v>Leptospira</v>
      </c>
      <c r="B3595" t="str">
        <f ca="1">IFERROR(__xludf.DUMMYFUNCTION("""COMPUTED_VALUE"""),"RF-00000237-MCG")</f>
        <v>RF-00000237-MCG</v>
      </c>
    </row>
    <row r="3596" spans="1:2" ht="12.5" x14ac:dyDescent="0.25">
      <c r="A3596" t="str">
        <f ca="1">IFERROR(__xludf.DUMMYFUNCTION("""COMPUTED_VALUE"""),"Leptospira borgpetersenii")</f>
        <v>Leptospira borgpetersenii</v>
      </c>
      <c r="B3596" t="str">
        <f ca="1">IFERROR(__xludf.DUMMYFUNCTION("""COMPUTED_VALUE"""),"RF-00000238-MCG")</f>
        <v>RF-00000238-MCG</v>
      </c>
    </row>
    <row r="3597" spans="1:2" ht="12.5" x14ac:dyDescent="0.25">
      <c r="A3597" t="str">
        <f ca="1">IFERROR(__xludf.DUMMYFUNCTION("""COMPUTED_VALUE"""),"Leptospira interrogans")</f>
        <v>Leptospira interrogans</v>
      </c>
      <c r="B3597" t="str">
        <f ca="1">IFERROR(__xludf.DUMMYFUNCTION("""COMPUTED_VALUE"""),"RF-00000241-MCG")</f>
        <v>RF-00000241-MCG</v>
      </c>
    </row>
    <row r="3598" spans="1:2" ht="12.5" x14ac:dyDescent="0.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x14ac:dyDescent="0.25">
      <c r="A3599" t="str">
        <f ca="1">IFERROR(__xludf.DUMMYFUNCTION("""COMPUTED_VALUE"""),"Leptospira interrogans serovar Saxkoebing")</f>
        <v>Leptospira interrogans serovar Saxkoebing</v>
      </c>
      <c r="B3599" t="str">
        <f ca="1">IFERROR(__xludf.DUMMYFUNCTION("""COMPUTED_VALUE"""),"RF-00000244-MCG")</f>
        <v>RF-00000244-MCG</v>
      </c>
    </row>
    <row r="3600" spans="1:2" ht="12.5" x14ac:dyDescent="0.25">
      <c r="A3600" t="str">
        <f ca="1">IFERROR(__xludf.DUMMYFUNCTION("""COMPUTED_VALUE"""),"Leptospira interrogans serovar Sejroe")</f>
        <v>Leptospira interrogans serovar Sejroe</v>
      </c>
      <c r="B3600" t="str">
        <f ca="1">IFERROR(__xludf.DUMMYFUNCTION("""COMPUTED_VALUE"""),"RF-00000243-MCG")</f>
        <v>RF-00000243-MCG</v>
      </c>
    </row>
    <row r="3601" spans="1:2" ht="12.5" x14ac:dyDescent="0.25">
      <c r="A3601" t="str">
        <f ca="1">IFERROR(__xludf.DUMMYFUNCTION("""COMPUTED_VALUE"""),"Leptospira kirschneriase")</f>
        <v>Leptospira kirschneriase</v>
      </c>
      <c r="B3601" t="str">
        <f ca="1">IFERROR(__xludf.DUMMYFUNCTION("""COMPUTED_VALUE"""),"RF-00000239-MCG")</f>
        <v>RF-00000239-MCG</v>
      </c>
    </row>
    <row r="3602" spans="1:2" ht="12.5" x14ac:dyDescent="0.25">
      <c r="A3602" t="str">
        <f ca="1">IFERROR(__xludf.DUMMYFUNCTION("""COMPUTED_VALUE"""),"Leptospira spp., unspecified")</f>
        <v>Leptospira spp., unspecified</v>
      </c>
      <c r="B3602" t="str">
        <f ca="1">IFERROR(__xludf.DUMMYFUNCTION("""COMPUTED_VALUE"""),"RF-00000240-MCG")</f>
        <v>RF-00000240-MCG</v>
      </c>
    </row>
    <row r="3603" spans="1:2" ht="12.5" x14ac:dyDescent="0.25">
      <c r="A3603" t="str">
        <f ca="1">IFERROR(__xludf.DUMMYFUNCTION("""COMPUTED_VALUE"""),"leucine")</f>
        <v>leucine</v>
      </c>
      <c r="B3603" t="str">
        <f ca="1">IFERROR(__xludf.DUMMYFUNCTION("""COMPUTED_VALUE"""),"RF-00000321-NTR")</f>
        <v>RF-00000321-NTR</v>
      </c>
    </row>
    <row r="3604" spans="1:2" ht="12.5" x14ac:dyDescent="0.25">
      <c r="A3604" t="str">
        <f ca="1">IFERROR(__xludf.DUMMYFUNCTION("""COMPUTED_VALUE"""),"Leukomycin")</f>
        <v>Leukomycin</v>
      </c>
      <c r="B3604" t="str">
        <f ca="1">IFERROR(__xludf.DUMMYFUNCTION("""COMPUTED_VALUE"""),"RF-00000661-VET")</f>
        <v>RF-00000661-VET</v>
      </c>
    </row>
    <row r="3605" spans="1:2" ht="12.5" x14ac:dyDescent="0.25">
      <c r="A3605" t="str">
        <f ca="1">IFERROR(__xludf.DUMMYFUNCTION("""COMPUTED_VALUE"""),"Levamisole")</f>
        <v>Levamisole</v>
      </c>
      <c r="B3605" t="str">
        <f ca="1">IFERROR(__xludf.DUMMYFUNCTION("""COMPUTED_VALUE"""),"RF-00000015-VET")</f>
        <v>RF-00000015-VET</v>
      </c>
    </row>
    <row r="3606" spans="1:2" ht="12.5" x14ac:dyDescent="0.25">
      <c r="A3606" t="str">
        <f ca="1">IFERROR(__xludf.DUMMYFUNCTION("""COMPUTED_VALUE"""),"Levofloxacin")</f>
        <v>Levofloxacin</v>
      </c>
      <c r="B3606" t="str">
        <f ca="1">IFERROR(__xludf.DUMMYFUNCTION("""COMPUTED_VALUE"""),"RF-00000660-VET")</f>
        <v>RF-00000660-VET</v>
      </c>
    </row>
    <row r="3607" spans="1:2" ht="12.5" x14ac:dyDescent="0.25">
      <c r="A3607" t="str">
        <f ca="1">IFERROR(__xludf.DUMMYFUNCTION("""COMPUTED_VALUE"""),"Levomepromazine (Methotrimeprazine)")</f>
        <v>Levomepromazine (Methotrimeprazine)</v>
      </c>
      <c r="B3607" t="str">
        <f ca="1">IFERROR(__xludf.DUMMYFUNCTION("""COMPUTED_VALUE"""),"RF-00000182-VET")</f>
        <v>RF-00000182-VET</v>
      </c>
    </row>
    <row r="3608" spans="1:2" ht="12.5" x14ac:dyDescent="0.25">
      <c r="A3608" t="str">
        <f ca="1">IFERROR(__xludf.DUMMYFUNCTION("""COMPUTED_VALUE"""),"lignans, total")</f>
        <v>lignans, total</v>
      </c>
      <c r="B3608" t="str">
        <f ca="1">IFERROR(__xludf.DUMMYFUNCTION("""COMPUTED_VALUE"""),"RF-00000322-NTR")</f>
        <v>RF-00000322-NTR</v>
      </c>
    </row>
    <row r="3609" spans="1:2" ht="12.5" x14ac:dyDescent="0.25">
      <c r="A3609" t="str">
        <f ca="1">IFERROR(__xludf.DUMMYFUNCTION("""COMPUTED_VALUE"""),"lignin")</f>
        <v>lignin</v>
      </c>
      <c r="B3609" t="str">
        <f ca="1">IFERROR(__xludf.DUMMYFUNCTION("""COMPUTED_VALUE"""),"RF-00000323-NTR")</f>
        <v>RF-00000323-NTR</v>
      </c>
    </row>
    <row r="3610" spans="1:2" ht="12.5" x14ac:dyDescent="0.25">
      <c r="A3610" t="str">
        <f ca="1">IFERROR(__xludf.DUMMYFUNCTION("""COMPUTED_VALUE"""),"Lime sulphur")</f>
        <v>Lime sulphur</v>
      </c>
      <c r="B3610" t="str">
        <f ca="1">IFERROR(__xludf.DUMMYFUNCTION("""COMPUTED_VALUE"""),"RF-0981-001-PPP")</f>
        <v>RF-0981-001-PPP</v>
      </c>
    </row>
    <row r="3611" spans="1:2" ht="12.5" x14ac:dyDescent="0.25">
      <c r="A3611" t="str">
        <f ca="1">IFERROR(__xludf.DUMMYFUNCTION("""COMPUTED_VALUE"""),"Lincomycin")</f>
        <v>Lincomycin</v>
      </c>
      <c r="B3611" t="str">
        <f ca="1">IFERROR(__xludf.DUMMYFUNCTION("""COMPUTED_VALUE"""),"RF-00000658-VET")</f>
        <v>RF-00000658-VET</v>
      </c>
    </row>
    <row r="3612" spans="1:2" ht="12.5" x14ac:dyDescent="0.25">
      <c r="A3612" t="str">
        <f ca="1">IFERROR(__xludf.DUMMYFUNCTION("""COMPUTED_VALUE"""),"Lincomycin hydrochloride")</f>
        <v>Lincomycin hydrochloride</v>
      </c>
      <c r="B3612" t="str">
        <f ca="1">IFERROR(__xludf.DUMMYFUNCTION("""COMPUTED_VALUE"""),"RF-00000653-VET")</f>
        <v>RF-00000653-VET</v>
      </c>
    </row>
    <row r="3613" spans="1:2" ht="12.5" x14ac:dyDescent="0.25">
      <c r="A3613" t="str">
        <f ca="1">IFERROR(__xludf.DUMMYFUNCTION("""COMPUTED_VALUE"""),"Lincosamides")</f>
        <v>Lincosamides</v>
      </c>
      <c r="B3613" t="str">
        <f ca="1">IFERROR(__xludf.DUMMYFUNCTION("""COMPUTED_VALUE"""),"RF-00000652-VET")</f>
        <v>RF-00000652-VET</v>
      </c>
    </row>
    <row r="3614" spans="1:2" ht="12.5" x14ac:dyDescent="0.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x14ac:dyDescent="0.25">
      <c r="A3615" t="str">
        <f ca="1">IFERROR(__xludf.DUMMYFUNCTION("""COMPUTED_VALUE"""),"Linezolid")</f>
        <v>Linezolid</v>
      </c>
      <c r="B3615" t="str">
        <f ca="1">IFERROR(__xludf.DUMMYFUNCTION("""COMPUTED_VALUE"""),"RF-00000758-VET")</f>
        <v>RF-00000758-VET</v>
      </c>
    </row>
    <row r="3616" spans="1:2" ht="12.5" x14ac:dyDescent="0.25">
      <c r="A3616" t="str">
        <f ca="1">IFERROR(__xludf.DUMMYFUNCTION("""COMPUTED_VALUE"""),"Linuron")</f>
        <v>Linuron</v>
      </c>
      <c r="B3616" t="str">
        <f ca="1">IFERROR(__xludf.DUMMYFUNCTION("""COMPUTED_VALUE"""),"RF-0264-001-PPP")</f>
        <v>RF-0264-001-PPP</v>
      </c>
    </row>
    <row r="3617" spans="1:2" ht="12.5" x14ac:dyDescent="0.25">
      <c r="A3617" t="str">
        <f ca="1">IFERROR(__xludf.DUMMYFUNCTION("""COMPUTED_VALUE"""),"Listeria")</f>
        <v>Listeria</v>
      </c>
      <c r="B3617" t="str">
        <f ca="1">IFERROR(__xludf.DUMMYFUNCTION("""COMPUTED_VALUE"""),"RF-00000245-MCG")</f>
        <v>RF-00000245-MCG</v>
      </c>
    </row>
    <row r="3618" spans="1:2" ht="12.5" x14ac:dyDescent="0.25">
      <c r="A3618" t="str">
        <f ca="1">IFERROR(__xludf.DUMMYFUNCTION("""COMPUTED_VALUE"""),"Listeria - L. grayi")</f>
        <v>Listeria - L. grayi</v>
      </c>
      <c r="B3618" t="str">
        <f ca="1">IFERROR(__xludf.DUMMYFUNCTION("""COMPUTED_VALUE"""),"RF-00003521-MCG")</f>
        <v>RF-00003521-MCG</v>
      </c>
    </row>
    <row r="3619" spans="1:2" ht="12.5" x14ac:dyDescent="0.25">
      <c r="A3619" t="str">
        <f ca="1">IFERROR(__xludf.DUMMYFUNCTION("""COMPUTED_VALUE"""),"Listeria innocua")</f>
        <v>Listeria innocua</v>
      </c>
      <c r="B3619" t="str">
        <f ca="1">IFERROR(__xludf.DUMMYFUNCTION("""COMPUTED_VALUE"""),"RF-00000250-MCG")</f>
        <v>RF-00000250-MCG</v>
      </c>
    </row>
    <row r="3620" spans="1:2" ht="12.5" x14ac:dyDescent="0.25">
      <c r="A3620" t="str">
        <f ca="1">IFERROR(__xludf.DUMMYFUNCTION("""COMPUTED_VALUE"""),"Listeria ivanovii")</f>
        <v>Listeria ivanovii</v>
      </c>
      <c r="B3620" t="str">
        <f ca="1">IFERROR(__xludf.DUMMYFUNCTION("""COMPUTED_VALUE"""),"RF-00000246-MCG")</f>
        <v>RF-00000246-MCG</v>
      </c>
    </row>
    <row r="3621" spans="1:2" ht="12.5" x14ac:dyDescent="0.25">
      <c r="A3621" t="str">
        <f ca="1">IFERROR(__xludf.DUMMYFUNCTION("""COMPUTED_VALUE"""),"Listeria monocytogenes")</f>
        <v>Listeria monocytogenes</v>
      </c>
      <c r="B3621" t="str">
        <f ca="1">IFERROR(__xludf.DUMMYFUNCTION("""COMPUTED_VALUE"""),"RF-00000251-MCG")</f>
        <v>RF-00000251-MCG</v>
      </c>
    </row>
    <row r="3622" spans="1:2" ht="12.5" x14ac:dyDescent="0.25">
      <c r="A3622" t="str">
        <f ca="1">IFERROR(__xludf.DUMMYFUNCTION("""COMPUTED_VALUE"""),"Listeria monocytogenes enterotoxins")</f>
        <v>Listeria monocytogenes enterotoxins</v>
      </c>
      <c r="B3622" t="str">
        <f ca="1">IFERROR(__xludf.DUMMYFUNCTION("""COMPUTED_VALUE"""),"RF-00000006-TOX")</f>
        <v>RF-00000006-TOX</v>
      </c>
    </row>
    <row r="3623" spans="1:2" ht="12.5" x14ac:dyDescent="0.25">
      <c r="A3623" t="str">
        <f ca="1">IFERROR(__xludf.DUMMYFUNCTION("""COMPUTED_VALUE"""),"Listeria monocytogenes O1 - 2")</f>
        <v>Listeria monocytogenes O1 - 2</v>
      </c>
      <c r="B3623" t="str">
        <f ca="1">IFERROR(__xludf.DUMMYFUNCTION("""COMPUTED_VALUE"""),"RF-00000259-MCG")</f>
        <v>RF-00000259-MCG</v>
      </c>
    </row>
    <row r="3624" spans="1:2" ht="12.5" x14ac:dyDescent="0.25">
      <c r="A3624" t="str">
        <f ca="1">IFERROR(__xludf.DUMMYFUNCTION("""COMPUTED_VALUE"""),"Listeria monocytogenes O4")</f>
        <v>Listeria monocytogenes O4</v>
      </c>
      <c r="B3624" t="str">
        <f ca="1">IFERROR(__xludf.DUMMYFUNCTION("""COMPUTED_VALUE"""),"RF-00000253-MCG")</f>
        <v>RF-00000253-MCG</v>
      </c>
    </row>
    <row r="3625" spans="1:2" ht="12.5" x14ac:dyDescent="0.25">
      <c r="A3625" t="str">
        <f ca="1">IFERROR(__xludf.DUMMYFUNCTION("""COMPUTED_VALUE"""),"Listeria monocytogenes serovar 1 - 2a")</f>
        <v>Listeria monocytogenes serovar 1 - 2a</v>
      </c>
      <c r="B3625" t="str">
        <f ca="1">IFERROR(__xludf.DUMMYFUNCTION("""COMPUTED_VALUE"""),"RF-00000258-MCG")</f>
        <v>RF-00000258-MCG</v>
      </c>
    </row>
    <row r="3626" spans="1:2" ht="12.5" x14ac:dyDescent="0.25">
      <c r="A3626" t="str">
        <f ca="1">IFERROR(__xludf.DUMMYFUNCTION("""COMPUTED_VALUE"""),"Listeria monocytogenes serovar 1 - 2b")</f>
        <v>Listeria monocytogenes serovar 1 - 2b</v>
      </c>
      <c r="B3626" t="str">
        <f ca="1">IFERROR(__xludf.DUMMYFUNCTION("""COMPUTED_VALUE"""),"RF-00000257-MCG")</f>
        <v>RF-00000257-MCG</v>
      </c>
    </row>
    <row r="3627" spans="1:2" ht="12.5" x14ac:dyDescent="0.25">
      <c r="A3627" t="str">
        <f ca="1">IFERROR(__xludf.DUMMYFUNCTION("""COMPUTED_VALUE"""),"Listeria monocytogenes serovar 1 - 2c")</f>
        <v>Listeria monocytogenes serovar 1 - 2c</v>
      </c>
      <c r="B3627" t="str">
        <f ca="1">IFERROR(__xludf.DUMMYFUNCTION("""COMPUTED_VALUE"""),"RF-00000256-MCG")</f>
        <v>RF-00000256-MCG</v>
      </c>
    </row>
    <row r="3628" spans="1:2" ht="12.5" x14ac:dyDescent="0.25">
      <c r="A3628" t="str">
        <f ca="1">IFERROR(__xludf.DUMMYFUNCTION("""COMPUTED_VALUE"""),"Listeria monocytogenes serovar 3a")</f>
        <v>Listeria monocytogenes serovar 3a</v>
      </c>
      <c r="B3628" t="str">
        <f ca="1">IFERROR(__xludf.DUMMYFUNCTION("""COMPUTED_VALUE"""),"RF-00000255-MCG")</f>
        <v>RF-00000255-MCG</v>
      </c>
    </row>
    <row r="3629" spans="1:2" ht="12.5" x14ac:dyDescent="0.25">
      <c r="A3629" t="str">
        <f ca="1">IFERROR(__xludf.DUMMYFUNCTION("""COMPUTED_VALUE"""),"Listeria monocytogenes serovar 3b")</f>
        <v>Listeria monocytogenes serovar 3b</v>
      </c>
      <c r="B3629" t="str">
        <f ca="1">IFERROR(__xludf.DUMMYFUNCTION("""COMPUTED_VALUE"""),"RF-00000252-MCG")</f>
        <v>RF-00000252-MCG</v>
      </c>
    </row>
    <row r="3630" spans="1:2" ht="12.5" x14ac:dyDescent="0.25">
      <c r="A3630" t="str">
        <f ca="1">IFERROR(__xludf.DUMMYFUNCTION("""COMPUTED_VALUE"""),"Listeria monocytogenes serovar 4b")</f>
        <v>Listeria monocytogenes serovar 4b</v>
      </c>
      <c r="B3630" t="str">
        <f ca="1">IFERROR(__xludf.DUMMYFUNCTION("""COMPUTED_VALUE"""),"RF-00000254-MCG")</f>
        <v>RF-00000254-MCG</v>
      </c>
    </row>
    <row r="3631" spans="1:2" ht="12.5" x14ac:dyDescent="0.25">
      <c r="A3631" t="str">
        <f ca="1">IFERROR(__xludf.DUMMYFUNCTION("""COMPUTED_VALUE"""),"Listeria monocytogenes, unspecified")</f>
        <v>Listeria monocytogenes, unspecified</v>
      </c>
      <c r="B3631" t="str">
        <f ca="1">IFERROR(__xludf.DUMMYFUNCTION("""COMPUTED_VALUE"""),"RF-00000260-MCG")</f>
        <v>RF-00000260-MCG</v>
      </c>
    </row>
    <row r="3632" spans="1:2" ht="12.5" x14ac:dyDescent="0.25">
      <c r="A3632" t="str">
        <f ca="1">IFERROR(__xludf.DUMMYFUNCTION("""COMPUTED_VALUE"""),"Listeria seeligeri")</f>
        <v>Listeria seeligeri</v>
      </c>
      <c r="B3632" t="str">
        <f ca="1">IFERROR(__xludf.DUMMYFUNCTION("""COMPUTED_VALUE"""),"RF-00000247-MCG")</f>
        <v>RF-00000247-MCG</v>
      </c>
    </row>
    <row r="3633" spans="1:2" ht="12.5" x14ac:dyDescent="0.25">
      <c r="A3633" t="str">
        <f ca="1">IFERROR(__xludf.DUMMYFUNCTION("""COMPUTED_VALUE"""),"Listeria spp., unspecified")</f>
        <v>Listeria spp., unspecified</v>
      </c>
      <c r="B3633" t="str">
        <f ca="1">IFERROR(__xludf.DUMMYFUNCTION("""COMPUTED_VALUE"""),"RF-00000249-MCG")</f>
        <v>RF-00000249-MCG</v>
      </c>
    </row>
    <row r="3634" spans="1:2" ht="12.5" x14ac:dyDescent="0.25">
      <c r="A3634" t="str">
        <f ca="1">IFERROR(__xludf.DUMMYFUNCTION("""COMPUTED_VALUE"""),"Listeria welshimeri")</f>
        <v>Listeria welshimeri</v>
      </c>
      <c r="B3634" t="str">
        <f ca="1">IFERROR(__xludf.DUMMYFUNCTION("""COMPUTED_VALUE"""),"RF-00000248-MCG")</f>
        <v>RF-00000248-MCG</v>
      </c>
    </row>
    <row r="3635" spans="1:2" ht="12.5" x14ac:dyDescent="0.25">
      <c r="A3635" t="str">
        <f ca="1">IFERROR(__xludf.DUMMYFUNCTION("""COMPUTED_VALUE"""),"Lithium (Li)")</f>
        <v>Lithium (Li)</v>
      </c>
      <c r="B3635" t="str">
        <f ca="1">IFERROR(__xludf.DUMMYFUNCTION("""COMPUTED_VALUE"""),"RF-00000172-CHE")</f>
        <v>RF-00000172-CHE</v>
      </c>
    </row>
    <row r="3636" spans="1:2" ht="12.5" x14ac:dyDescent="0.25">
      <c r="A3636" t="str">
        <f ca="1">IFERROR(__xludf.DUMMYFUNCTION("""COMPUTED_VALUE"""),"Lithium and derivatives")</f>
        <v>Lithium and derivatives</v>
      </c>
      <c r="B3636" t="str">
        <f ca="1">IFERROR(__xludf.DUMMYFUNCTION("""COMPUTED_VALUE"""),"RF-00000171-CHE")</f>
        <v>RF-00000171-CHE</v>
      </c>
    </row>
    <row r="3637" spans="1:2" ht="12.5" x14ac:dyDescent="0.25">
      <c r="A3637" t="str">
        <f ca="1">IFERROR(__xludf.DUMMYFUNCTION("""COMPUTED_VALUE"""),"Litholrubine BK")</f>
        <v>Litholrubine BK</v>
      </c>
      <c r="B3637" t="str">
        <f ca="1">IFERROR(__xludf.DUMMYFUNCTION("""COMPUTED_VALUE"""),"RF-00000172-ADD")</f>
        <v>RF-00000172-ADD</v>
      </c>
    </row>
    <row r="3638" spans="1:2" ht="12.5" x14ac:dyDescent="0.25">
      <c r="A3638" t="str">
        <f ca="1">IFERROR(__xludf.DUMMYFUNCTION("""COMPUTED_VALUE"""),"Lithosenine")</f>
        <v>Lithosenine</v>
      </c>
      <c r="B3638" t="str">
        <f ca="1">IFERROR(__xludf.DUMMYFUNCTION("""COMPUTED_VALUE"""),"RF-00000290-TOX")</f>
        <v>RF-00000290-TOX</v>
      </c>
    </row>
    <row r="3639" spans="1:2" ht="12.5" x14ac:dyDescent="0.25">
      <c r="A3639" t="str">
        <f ca="1">IFERROR(__xludf.DUMMYFUNCTION("""COMPUTED_VALUE"""),"Locust bean gum")</f>
        <v>Locust bean gum</v>
      </c>
      <c r="B3639" t="str">
        <f ca="1">IFERROR(__xludf.DUMMYFUNCTION("""COMPUTED_VALUE"""),"RF-00000173-ADD")</f>
        <v>RF-00000173-ADD</v>
      </c>
    </row>
    <row r="3640" spans="1:2" ht="12.5" x14ac:dyDescent="0.25">
      <c r="A3640" t="str">
        <f ca="1">IFERROR(__xludf.DUMMYFUNCTION("""COMPUTED_VALUE"""),"Lufenuron")</f>
        <v>Lufenuron</v>
      </c>
      <c r="B3640" t="str">
        <f ca="1">IFERROR(__xludf.DUMMYFUNCTION("""COMPUTED_VALUE"""),"RF-0265-001-PPP")</f>
        <v>RF-0265-001-PPP</v>
      </c>
    </row>
    <row r="3641" spans="1:2" ht="12.5" x14ac:dyDescent="0.25">
      <c r="A3641" t="str">
        <f ca="1">IFERROR(__xludf.DUMMYFUNCTION("""COMPUTED_VALUE"""),"Lutein")</f>
        <v>Lutein</v>
      </c>
      <c r="B3641" t="str">
        <f ca="1">IFERROR(__xludf.DUMMYFUNCTION("""COMPUTED_VALUE"""),"RF-00000174-ADD")</f>
        <v>RF-00000174-ADD</v>
      </c>
    </row>
    <row r="3642" spans="1:2" ht="12.5" x14ac:dyDescent="0.25">
      <c r="A3642" t="str">
        <f ca="1">IFERROR(__xludf.DUMMYFUNCTION("""COMPUTED_VALUE"""),"lutein plus zeaxanthine")</f>
        <v>lutein plus zeaxanthine</v>
      </c>
      <c r="B3642" t="str">
        <f ca="1">IFERROR(__xludf.DUMMYFUNCTION("""COMPUTED_VALUE"""),"RF-00000325-NTR")</f>
        <v>RF-00000325-NTR</v>
      </c>
    </row>
    <row r="3643" spans="1:2" ht="12.5" x14ac:dyDescent="0.25">
      <c r="A3643" t="str">
        <f ca="1">IFERROR(__xludf.DUMMYFUNCTION("""COMPUTED_VALUE"""),"luteolin")</f>
        <v>luteolin</v>
      </c>
      <c r="B3643" t="str">
        <f ca="1">IFERROR(__xludf.DUMMYFUNCTION("""COMPUTED_VALUE"""),"RF-00000326-NTR")</f>
        <v>RF-00000326-NTR</v>
      </c>
    </row>
    <row r="3644" spans="1:2" ht="12.5" x14ac:dyDescent="0.25">
      <c r="A3644" t="str">
        <f ca="1">IFERROR(__xludf.DUMMYFUNCTION("""COMPUTED_VALUE"""),"Lycopene")</f>
        <v>Lycopene</v>
      </c>
      <c r="B3644" t="str">
        <f ca="1">IFERROR(__xludf.DUMMYFUNCTION("""COMPUTED_VALUE"""),"RF-00000175-ADD")</f>
        <v>RF-00000175-ADD</v>
      </c>
    </row>
    <row r="3645" spans="1:2" ht="12.5" x14ac:dyDescent="0.25">
      <c r="A3645" t="str">
        <f ca="1">IFERROR(__xludf.DUMMYFUNCTION("""COMPUTED_VALUE"""),"Lycopsamine")</f>
        <v>Lycopsamine</v>
      </c>
      <c r="B3645" t="str">
        <f ca="1">IFERROR(__xludf.DUMMYFUNCTION("""COMPUTED_VALUE"""),"RF-00000228-TOX")</f>
        <v>RF-00000228-TOX</v>
      </c>
    </row>
    <row r="3646" spans="1:2" ht="12.5" x14ac:dyDescent="0.25">
      <c r="A3646" t="str">
        <f ca="1">IFERROR(__xludf.DUMMYFUNCTION("""COMPUTED_VALUE"""),"Lycopsamine-N-oxide")</f>
        <v>Lycopsamine-N-oxide</v>
      </c>
      <c r="B3646" t="str">
        <f ca="1">IFERROR(__xludf.DUMMYFUNCTION("""COMPUTED_VALUE"""),"RF-00000360-TOX")</f>
        <v>RF-00000360-TOX</v>
      </c>
    </row>
    <row r="3647" spans="1:2" ht="12.5" x14ac:dyDescent="0.25">
      <c r="A3647" t="str">
        <f ca="1">IFERROR(__xludf.DUMMYFUNCTION("""COMPUTED_VALUE"""),"Lynestrenol")</f>
        <v>Lynestrenol</v>
      </c>
      <c r="B3647" t="str">
        <f ca="1">IFERROR(__xludf.DUMMYFUNCTION("""COMPUTED_VALUE"""),"RF-00000326-VET")</f>
        <v>RF-00000326-VET</v>
      </c>
    </row>
    <row r="3648" spans="1:2" ht="12.5" x14ac:dyDescent="0.25">
      <c r="A3648" t="str">
        <f ca="1">IFERROR(__xludf.DUMMYFUNCTION("""COMPUTED_VALUE"""),"Lysergol")</f>
        <v>Lysergol</v>
      </c>
      <c r="B3648" t="str">
        <f ca="1">IFERROR(__xludf.DUMMYFUNCTION("""COMPUTED_VALUE"""),"RF-00000408-TOX")</f>
        <v>RF-00000408-TOX</v>
      </c>
    </row>
    <row r="3649" spans="1:2" ht="12.5" x14ac:dyDescent="0.25">
      <c r="A3649" t="str">
        <f ca="1">IFERROR(__xludf.DUMMYFUNCTION("""COMPUTED_VALUE"""),"lysine")</f>
        <v>lysine</v>
      </c>
      <c r="B3649" t="str">
        <f ca="1">IFERROR(__xludf.DUMMYFUNCTION("""COMPUTED_VALUE"""),"RF-00000327-NTR")</f>
        <v>RF-00000327-NTR</v>
      </c>
    </row>
    <row r="3650" spans="1:2" ht="12.5" x14ac:dyDescent="0.25">
      <c r="A3650" t="str">
        <f ca="1">IFERROR(__xludf.DUMMYFUNCTION("""COMPUTED_VALUE"""),"lysine, available")</f>
        <v>lysine, available</v>
      </c>
      <c r="B3650" t="str">
        <f ca="1">IFERROR(__xludf.DUMMYFUNCTION("""COMPUTED_VALUE"""),"RF-00000328-NTR")</f>
        <v>RF-00000328-NTR</v>
      </c>
    </row>
    <row r="3651" spans="1:2" ht="12.5" x14ac:dyDescent="0.25">
      <c r="A3651" t="str">
        <f ca="1">IFERROR(__xludf.DUMMYFUNCTION("""COMPUTED_VALUE"""),"Lysozyme")</f>
        <v>Lysozyme</v>
      </c>
      <c r="B3651" t="str">
        <f ca="1">IFERROR(__xludf.DUMMYFUNCTION("""COMPUTED_VALUE"""),"RF-00000176-ADD")</f>
        <v>RF-00000176-ADD</v>
      </c>
    </row>
    <row r="3652" spans="1:2" ht="12.5" x14ac:dyDescent="0.25">
      <c r="A3652" t="str">
        <f ca="1">IFERROR(__xludf.DUMMYFUNCTION("""COMPUTED_VALUE"""),"Lyssavirus")</f>
        <v>Lyssavirus</v>
      </c>
      <c r="B3652" t="str">
        <f ca="1">IFERROR(__xludf.DUMMYFUNCTION("""COMPUTED_VALUE"""),"RF-00000261-MCG")</f>
        <v>RF-00000261-MCG</v>
      </c>
    </row>
    <row r="3653" spans="1:2" ht="12.5" x14ac:dyDescent="0.25">
      <c r="A3653" t="str">
        <f ca="1">IFERROR(__xludf.DUMMYFUNCTION("""COMPUTED_VALUE"""),"Lyssavirus (rabies) - EBLV-1")</f>
        <v>Lyssavirus (rabies) - EBLV-1</v>
      </c>
      <c r="B3653" t="str">
        <f ca="1">IFERROR(__xludf.DUMMYFUNCTION("""COMPUTED_VALUE"""),"RF-00000266-MCG")</f>
        <v>RF-00000266-MCG</v>
      </c>
    </row>
    <row r="3654" spans="1:2" ht="12.5" x14ac:dyDescent="0.25">
      <c r="A3654" t="str">
        <f ca="1">IFERROR(__xludf.DUMMYFUNCTION("""COMPUTED_VALUE"""),"Lyssavirus (rabies) - EBLV-2")</f>
        <v>Lyssavirus (rabies) - EBLV-2</v>
      </c>
      <c r="B3654" t="str">
        <f ca="1">IFERROR(__xludf.DUMMYFUNCTION("""COMPUTED_VALUE"""),"RF-00000265-MCG")</f>
        <v>RF-00000265-MCG</v>
      </c>
    </row>
    <row r="3655" spans="1:2" ht="12.5" x14ac:dyDescent="0.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x14ac:dyDescent="0.25">
      <c r="A3656" t="str">
        <f ca="1">IFERROR(__xludf.DUMMYFUNCTION("""COMPUTED_VALUE"""),"Lyssavirus (rabies) - Rabies virus (RABV)")</f>
        <v>Lyssavirus (rabies) - Rabies virus (RABV)</v>
      </c>
      <c r="B3656" t="str">
        <f ca="1">IFERROR(__xludf.DUMMYFUNCTION("""COMPUTED_VALUE"""),"RF-00000267-MCG")</f>
        <v>RF-00000267-MCG</v>
      </c>
    </row>
    <row r="3657" spans="1:2" ht="12.5" x14ac:dyDescent="0.25">
      <c r="A3657" t="str">
        <f ca="1">IFERROR(__xludf.DUMMYFUNCTION("""COMPUTED_VALUE"""),"Mabuterol")</f>
        <v>Mabuterol</v>
      </c>
      <c r="B3657" t="str">
        <f ca="1">IFERROR(__xludf.DUMMYFUNCTION("""COMPUTED_VALUE"""),"RF-00000458-VET")</f>
        <v>RF-00000458-VET</v>
      </c>
    </row>
    <row r="3658" spans="1:2" ht="12.5" x14ac:dyDescent="0.25">
      <c r="A3658" t="str">
        <f ca="1">IFERROR(__xludf.DUMMYFUNCTION("""COMPUTED_VALUE"""),"Macrolides")</f>
        <v>Macrolides</v>
      </c>
      <c r="B3658" t="str">
        <f ca="1">IFERROR(__xludf.DUMMYFUNCTION("""COMPUTED_VALUE"""),"RF-00000696-VET")</f>
        <v>RF-00000696-VET</v>
      </c>
    </row>
    <row r="3659" spans="1:2" ht="12.5" x14ac:dyDescent="0.25">
      <c r="A3659" t="str">
        <f ca="1">IFERROR(__xludf.DUMMYFUNCTION("""COMPUTED_VALUE"""),"Maduramicin")</f>
        <v>Maduramicin</v>
      </c>
      <c r="B3659" t="str">
        <f ca="1">IFERROR(__xludf.DUMMYFUNCTION("""COMPUTED_VALUE"""),"RF-00000075-VET")</f>
        <v>RF-00000075-VET</v>
      </c>
    </row>
    <row r="3660" spans="1:2" ht="12.5" x14ac:dyDescent="0.25">
      <c r="A3660" t="str">
        <f ca="1">IFERROR(__xludf.DUMMYFUNCTION("""COMPUTED_VALUE"""),"Maduramicin ammonium")</f>
        <v>Maduramicin ammonium</v>
      </c>
      <c r="B3660" t="str">
        <f ca="1">IFERROR(__xludf.DUMMYFUNCTION("""COMPUTED_VALUE"""),"RF-00000077-VET")</f>
        <v>RF-00000077-VET</v>
      </c>
    </row>
    <row r="3661" spans="1:2" ht="12.5" x14ac:dyDescent="0.25">
      <c r="A3661" t="str">
        <f ca="1">IFERROR(__xludf.DUMMYFUNCTION("""COMPUTED_VALUE"""),"Magnesium (Mg)")</f>
        <v>Magnesium (Mg)</v>
      </c>
      <c r="B3661" t="str">
        <f ca="1">IFERROR(__xludf.DUMMYFUNCTION("""COMPUTED_VALUE"""),"RF-00000060-CHE")</f>
        <v>RF-00000060-CHE</v>
      </c>
    </row>
    <row r="3662" spans="1:2" ht="12.5" x14ac:dyDescent="0.25">
      <c r="A3662" t="str">
        <f ca="1">IFERROR(__xludf.DUMMYFUNCTION("""COMPUTED_VALUE"""),"Magnesium and derivatives")</f>
        <v>Magnesium and derivatives</v>
      </c>
      <c r="B3662" t="str">
        <f ca="1">IFERROR(__xludf.DUMMYFUNCTION("""COMPUTED_VALUE"""),"RF-00000059-CHE")</f>
        <v>RF-00000059-CHE</v>
      </c>
    </row>
    <row r="3663" spans="1:2" ht="12.5" x14ac:dyDescent="0.25">
      <c r="A3663" t="str">
        <f ca="1">IFERROR(__xludf.DUMMYFUNCTION("""COMPUTED_VALUE"""),"Magnesium carbonates")</f>
        <v>Magnesium carbonates</v>
      </c>
      <c r="B3663" t="str">
        <f ca="1">IFERROR(__xludf.DUMMYFUNCTION("""COMPUTED_VALUE"""),"RF-00000177-ADD")</f>
        <v>RF-00000177-ADD</v>
      </c>
    </row>
    <row r="3664" spans="1:2" ht="12.5" x14ac:dyDescent="0.25">
      <c r="A3664" t="str">
        <f ca="1">IFERROR(__xludf.DUMMYFUNCTION("""COMPUTED_VALUE"""),"Magnesium chloride")</f>
        <v>Magnesium chloride</v>
      </c>
      <c r="B3664" t="str">
        <f ca="1">IFERROR(__xludf.DUMMYFUNCTION("""COMPUTED_VALUE"""),"RF-00000178-ADD")</f>
        <v>RF-00000178-ADD</v>
      </c>
    </row>
    <row r="3665" spans="1:2" ht="12.5" x14ac:dyDescent="0.25">
      <c r="A3665" t="str">
        <f ca="1">IFERROR(__xludf.DUMMYFUNCTION("""COMPUTED_VALUE"""),"Magnesium diglutamate")</f>
        <v>Magnesium diglutamate</v>
      </c>
      <c r="B3665" t="str">
        <f ca="1">IFERROR(__xludf.DUMMYFUNCTION("""COMPUTED_VALUE"""),"RF-00000179-ADD")</f>
        <v>RF-00000179-ADD</v>
      </c>
    </row>
    <row r="3666" spans="1:2" ht="12.5" x14ac:dyDescent="0.25">
      <c r="A3666" t="str">
        <f ca="1">IFERROR(__xludf.DUMMYFUNCTION("""COMPUTED_VALUE"""),"Magnesium hydroxide")</f>
        <v>Magnesium hydroxide</v>
      </c>
      <c r="B3666" t="str">
        <f ca="1">IFERROR(__xludf.DUMMYFUNCTION("""COMPUTED_VALUE"""),"RF-00000180-ADD")</f>
        <v>RF-00000180-ADD</v>
      </c>
    </row>
    <row r="3667" spans="1:2" ht="12.5" x14ac:dyDescent="0.25">
      <c r="A3667" t="str">
        <f ca="1">IFERROR(__xludf.DUMMYFUNCTION("""COMPUTED_VALUE"""),"Magnesium oxide")</f>
        <v>Magnesium oxide</v>
      </c>
      <c r="B3667" t="str">
        <f ca="1">IFERROR(__xludf.DUMMYFUNCTION("""COMPUTED_VALUE"""),"RF-00000063-CHE")</f>
        <v>RF-00000063-CHE</v>
      </c>
    </row>
    <row r="3668" spans="1:2" ht="12.5" x14ac:dyDescent="0.25">
      <c r="A3668" t="str">
        <f ca="1">IFERROR(__xludf.DUMMYFUNCTION("""COMPUTED_VALUE"""),"Magnesium phosphates")</f>
        <v>Magnesium phosphates</v>
      </c>
      <c r="B3668" t="str">
        <f ca="1">IFERROR(__xludf.DUMMYFUNCTION("""COMPUTED_VALUE"""),"RF-00000181-ADD")</f>
        <v>RF-00000181-ADD</v>
      </c>
    </row>
    <row r="3669" spans="1:2" ht="12.5" x14ac:dyDescent="0.25">
      <c r="A3669" t="str">
        <f ca="1">IFERROR(__xludf.DUMMYFUNCTION("""COMPUTED_VALUE"""),"Magnesium salts of fatty acids")</f>
        <v>Magnesium salts of fatty acids</v>
      </c>
      <c r="B3669" t="str">
        <f ca="1">IFERROR(__xludf.DUMMYFUNCTION("""COMPUTED_VALUE"""),"RF-00000182-ADD")</f>
        <v>RF-00000182-ADD</v>
      </c>
    </row>
    <row r="3670" spans="1:2" ht="12.5" x14ac:dyDescent="0.25">
      <c r="A3670" t="str">
        <f ca="1">IFERROR(__xludf.DUMMYFUNCTION("""COMPUTED_VALUE"""),"Magnesium silicate")</f>
        <v>Magnesium silicate</v>
      </c>
      <c r="B3670" t="str">
        <f ca="1">IFERROR(__xludf.DUMMYFUNCTION("""COMPUTED_VALUE"""),"RF-00000183-ADD")</f>
        <v>RF-00000183-ADD</v>
      </c>
    </row>
    <row r="3671" spans="1:2" ht="12.5" x14ac:dyDescent="0.25">
      <c r="A3671" t="str">
        <f ca="1">IFERROR(__xludf.DUMMYFUNCTION("""COMPUTED_VALUE"""),"Magnesium soluble in mineral acids")</f>
        <v>Magnesium soluble in mineral acids</v>
      </c>
      <c r="B3671" t="str">
        <f ca="1">IFERROR(__xludf.DUMMYFUNCTION("""COMPUTED_VALUE"""),"RF-00000062-CHE")</f>
        <v>RF-00000062-CHE</v>
      </c>
    </row>
    <row r="3672" spans="1:2" ht="12.5" x14ac:dyDescent="0.25">
      <c r="A3672" t="str">
        <f ca="1">IFERROR(__xludf.DUMMYFUNCTION("""COMPUTED_VALUE"""),"Magnesium soluble in water")</f>
        <v>Magnesium soluble in water</v>
      </c>
      <c r="B3672" t="str">
        <f ca="1">IFERROR(__xludf.DUMMYFUNCTION("""COMPUTED_VALUE"""),"RF-00000061-CHE")</f>
        <v>RF-00000061-CHE</v>
      </c>
    </row>
    <row r="3673" spans="1:2" ht="12.5" x14ac:dyDescent="0.25">
      <c r="A3673" t="str">
        <f ca="1">IFERROR(__xludf.DUMMYFUNCTION("""COMPUTED_VALUE"""),"Malaoxon")</f>
        <v>Malaoxon</v>
      </c>
      <c r="B3673" t="str">
        <f ca="1">IFERROR(__xludf.DUMMYFUNCTION("""COMPUTED_VALUE"""),"RF-0266-002-PPP")</f>
        <v>RF-0266-002-PPP</v>
      </c>
    </row>
    <row r="3674" spans="1:2" ht="12.5" x14ac:dyDescent="0.25">
      <c r="A3674" t="str">
        <f ca="1">IFERROR(__xludf.DUMMYFUNCTION("""COMPUTED_VALUE"""),"Malathion")</f>
        <v>Malathion</v>
      </c>
      <c r="B3674" t="str">
        <f ca="1">IFERROR(__xludf.DUMMYFUNCTION("""COMPUTED_VALUE"""),"RF-0266-003-PPP")</f>
        <v>RF-0266-003-PPP</v>
      </c>
    </row>
    <row r="3675" spans="1:2" ht="12.5" x14ac:dyDescent="0.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x14ac:dyDescent="0.25">
      <c r="A3676" t="str">
        <f ca="1">IFERROR(__xludf.DUMMYFUNCTION("""COMPUTED_VALUE"""),"Maleic hydrazide")</f>
        <v>Maleic hydrazide</v>
      </c>
      <c r="B3676" t="str">
        <f ca="1">IFERROR(__xludf.DUMMYFUNCTION("""COMPUTED_VALUE"""),"RF-0267-001-PPP")</f>
        <v>RF-0267-001-PPP</v>
      </c>
    </row>
    <row r="3677" spans="1:2" ht="12.5" x14ac:dyDescent="0.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x14ac:dyDescent="0.25">
      <c r="A3678" t="str">
        <f ca="1">IFERROR(__xludf.DUMMYFUNCTION("""COMPUTED_VALUE"""),"Malic acid")</f>
        <v>Malic acid</v>
      </c>
      <c r="B3678" t="str">
        <f ca="1">IFERROR(__xludf.DUMMYFUNCTION("""COMPUTED_VALUE"""),"RF-00000184-ADD")</f>
        <v>RF-00000184-ADD</v>
      </c>
    </row>
    <row r="3679" spans="1:2" ht="12.5" x14ac:dyDescent="0.25">
      <c r="A3679" t="str">
        <f ca="1">IFERROR(__xludf.DUMMYFUNCTION("""COMPUTED_VALUE"""),"Maltitols")</f>
        <v>Maltitols</v>
      </c>
      <c r="B3679" t="str">
        <f ca="1">IFERROR(__xludf.DUMMYFUNCTION("""COMPUTED_VALUE"""),"RF-00000185-ADD")</f>
        <v>RF-00000185-ADD</v>
      </c>
    </row>
    <row r="3680" spans="1:2" ht="12.5" x14ac:dyDescent="0.25">
      <c r="A3680" t="str">
        <f ca="1">IFERROR(__xludf.DUMMYFUNCTION("""COMPUTED_VALUE"""),"maltose")</f>
        <v>maltose</v>
      </c>
      <c r="B3680" t="str">
        <f ca="1">IFERROR(__xludf.DUMMYFUNCTION("""COMPUTED_VALUE"""),"RF-00000329-NTR")</f>
        <v>RF-00000329-NTR</v>
      </c>
    </row>
    <row r="3681" spans="1:2" ht="12.5" x14ac:dyDescent="0.25">
      <c r="A3681" t="str">
        <f ca="1">IFERROR(__xludf.DUMMYFUNCTION("""COMPUTED_VALUE"""),"maltotriose")</f>
        <v>maltotriose</v>
      </c>
      <c r="B3681" t="str">
        <f ca="1">IFERROR(__xludf.DUMMYFUNCTION("""COMPUTED_VALUE"""),"RF-00000330-NTR")</f>
        <v>RF-00000330-NTR</v>
      </c>
    </row>
    <row r="3682" spans="1:2" ht="12.5" x14ac:dyDescent="0.25">
      <c r="A3682" t="str">
        <f ca="1">IFERROR(__xludf.DUMMYFUNCTION("""COMPUTED_VALUE"""),"Mamastrovirus")</f>
        <v>Mamastrovirus</v>
      </c>
      <c r="B3682" t="str">
        <f ca="1">IFERROR(__xludf.DUMMYFUNCTION("""COMPUTED_VALUE"""),"RF-00000222-MCG")</f>
        <v>RF-00000222-MCG</v>
      </c>
    </row>
    <row r="3683" spans="1:2" ht="12.5" x14ac:dyDescent="0.25">
      <c r="A3683" t="str">
        <f ca="1">IFERROR(__xludf.DUMMYFUNCTION("""COMPUTED_VALUE"""),"Mancozeb")</f>
        <v>Mancozeb</v>
      </c>
      <c r="B3683" t="str">
        <f ca="1">IFERROR(__xludf.DUMMYFUNCTION("""COMPUTED_VALUE"""),"RF-0151-004-PPP")</f>
        <v>RF-0151-004-PPP</v>
      </c>
    </row>
    <row r="3684" spans="1:2" ht="12.5" x14ac:dyDescent="0.25">
      <c r="A3684" t="str">
        <f ca="1">IFERROR(__xludf.DUMMYFUNCTION("""COMPUTED_VALUE"""),"Mandipropamid")</f>
        <v>Mandipropamid</v>
      </c>
      <c r="B3684" t="str">
        <f ca="1">IFERROR(__xludf.DUMMYFUNCTION("""COMPUTED_VALUE"""),"RF-0268-001-PPP")</f>
        <v>RF-0268-001-PPP</v>
      </c>
    </row>
    <row r="3685" spans="1:2" ht="12.5" x14ac:dyDescent="0.25">
      <c r="A3685" t="str">
        <f ca="1">IFERROR(__xludf.DUMMYFUNCTION("""COMPUTED_VALUE"""),"Maneb")</f>
        <v>Maneb</v>
      </c>
      <c r="B3685" t="str">
        <f ca="1">IFERROR(__xludf.DUMMYFUNCTION("""COMPUTED_VALUE"""),"RF-0151-003-PPP")</f>
        <v>RF-0151-003-PPP</v>
      </c>
    </row>
    <row r="3686" spans="1:2" ht="12.5" x14ac:dyDescent="0.25">
      <c r="A3686" t="str">
        <f ca="1">IFERROR(__xludf.DUMMYFUNCTION("""COMPUTED_VALUE"""),"Manganese (Mn)")</f>
        <v>Manganese (Mn)</v>
      </c>
      <c r="B3686" t="str">
        <f ca="1">IFERROR(__xludf.DUMMYFUNCTION("""COMPUTED_VALUE"""),"RF-00000176-CHE")</f>
        <v>RF-00000176-CHE</v>
      </c>
    </row>
    <row r="3687" spans="1:2" ht="12.5" x14ac:dyDescent="0.25">
      <c r="A3687" t="str">
        <f ca="1">IFERROR(__xludf.DUMMYFUNCTION("""COMPUTED_VALUE"""),"Manganese and derivatives")</f>
        <v>Manganese and derivatives</v>
      </c>
      <c r="B3687" t="str">
        <f ca="1">IFERROR(__xludf.DUMMYFUNCTION("""COMPUTED_VALUE"""),"RF-00000175-CHE")</f>
        <v>RF-00000175-CHE</v>
      </c>
    </row>
    <row r="3688" spans="1:2" ht="12.5" x14ac:dyDescent="0.25">
      <c r="A3688" t="str">
        <f ca="1">IFERROR(__xludf.DUMMYFUNCTION("""COMPUTED_VALUE"""),"Mannitol")</f>
        <v>Mannitol</v>
      </c>
      <c r="B3688" t="str">
        <f ca="1">IFERROR(__xludf.DUMMYFUNCTION("""COMPUTED_VALUE"""),"RF-00000186-ADD")</f>
        <v>RF-00000186-ADD</v>
      </c>
    </row>
    <row r="3689" spans="1:2" ht="12.5" x14ac:dyDescent="0.25">
      <c r="A3689" t="str">
        <f ca="1">IFERROR(__xludf.DUMMYFUNCTION("""COMPUTED_VALUE"""),"Mapenterol")</f>
        <v>Mapenterol</v>
      </c>
      <c r="B3689" t="str">
        <f ca="1">IFERROR(__xludf.DUMMYFUNCTION("""COMPUTED_VALUE"""),"RF-00000453-VET")</f>
        <v>RF-00000453-VET</v>
      </c>
    </row>
    <row r="3690" spans="1:2" ht="12.5" x14ac:dyDescent="0.25">
      <c r="A3690" t="str">
        <f ca="1">IFERROR(__xludf.DUMMYFUNCTION("""COMPUTED_VALUE"""),"Marbofloxacin")</f>
        <v>Marbofloxacin</v>
      </c>
      <c r="B3690" t="str">
        <f ca="1">IFERROR(__xludf.DUMMYFUNCTION("""COMPUTED_VALUE"""),"RF-00000636-VET")</f>
        <v>RF-00000636-VET</v>
      </c>
    </row>
    <row r="3691" spans="1:2" ht="12.5" x14ac:dyDescent="0.25">
      <c r="A3691" t="str">
        <f ca="1">IFERROR(__xludf.DUMMYFUNCTION("""COMPUTED_VALUE"""),"Marine biotoxins")</f>
        <v>Marine biotoxins</v>
      </c>
      <c r="B3691" t="str">
        <f ca="1">IFERROR(__xludf.DUMMYFUNCTION("""COMPUTED_VALUE"""),"RF-00000009-TOX")</f>
        <v>RF-00000009-TOX</v>
      </c>
    </row>
    <row r="3692" spans="1:2" ht="12.5" x14ac:dyDescent="0.25">
      <c r="A3692" t="str">
        <f ca="1">IFERROR(__xludf.DUMMYFUNCTION("""COMPUTED_VALUE"""),"Marine biotoxins - ciguatoxin")</f>
        <v>Marine biotoxins - ciguatoxin</v>
      </c>
      <c r="B3692" t="str">
        <f ca="1">IFERROR(__xludf.DUMMYFUNCTION("""COMPUTED_VALUE"""),"RF-00000450-TOX")</f>
        <v>RF-00000450-TOX</v>
      </c>
    </row>
    <row r="3693" spans="1:2" ht="12.5" x14ac:dyDescent="0.25">
      <c r="A3693" t="str">
        <f ca="1">IFERROR(__xludf.DUMMYFUNCTION("""COMPUTED_VALUE"""),"Marine biotoxins - muscle-paralysing toxin")</f>
        <v>Marine biotoxins - muscle-paralysing toxin</v>
      </c>
      <c r="B3693" t="str">
        <f ca="1">IFERROR(__xludf.DUMMYFUNCTION("""COMPUTED_VALUE"""),"RF-00000451-TOX")</f>
        <v>RF-00000451-TOX</v>
      </c>
    </row>
    <row r="3694" spans="1:2" ht="12.5" x14ac:dyDescent="0.25">
      <c r="A3694" t="str">
        <f ca="1">IFERROR(__xludf.DUMMYFUNCTION("""COMPUTED_VALUE"""),"Mascarenotoxin A")</f>
        <v>Mascarenotoxin A</v>
      </c>
      <c r="B3694" t="str">
        <f ca="1">IFERROR(__xludf.DUMMYFUNCTION("""COMPUTED_VALUE"""),"RF-00000073-TOX")</f>
        <v>RF-00000073-TOX</v>
      </c>
    </row>
    <row r="3695" spans="1:2" ht="12.5" x14ac:dyDescent="0.25">
      <c r="A3695" t="str">
        <f ca="1">IFERROR(__xludf.DUMMYFUNCTION("""COMPUTED_VALUE"""),"Mascarenotoxin B")</f>
        <v>Mascarenotoxin B</v>
      </c>
      <c r="B3695" t="str">
        <f ca="1">IFERROR(__xludf.DUMMYFUNCTION("""COMPUTED_VALUE"""),"RF-00000074-TOX")</f>
        <v>RF-00000074-TOX</v>
      </c>
    </row>
    <row r="3696" spans="1:2" ht="12.5" x14ac:dyDescent="0.25">
      <c r="A3696" t="str">
        <f ca="1">IFERROR(__xludf.DUMMYFUNCTION("""COMPUTED_VALUE"""),"matairesinol")</f>
        <v>matairesinol</v>
      </c>
      <c r="B3696" t="str">
        <f ca="1">IFERROR(__xludf.DUMMYFUNCTION("""COMPUTED_VALUE"""),"RF-00000331-NTR")</f>
        <v>RF-00000331-NTR</v>
      </c>
    </row>
    <row r="3697" spans="1:2" ht="12.5" x14ac:dyDescent="0.25">
      <c r="A3697" t="str">
        <f ca="1">IFERROR(__xludf.DUMMYFUNCTION("""COMPUTED_VALUE"""),"MCPA")</f>
        <v>MCPA</v>
      </c>
      <c r="B3697" t="str">
        <f ca="1">IFERROR(__xludf.DUMMYFUNCTION("""COMPUTED_VALUE"""),"RF-0271-005-PPP")</f>
        <v>RF-0271-005-PPP</v>
      </c>
    </row>
    <row r="3698" spans="1:2" ht="12.5" x14ac:dyDescent="0.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x14ac:dyDescent="0.25">
      <c r="A3699" t="str">
        <f ca="1">IFERROR(__xludf.DUMMYFUNCTION("""COMPUTED_VALUE"""),"MCPA-methyl")</f>
        <v>MCPA-methyl</v>
      </c>
      <c r="B3699" t="str">
        <f ca="1">IFERROR(__xludf.DUMMYFUNCTION("""COMPUTED_VALUE"""),"RF-0271-007-PPP")</f>
        <v>RF-0271-007-PPP</v>
      </c>
    </row>
    <row r="3700" spans="1:2" ht="12.5" x14ac:dyDescent="0.25">
      <c r="A3700" t="str">
        <f ca="1">IFERROR(__xludf.DUMMYFUNCTION("""COMPUTED_VALUE"""),"MCPA, 2-Ethylhexyl-")</f>
        <v>MCPA, 2-Ethylhexyl-</v>
      </c>
      <c r="B3700" t="str">
        <f ca="1">IFERROR(__xludf.DUMMYFUNCTION("""COMPUTED_VALUE"""),"RF-0271-003-PPP")</f>
        <v>RF-0271-003-PPP</v>
      </c>
    </row>
    <row r="3701" spans="1:2" ht="12.5" x14ac:dyDescent="0.25">
      <c r="A3701" t="str">
        <f ca="1">IFERROR(__xludf.DUMMYFUNCTION("""COMPUTED_VALUE"""),"MCPA, Butotyl-")</f>
        <v>MCPA, Butotyl-</v>
      </c>
      <c r="B3701" t="str">
        <f ca="1">IFERROR(__xludf.DUMMYFUNCTION("""COMPUTED_VALUE"""),"RF-0271-001-PPP")</f>
        <v>RF-0271-001-PPP</v>
      </c>
    </row>
    <row r="3702" spans="1:2" ht="12.5" x14ac:dyDescent="0.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x14ac:dyDescent="0.25">
      <c r="A3703" t="str">
        <f ca="1">IFERROR(__xludf.DUMMYFUNCTION("""COMPUTED_VALUE"""),"MCPB")</f>
        <v>MCPB</v>
      </c>
      <c r="B3703" t="str">
        <f ca="1">IFERROR(__xludf.DUMMYFUNCTION("""COMPUTED_VALUE"""),"RF-0271-002-PPP")</f>
        <v>RF-0271-002-PPP</v>
      </c>
    </row>
    <row r="3704" spans="1:2" ht="12.5" x14ac:dyDescent="0.25">
      <c r="A3704" t="str">
        <f ca="1">IFERROR(__xludf.DUMMYFUNCTION("""COMPUTED_VALUE"""),"MCPP-P")</f>
        <v>MCPP-P</v>
      </c>
      <c r="B3704" t="str">
        <f ca="1">IFERROR(__xludf.DUMMYFUNCTION("""COMPUTED_VALUE"""),"RF-0273-002-PPP")</f>
        <v>RF-0273-002-PPP</v>
      </c>
    </row>
    <row r="3705" spans="1:2" ht="12.5" x14ac:dyDescent="0.25">
      <c r="A3705" t="str">
        <f ca="1">IFERROR(__xludf.DUMMYFUNCTION("""COMPUTED_VALUE"""),"Mebendazole")</f>
        <v>Mebendazole</v>
      </c>
      <c r="B3705" t="str">
        <f ca="1">IFERROR(__xludf.DUMMYFUNCTION("""COMPUTED_VALUE"""),"RF-00000048-VET")</f>
        <v>RF-00000048-VET</v>
      </c>
    </row>
    <row r="3706" spans="1:2" ht="12.5" x14ac:dyDescent="0.25">
      <c r="A3706" t="str">
        <f ca="1">IFERROR(__xludf.DUMMYFUNCTION("""COMPUTED_VALUE"""),"Mebendazole")</f>
        <v>Mebendazole</v>
      </c>
      <c r="B3706" t="str">
        <f ca="1">IFERROR(__xludf.DUMMYFUNCTION("""COMPUTED_VALUE"""),"RF-0980-001-PPP")</f>
        <v>RF-0980-001-PPP</v>
      </c>
    </row>
    <row r="3707" spans="1:2" ht="12.5" x14ac:dyDescent="0.25">
      <c r="A3707" t="str">
        <f ca="1">IFERROR(__xludf.DUMMYFUNCTION("""COMPUTED_VALUE"""),"Mecarbam")</f>
        <v>Mecarbam</v>
      </c>
      <c r="B3707" t="str">
        <f ca="1">IFERROR(__xludf.DUMMYFUNCTION("""COMPUTED_VALUE"""),"RF-0272-001-PPP")</f>
        <v>RF-0272-001-PPP</v>
      </c>
    </row>
    <row r="3708" spans="1:2" ht="12.5" x14ac:dyDescent="0.25">
      <c r="A3708" t="str">
        <f ca="1">IFERROR(__xludf.DUMMYFUNCTION("""COMPUTED_VALUE"""),"Mecofonamic-Acid")</f>
        <v>Mecofonamic-Acid</v>
      </c>
      <c r="B3708" t="str">
        <f ca="1">IFERROR(__xludf.DUMMYFUNCTION("""COMPUTED_VALUE"""),"RF-00000204-VET")</f>
        <v>RF-00000204-VET</v>
      </c>
    </row>
    <row r="3709" spans="1:2" ht="12.5" x14ac:dyDescent="0.25">
      <c r="A3709" t="str">
        <f ca="1">IFERROR(__xludf.DUMMYFUNCTION("""COMPUTED_VALUE"""),"Mecoprop")</f>
        <v>Mecoprop</v>
      </c>
      <c r="B3709" t="str">
        <f ca="1">IFERROR(__xludf.DUMMYFUNCTION("""COMPUTED_VALUE"""),"RF-0273-003-PPP")</f>
        <v>RF-0273-003-PPP</v>
      </c>
    </row>
    <row r="3710" spans="1:2" ht="12.5" x14ac:dyDescent="0.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x14ac:dyDescent="0.25">
      <c r="A3711" t="str">
        <f ca="1">IFERROR(__xludf.DUMMYFUNCTION("""COMPUTED_VALUE"""),"Medinoterb")</f>
        <v>Medinoterb</v>
      </c>
      <c r="B3711" t="str">
        <f ca="1">IFERROR(__xludf.DUMMYFUNCTION("""COMPUTED_VALUE"""),"RF-1036-001-PPP")</f>
        <v>RF-1036-001-PPP</v>
      </c>
    </row>
    <row r="3712" spans="1:2" ht="12.5" x14ac:dyDescent="0.25">
      <c r="A3712" t="str">
        <f ca="1">IFERROR(__xludf.DUMMYFUNCTION("""COMPUTED_VALUE"""),"Medroxyprogesteron acetate")</f>
        <v>Medroxyprogesteron acetate</v>
      </c>
      <c r="B3712" t="str">
        <f ca="1">IFERROR(__xludf.DUMMYFUNCTION("""COMPUTED_VALUE"""),"RF-00000344-VET")</f>
        <v>RF-00000344-VET</v>
      </c>
    </row>
    <row r="3713" spans="1:2" ht="12.5" x14ac:dyDescent="0.25">
      <c r="A3713" t="str">
        <f ca="1">IFERROR(__xludf.DUMMYFUNCTION("""COMPUTED_VALUE"""),"Medroxyprogesterone")</f>
        <v>Medroxyprogesterone</v>
      </c>
      <c r="B3713" t="str">
        <f ca="1">IFERROR(__xludf.DUMMYFUNCTION("""COMPUTED_VALUE"""),"RF-00000317-VET")</f>
        <v>RF-00000317-VET</v>
      </c>
    </row>
    <row r="3714" spans="1:2" ht="12.5" x14ac:dyDescent="0.25">
      <c r="A3714" t="str">
        <f ca="1">IFERROR(__xludf.DUMMYFUNCTION("""COMPUTED_VALUE"""),"Mefenacet")</f>
        <v>Mefenacet</v>
      </c>
      <c r="B3714" t="str">
        <f ca="1">IFERROR(__xludf.DUMMYFUNCTION("""COMPUTED_VALUE"""),"RF-0776-001-PPP")</f>
        <v>RF-0776-001-PPP</v>
      </c>
    </row>
    <row r="3715" spans="1:2" ht="12.5" x14ac:dyDescent="0.25">
      <c r="A3715" t="str">
        <f ca="1">IFERROR(__xludf.DUMMYFUNCTION("""COMPUTED_VALUE"""),"Mefenamic Acid")</f>
        <v>Mefenamic Acid</v>
      </c>
      <c r="B3715" t="str">
        <f ca="1">IFERROR(__xludf.DUMMYFUNCTION("""COMPUTED_VALUE"""),"RF-00000238-VET")</f>
        <v>RF-00000238-VET</v>
      </c>
    </row>
    <row r="3716" spans="1:2" ht="12.5" x14ac:dyDescent="0.25">
      <c r="A3716" t="str">
        <f ca="1">IFERROR(__xludf.DUMMYFUNCTION("""COMPUTED_VALUE"""),"Mefenpyr")</f>
        <v>Mefenpyr</v>
      </c>
      <c r="B3716" t="str">
        <f ca="1">IFERROR(__xludf.DUMMYFUNCTION("""COMPUTED_VALUE"""),"RF-0777-001-PPP")</f>
        <v>RF-0777-001-PPP</v>
      </c>
    </row>
    <row r="3717" spans="1:2" ht="12.5" x14ac:dyDescent="0.25">
      <c r="A3717" t="str">
        <f ca="1">IFERROR(__xludf.DUMMYFUNCTION("""COMPUTED_VALUE"""),"Mefenpyr-diethyl")</f>
        <v>Mefenpyr-diethyl</v>
      </c>
      <c r="B3717" t="str">
        <f ca="1">IFERROR(__xludf.DUMMYFUNCTION("""COMPUTED_VALUE"""),"RF-00000026-PAR")</f>
        <v>RF-00000026-PAR</v>
      </c>
    </row>
    <row r="3718" spans="1:2" ht="12.5" x14ac:dyDescent="0.25">
      <c r="A3718" t="str">
        <f ca="1">IFERROR(__xludf.DUMMYFUNCTION("""COMPUTED_VALUE"""),"Mefluidide")</f>
        <v>Mefluidide</v>
      </c>
      <c r="B3718" t="str">
        <f ca="1">IFERROR(__xludf.DUMMYFUNCTION("""COMPUTED_VALUE"""),"RF-0778-001-PPP")</f>
        <v>RF-0778-001-PPP</v>
      </c>
    </row>
    <row r="3719" spans="1:2" ht="12.5" x14ac:dyDescent="0.25">
      <c r="A3719" t="str">
        <f ca="1">IFERROR(__xludf.DUMMYFUNCTION("""COMPUTED_VALUE"""),"Megestrol")</f>
        <v>Megestrol</v>
      </c>
      <c r="B3719" t="str">
        <f ca="1">IFERROR(__xludf.DUMMYFUNCTION("""COMPUTED_VALUE"""),"RF-00000345-VET")</f>
        <v>RF-00000345-VET</v>
      </c>
    </row>
    <row r="3720" spans="1:2" ht="12.5" x14ac:dyDescent="0.25">
      <c r="A3720" t="str">
        <f ca="1">IFERROR(__xludf.DUMMYFUNCTION("""COMPUTED_VALUE"""),"Megestrol acetate")</f>
        <v>Megestrol acetate</v>
      </c>
      <c r="B3720" t="str">
        <f ca="1">IFERROR(__xludf.DUMMYFUNCTION("""COMPUTED_VALUE"""),"RF-00000336-VET")</f>
        <v>RF-00000336-VET</v>
      </c>
    </row>
    <row r="3721" spans="1:2" ht="12.5" x14ac:dyDescent="0.25">
      <c r="A3721" t="str">
        <f ca="1">IFERROR(__xludf.DUMMYFUNCTION("""COMPUTED_VALUE"""),"Melamine")</f>
        <v>Melamine</v>
      </c>
      <c r="B3721" t="str">
        <f ca="1">IFERROR(__xludf.DUMMYFUNCTION("""COMPUTED_VALUE"""),"RF-00000210-CHE")</f>
        <v>RF-00000210-CHE</v>
      </c>
    </row>
    <row r="3722" spans="1:2" ht="12.5" x14ac:dyDescent="0.25">
      <c r="A3722" t="str">
        <f ca="1">IFERROR(__xludf.DUMMYFUNCTION("""COMPUTED_VALUE"""),"Melamine and analogues")</f>
        <v>Melamine and analogues</v>
      </c>
      <c r="B3722" t="str">
        <f ca="1">IFERROR(__xludf.DUMMYFUNCTION("""COMPUTED_VALUE"""),"RF-00000003-PAR")</f>
        <v>RF-00000003-PAR</v>
      </c>
    </row>
    <row r="3723" spans="1:2" ht="12.5" x14ac:dyDescent="0.25">
      <c r="A3723" t="str">
        <f ca="1">IFERROR(__xludf.DUMMYFUNCTION("""COMPUTED_VALUE"""),"Melengestrol")</f>
        <v>Melengestrol</v>
      </c>
      <c r="B3723" t="str">
        <f ca="1">IFERROR(__xludf.DUMMYFUNCTION("""COMPUTED_VALUE"""),"RF-00000338-VET")</f>
        <v>RF-00000338-VET</v>
      </c>
    </row>
    <row r="3724" spans="1:2" ht="12.5" x14ac:dyDescent="0.25">
      <c r="A3724" t="str">
        <f ca="1">IFERROR(__xludf.DUMMYFUNCTION("""COMPUTED_VALUE"""),"Melengestrol acetate")</f>
        <v>Melengestrol acetate</v>
      </c>
      <c r="B3724" t="str">
        <f ca="1">IFERROR(__xludf.DUMMYFUNCTION("""COMPUTED_VALUE"""),"RF-00000316-VET")</f>
        <v>RF-00000316-VET</v>
      </c>
    </row>
    <row r="3725" spans="1:2" ht="12.5" x14ac:dyDescent="0.25">
      <c r="A3725" t="str">
        <f ca="1">IFERROR(__xludf.DUMMYFUNCTION("""COMPUTED_VALUE"""),"Meloxicam")</f>
        <v>Meloxicam</v>
      </c>
      <c r="B3725" t="str">
        <f ca="1">IFERROR(__xludf.DUMMYFUNCTION("""COMPUTED_VALUE"""),"RF-00000222-VET")</f>
        <v>RF-00000222-VET</v>
      </c>
    </row>
    <row r="3726" spans="1:2" ht="12.5" x14ac:dyDescent="0.25">
      <c r="A3726" t="str">
        <f ca="1">IFERROR(__xludf.DUMMYFUNCTION("""COMPUTED_VALUE"""),"Menaquinone-10")</f>
        <v>Menaquinone-10</v>
      </c>
      <c r="B3726" t="str">
        <f ca="1">IFERROR(__xludf.DUMMYFUNCTION("""COMPUTED_VALUE"""),"RF-00000333-NTR")</f>
        <v>RF-00000333-NTR</v>
      </c>
    </row>
    <row r="3727" spans="1:2" ht="12.5" x14ac:dyDescent="0.25">
      <c r="A3727" t="str">
        <f ca="1">IFERROR(__xludf.DUMMYFUNCTION("""COMPUTED_VALUE"""),"Menaquinone-11")</f>
        <v>Menaquinone-11</v>
      </c>
      <c r="B3727" t="str">
        <f ca="1">IFERROR(__xludf.DUMMYFUNCTION("""COMPUTED_VALUE"""),"RF-00000334-NTR")</f>
        <v>RF-00000334-NTR</v>
      </c>
    </row>
    <row r="3728" spans="1:2" ht="12.5" x14ac:dyDescent="0.25">
      <c r="A3728" t="str">
        <f ca="1">IFERROR(__xludf.DUMMYFUNCTION("""COMPUTED_VALUE"""),"Menaquinone-12")</f>
        <v>Menaquinone-12</v>
      </c>
      <c r="B3728" t="str">
        <f ca="1">IFERROR(__xludf.DUMMYFUNCTION("""COMPUTED_VALUE"""),"RF-00000335-NTR")</f>
        <v>RF-00000335-NTR</v>
      </c>
    </row>
    <row r="3729" spans="1:2" ht="12.5" x14ac:dyDescent="0.25">
      <c r="A3729" t="str">
        <f ca="1">IFERROR(__xludf.DUMMYFUNCTION("""COMPUTED_VALUE"""),"Menaquinone-13")</f>
        <v>Menaquinone-13</v>
      </c>
      <c r="B3729" t="str">
        <f ca="1">IFERROR(__xludf.DUMMYFUNCTION("""COMPUTED_VALUE"""),"RF-00000336-NTR")</f>
        <v>RF-00000336-NTR</v>
      </c>
    </row>
    <row r="3730" spans="1:2" ht="12.5" x14ac:dyDescent="0.25">
      <c r="A3730" t="str">
        <f ca="1">IFERROR(__xludf.DUMMYFUNCTION("""COMPUTED_VALUE"""),"Menaquinone-4")</f>
        <v>Menaquinone-4</v>
      </c>
      <c r="B3730" t="str">
        <f ca="1">IFERROR(__xludf.DUMMYFUNCTION("""COMPUTED_VALUE"""),"RF-00000337-NTR")</f>
        <v>RF-00000337-NTR</v>
      </c>
    </row>
    <row r="3731" spans="1:2" ht="12.5" x14ac:dyDescent="0.25">
      <c r="A3731" t="str">
        <f ca="1">IFERROR(__xludf.DUMMYFUNCTION("""COMPUTED_VALUE"""),"Menaquinone-5")</f>
        <v>Menaquinone-5</v>
      </c>
      <c r="B3731" t="str">
        <f ca="1">IFERROR(__xludf.DUMMYFUNCTION("""COMPUTED_VALUE"""),"RF-00000338-NTR")</f>
        <v>RF-00000338-NTR</v>
      </c>
    </row>
    <row r="3732" spans="1:2" ht="12.5" x14ac:dyDescent="0.25">
      <c r="A3732" t="str">
        <f ca="1">IFERROR(__xludf.DUMMYFUNCTION("""COMPUTED_VALUE"""),"Menaquinone-6")</f>
        <v>Menaquinone-6</v>
      </c>
      <c r="B3732" t="str">
        <f ca="1">IFERROR(__xludf.DUMMYFUNCTION("""COMPUTED_VALUE"""),"RF-00000339-NTR")</f>
        <v>RF-00000339-NTR</v>
      </c>
    </row>
    <row r="3733" spans="1:2" ht="12.5" x14ac:dyDescent="0.25">
      <c r="A3733" t="str">
        <f ca="1">IFERROR(__xludf.DUMMYFUNCTION("""COMPUTED_VALUE"""),"Menaquinone-7")</f>
        <v>Menaquinone-7</v>
      </c>
      <c r="B3733" t="str">
        <f ca="1">IFERROR(__xludf.DUMMYFUNCTION("""COMPUTED_VALUE"""),"RF-00000340-NTR")</f>
        <v>RF-00000340-NTR</v>
      </c>
    </row>
    <row r="3734" spans="1:2" ht="12.5" x14ac:dyDescent="0.25">
      <c r="A3734" t="str">
        <f ca="1">IFERROR(__xludf.DUMMYFUNCTION("""COMPUTED_VALUE"""),"Menaquinone-8")</f>
        <v>Menaquinone-8</v>
      </c>
      <c r="B3734" t="str">
        <f ca="1">IFERROR(__xludf.DUMMYFUNCTION("""COMPUTED_VALUE"""),"RF-00000341-NTR")</f>
        <v>RF-00000341-NTR</v>
      </c>
    </row>
    <row r="3735" spans="1:2" ht="12.5" x14ac:dyDescent="0.25">
      <c r="A3735" t="str">
        <f ca="1">IFERROR(__xludf.DUMMYFUNCTION("""COMPUTED_VALUE"""),"Menaquinone-9")</f>
        <v>Menaquinone-9</v>
      </c>
      <c r="B3735" t="str">
        <f ca="1">IFERROR(__xludf.DUMMYFUNCTION("""COMPUTED_VALUE"""),"RF-00000342-NTR")</f>
        <v>RF-00000342-NTR</v>
      </c>
    </row>
    <row r="3736" spans="1:2" ht="12.5" x14ac:dyDescent="0.25">
      <c r="A3736" t="str">
        <f ca="1">IFERROR(__xludf.DUMMYFUNCTION("""COMPUTED_VALUE"""),"Menaquinones")</f>
        <v>Menaquinones</v>
      </c>
      <c r="B3736" t="str">
        <f ca="1">IFERROR(__xludf.DUMMYFUNCTION("""COMPUTED_VALUE"""),"RF-00000332-NTR")</f>
        <v>RF-00000332-NTR</v>
      </c>
    </row>
    <row r="3737" spans="1:2" ht="12.5" x14ac:dyDescent="0.25">
      <c r="A3737" t="str">
        <f ca="1">IFERROR(__xludf.DUMMYFUNCTION("""COMPUTED_VALUE"""),"Menichlopholan")</f>
        <v>Menichlopholan</v>
      </c>
      <c r="B3737" t="str">
        <f ca="1">IFERROR(__xludf.DUMMYFUNCTION("""COMPUTED_VALUE"""),"RF-00000028-VET")</f>
        <v>RF-00000028-VET</v>
      </c>
    </row>
    <row r="3738" spans="1:2" ht="12.5" x14ac:dyDescent="0.25">
      <c r="A3738" t="str">
        <f ca="1">IFERROR(__xludf.DUMMYFUNCTION("""COMPUTED_VALUE"""),"Mepanipyrim")</f>
        <v>Mepanipyrim</v>
      </c>
      <c r="B3738" t="str">
        <f ca="1">IFERROR(__xludf.DUMMYFUNCTION("""COMPUTED_VALUE"""),"RF-0274-002-PPP")</f>
        <v>RF-0274-002-PPP</v>
      </c>
    </row>
    <row r="3739" spans="1:2" ht="12.5" x14ac:dyDescent="0.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x14ac:dyDescent="0.25">
      <c r="A3740" t="str">
        <f ca="1">IFERROR(__xludf.DUMMYFUNCTION("""COMPUTED_VALUE"""),"Mephosfolan")</f>
        <v>Mephosfolan</v>
      </c>
      <c r="B3740" t="str">
        <f ca="1">IFERROR(__xludf.DUMMYFUNCTION("""COMPUTED_VALUE"""),"RF-0779-001-PPP")</f>
        <v>RF-0779-001-PPP</v>
      </c>
    </row>
    <row r="3741" spans="1:2" ht="12.5" x14ac:dyDescent="0.25">
      <c r="A3741" t="str">
        <f ca="1">IFERROR(__xludf.DUMMYFUNCTION("""COMPUTED_VALUE"""),"Mepiquat")</f>
        <v>Mepiquat</v>
      </c>
      <c r="B3741" t="str">
        <f ca="1">IFERROR(__xludf.DUMMYFUNCTION("""COMPUTED_VALUE"""),"RF-0275-001-PPP")</f>
        <v>RF-0275-001-PPP</v>
      </c>
    </row>
    <row r="3742" spans="1:2" ht="12.5" x14ac:dyDescent="0.25">
      <c r="A3742" t="str">
        <f ca="1">IFERROR(__xludf.DUMMYFUNCTION("""COMPUTED_VALUE"""),"Mepronil")</f>
        <v>Mepronil</v>
      </c>
      <c r="B3742" t="str">
        <f ca="1">IFERROR(__xludf.DUMMYFUNCTION("""COMPUTED_VALUE"""),"RF-0780-001-PPP")</f>
        <v>RF-0780-001-PPP</v>
      </c>
    </row>
    <row r="3743" spans="1:2" ht="12.5" x14ac:dyDescent="0.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x14ac:dyDescent="0.25">
      <c r="A3744" t="str">
        <f ca="1">IFERROR(__xludf.DUMMYFUNCTION("""COMPUTED_VALUE"""),"Mercaptobenzimidazole (2-Benzimidazolethiol)")</f>
        <v>Mercaptobenzimidazole (2-Benzimidazolethiol)</v>
      </c>
      <c r="B3744" t="str">
        <f ca="1">IFERROR(__xludf.DUMMYFUNCTION("""COMPUTED_VALUE"""),"RF-00000031-VET")</f>
        <v>RF-00000031-VET</v>
      </c>
    </row>
    <row r="3745" spans="1:2" ht="12.5" x14ac:dyDescent="0.25">
      <c r="A3745" t="str">
        <f ca="1">IFERROR(__xludf.DUMMYFUNCTION("""COMPUTED_VALUE"""),"Mercaptodimethur (Methiocarb)")</f>
        <v>Mercaptodimethur (Methiocarb)</v>
      </c>
      <c r="B3745" t="str">
        <f ca="1">IFERROR(__xludf.DUMMYFUNCTION("""COMPUTED_VALUE"""),"RF-00000122-VET")</f>
        <v>RF-00000122-VET</v>
      </c>
    </row>
    <row r="3746" spans="1:2" ht="12.5" x14ac:dyDescent="0.25">
      <c r="A3746" t="str">
        <f ca="1">IFERROR(__xludf.DUMMYFUNCTION("""COMPUTED_VALUE"""),"Mercaptodimethur sulfone")</f>
        <v>Mercaptodimethur sulfone</v>
      </c>
      <c r="B3746" t="str">
        <f ca="1">IFERROR(__xludf.DUMMYFUNCTION("""COMPUTED_VALUE"""),"RF-00000119-VET")</f>
        <v>RF-00000119-VET</v>
      </c>
    </row>
    <row r="3747" spans="1:2" ht="12.5" x14ac:dyDescent="0.25">
      <c r="A3747" t="str">
        <f ca="1">IFERROR(__xludf.DUMMYFUNCTION("""COMPUTED_VALUE"""),"Mercaptodimethur-Sulfoxide")</f>
        <v>Mercaptodimethur-Sulfoxide</v>
      </c>
      <c r="B3747" t="str">
        <f ca="1">IFERROR(__xludf.DUMMYFUNCTION("""COMPUTED_VALUE"""),"RF-00000117-VET")</f>
        <v>RF-00000117-VET</v>
      </c>
    </row>
    <row r="3748" spans="1:2" ht="12.5" x14ac:dyDescent="0.25">
      <c r="A3748" t="str">
        <f ca="1">IFERROR(__xludf.DUMMYFUNCTION("""COMPUTED_VALUE"""),"Mercury and derivatives")</f>
        <v>Mercury and derivatives</v>
      </c>
      <c r="B3748" t="str">
        <f ca="1">IFERROR(__xludf.DUMMYFUNCTION("""COMPUTED_VALUE"""),"RF-00000169-CHE")</f>
        <v>RF-00000169-CHE</v>
      </c>
    </row>
    <row r="3749" spans="1:2" ht="12.5" x14ac:dyDescent="0.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x14ac:dyDescent="0.25">
      <c r="A3750" t="str">
        <f ca="1">IFERROR(__xludf.DUMMYFUNCTION("""COMPUTED_VALUE"""),"Meropenem")</f>
        <v>Meropenem</v>
      </c>
      <c r="B3750" t="str">
        <f ca="1">IFERROR(__xludf.DUMMYFUNCTION("""COMPUTED_VALUE"""),"RF-00000712-VET")</f>
        <v>RF-00000712-VET</v>
      </c>
    </row>
    <row r="3751" spans="1:2" ht="12.5" x14ac:dyDescent="0.25">
      <c r="A3751" t="str">
        <f ca="1">IFERROR(__xludf.DUMMYFUNCTION("""COMPUTED_VALUE"""),"Merphos")</f>
        <v>Merphos</v>
      </c>
      <c r="B3751" t="str">
        <f ca="1">IFERROR(__xludf.DUMMYFUNCTION("""COMPUTED_VALUE"""),"RF-0781-001-PPP")</f>
        <v>RF-0781-001-PPP</v>
      </c>
    </row>
    <row r="3752" spans="1:2" ht="12.5" x14ac:dyDescent="0.25">
      <c r="A3752" t="str">
        <f ca="1">IFERROR(__xludf.DUMMYFUNCTION("""COMPUTED_VALUE"""),"Mesosulfuron")</f>
        <v>Mesosulfuron</v>
      </c>
      <c r="B3752" t="str">
        <f ca="1">IFERROR(__xludf.DUMMYFUNCTION("""COMPUTED_VALUE"""),"RF-0278-002-PPP")</f>
        <v>RF-0278-002-PPP</v>
      </c>
    </row>
    <row r="3753" spans="1:2" ht="12.5" x14ac:dyDescent="0.25">
      <c r="A3753" t="str">
        <f ca="1">IFERROR(__xludf.DUMMYFUNCTION("""COMPUTED_VALUE"""),"Mesosulfuron-methyl")</f>
        <v>Mesosulfuron-methyl</v>
      </c>
      <c r="B3753" t="str">
        <f ca="1">IFERROR(__xludf.DUMMYFUNCTION("""COMPUTED_VALUE"""),"RF-0278-003-PPP")</f>
        <v>RF-0278-003-PPP</v>
      </c>
    </row>
    <row r="3754" spans="1:2" ht="12.5" x14ac:dyDescent="0.25">
      <c r="A3754" t="str">
        <f ca="1">IFERROR(__xludf.DUMMYFUNCTION("""COMPUTED_VALUE"""),"Mesosulfuron-methyl (expresssed as Mesosulfuron)")</f>
        <v>Mesosulfuron-methyl (expresssed as Mesosulfuron)</v>
      </c>
      <c r="B3754" t="str">
        <f ca="1">IFERROR(__xludf.DUMMYFUNCTION("""COMPUTED_VALUE"""),"RF-0278-001-PPP")</f>
        <v>RF-0278-001-PPP</v>
      </c>
    </row>
    <row r="3755" spans="1:2" ht="12.5" x14ac:dyDescent="0.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x14ac:dyDescent="0.25">
      <c r="A3756" t="str">
        <f ca="1">IFERROR(__xludf.DUMMYFUNCTION("""COMPUTED_VALUE"""),"Mestanolone")</f>
        <v>Mestanolone</v>
      </c>
      <c r="B3756" t="str">
        <f ca="1">IFERROR(__xludf.DUMMYFUNCTION("""COMPUTED_VALUE"""),"RF-00000312-VET")</f>
        <v>RF-00000312-VET</v>
      </c>
    </row>
    <row r="3757" spans="1:2" ht="12.5" x14ac:dyDescent="0.25">
      <c r="A3757" t="str">
        <f ca="1">IFERROR(__xludf.DUMMYFUNCTION("""COMPUTED_VALUE"""),"Mesterolone")</f>
        <v>Mesterolone</v>
      </c>
      <c r="B3757" t="str">
        <f ca="1">IFERROR(__xludf.DUMMYFUNCTION("""COMPUTED_VALUE"""),"RF-00000313-VET")</f>
        <v>RF-00000313-VET</v>
      </c>
    </row>
    <row r="3758" spans="1:2" ht="12.5" x14ac:dyDescent="0.25">
      <c r="A3758" t="str">
        <f ca="1">IFERROR(__xludf.DUMMYFUNCTION("""COMPUTED_VALUE"""),"Mestilbol")</f>
        <v>Mestilbol</v>
      </c>
      <c r="B3758" t="str">
        <f ca="1">IFERROR(__xludf.DUMMYFUNCTION("""COMPUTED_VALUE"""),"RF-00000287-VET")</f>
        <v>RF-00000287-VET</v>
      </c>
    </row>
    <row r="3759" spans="1:2" ht="12.5" x14ac:dyDescent="0.25">
      <c r="A3759" t="str">
        <f ca="1">IFERROR(__xludf.DUMMYFUNCTION("""COMPUTED_VALUE"""),"Mestranol")</f>
        <v>Mestranol</v>
      </c>
      <c r="B3759" t="str">
        <f ca="1">IFERROR(__xludf.DUMMYFUNCTION("""COMPUTED_VALUE"""),"RF-00000318-VET")</f>
        <v>RF-00000318-VET</v>
      </c>
    </row>
    <row r="3760" spans="1:2" ht="12.5" x14ac:dyDescent="0.25">
      <c r="A3760" t="str">
        <f ca="1">IFERROR(__xludf.DUMMYFUNCTION("""COMPUTED_VALUE"""),"Meta-Cresol")</f>
        <v>Meta-Cresol</v>
      </c>
      <c r="B3760" t="str">
        <f ca="1">IFERROR(__xludf.DUMMYFUNCTION("""COMPUTED_VALUE"""),"RF-00000028-ORG")</f>
        <v>RF-00000028-ORG</v>
      </c>
    </row>
    <row r="3761" spans="1:2" ht="12.5" x14ac:dyDescent="0.25">
      <c r="A3761" t="str">
        <f ca="1">IFERROR(__xludf.DUMMYFUNCTION("""COMPUTED_VALUE"""),"Metacriphos")</f>
        <v>Metacriphos</v>
      </c>
      <c r="B3761" t="str">
        <f ca="1">IFERROR(__xludf.DUMMYFUNCTION("""COMPUTED_VALUE"""),"RF-1072-001-PPP")</f>
        <v>RF-1072-001-PPP</v>
      </c>
    </row>
    <row r="3762" spans="1:2" ht="12.5" x14ac:dyDescent="0.25">
      <c r="A3762" t="str">
        <f ca="1">IFERROR(__xludf.DUMMYFUNCTION("""COMPUTED_VALUE"""),"Metaflumizone (sum of E- and Z- isomers)")</f>
        <v>Metaflumizone (sum of E- and Z- isomers)</v>
      </c>
      <c r="B3762" t="str">
        <f ca="1">IFERROR(__xludf.DUMMYFUNCTION("""COMPUTED_VALUE"""),"RF-0280-001-PPP")</f>
        <v>RF-0280-001-PPP</v>
      </c>
    </row>
    <row r="3763" spans="1:2" ht="12.5" x14ac:dyDescent="0.25">
      <c r="A3763" t="str">
        <f ca="1">IFERROR(__xludf.DUMMYFUNCTION("""COMPUTED_VALUE"""),"Metalaxyl")</f>
        <v>Metalaxyl</v>
      </c>
      <c r="B3763" t="str">
        <f ca="1">IFERROR(__xludf.DUMMYFUNCTION("""COMPUTED_VALUE"""),"RF-0281-002-PPP")</f>
        <v>RF-0281-002-PPP</v>
      </c>
    </row>
    <row r="3764" spans="1:2" ht="12.5" x14ac:dyDescent="0.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x14ac:dyDescent="0.25">
      <c r="A3765" t="str">
        <f ca="1">IFERROR(__xludf.DUMMYFUNCTION("""COMPUTED_VALUE"""),"Metalaxyl-M")</f>
        <v>Metalaxyl-M</v>
      </c>
      <c r="B3765" t="str">
        <f ca="1">IFERROR(__xludf.DUMMYFUNCTION("""COMPUTED_VALUE"""),"RF-0281-003-PPP")</f>
        <v>RF-0281-003-PPP</v>
      </c>
    </row>
    <row r="3766" spans="1:2" ht="12.5" x14ac:dyDescent="0.25">
      <c r="A3766" t="str">
        <f ca="1">IFERROR(__xludf.DUMMYFUNCTION("""COMPUTED_VALUE"""),"Metaldehyde")</f>
        <v>Metaldehyde</v>
      </c>
      <c r="B3766" t="str">
        <f ca="1">IFERROR(__xludf.DUMMYFUNCTION("""COMPUTED_VALUE"""),"RF-0282-001-PPP")</f>
        <v>RF-0282-001-PPP</v>
      </c>
    </row>
    <row r="3767" spans="1:2" ht="12.5" x14ac:dyDescent="0.25">
      <c r="A3767" t="str">
        <f ca="1">IFERROR(__xludf.DUMMYFUNCTION("""COMPUTED_VALUE"""),"Metam")</f>
        <v>Metam</v>
      </c>
      <c r="B3767" t="str">
        <f ca="1">IFERROR(__xludf.DUMMYFUNCTION("""COMPUTED_VALUE"""),"RF-0118-002-PPP")</f>
        <v>RF-0118-002-PPP</v>
      </c>
    </row>
    <row r="3768" spans="1:2" ht="12.5" x14ac:dyDescent="0.25">
      <c r="A3768" t="str">
        <f ca="1">IFERROR(__xludf.DUMMYFUNCTION("""COMPUTED_VALUE"""),"Metamitron")</f>
        <v>Metamitron</v>
      </c>
      <c r="B3768" t="str">
        <f ca="1">IFERROR(__xludf.DUMMYFUNCTION("""COMPUTED_VALUE"""),"RF-0284-001-PPP")</f>
        <v>RF-0284-001-PPP</v>
      </c>
    </row>
    <row r="3769" spans="1:2" ht="12.5" x14ac:dyDescent="0.25">
      <c r="A3769" t="str">
        <f ca="1">IFERROR(__xludf.DUMMYFUNCTION("""COMPUTED_VALUE"""),"Metamitron-desamino")</f>
        <v>Metamitron-desamino</v>
      </c>
      <c r="B3769" t="str">
        <f ca="1">IFERROR(__xludf.DUMMYFUNCTION("""COMPUTED_VALUE"""),"RF-1053-001-PPP")</f>
        <v>RF-1053-001-PPP</v>
      </c>
    </row>
    <row r="3770" spans="1:2" ht="12.5" x14ac:dyDescent="0.25">
      <c r="A3770" t="str">
        <f ca="1">IFERROR(__xludf.DUMMYFUNCTION("""COMPUTED_VALUE"""),"Metamizole (Dipyrone Monohydrate)")</f>
        <v>Metamizole (Dipyrone Monohydrate)</v>
      </c>
      <c r="B3770" t="str">
        <f ca="1">IFERROR(__xludf.DUMMYFUNCTION("""COMPUTED_VALUE"""),"RF-00000203-VET")</f>
        <v>RF-00000203-VET</v>
      </c>
    </row>
    <row r="3771" spans="1:2" ht="12.5" x14ac:dyDescent="0.25">
      <c r="A3771" t="str">
        <f ca="1">IFERROR(__xludf.DUMMYFUNCTION("""COMPUTED_VALUE"""),"Metaproterenol (Orciprenalin)")</f>
        <v>Metaproterenol (Orciprenalin)</v>
      </c>
      <c r="B3771" t="str">
        <f ca="1">IFERROR(__xludf.DUMMYFUNCTION("""COMPUTED_VALUE"""),"RF-00000488-VET")</f>
        <v>RF-00000488-VET</v>
      </c>
    </row>
    <row r="3772" spans="1:2" ht="12.5" x14ac:dyDescent="0.25">
      <c r="A3772" t="str">
        <f ca="1">IFERROR(__xludf.DUMMYFUNCTION("""COMPUTED_VALUE"""),"Metatartaric acid")</f>
        <v>Metatartaric acid</v>
      </c>
      <c r="B3772" t="str">
        <f ca="1">IFERROR(__xludf.DUMMYFUNCTION("""COMPUTED_VALUE"""),"RF-00000187-ADD")</f>
        <v>RF-00000187-ADD</v>
      </c>
    </row>
    <row r="3773" spans="1:2" ht="12.5" x14ac:dyDescent="0.25">
      <c r="A3773" t="str">
        <f ca="1">IFERROR(__xludf.DUMMYFUNCTION("""COMPUTED_VALUE"""),"Metazachlor")</f>
        <v>Metazachlor</v>
      </c>
      <c r="B3773" t="str">
        <f ca="1">IFERROR(__xludf.DUMMYFUNCTION("""COMPUTED_VALUE"""),"RF-0285-001-PPP")</f>
        <v>RF-0285-001-PPP</v>
      </c>
    </row>
    <row r="3774" spans="1:2" ht="12.5" x14ac:dyDescent="0.25">
      <c r="A3774" t="str">
        <f ca="1">IFERROR(__xludf.DUMMYFUNCTION("""COMPUTED_VALUE"""),"Metconazole")</f>
        <v>Metconazole</v>
      </c>
      <c r="B3774" t="str">
        <f ca="1">IFERROR(__xludf.DUMMYFUNCTION("""COMPUTED_VALUE"""),"RF-0286-001-PPP")</f>
        <v>RF-0286-001-PPP</v>
      </c>
    </row>
    <row r="3775" spans="1:2" ht="12.5" x14ac:dyDescent="0.25">
      <c r="A3775" t="str">
        <f ca="1">IFERROR(__xludf.DUMMYFUNCTION("""COMPUTED_VALUE"""),"Methabenzthiazuron")</f>
        <v>Methabenzthiazuron</v>
      </c>
      <c r="B3775" t="str">
        <f ca="1">IFERROR(__xludf.DUMMYFUNCTION("""COMPUTED_VALUE"""),"RF-0287-001-PPP")</f>
        <v>RF-0287-001-PPP</v>
      </c>
    </row>
    <row r="3776" spans="1:2" ht="12.5" x14ac:dyDescent="0.25">
      <c r="A3776" t="str">
        <f ca="1">IFERROR(__xludf.DUMMYFUNCTION("""COMPUTED_VALUE"""),"Methacrifos")</f>
        <v>Methacrifos</v>
      </c>
      <c r="B3776" t="str">
        <f ca="1">IFERROR(__xludf.DUMMYFUNCTION("""COMPUTED_VALUE"""),"RF-0288-001-PPP")</f>
        <v>RF-0288-001-PPP</v>
      </c>
    </row>
    <row r="3777" spans="1:2" ht="12.5" x14ac:dyDescent="0.25">
      <c r="A3777" t="str">
        <f ca="1">IFERROR(__xludf.DUMMYFUNCTION("""COMPUTED_VALUE"""),"Methacylin")</f>
        <v>Methacylin</v>
      </c>
      <c r="B3777" t="str">
        <f ca="1">IFERROR(__xludf.DUMMYFUNCTION("""COMPUTED_VALUE"""),"RF-00000654-VET")</f>
        <v>RF-00000654-VET</v>
      </c>
    </row>
    <row r="3778" spans="1:2" ht="12.5" x14ac:dyDescent="0.25">
      <c r="A3778" t="str">
        <f ca="1">IFERROR(__xludf.DUMMYFUNCTION("""COMPUTED_VALUE"""),"Methamidophos")</f>
        <v>Methamidophos</v>
      </c>
      <c r="B3778" t="str">
        <f ca="1">IFERROR(__xludf.DUMMYFUNCTION("""COMPUTED_VALUE"""),"RF-0289-001-PPP")</f>
        <v>RF-0289-001-PPP</v>
      </c>
    </row>
    <row r="3779" spans="1:2" ht="12.5" x14ac:dyDescent="0.25">
      <c r="A3779" t="str">
        <f ca="1">IFERROR(__xludf.DUMMYFUNCTION("""COMPUTED_VALUE"""),"Methandriol")</f>
        <v>Methandriol</v>
      </c>
      <c r="B3779" t="str">
        <f ca="1">IFERROR(__xludf.DUMMYFUNCTION("""COMPUTED_VALUE"""),"RF-00000314-VET")</f>
        <v>RF-00000314-VET</v>
      </c>
    </row>
    <row r="3780" spans="1:2" ht="12.5" x14ac:dyDescent="0.25">
      <c r="A3780" t="str">
        <f ca="1">IFERROR(__xludf.DUMMYFUNCTION("""COMPUTED_VALUE"""),"Methanol")</f>
        <v>Methanol</v>
      </c>
      <c r="B3780" t="str">
        <f ca="1">IFERROR(__xludf.DUMMYFUNCTION("""COMPUTED_VALUE"""),"RF-00000457-ORG")</f>
        <v>RF-00000457-ORG</v>
      </c>
    </row>
    <row r="3781" spans="1:2" ht="12.5" x14ac:dyDescent="0.25">
      <c r="A3781" t="str">
        <f ca="1">IFERROR(__xludf.DUMMYFUNCTION("""COMPUTED_VALUE"""),"Methapyrilen")</f>
        <v>Methapyrilen</v>
      </c>
      <c r="B3781" t="str">
        <f ca="1">IFERROR(__xludf.DUMMYFUNCTION("""COMPUTED_VALUE"""),"RF-00000185-VET")</f>
        <v>RF-00000185-VET</v>
      </c>
    </row>
    <row r="3782" spans="1:2" ht="12.5" x14ac:dyDescent="0.25">
      <c r="A3782" t="str">
        <f ca="1">IFERROR(__xludf.DUMMYFUNCTION("""COMPUTED_VALUE"""),"Methazole")</f>
        <v>Methazole</v>
      </c>
      <c r="B3782" t="str">
        <f ca="1">IFERROR(__xludf.DUMMYFUNCTION("""COMPUTED_VALUE"""),"RF-0782-001-PPP")</f>
        <v>RF-0782-001-PPP</v>
      </c>
    </row>
    <row r="3783" spans="1:2" ht="12.5" x14ac:dyDescent="0.25">
      <c r="A3783" t="str">
        <f ca="1">IFERROR(__xludf.DUMMYFUNCTION("""COMPUTED_VALUE"""),"Methenolone")</f>
        <v>Methenolone</v>
      </c>
      <c r="B3783" t="str">
        <f ca="1">IFERROR(__xludf.DUMMYFUNCTION("""COMPUTED_VALUE"""),"RF-00000331-VET")</f>
        <v>RF-00000331-VET</v>
      </c>
    </row>
    <row r="3784" spans="1:2" ht="12.5" x14ac:dyDescent="0.25">
      <c r="A3784" t="str">
        <f ca="1">IFERROR(__xludf.DUMMYFUNCTION("""COMPUTED_VALUE"""),"Methenolone acetate")</f>
        <v>Methenolone acetate</v>
      </c>
      <c r="B3784" t="str">
        <f ca="1">IFERROR(__xludf.DUMMYFUNCTION("""COMPUTED_VALUE"""),"RF-00000329-VET")</f>
        <v>RF-00000329-VET</v>
      </c>
    </row>
    <row r="3785" spans="1:2" ht="12.5" x14ac:dyDescent="0.25">
      <c r="A3785" t="str">
        <f ca="1">IFERROR(__xludf.DUMMYFUNCTION("""COMPUTED_VALUE"""),"Methfuroxam")</f>
        <v>Methfuroxam</v>
      </c>
      <c r="B3785" t="str">
        <f ca="1">IFERROR(__xludf.DUMMYFUNCTION("""COMPUTED_VALUE"""),"RF-0783-001-PPP")</f>
        <v>RF-0783-001-PPP</v>
      </c>
    </row>
    <row r="3786" spans="1:2" ht="12.5" x14ac:dyDescent="0.25">
      <c r="A3786" t="str">
        <f ca="1">IFERROR(__xludf.DUMMYFUNCTION("""COMPUTED_VALUE"""),"Methicillin")</f>
        <v>Methicillin</v>
      </c>
      <c r="B3786" t="str">
        <f ca="1">IFERROR(__xludf.DUMMYFUNCTION("""COMPUTED_VALUE"""),"RF-00000689-VET")</f>
        <v>RF-00000689-VET</v>
      </c>
    </row>
    <row r="3787" spans="1:2" ht="12.5" x14ac:dyDescent="0.25">
      <c r="A3787" t="str">
        <f ca="1">IFERROR(__xludf.DUMMYFUNCTION("""COMPUTED_VALUE"""),"Methidathion")</f>
        <v>Methidathion</v>
      </c>
      <c r="B3787" t="str">
        <f ca="1">IFERROR(__xludf.DUMMYFUNCTION("""COMPUTED_VALUE"""),"RF-0290-001-PPP")</f>
        <v>RF-0290-001-PPP</v>
      </c>
    </row>
    <row r="3788" spans="1:2" ht="12.5" x14ac:dyDescent="0.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x14ac:dyDescent="0.25">
      <c r="A3789" t="str">
        <f ca="1">IFERROR(__xludf.DUMMYFUNCTION("""COMPUTED_VALUE"""),"Methiocarb")</f>
        <v>Methiocarb</v>
      </c>
      <c r="B3789" t="str">
        <f ca="1">IFERROR(__xludf.DUMMYFUNCTION("""COMPUTED_VALUE"""),"RF-0291-002-PPP")</f>
        <v>RF-0291-002-PPP</v>
      </c>
    </row>
    <row r="3790" spans="1:2" ht="12.5" x14ac:dyDescent="0.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x14ac:dyDescent="0.25">
      <c r="A3791" t="str">
        <f ca="1">IFERROR(__xludf.DUMMYFUNCTION("""COMPUTED_VALUE"""),"Methiocarb-Sulfon")</f>
        <v>Methiocarb-Sulfon</v>
      </c>
      <c r="B3791" t="str">
        <f ca="1">IFERROR(__xludf.DUMMYFUNCTION("""COMPUTED_VALUE"""),"RF-0291-004-PPP")</f>
        <v>RF-0291-004-PPP</v>
      </c>
    </row>
    <row r="3792" spans="1:2" ht="12.5" x14ac:dyDescent="0.25">
      <c r="A3792" t="str">
        <f ca="1">IFERROR(__xludf.DUMMYFUNCTION("""COMPUTED_VALUE"""),"Methiocarb-Sulfoxid")</f>
        <v>Methiocarb-Sulfoxid</v>
      </c>
      <c r="B3792" t="str">
        <f ca="1">IFERROR(__xludf.DUMMYFUNCTION("""COMPUTED_VALUE"""),"RF-0291-003-PPP")</f>
        <v>RF-0291-003-PPP</v>
      </c>
    </row>
    <row r="3793" spans="1:2" ht="12.5" x14ac:dyDescent="0.25">
      <c r="A3793" t="str">
        <f ca="1">IFERROR(__xludf.DUMMYFUNCTION("""COMPUTED_VALUE"""),"methionine")</f>
        <v>methionine</v>
      </c>
      <c r="B3793" t="str">
        <f ca="1">IFERROR(__xludf.DUMMYFUNCTION("""COMPUTED_VALUE"""),"RF-00000343-NTR")</f>
        <v>RF-00000343-NTR</v>
      </c>
    </row>
    <row r="3794" spans="1:2" ht="12.5" x14ac:dyDescent="0.25">
      <c r="A3794" t="str">
        <f ca="1">IFERROR(__xludf.DUMMYFUNCTION("""COMPUTED_VALUE"""),"Metholachlor")</f>
        <v>Metholachlor</v>
      </c>
      <c r="B3794" t="str">
        <f ca="1">IFERROR(__xludf.DUMMYFUNCTION("""COMPUTED_VALUE"""),"RF-0292-002-PPP")</f>
        <v>RF-0292-002-PPP</v>
      </c>
    </row>
    <row r="3795" spans="1:2" ht="12.5" x14ac:dyDescent="0.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x14ac:dyDescent="0.25">
      <c r="A3796" t="str">
        <f ca="1">IFERROR(__xludf.DUMMYFUNCTION("""COMPUTED_VALUE"""),"Metholachlor, S-")</f>
        <v>Metholachlor, S-</v>
      </c>
      <c r="B3796" t="str">
        <f ca="1">IFERROR(__xludf.DUMMYFUNCTION("""COMPUTED_VALUE"""),"RF-0292-003-PPP")</f>
        <v>RF-0292-003-PPP</v>
      </c>
    </row>
    <row r="3797" spans="1:2" ht="12.5" x14ac:dyDescent="0.25">
      <c r="A3797" t="str">
        <f ca="1">IFERROR(__xludf.DUMMYFUNCTION("""COMPUTED_VALUE"""),"Methomyl")</f>
        <v>Methomyl</v>
      </c>
      <c r="B3797" t="str">
        <f ca="1">IFERROR(__xludf.DUMMYFUNCTION("""COMPUTED_VALUE"""),"RF-00000120-VET")</f>
        <v>RF-00000120-VET</v>
      </c>
    </row>
    <row r="3798" spans="1:2" ht="12.5" x14ac:dyDescent="0.25">
      <c r="A3798" t="str">
        <f ca="1">IFERROR(__xludf.DUMMYFUNCTION("""COMPUTED_VALUE"""),"Methomyl")</f>
        <v>Methomyl</v>
      </c>
      <c r="B3798" t="str">
        <f ca="1">IFERROR(__xludf.DUMMYFUNCTION("""COMPUTED_VALUE"""),"RF-0293-003-PPP")</f>
        <v>RF-0293-003-PPP</v>
      </c>
    </row>
    <row r="3799" spans="1:2" ht="12.5" x14ac:dyDescent="0.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x14ac:dyDescent="0.25">
      <c r="A3800" t="str">
        <f ca="1">IFERROR(__xludf.DUMMYFUNCTION("""COMPUTED_VALUE"""),"Methomyl-Oxime")</f>
        <v>Methomyl-Oxime</v>
      </c>
      <c r="B3800" t="str">
        <f ca="1">IFERROR(__xludf.DUMMYFUNCTION("""COMPUTED_VALUE"""),"RF-0784-001-PPP")</f>
        <v>RF-0784-001-PPP</v>
      </c>
    </row>
    <row r="3801" spans="1:2" ht="12.5" x14ac:dyDescent="0.25">
      <c r="A3801" t="str">
        <f ca="1">IFERROR(__xludf.DUMMYFUNCTION("""COMPUTED_VALUE"""),"Methomyl-Sulfone")</f>
        <v>Methomyl-Sulfone</v>
      </c>
      <c r="B3801" t="str">
        <f ca="1">IFERROR(__xludf.DUMMYFUNCTION("""COMPUTED_VALUE"""),"RF-0785-001-PPP")</f>
        <v>RF-0785-001-PPP</v>
      </c>
    </row>
    <row r="3802" spans="1:2" ht="12.5" x14ac:dyDescent="0.25">
      <c r="A3802" t="str">
        <f ca="1">IFERROR(__xludf.DUMMYFUNCTION("""COMPUTED_VALUE"""),"Methoprene")</f>
        <v>Methoprene</v>
      </c>
      <c r="B3802" t="str">
        <f ca="1">IFERROR(__xludf.DUMMYFUNCTION("""COMPUTED_VALUE"""),"RF-0294-001-PPP")</f>
        <v>RF-0294-001-PPP</v>
      </c>
    </row>
    <row r="3803" spans="1:2" ht="12.5" x14ac:dyDescent="0.25">
      <c r="A3803" t="str">
        <f ca="1">IFERROR(__xludf.DUMMYFUNCTION("""COMPUTED_VALUE"""),"Methoprotryne")</f>
        <v>Methoprotryne</v>
      </c>
      <c r="B3803" t="str">
        <f ca="1">IFERROR(__xludf.DUMMYFUNCTION("""COMPUTED_VALUE"""),"RF-0786-001-PPP")</f>
        <v>RF-0786-001-PPP</v>
      </c>
    </row>
    <row r="3804" spans="1:2" ht="12.5" x14ac:dyDescent="0.25">
      <c r="A3804" t="str">
        <f ca="1">IFERROR(__xludf.DUMMYFUNCTION("""COMPUTED_VALUE"""),"Methothrin")</f>
        <v>Methothrin</v>
      </c>
      <c r="B3804" t="str">
        <f ca="1">IFERROR(__xludf.DUMMYFUNCTION("""COMPUTED_VALUE"""),"RF-0787-001-PPP")</f>
        <v>RF-0787-001-PPP</v>
      </c>
    </row>
    <row r="3805" spans="1:2" ht="12.5" x14ac:dyDescent="0.25">
      <c r="A3805" t="str">
        <f ca="1">IFERROR(__xludf.DUMMYFUNCTION("""COMPUTED_VALUE"""),"Methoxychlor")</f>
        <v>Methoxychlor</v>
      </c>
      <c r="B3805" t="str">
        <f ca="1">IFERROR(__xludf.DUMMYFUNCTION("""COMPUTED_VALUE"""),"RF-0295-001-PPP")</f>
        <v>RF-0295-001-PPP</v>
      </c>
    </row>
    <row r="3806" spans="1:2" ht="12.5" x14ac:dyDescent="0.25">
      <c r="A3806" t="str">
        <f ca="1">IFERROR(__xludf.DUMMYFUNCTION("""COMPUTED_VALUE"""),"Methoxyfenozide")</f>
        <v>Methoxyfenozide</v>
      </c>
      <c r="B3806" t="str">
        <f ca="1">IFERROR(__xludf.DUMMYFUNCTION("""COMPUTED_VALUE"""),"RF-0296-001-PPP")</f>
        <v>RF-0296-001-PPP</v>
      </c>
    </row>
    <row r="3807" spans="1:2" ht="12.5" x14ac:dyDescent="0.25">
      <c r="A3807" t="str">
        <f ca="1">IFERROR(__xludf.DUMMYFUNCTION("""COMPUTED_VALUE"""),"Methyl bromide")</f>
        <v>Methyl bromide</v>
      </c>
      <c r="B3807" t="str">
        <f ca="1">IFERROR(__xludf.DUMMYFUNCTION("""COMPUTED_VALUE"""),"RF-0788-001-PPP")</f>
        <v>RF-0788-001-PPP</v>
      </c>
    </row>
    <row r="3808" spans="1:2" ht="12.5" x14ac:dyDescent="0.25">
      <c r="A3808" t="str">
        <f ca="1">IFERROR(__xludf.DUMMYFUNCTION("""COMPUTED_VALUE"""),"Methyl cellulose")</f>
        <v>Methyl cellulose</v>
      </c>
      <c r="B3808" t="str">
        <f ca="1">IFERROR(__xludf.DUMMYFUNCTION("""COMPUTED_VALUE"""),"RF-00000188-ADD")</f>
        <v>RF-00000188-ADD</v>
      </c>
    </row>
    <row r="3809" spans="1:2" ht="12.5" x14ac:dyDescent="0.25">
      <c r="A3809" t="str">
        <f ca="1">IFERROR(__xludf.DUMMYFUNCTION("""COMPUTED_VALUE"""),"Methyl methacrylate")</f>
        <v>Methyl methacrylate</v>
      </c>
      <c r="B3809" t="str">
        <f ca="1">IFERROR(__xludf.DUMMYFUNCTION("""COMPUTED_VALUE"""),"RF-00000232-VET")</f>
        <v>RF-00000232-VET</v>
      </c>
    </row>
    <row r="3810" spans="1:2" ht="12.5" x14ac:dyDescent="0.25">
      <c r="A3810" t="str">
        <f ca="1">IFERROR(__xludf.DUMMYFUNCTION("""COMPUTED_VALUE"""),"Methyl p-hydroxybenzoate")</f>
        <v>Methyl p-hydroxybenzoate</v>
      </c>
      <c r="B3810" t="str">
        <f ca="1">IFERROR(__xludf.DUMMYFUNCTION("""COMPUTED_VALUE"""),"RF-00000189-ADD")</f>
        <v>RF-00000189-ADD</v>
      </c>
    </row>
    <row r="3811" spans="1:2" ht="12.5" x14ac:dyDescent="0.25">
      <c r="A3811" t="str">
        <f ca="1">IFERROR(__xludf.DUMMYFUNCTION("""COMPUTED_VALUE"""),"Methyl-Isothiocyanate")</f>
        <v>Methyl-Isothiocyanate</v>
      </c>
      <c r="B3811" t="str">
        <f ca="1">IFERROR(__xludf.DUMMYFUNCTION("""COMPUTED_VALUE"""),"RF-0790-001-PPP")</f>
        <v>RF-0790-001-PPP</v>
      </c>
    </row>
    <row r="3812" spans="1:2" ht="12.5" x14ac:dyDescent="0.25">
      <c r="A3812" t="str">
        <f ca="1">IFERROR(__xludf.DUMMYFUNCTION("""COMPUTED_VALUE"""),"Methylamine")</f>
        <v>Methylamine</v>
      </c>
      <c r="B3812" t="str">
        <f ca="1">IFERROR(__xludf.DUMMYFUNCTION("""COMPUTED_VALUE"""),"RF-00000477-ORG")</f>
        <v>RF-00000477-ORG</v>
      </c>
    </row>
    <row r="3813" spans="1:2" ht="12.5" x14ac:dyDescent="0.25">
      <c r="A3813" t="str">
        <f ca="1">IFERROR(__xludf.DUMMYFUNCTION("""COMPUTED_VALUE"""),"Methylarsonate (MA)")</f>
        <v>Methylarsonate (MA)</v>
      </c>
      <c r="B3813" t="str">
        <f ca="1">IFERROR(__xludf.DUMMYFUNCTION("""COMPUTED_VALUE"""),"RF-00000133-CHE")</f>
        <v>RF-00000133-CHE</v>
      </c>
    </row>
    <row r="3814" spans="1:2" ht="12.5" x14ac:dyDescent="0.25">
      <c r="A3814" t="str">
        <f ca="1">IFERROR(__xludf.DUMMYFUNCTION("""COMPUTED_VALUE"""),"Methylarsonite (MA(III))")</f>
        <v>Methylarsonite (MA(III))</v>
      </c>
      <c r="B3814" t="str">
        <f ca="1">IFERROR(__xludf.DUMMYFUNCTION("""COMPUTED_VALUE"""),"RF-00000134-CHE")</f>
        <v>RF-00000134-CHE</v>
      </c>
    </row>
    <row r="3815" spans="1:2" ht="12.5" x14ac:dyDescent="0.25">
      <c r="A3815" t="str">
        <f ca="1">IFERROR(__xludf.DUMMYFUNCTION("""COMPUTED_VALUE"""),"Methylbenzoquat")</f>
        <v>Methylbenzoquat</v>
      </c>
      <c r="B3815" t="str">
        <f ca="1">IFERROR(__xludf.DUMMYFUNCTION("""COMPUTED_VALUE"""),"RF-00000097-VET")</f>
        <v>RF-00000097-VET</v>
      </c>
    </row>
    <row r="3816" spans="1:2" ht="12.5" x14ac:dyDescent="0.25">
      <c r="A3816" t="str">
        <f ca="1">IFERROR(__xludf.DUMMYFUNCTION("""COMPUTED_VALUE"""),"Methylcimaterol")</f>
        <v>Methylcimaterol</v>
      </c>
      <c r="B3816" t="str">
        <f ca="1">IFERROR(__xludf.DUMMYFUNCTION("""COMPUTED_VALUE"""),"RF-00000479-VET")</f>
        <v>RF-00000479-VET</v>
      </c>
    </row>
    <row r="3817" spans="1:2" ht="12.5" x14ac:dyDescent="0.25">
      <c r="A3817" t="str">
        <f ca="1">IFERROR(__xludf.DUMMYFUNCTION("""COMPUTED_VALUE"""),"Methyldymron")</f>
        <v>Methyldymron</v>
      </c>
      <c r="B3817" t="str">
        <f ca="1">IFERROR(__xludf.DUMMYFUNCTION("""COMPUTED_VALUE"""),"RF-0789-001-PPP")</f>
        <v>RF-0789-001-PPP</v>
      </c>
    </row>
    <row r="3818" spans="1:2" ht="12.5" x14ac:dyDescent="0.25">
      <c r="A3818" t="str">
        <f ca="1">IFERROR(__xludf.DUMMYFUNCTION("""COMPUTED_VALUE"""),"Methylergonovine")</f>
        <v>Methylergonovine</v>
      </c>
      <c r="B3818" t="str">
        <f ca="1">IFERROR(__xludf.DUMMYFUNCTION("""COMPUTED_VALUE"""),"RF-00000409-TOX")</f>
        <v>RF-00000409-TOX</v>
      </c>
    </row>
    <row r="3819" spans="1:2" ht="12.5" x14ac:dyDescent="0.25">
      <c r="A3819" t="str">
        <f ca="1">IFERROR(__xludf.DUMMYFUNCTION("""COMPUTED_VALUE"""),"Methylmabuterol")</f>
        <v>Methylmabuterol</v>
      </c>
      <c r="B3819" t="str">
        <f ca="1">IFERROR(__xludf.DUMMYFUNCTION("""COMPUTED_VALUE"""),"RF-00000466-VET")</f>
        <v>RF-00000466-VET</v>
      </c>
    </row>
    <row r="3820" spans="1:2" ht="12.5" x14ac:dyDescent="0.25">
      <c r="A3820" t="str">
        <f ca="1">IFERROR(__xludf.DUMMYFUNCTION("""COMPUTED_VALUE"""),"Methylmercury")</f>
        <v>Methylmercury</v>
      </c>
      <c r="B3820" t="str">
        <f ca="1">IFERROR(__xludf.DUMMYFUNCTION("""COMPUTED_VALUE"""),"RF-00000250-CHE")</f>
        <v>RF-00000250-CHE</v>
      </c>
    </row>
    <row r="3821" spans="1:2" ht="12.5" x14ac:dyDescent="0.25">
      <c r="A3821" t="str">
        <f ca="1">IFERROR(__xludf.DUMMYFUNCTION("""COMPUTED_VALUE"""),"Methylprednisolone")</f>
        <v>Methylprednisolone</v>
      </c>
      <c r="B3821" t="str">
        <f ca="1">IFERROR(__xludf.DUMMYFUNCTION("""COMPUTED_VALUE"""),"RF-00000267-VET")</f>
        <v>RF-00000267-VET</v>
      </c>
    </row>
    <row r="3822" spans="1:2" ht="12.5" x14ac:dyDescent="0.25">
      <c r="A3822" t="str">
        <f ca="1">IFERROR(__xludf.DUMMYFUNCTION("""COMPUTED_VALUE"""),"Methylprogesterone")</f>
        <v>Methylprogesterone</v>
      </c>
      <c r="B3822" t="str">
        <f ca="1">IFERROR(__xludf.DUMMYFUNCTION("""COMPUTED_VALUE"""),"RF-00000425-VET")</f>
        <v>RF-00000425-VET</v>
      </c>
    </row>
    <row r="3823" spans="1:2" ht="12.5" x14ac:dyDescent="0.25">
      <c r="A3823" t="str">
        <f ca="1">IFERROR(__xludf.DUMMYFUNCTION("""COMPUTED_VALUE"""),"Methyltestosterone")</f>
        <v>Methyltestosterone</v>
      </c>
      <c r="B3823" t="str">
        <f ca="1">IFERROR(__xludf.DUMMYFUNCTION("""COMPUTED_VALUE"""),"RF-00000424-VET")</f>
        <v>RF-00000424-VET</v>
      </c>
    </row>
    <row r="3824" spans="1:2" ht="12.5" x14ac:dyDescent="0.25">
      <c r="A3824" t="str">
        <f ca="1">IFERROR(__xludf.DUMMYFUNCTION("""COMPUTED_VALUE"""),"Methysergide")</f>
        <v>Methysergide</v>
      </c>
      <c r="B3824" t="str">
        <f ca="1">IFERROR(__xludf.DUMMYFUNCTION("""COMPUTED_VALUE"""),"RF-00000410-TOX")</f>
        <v>RF-00000410-TOX</v>
      </c>
    </row>
    <row r="3825" spans="1:2" ht="12.5" x14ac:dyDescent="0.25">
      <c r="A3825" t="str">
        <f ca="1">IFERROR(__xludf.DUMMYFUNCTION("""COMPUTED_VALUE"""),"Metiram")</f>
        <v>Metiram</v>
      </c>
      <c r="B3825" t="str">
        <f ca="1">IFERROR(__xludf.DUMMYFUNCTION("""COMPUTED_VALUE"""),"RF-0151-002-PPP")</f>
        <v>RF-0151-002-PPP</v>
      </c>
    </row>
    <row r="3826" spans="1:2" ht="12.5" x14ac:dyDescent="0.25">
      <c r="A3826" t="str">
        <f ca="1">IFERROR(__xludf.DUMMYFUNCTION("""COMPUTED_VALUE"""),"Metobromuron")</f>
        <v>Metobromuron</v>
      </c>
      <c r="B3826" t="str">
        <f ca="1">IFERROR(__xludf.DUMMYFUNCTION("""COMPUTED_VALUE"""),"RF-0791-001-PPP")</f>
        <v>RF-0791-001-PPP</v>
      </c>
    </row>
    <row r="3827" spans="1:2" ht="12.5" x14ac:dyDescent="0.25">
      <c r="A3827" t="str">
        <f ca="1">IFERROR(__xludf.DUMMYFUNCTION("""COMPUTED_VALUE"""),"Metolcarb")</f>
        <v>Metolcarb</v>
      </c>
      <c r="B3827" t="str">
        <f ca="1">IFERROR(__xludf.DUMMYFUNCTION("""COMPUTED_VALUE"""),"RF-00000127-VET")</f>
        <v>RF-00000127-VET</v>
      </c>
    </row>
    <row r="3828" spans="1:2" ht="12.5" x14ac:dyDescent="0.25">
      <c r="A3828" t="str">
        <f ca="1">IFERROR(__xludf.DUMMYFUNCTION("""COMPUTED_VALUE"""),"Metolcarb")</f>
        <v>Metolcarb</v>
      </c>
      <c r="B3828" t="str">
        <f ca="1">IFERROR(__xludf.DUMMYFUNCTION("""COMPUTED_VALUE"""),"RF-0792-001-PPP")</f>
        <v>RF-0792-001-PPP</v>
      </c>
    </row>
    <row r="3829" spans="1:2" ht="12.5" x14ac:dyDescent="0.25">
      <c r="A3829" t="str">
        <f ca="1">IFERROR(__xludf.DUMMYFUNCTION("""COMPUTED_VALUE"""),"Metominostrobin")</f>
        <v>Metominostrobin</v>
      </c>
      <c r="B3829" t="str">
        <f ca="1">IFERROR(__xludf.DUMMYFUNCTION("""COMPUTED_VALUE"""),"RF-0793-001-PPP")</f>
        <v>RF-0793-001-PPP</v>
      </c>
    </row>
    <row r="3830" spans="1:2" ht="12.5" x14ac:dyDescent="0.25">
      <c r="A3830" t="str">
        <f ca="1">IFERROR(__xludf.DUMMYFUNCTION("""COMPUTED_VALUE"""),"Metoprolol")</f>
        <v>Metoprolol</v>
      </c>
      <c r="B3830" t="str">
        <f ca="1">IFERROR(__xludf.DUMMYFUNCTION("""COMPUTED_VALUE"""),"RF-00000249-VET")</f>
        <v>RF-00000249-VET</v>
      </c>
    </row>
    <row r="3831" spans="1:2" ht="12.5" x14ac:dyDescent="0.25">
      <c r="A3831" t="str">
        <f ca="1">IFERROR(__xludf.DUMMYFUNCTION("""COMPUTED_VALUE"""),"Metosulam")</f>
        <v>Metosulam</v>
      </c>
      <c r="B3831" t="str">
        <f ca="1">IFERROR(__xludf.DUMMYFUNCTION("""COMPUTED_VALUE"""),"RF-0298-001-PPP")</f>
        <v>RF-0298-001-PPP</v>
      </c>
    </row>
    <row r="3832" spans="1:2" ht="12.5" x14ac:dyDescent="0.25">
      <c r="A3832" t="str">
        <f ca="1">IFERROR(__xludf.DUMMYFUNCTION("""COMPUTED_VALUE"""),"Metoxuron")</f>
        <v>Metoxuron</v>
      </c>
      <c r="B3832" t="str">
        <f ca="1">IFERROR(__xludf.DUMMYFUNCTION("""COMPUTED_VALUE"""),"RF-0794-001-PPP")</f>
        <v>RF-0794-001-PPP</v>
      </c>
    </row>
    <row r="3833" spans="1:2" ht="12.5" x14ac:dyDescent="0.25">
      <c r="A3833" t="str">
        <f ca="1">IFERROR(__xludf.DUMMYFUNCTION("""COMPUTED_VALUE"""),"Metrafenone")</f>
        <v>Metrafenone</v>
      </c>
      <c r="B3833" t="str">
        <f ca="1">IFERROR(__xludf.DUMMYFUNCTION("""COMPUTED_VALUE"""),"RF-0299-001-PPP")</f>
        <v>RF-0299-001-PPP</v>
      </c>
    </row>
    <row r="3834" spans="1:2" ht="12.5" x14ac:dyDescent="0.25">
      <c r="A3834" t="str">
        <f ca="1">IFERROR(__xludf.DUMMYFUNCTION("""COMPUTED_VALUE"""),"Metribuzin")</f>
        <v>Metribuzin</v>
      </c>
      <c r="B3834" t="str">
        <f ca="1">IFERROR(__xludf.DUMMYFUNCTION("""COMPUTED_VALUE"""),"RF-0300-001-PPP")</f>
        <v>RF-0300-001-PPP</v>
      </c>
    </row>
    <row r="3835" spans="1:2" ht="12.5" x14ac:dyDescent="0.25">
      <c r="A3835" t="str">
        <f ca="1">IFERROR(__xludf.DUMMYFUNCTION("""COMPUTED_VALUE"""),"Metronidazole")</f>
        <v>Metronidazole</v>
      </c>
      <c r="B3835" t="str">
        <f ca="1">IFERROR(__xludf.DUMMYFUNCTION("""COMPUTED_VALUE"""),"RF-00000513-VET")</f>
        <v>RF-00000513-VET</v>
      </c>
    </row>
    <row r="3836" spans="1:2" ht="12.5" x14ac:dyDescent="0.25">
      <c r="A3836" t="str">
        <f ca="1">IFERROR(__xludf.DUMMYFUNCTION("""COMPUTED_VALUE"""),"Metsulfovax")</f>
        <v>Metsulfovax</v>
      </c>
      <c r="B3836" t="str">
        <f ca="1">IFERROR(__xludf.DUMMYFUNCTION("""COMPUTED_VALUE"""),"RF-0795-001-PPP")</f>
        <v>RF-0795-001-PPP</v>
      </c>
    </row>
    <row r="3837" spans="1:2" ht="12.5" x14ac:dyDescent="0.25">
      <c r="A3837" t="str">
        <f ca="1">IFERROR(__xludf.DUMMYFUNCTION("""COMPUTED_VALUE"""),"Metsulfuron")</f>
        <v>Metsulfuron</v>
      </c>
      <c r="B3837" t="str">
        <f ca="1">IFERROR(__xludf.DUMMYFUNCTION("""COMPUTED_VALUE"""),"RF-0796-001-PPP")</f>
        <v>RF-0796-001-PPP</v>
      </c>
    </row>
    <row r="3838" spans="1:2" ht="12.5" x14ac:dyDescent="0.25">
      <c r="A3838" t="str">
        <f ca="1">IFERROR(__xludf.DUMMYFUNCTION("""COMPUTED_VALUE"""),"Metsulfuron-methyl")</f>
        <v>Metsulfuron-methyl</v>
      </c>
      <c r="B3838" t="str">
        <f ca="1">IFERROR(__xludf.DUMMYFUNCTION("""COMPUTED_VALUE"""),"RF-0301-001-PPP")</f>
        <v>RF-0301-001-PPP</v>
      </c>
    </row>
    <row r="3839" spans="1:2" ht="12.5" x14ac:dyDescent="0.25">
      <c r="A3839" t="str">
        <f ca="1">IFERROR(__xludf.DUMMYFUNCTION("""COMPUTED_VALUE"""),"Mevinphos (sum of E- and Z-isomers)")</f>
        <v>Mevinphos (sum of E- and Z-isomers)</v>
      </c>
      <c r="B3839" t="str">
        <f ca="1">IFERROR(__xludf.DUMMYFUNCTION("""COMPUTED_VALUE"""),"RF-0302-001-PPP")</f>
        <v>RF-0302-001-PPP</v>
      </c>
    </row>
    <row r="3840" spans="1:2" ht="12.5" x14ac:dyDescent="0.25">
      <c r="A3840" t="str">
        <f ca="1">IFERROR(__xludf.DUMMYFUNCTION("""COMPUTED_VALUE"""),"Microcrystalline wax")</f>
        <v>Microcrystalline wax</v>
      </c>
      <c r="B3840" t="str">
        <f ca="1">IFERROR(__xludf.DUMMYFUNCTION("""COMPUTED_VALUE"""),"RF-00000190-ADD")</f>
        <v>RF-00000190-ADD</v>
      </c>
    </row>
    <row r="3841" spans="1:2" ht="12.5" x14ac:dyDescent="0.25">
      <c r="A3841" t="str">
        <f ca="1">IFERROR(__xludf.DUMMYFUNCTION("""COMPUTED_VALUE"""),"Microorganisms")</f>
        <v>Microorganisms</v>
      </c>
      <c r="B3841" t="str">
        <f ca="1">IFERROR(__xludf.DUMMYFUNCTION("""COMPUTED_VALUE"""),"RF-00000001-MCG")</f>
        <v>RF-00000001-MCG</v>
      </c>
    </row>
    <row r="3842" spans="1:2" ht="12.5" x14ac:dyDescent="0.25">
      <c r="A3842" t="str">
        <f ca="1">IFERROR(__xludf.DUMMYFUNCTION("""COMPUTED_VALUE"""),"Microsporum")</f>
        <v>Microsporum</v>
      </c>
      <c r="B3842" t="str">
        <f ca="1">IFERROR(__xludf.DUMMYFUNCTION("""COMPUTED_VALUE"""),"RF-00000270-MCG")</f>
        <v>RF-00000270-MCG</v>
      </c>
    </row>
    <row r="3843" spans="1:2" ht="12.5" x14ac:dyDescent="0.25">
      <c r="A3843" t="str">
        <f ca="1">IFERROR(__xludf.DUMMYFUNCTION("""COMPUTED_VALUE"""),"Microsporum canis")</f>
        <v>Microsporum canis</v>
      </c>
      <c r="B3843" t="str">
        <f ca="1">IFERROR(__xludf.DUMMYFUNCTION("""COMPUTED_VALUE"""),"RF-00000272-MCG")</f>
        <v>RF-00000272-MCG</v>
      </c>
    </row>
    <row r="3844" spans="1:2" ht="12.5" x14ac:dyDescent="0.25">
      <c r="A3844" t="str">
        <f ca="1">IFERROR(__xludf.DUMMYFUNCTION("""COMPUTED_VALUE"""),"Milbemectin")</f>
        <v>Milbemectin</v>
      </c>
      <c r="B3844" t="str">
        <f ca="1">IFERROR(__xludf.DUMMYFUNCTION("""COMPUTED_VALUE"""),"RF-0303-004-PPP")</f>
        <v>RF-0303-004-PPP</v>
      </c>
    </row>
    <row r="3845" spans="1:2" ht="12.5" x14ac:dyDescent="0.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x14ac:dyDescent="0.25">
      <c r="A3846" t="str">
        <f ca="1">IFERROR(__xludf.DUMMYFUNCTION("""COMPUTED_VALUE"""),"Milbemectin A3")</f>
        <v>Milbemectin A3</v>
      </c>
      <c r="B3846" t="str">
        <f ca="1">IFERROR(__xludf.DUMMYFUNCTION("""COMPUTED_VALUE"""),"RF-00000034-VET")</f>
        <v>RF-00000034-VET</v>
      </c>
    </row>
    <row r="3847" spans="1:2" ht="12.5" x14ac:dyDescent="0.25">
      <c r="A3847" t="str">
        <f ca="1">IFERROR(__xludf.DUMMYFUNCTION("""COMPUTED_VALUE"""),"Milbemectin A3")</f>
        <v>Milbemectin A3</v>
      </c>
      <c r="B3847" t="str">
        <f ca="1">IFERROR(__xludf.DUMMYFUNCTION("""COMPUTED_VALUE"""),"RF-0303-002-PPP")</f>
        <v>RF-0303-002-PPP</v>
      </c>
    </row>
    <row r="3848" spans="1:2" ht="12.5" x14ac:dyDescent="0.25">
      <c r="A3848" t="str">
        <f ca="1">IFERROR(__xludf.DUMMYFUNCTION("""COMPUTED_VALUE"""),"Milbemectin A4")</f>
        <v>Milbemectin A4</v>
      </c>
      <c r="B3848" t="str">
        <f ca="1">IFERROR(__xludf.DUMMYFUNCTION("""COMPUTED_VALUE"""),"RF-00000054-VET")</f>
        <v>RF-00000054-VET</v>
      </c>
    </row>
    <row r="3849" spans="1:2" ht="12.5" x14ac:dyDescent="0.25">
      <c r="A3849" t="str">
        <f ca="1">IFERROR(__xludf.DUMMYFUNCTION("""COMPUTED_VALUE"""),"Milbemectin A4")</f>
        <v>Milbemectin A4</v>
      </c>
      <c r="B3849" t="str">
        <f ca="1">IFERROR(__xludf.DUMMYFUNCTION("""COMPUTED_VALUE"""),"RF-0303-003-PPP")</f>
        <v>RF-0303-003-PPP</v>
      </c>
    </row>
    <row r="3850" spans="1:2" ht="12.5" x14ac:dyDescent="0.25">
      <c r="A3850" t="str">
        <f ca="1">IFERROR(__xludf.DUMMYFUNCTION("""COMPUTED_VALUE"""),"Milbemycine")</f>
        <v>Milbemycine</v>
      </c>
      <c r="B3850" t="str">
        <f ca="1">IFERROR(__xludf.DUMMYFUNCTION("""COMPUTED_VALUE"""),"RF-00000012-VET")</f>
        <v>RF-00000012-VET</v>
      </c>
    </row>
    <row r="3851" spans="1:2" ht="12.5" x14ac:dyDescent="0.25">
      <c r="A3851" t="str">
        <f ca="1">IFERROR(__xludf.DUMMYFUNCTION("""COMPUTED_VALUE"""),"Mineral oil aromatic hydrocarbons")</f>
        <v>Mineral oil aromatic hydrocarbons</v>
      </c>
      <c r="B3851" t="str">
        <f ca="1">IFERROR(__xludf.DUMMYFUNCTION("""COMPUTED_VALUE"""),"RF-00000398-ORG")</f>
        <v>RF-00000398-ORG</v>
      </c>
    </row>
    <row r="3852" spans="1:2" ht="12.5" x14ac:dyDescent="0.25">
      <c r="A3852" t="str">
        <f ca="1">IFERROR(__xludf.DUMMYFUNCTION("""COMPUTED_VALUE"""),"Mineral oil saturated hydrocarbons")</f>
        <v>Mineral oil saturated hydrocarbons</v>
      </c>
      <c r="B3852" t="str">
        <f ca="1">IFERROR(__xludf.DUMMYFUNCTION("""COMPUTED_VALUE"""),"RF-00000397-ORG")</f>
        <v>RF-00000397-ORG</v>
      </c>
    </row>
    <row r="3853" spans="1:2" ht="12.5" x14ac:dyDescent="0.25">
      <c r="A3853" t="str">
        <f ca="1">IFERROR(__xludf.DUMMYFUNCTION("""COMPUTED_VALUE"""),"Mineral oils")</f>
        <v>Mineral oils</v>
      </c>
      <c r="B3853" t="str">
        <f ca="1">IFERROR(__xludf.DUMMYFUNCTION("""COMPUTED_VALUE"""),"RF-00000396-ORG")</f>
        <v>RF-00000396-ORG</v>
      </c>
    </row>
    <row r="3854" spans="1:2" ht="12.5" x14ac:dyDescent="0.25">
      <c r="A3854" t="str">
        <f ca="1">IFERROR(__xludf.DUMMYFUNCTION("""COMPUTED_VALUE"""),"Minocyclin")</f>
        <v>Minocyclin</v>
      </c>
      <c r="B3854" t="str">
        <f ca="1">IFERROR(__xludf.DUMMYFUNCTION("""COMPUTED_VALUE"""),"RF-00000540-VET")</f>
        <v>RF-00000540-VET</v>
      </c>
    </row>
    <row r="3855" spans="1:2" ht="12.5" x14ac:dyDescent="0.25">
      <c r="A3855" t="str">
        <f ca="1">IFERROR(__xludf.DUMMYFUNCTION("""COMPUTED_VALUE"""),"Mirex")</f>
        <v>Mirex</v>
      </c>
      <c r="B3855" t="str">
        <f ca="1">IFERROR(__xludf.DUMMYFUNCTION("""COMPUTED_VALUE"""),"RF-0797-001-PPP")</f>
        <v>RF-0797-001-PPP</v>
      </c>
    </row>
    <row r="3856" spans="1:2" ht="12.5" x14ac:dyDescent="0.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x14ac:dyDescent="0.25">
      <c r="A3857" t="str">
        <f ca="1">IFERROR(__xludf.DUMMYFUNCTION("""COMPUTED_VALUE"""),"Mokola virus")</f>
        <v>Mokola virus</v>
      </c>
      <c r="B3857" t="str">
        <f ca="1">IFERROR(__xludf.DUMMYFUNCTION("""COMPUTED_VALUE"""),"RF-00000262-MCG")</f>
        <v>RF-00000262-MCG</v>
      </c>
    </row>
    <row r="3858" spans="1:2" ht="12.5" x14ac:dyDescent="0.25">
      <c r="A3858" t="str">
        <f ca="1">IFERROR(__xludf.DUMMYFUNCTION("""COMPUTED_VALUE"""),"Molinate")</f>
        <v>Molinate</v>
      </c>
      <c r="B3858" t="str">
        <f ca="1">IFERROR(__xludf.DUMMYFUNCTION("""COMPUTED_VALUE"""),"RF-00000156-VET")</f>
        <v>RF-00000156-VET</v>
      </c>
    </row>
    <row r="3859" spans="1:2" ht="12.5" x14ac:dyDescent="0.25">
      <c r="A3859" t="str">
        <f ca="1">IFERROR(__xludf.DUMMYFUNCTION("""COMPUTED_VALUE"""),"Molinate")</f>
        <v>Molinate</v>
      </c>
      <c r="B3859" t="str">
        <f ca="1">IFERROR(__xludf.DUMMYFUNCTION("""COMPUTED_VALUE"""),"RF-0304-001-PPP")</f>
        <v>RF-0304-001-PPP</v>
      </c>
    </row>
    <row r="3860" spans="1:2" ht="12.5" x14ac:dyDescent="0.25">
      <c r="A3860" t="str">
        <f ca="1">IFERROR(__xludf.DUMMYFUNCTION("""COMPUTED_VALUE"""),"Molybdenum (Mo)")</f>
        <v>Molybdenum (Mo)</v>
      </c>
      <c r="B3860" t="str">
        <f ca="1">IFERROR(__xludf.DUMMYFUNCTION("""COMPUTED_VALUE"""),"RF-00000179-CHE")</f>
        <v>RF-00000179-CHE</v>
      </c>
    </row>
    <row r="3861" spans="1:2" ht="12.5" x14ac:dyDescent="0.25">
      <c r="A3861" t="str">
        <f ca="1">IFERROR(__xludf.DUMMYFUNCTION("""COMPUTED_VALUE"""),"Molybdenum and derivatives")</f>
        <v>Molybdenum and derivatives</v>
      </c>
      <c r="B3861" t="str">
        <f ca="1">IFERROR(__xludf.DUMMYFUNCTION("""COMPUTED_VALUE"""),"RF-00000178-CHE")</f>
        <v>RF-00000178-CHE</v>
      </c>
    </row>
    <row r="3862" spans="1:2" ht="12.5" x14ac:dyDescent="0.25">
      <c r="A3862" t="str">
        <f ca="1">IFERROR(__xludf.DUMMYFUNCTION("""COMPUTED_VALUE"""),"Monalide")</f>
        <v>Monalide</v>
      </c>
      <c r="B3862" t="str">
        <f ca="1">IFERROR(__xludf.DUMMYFUNCTION("""COMPUTED_VALUE"""),"RF-0798-001-PPP")</f>
        <v>RF-0798-001-PPP</v>
      </c>
    </row>
    <row r="3863" spans="1:2" ht="12.5" x14ac:dyDescent="0.25">
      <c r="A3863" t="str">
        <f ca="1">IFERROR(__xludf.DUMMYFUNCTION("""COMPUTED_VALUE"""),"Monensin")</f>
        <v>Monensin</v>
      </c>
      <c r="B3863" t="str">
        <f ca="1">IFERROR(__xludf.DUMMYFUNCTION("""COMPUTED_VALUE"""),"RF-00000066-VET")</f>
        <v>RF-00000066-VET</v>
      </c>
    </row>
    <row r="3864" spans="1:2" ht="12.5" x14ac:dyDescent="0.25">
      <c r="A3864" t="str">
        <f ca="1">IFERROR(__xludf.DUMMYFUNCTION("""COMPUTED_VALUE"""),"Moniliformine")</f>
        <v>Moniliformine</v>
      </c>
      <c r="B3864" t="str">
        <f ca="1">IFERROR(__xludf.DUMMYFUNCTION("""COMPUTED_VALUE"""),"RF-00000188-TOX")</f>
        <v>RF-00000188-TOX</v>
      </c>
    </row>
    <row r="3865" spans="1:2" ht="12.5" x14ac:dyDescent="0.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x14ac:dyDescent="0.25">
      <c r="A3866" t="str">
        <f ca="1">IFERROR(__xludf.DUMMYFUNCTION("""COMPUTED_VALUE"""),"Mono- and disacharides")</f>
        <v>Mono- and disacharides</v>
      </c>
      <c r="B3866" t="str">
        <f ca="1">IFERROR(__xludf.DUMMYFUNCTION("""COMPUTED_VALUE"""),"RF-00000440-NTR")</f>
        <v>RF-00000440-NTR</v>
      </c>
    </row>
    <row r="3867" spans="1:2" ht="12.5" x14ac:dyDescent="0.25">
      <c r="A3867" t="str">
        <f ca="1">IFERROR(__xludf.DUMMYFUNCTION("""COMPUTED_VALUE"""),"Mono-(2-ethylhexyl)phthalate")</f>
        <v>Mono-(2-ethylhexyl)phthalate</v>
      </c>
      <c r="B3867" t="str">
        <f ca="1">IFERROR(__xludf.DUMMYFUNCTION("""COMPUTED_VALUE"""),"RF-00000009-ORG")</f>
        <v>RF-00000009-ORG</v>
      </c>
    </row>
    <row r="3868" spans="1:2" ht="12.5" x14ac:dyDescent="0.25">
      <c r="A3868" t="str">
        <f ca="1">IFERROR(__xludf.DUMMYFUNCTION("""COMPUTED_VALUE"""),"Mono-and diglycerides of fatty acids")</f>
        <v>Mono-and diglycerides of fatty acids</v>
      </c>
      <c r="B3868" t="str">
        <f ca="1">IFERROR(__xludf.DUMMYFUNCTION("""COMPUTED_VALUE"""),"RF-00000194-ADD")</f>
        <v>RF-00000194-ADD</v>
      </c>
    </row>
    <row r="3869" spans="1:2" ht="12.5" x14ac:dyDescent="0.25">
      <c r="A3869" t="str">
        <f ca="1">IFERROR(__xludf.DUMMYFUNCTION("""COMPUTED_VALUE"""),"Mono-ortho substituted PCBs")</f>
        <v>Mono-ortho substituted PCBs</v>
      </c>
      <c r="B3869" t="str">
        <f ca="1">IFERROR(__xludf.DUMMYFUNCTION("""COMPUTED_VALUE"""),"RF-00000116-ORG")</f>
        <v>RF-00000116-ORG</v>
      </c>
    </row>
    <row r="3870" spans="1:2" ht="12.5" x14ac:dyDescent="0.25">
      <c r="A3870" t="str">
        <f ca="1">IFERROR(__xludf.DUMMYFUNCTION("""COMPUTED_VALUE"""),"Monoammonium glutamate")</f>
        <v>Monoammonium glutamate</v>
      </c>
      <c r="B3870" t="str">
        <f ca="1">IFERROR(__xludf.DUMMYFUNCTION("""COMPUTED_VALUE"""),"RF-00000193-ADD")</f>
        <v>RF-00000193-ADD</v>
      </c>
    </row>
    <row r="3871" spans="1:2" ht="12.5" x14ac:dyDescent="0.25">
      <c r="A3871" t="str">
        <f ca="1">IFERROR(__xludf.DUMMYFUNCTION("""COMPUTED_VALUE"""),"Monobactams")</f>
        <v>Monobactams</v>
      </c>
      <c r="B3871" t="str">
        <f ca="1">IFERROR(__xludf.DUMMYFUNCTION("""COMPUTED_VALUE"""),"RF-00000748-VET")</f>
        <v>RF-00000748-VET</v>
      </c>
    </row>
    <row r="3872" spans="1:2" ht="12.5" x14ac:dyDescent="0.25">
      <c r="A3872" t="str">
        <f ca="1">IFERROR(__xludf.DUMMYFUNCTION("""COMPUTED_VALUE"""),"Monobutyltin")</f>
        <v>Monobutyltin</v>
      </c>
      <c r="B3872" t="str">
        <f ca="1">IFERROR(__xludf.DUMMYFUNCTION("""COMPUTED_VALUE"""),"RF-00000267-CHE")</f>
        <v>RF-00000267-CHE</v>
      </c>
    </row>
    <row r="3873" spans="1:2" ht="12.5" x14ac:dyDescent="0.25">
      <c r="A3873" t="str">
        <f ca="1">IFERROR(__xludf.DUMMYFUNCTION("""COMPUTED_VALUE"""),"monocalcium phosphate")</f>
        <v>monocalcium phosphate</v>
      </c>
      <c r="B3873" t="str">
        <f ca="1">IFERROR(__xludf.DUMMYFUNCTION("""COMPUTED_VALUE"""),"RF-00000046-CHE")</f>
        <v>RF-00000046-CHE</v>
      </c>
    </row>
    <row r="3874" spans="1:2" ht="12.5" x14ac:dyDescent="0.25">
      <c r="A3874" t="str">
        <f ca="1">IFERROR(__xludf.DUMMYFUNCTION("""COMPUTED_VALUE"""),"Monocarboxylic acid")</f>
        <v>Monocarboxylic acid</v>
      </c>
      <c r="B3874" t="str">
        <f ca="1">IFERROR(__xludf.DUMMYFUNCTION("""COMPUTED_VALUE"""),"RF-00000152-PAR")</f>
        <v>RF-00000152-PAR</v>
      </c>
    </row>
    <row r="3875" spans="1:2" ht="12.5" x14ac:dyDescent="0.25">
      <c r="A3875" t="str">
        <f ca="1">IFERROR(__xludf.DUMMYFUNCTION("""COMPUTED_VALUE"""),"Monocrotaline")</f>
        <v>Monocrotaline</v>
      </c>
      <c r="B3875" t="str">
        <f ca="1">IFERROR(__xludf.DUMMYFUNCTION("""COMPUTED_VALUE"""),"RF-00000238-TOX")</f>
        <v>RF-00000238-TOX</v>
      </c>
    </row>
    <row r="3876" spans="1:2" ht="12.5" x14ac:dyDescent="0.25">
      <c r="A3876" t="str">
        <f ca="1">IFERROR(__xludf.DUMMYFUNCTION("""COMPUTED_VALUE"""),"Monocrotaline-N-oxide")</f>
        <v>Monocrotaline-N-oxide</v>
      </c>
      <c r="B3876" t="str">
        <f ca="1">IFERROR(__xludf.DUMMYFUNCTION("""COMPUTED_VALUE"""),"RF-00000411-TOX")</f>
        <v>RF-00000411-TOX</v>
      </c>
    </row>
    <row r="3877" spans="1:2" ht="12.5" x14ac:dyDescent="0.25">
      <c r="A3877" t="str">
        <f ca="1">IFERROR(__xludf.DUMMYFUNCTION("""COMPUTED_VALUE"""),"Monocrotophos")</f>
        <v>Monocrotophos</v>
      </c>
      <c r="B3877" t="str">
        <f ca="1">IFERROR(__xludf.DUMMYFUNCTION("""COMPUTED_VALUE"""),"RF-0305-001-PPP")</f>
        <v>RF-0305-001-PPP</v>
      </c>
    </row>
    <row r="3878" spans="1:2" ht="12.5" x14ac:dyDescent="0.25">
      <c r="A3878" t="str">
        <f ca="1">IFERROR(__xludf.DUMMYFUNCTION("""COMPUTED_VALUE"""),"Monolinuron")</f>
        <v>Monolinuron</v>
      </c>
      <c r="B3878" t="str">
        <f ca="1">IFERROR(__xludf.DUMMYFUNCTION("""COMPUTED_VALUE"""),"RF-0306-001-PPP")</f>
        <v>RF-0306-001-PPP</v>
      </c>
    </row>
    <row r="3879" spans="1:2" ht="12.5" x14ac:dyDescent="0.25">
      <c r="A3879" t="str">
        <f ca="1">IFERROR(__xludf.DUMMYFUNCTION("""COMPUTED_VALUE"""),"Monophenyltin")</f>
        <v>Monophenyltin</v>
      </c>
      <c r="B3879" t="str">
        <f ca="1">IFERROR(__xludf.DUMMYFUNCTION("""COMPUTED_VALUE"""),"RF-00000270-CHE")</f>
        <v>RF-00000270-CHE</v>
      </c>
    </row>
    <row r="3880" spans="1:2" ht="12.5" x14ac:dyDescent="0.25">
      <c r="A3880" t="str">
        <f ca="1">IFERROR(__xludf.DUMMYFUNCTION("""COMPUTED_VALUE"""),"Monopotassium glutamate")</f>
        <v>Monopotassium glutamate</v>
      </c>
      <c r="B3880" t="str">
        <f ca="1">IFERROR(__xludf.DUMMYFUNCTION("""COMPUTED_VALUE"""),"RF-00000195-ADD")</f>
        <v>RF-00000195-ADD</v>
      </c>
    </row>
    <row r="3881" spans="1:2" ht="12.5" x14ac:dyDescent="0.25">
      <c r="A3881" t="str">
        <f ca="1">IFERROR(__xludf.DUMMYFUNCTION("""COMPUTED_VALUE"""),"monosaccharide equivalents")</f>
        <v>monosaccharide equivalents</v>
      </c>
      <c r="B3881" t="str">
        <f ca="1">IFERROR(__xludf.DUMMYFUNCTION("""COMPUTED_VALUE"""),"RF-00000442-NTR")</f>
        <v>RF-00000442-NTR</v>
      </c>
    </row>
    <row r="3882" spans="1:2" ht="12.5" x14ac:dyDescent="0.25">
      <c r="A3882" t="str">
        <f ca="1">IFERROR(__xludf.DUMMYFUNCTION("""COMPUTED_VALUE"""),"monosaccharides, total")</f>
        <v>monosaccharides, total</v>
      </c>
      <c r="B3882" t="str">
        <f ca="1">IFERROR(__xludf.DUMMYFUNCTION("""COMPUTED_VALUE"""),"RF-00000344-NTR")</f>
        <v>RF-00000344-NTR</v>
      </c>
    </row>
    <row r="3883" spans="1:2" ht="12.5" x14ac:dyDescent="0.25">
      <c r="A3883" t="str">
        <f ca="1">IFERROR(__xludf.DUMMYFUNCTION("""COMPUTED_VALUE"""),"Monosodium glutamate")</f>
        <v>Monosodium glutamate</v>
      </c>
      <c r="B3883" t="str">
        <f ca="1">IFERROR(__xludf.DUMMYFUNCTION("""COMPUTED_VALUE"""),"RF-00000440-ORG")</f>
        <v>RF-00000440-ORG</v>
      </c>
    </row>
    <row r="3884" spans="1:2" ht="12.5" x14ac:dyDescent="0.25">
      <c r="A3884" t="str">
        <f ca="1">IFERROR(__xludf.DUMMYFUNCTION("""COMPUTED_VALUE"""),"Monostarch phosphate")</f>
        <v>Monostarch phosphate</v>
      </c>
      <c r="B3884" t="str">
        <f ca="1">IFERROR(__xludf.DUMMYFUNCTION("""COMPUTED_VALUE"""),"RF-00000197-ADD")</f>
        <v>RF-00000197-ADD</v>
      </c>
    </row>
    <row r="3885" spans="1:2" ht="12.5" x14ac:dyDescent="0.25">
      <c r="A3885" t="str">
        <f ca="1">IFERROR(__xludf.DUMMYFUNCTION("""COMPUTED_VALUE"""),"Montan acid esters")</f>
        <v>Montan acid esters</v>
      </c>
      <c r="B3885" t="str">
        <f ca="1">IFERROR(__xludf.DUMMYFUNCTION("""COMPUTED_VALUE"""),"RF-00000198-ADD")</f>
        <v>RF-00000198-ADD</v>
      </c>
    </row>
    <row r="3886" spans="1:2" ht="12.5" x14ac:dyDescent="0.25">
      <c r="A3886" t="str">
        <f ca="1">IFERROR(__xludf.DUMMYFUNCTION("""COMPUTED_VALUE"""),"Monuron")</f>
        <v>Monuron</v>
      </c>
      <c r="B3886" t="str">
        <f ca="1">IFERROR(__xludf.DUMMYFUNCTION("""COMPUTED_VALUE"""),"RF-0307-001-PPP")</f>
        <v>RF-0307-001-PPP</v>
      </c>
    </row>
    <row r="3887" spans="1:2" ht="12.5" x14ac:dyDescent="0.25">
      <c r="A3887" t="str">
        <f ca="1">IFERROR(__xludf.DUMMYFUNCTION("""COMPUTED_VALUE"""),"Morantel")</f>
        <v>Morantel</v>
      </c>
      <c r="B3887" t="str">
        <f ca="1">IFERROR(__xludf.DUMMYFUNCTION("""COMPUTED_VALUE"""),"RF-00000036-VET")</f>
        <v>RF-00000036-VET</v>
      </c>
    </row>
    <row r="3888" spans="1:2" ht="12.5" x14ac:dyDescent="0.25">
      <c r="A3888" t="str">
        <f ca="1">IFERROR(__xludf.DUMMYFUNCTION("""COMPUTED_VALUE"""),"Morphine")</f>
        <v>Morphine</v>
      </c>
      <c r="B3888" t="str">
        <f ca="1">IFERROR(__xludf.DUMMYFUNCTION("""COMPUTED_VALUE"""),"RF-00000250-TOX")</f>
        <v>RF-00000250-TOX</v>
      </c>
    </row>
    <row r="3889" spans="1:2" ht="12.5" x14ac:dyDescent="0.25">
      <c r="A3889" t="str">
        <f ca="1">IFERROR(__xludf.DUMMYFUNCTION("""COMPUTED_VALUE"""),"Moschus ketone")</f>
        <v>Moschus ketone</v>
      </c>
      <c r="B3889" t="str">
        <f ca="1">IFERROR(__xludf.DUMMYFUNCTION("""COMPUTED_VALUE"""),"RF-00000027-PAR")</f>
        <v>RF-00000027-PAR</v>
      </c>
    </row>
    <row r="3890" spans="1:2" ht="12.5" x14ac:dyDescent="0.25">
      <c r="A3890" t="str">
        <f ca="1">IFERROR(__xludf.DUMMYFUNCTION("""COMPUTED_VALUE"""),"MOX")</f>
        <v>MOX</v>
      </c>
      <c r="B3890" t="str">
        <f ca="1">IFERROR(__xludf.DUMMYFUNCTION("""COMPUTED_VALUE"""),"RF-00000748-PAR")</f>
        <v>RF-00000748-PAR</v>
      </c>
    </row>
    <row r="3891" spans="1:2" ht="12.5" x14ac:dyDescent="0.25">
      <c r="A3891" t="str">
        <f ca="1">IFERROR(__xludf.DUMMYFUNCTION("""COMPUTED_VALUE"""),"MOX-1")</f>
        <v>MOX-1</v>
      </c>
      <c r="B3891" t="str">
        <f ca="1">IFERROR(__xludf.DUMMYFUNCTION("""COMPUTED_VALUE"""),"RF-00000749-PAR")</f>
        <v>RF-00000749-PAR</v>
      </c>
    </row>
    <row r="3892" spans="1:2" ht="12.5" x14ac:dyDescent="0.25">
      <c r="A3892" t="str">
        <f ca="1">IFERROR(__xludf.DUMMYFUNCTION("""COMPUTED_VALUE"""),"MOX-2")</f>
        <v>MOX-2</v>
      </c>
      <c r="B3892" t="str">
        <f ca="1">IFERROR(__xludf.DUMMYFUNCTION("""COMPUTED_VALUE"""),"RF-00000750-PAR")</f>
        <v>RF-00000750-PAR</v>
      </c>
    </row>
    <row r="3893" spans="1:2" ht="12.5" x14ac:dyDescent="0.25">
      <c r="A3893" t="str">
        <f ca="1">IFERROR(__xludf.DUMMYFUNCTION("""COMPUTED_VALUE"""),"MOX-3")</f>
        <v>MOX-3</v>
      </c>
      <c r="B3893" t="str">
        <f ca="1">IFERROR(__xludf.DUMMYFUNCTION("""COMPUTED_VALUE"""),"RF-00000751-PAR")</f>
        <v>RF-00000751-PAR</v>
      </c>
    </row>
    <row r="3894" spans="1:2" ht="12.5" x14ac:dyDescent="0.25">
      <c r="A3894" t="str">
        <f ca="1">IFERROR(__xludf.DUMMYFUNCTION("""COMPUTED_VALUE"""),"MOX-4")</f>
        <v>MOX-4</v>
      </c>
      <c r="B3894" t="str">
        <f ca="1">IFERROR(__xludf.DUMMYFUNCTION("""COMPUTED_VALUE"""),"RF-00000752-PAR")</f>
        <v>RF-00000752-PAR</v>
      </c>
    </row>
    <row r="3895" spans="1:2" ht="12.5" x14ac:dyDescent="0.25">
      <c r="A3895" t="str">
        <f ca="1">IFERROR(__xludf.DUMMYFUNCTION("""COMPUTED_VALUE"""),"MOX-5")</f>
        <v>MOX-5</v>
      </c>
      <c r="B3895" t="str">
        <f ca="1">IFERROR(__xludf.DUMMYFUNCTION("""COMPUTED_VALUE"""),"RF-00000753-PAR")</f>
        <v>RF-00000753-PAR</v>
      </c>
    </row>
    <row r="3896" spans="1:2" ht="12.5" x14ac:dyDescent="0.25">
      <c r="A3896" t="str">
        <f ca="1">IFERROR(__xludf.DUMMYFUNCTION("""COMPUTED_VALUE"""),"MOX-6")</f>
        <v>MOX-6</v>
      </c>
      <c r="B3896" t="str">
        <f ca="1">IFERROR(__xludf.DUMMYFUNCTION("""COMPUTED_VALUE"""),"RF-00000754-PAR")</f>
        <v>RF-00000754-PAR</v>
      </c>
    </row>
    <row r="3897" spans="1:2" ht="12.5" x14ac:dyDescent="0.25">
      <c r="A3897" t="str">
        <f ca="1">IFERROR(__xludf.DUMMYFUNCTION("""COMPUTED_VALUE"""),"MOX-7")</f>
        <v>MOX-7</v>
      </c>
      <c r="B3897" t="str">
        <f ca="1">IFERROR(__xludf.DUMMYFUNCTION("""COMPUTED_VALUE"""),"RF-00000755-PAR")</f>
        <v>RF-00000755-PAR</v>
      </c>
    </row>
    <row r="3898" spans="1:2" ht="12.5" x14ac:dyDescent="0.25">
      <c r="A3898" t="str">
        <f ca="1">IFERROR(__xludf.DUMMYFUNCTION("""COMPUTED_VALUE"""),"MOX-8")</f>
        <v>MOX-8</v>
      </c>
      <c r="B3898" t="str">
        <f ca="1">IFERROR(__xludf.DUMMYFUNCTION("""COMPUTED_VALUE"""),"RF-00000756-PAR")</f>
        <v>RF-00000756-PAR</v>
      </c>
    </row>
    <row r="3899" spans="1:2" ht="12.5" x14ac:dyDescent="0.25">
      <c r="A3899" t="str">
        <f ca="1">IFERROR(__xludf.DUMMYFUNCTION("""COMPUTED_VALUE"""),"Moxestrol")</f>
        <v>Moxestrol</v>
      </c>
      <c r="B3899" t="str">
        <f ca="1">IFERROR(__xludf.DUMMYFUNCTION("""COMPUTED_VALUE"""),"RF-00000433-VET")</f>
        <v>RF-00000433-VET</v>
      </c>
    </row>
    <row r="3900" spans="1:2" ht="12.5" x14ac:dyDescent="0.25">
      <c r="A3900" t="str">
        <f ca="1">IFERROR(__xludf.DUMMYFUNCTION("""COMPUTED_VALUE"""),"Moxidectin")</f>
        <v>Moxidectin</v>
      </c>
      <c r="B3900" t="str">
        <f ca="1">IFERROR(__xludf.DUMMYFUNCTION("""COMPUTED_VALUE"""),"RF-00000033-VET")</f>
        <v>RF-00000033-VET</v>
      </c>
    </row>
    <row r="3901" spans="1:2" ht="12.5" x14ac:dyDescent="0.25">
      <c r="A3901" t="str">
        <f ca="1">IFERROR(__xludf.DUMMYFUNCTION("""COMPUTED_VALUE"""),"Moxifloxacin")</f>
        <v>Moxifloxacin</v>
      </c>
      <c r="B3901" t="str">
        <f ca="1">IFERROR(__xludf.DUMMYFUNCTION("""COMPUTED_VALUE"""),"RF-00000548-VET")</f>
        <v>RF-00000548-VET</v>
      </c>
    </row>
    <row r="3902" spans="1:2" ht="12.5" x14ac:dyDescent="0.25">
      <c r="A3902" t="str">
        <f ca="1">IFERROR(__xludf.DUMMYFUNCTION("""COMPUTED_VALUE"""),"Mupirocin")</f>
        <v>Mupirocin</v>
      </c>
      <c r="B3902" t="str">
        <f ca="1">IFERROR(__xludf.DUMMYFUNCTION("""COMPUTED_VALUE"""),"RF-00000153-PAR")</f>
        <v>RF-00000153-PAR</v>
      </c>
    </row>
    <row r="3903" spans="1:2" ht="12.5" x14ac:dyDescent="0.25">
      <c r="A3903" t="str">
        <f ca="1">IFERROR(__xludf.DUMMYFUNCTION("""COMPUTED_VALUE"""),"Mushroom toxins")</f>
        <v>Mushroom toxins</v>
      </c>
      <c r="B3903" t="str">
        <f ca="1">IFERROR(__xludf.DUMMYFUNCTION("""COMPUTED_VALUE"""),"RF-00000452-TOX")</f>
        <v>RF-00000452-TOX</v>
      </c>
    </row>
    <row r="3904" spans="1:2" ht="12.5" x14ac:dyDescent="0.25">
      <c r="A3904" t="str">
        <f ca="1">IFERROR(__xludf.DUMMYFUNCTION("""COMPUTED_VALUE"""),"Myclobutanil")</f>
        <v>Myclobutanil</v>
      </c>
      <c r="B3904" t="str">
        <f ca="1">IFERROR(__xludf.DUMMYFUNCTION("""COMPUTED_VALUE"""),"RF-0308-001-PPP")</f>
        <v>RF-0308-001-PPP</v>
      </c>
    </row>
    <row r="3905" spans="1:2" ht="12.5" x14ac:dyDescent="0.25">
      <c r="A3905" t="str">
        <f ca="1">IFERROR(__xludf.DUMMYFUNCTION("""COMPUTED_VALUE"""),"Mycobacterium")</f>
        <v>Mycobacterium</v>
      </c>
      <c r="B3905" t="str">
        <f ca="1">IFERROR(__xludf.DUMMYFUNCTION("""COMPUTED_VALUE"""),"RF-00000273-MCG")</f>
        <v>RF-00000273-MCG</v>
      </c>
    </row>
    <row r="3906" spans="1:2" ht="12.5" x14ac:dyDescent="0.25">
      <c r="A3906" t="str">
        <f ca="1">IFERROR(__xludf.DUMMYFUNCTION("""COMPUTED_VALUE"""),"Mycobacterium - M. avium complex")</f>
        <v>Mycobacterium - M. avium complex</v>
      </c>
      <c r="B3906" t="str">
        <f ca="1">IFERROR(__xludf.DUMMYFUNCTION("""COMPUTED_VALUE"""),"RF-00003001-MCG")</f>
        <v>RF-00003001-MCG</v>
      </c>
    </row>
    <row r="3907" spans="1:2" ht="12.5" x14ac:dyDescent="0.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x14ac:dyDescent="0.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x14ac:dyDescent="0.25">
      <c r="A3909" t="str">
        <f ca="1">IFERROR(__xludf.DUMMYFUNCTION("""COMPUTED_VALUE"""),"Mycobacterium - M. bovis")</f>
        <v>Mycobacterium - M. bovis</v>
      </c>
      <c r="B3909" t="str">
        <f ca="1">IFERROR(__xludf.DUMMYFUNCTION("""COMPUTED_VALUE"""),"RF-00003002-MCG")</f>
        <v>RF-00003002-MCG</v>
      </c>
    </row>
    <row r="3910" spans="1:2" ht="12.5" x14ac:dyDescent="0.25">
      <c r="A3910" t="str">
        <f ca="1">IFERROR(__xludf.DUMMYFUNCTION("""COMPUTED_VALUE"""),"Mycobacterium - M. microti")</f>
        <v>Mycobacterium - M. microti</v>
      </c>
      <c r="B3910" t="str">
        <f ca="1">IFERROR(__xludf.DUMMYFUNCTION("""COMPUTED_VALUE"""),"RF-00003003-MCG")</f>
        <v>RF-00003003-MCG</v>
      </c>
    </row>
    <row r="3911" spans="1:2" ht="12.5" x14ac:dyDescent="0.25">
      <c r="A3911" t="str">
        <f ca="1">IFERROR(__xludf.DUMMYFUNCTION("""COMPUTED_VALUE"""),"Mycobacterium - M. pinnipedii")</f>
        <v>Mycobacterium - M. pinnipedii</v>
      </c>
      <c r="B3911" t="str">
        <f ca="1">IFERROR(__xludf.DUMMYFUNCTION("""COMPUTED_VALUE"""),"RF-00003004-MCG")</f>
        <v>RF-00003004-MCG</v>
      </c>
    </row>
    <row r="3912" spans="1:2" ht="12.5" x14ac:dyDescent="0.25">
      <c r="A3912" t="str">
        <f ca="1">IFERROR(__xludf.DUMMYFUNCTION("""COMPUTED_VALUE"""),"Mycobacterium africanum")</f>
        <v>Mycobacterium africanum</v>
      </c>
      <c r="B3912" t="str">
        <f ca="1">IFERROR(__xludf.DUMMYFUNCTION("""COMPUTED_VALUE"""),"RF-00000280-MCG")</f>
        <v>RF-00000280-MCG</v>
      </c>
    </row>
    <row r="3913" spans="1:2" ht="12.5" x14ac:dyDescent="0.25">
      <c r="A3913" t="str">
        <f ca="1">IFERROR(__xludf.DUMMYFUNCTION("""COMPUTED_VALUE"""),"Mycobacterium avium")</f>
        <v>Mycobacterium avium</v>
      </c>
      <c r="B3913" t="str">
        <f ca="1">IFERROR(__xludf.DUMMYFUNCTION("""COMPUTED_VALUE"""),"RF-00000284-MCG")</f>
        <v>RF-00000284-MCG</v>
      </c>
    </row>
    <row r="3914" spans="1:2" ht="12.5" x14ac:dyDescent="0.25">
      <c r="A3914" t="str">
        <f ca="1">IFERROR(__xludf.DUMMYFUNCTION("""COMPUTED_VALUE"""),"Mycobacterium avium subsp. avium")</f>
        <v>Mycobacterium avium subsp. avium</v>
      </c>
      <c r="B3914" t="str">
        <f ca="1">IFERROR(__xludf.DUMMYFUNCTION("""COMPUTED_VALUE"""),"RF-00000287-MCG")</f>
        <v>RF-00000287-MCG</v>
      </c>
    </row>
    <row r="3915" spans="1:2" ht="12.5" x14ac:dyDescent="0.25">
      <c r="A3915" t="str">
        <f ca="1">IFERROR(__xludf.DUMMYFUNCTION("""COMPUTED_VALUE"""),"Mycobacterium avium subsp. paratuberculosis")</f>
        <v>Mycobacterium avium subsp. paratuberculosis</v>
      </c>
      <c r="B3915" t="str">
        <f ca="1">IFERROR(__xludf.DUMMYFUNCTION("""COMPUTED_VALUE"""),"RF-00000286-MCG")</f>
        <v>RF-00000286-MCG</v>
      </c>
    </row>
    <row r="3916" spans="1:2" ht="12.5" x14ac:dyDescent="0.25">
      <c r="A3916" t="str">
        <f ca="1">IFERROR(__xludf.DUMMYFUNCTION("""COMPUTED_VALUE"""),"Mycobacterium avium subsp. silvaticum")</f>
        <v>Mycobacterium avium subsp. silvaticum</v>
      </c>
      <c r="B3916" t="str">
        <f ca="1">IFERROR(__xludf.DUMMYFUNCTION("""COMPUTED_VALUE"""),"RF-00000285-MCG")</f>
        <v>RF-00000285-MCG</v>
      </c>
    </row>
    <row r="3917" spans="1:2" ht="12.5" x14ac:dyDescent="0.25">
      <c r="A3917" t="str">
        <f ca="1">IFERROR(__xludf.DUMMYFUNCTION("""COMPUTED_VALUE"""),"Mycobacterium caprae")</f>
        <v>Mycobacterium caprae</v>
      </c>
      <c r="B3917" t="str">
        <f ca="1">IFERROR(__xludf.DUMMYFUNCTION("""COMPUTED_VALUE"""),"RF-00000274-MCG")</f>
        <v>RF-00000274-MCG</v>
      </c>
    </row>
    <row r="3918" spans="1:2" ht="12.5" x14ac:dyDescent="0.25">
      <c r="A3918" t="str">
        <f ca="1">IFERROR(__xludf.DUMMYFUNCTION("""COMPUTED_VALUE"""),"Mycobacterium celatum")</f>
        <v>Mycobacterium celatum</v>
      </c>
      <c r="B3918" t="str">
        <f ca="1">IFERROR(__xludf.DUMMYFUNCTION("""COMPUTED_VALUE"""),"RF-00000279-MCG")</f>
        <v>RF-00000279-MCG</v>
      </c>
    </row>
    <row r="3919" spans="1:2" ht="12.5" x14ac:dyDescent="0.25">
      <c r="A3919" t="str">
        <f ca="1">IFERROR(__xludf.DUMMYFUNCTION("""COMPUTED_VALUE"""),"Mycobacterium fortuitum")</f>
        <v>Mycobacterium fortuitum</v>
      </c>
      <c r="B3919" t="str">
        <f ca="1">IFERROR(__xludf.DUMMYFUNCTION("""COMPUTED_VALUE"""),"RF-00000276-MCG")</f>
        <v>RF-00000276-MCG</v>
      </c>
    </row>
    <row r="3920" spans="1:2" ht="12.5" x14ac:dyDescent="0.25">
      <c r="A3920" t="str">
        <f ca="1">IFERROR(__xludf.DUMMYFUNCTION("""COMPUTED_VALUE"""),"Mycobacterium intracellulare")</f>
        <v>Mycobacterium intracellulare</v>
      </c>
      <c r="B3920" t="str">
        <f ca="1">IFERROR(__xludf.DUMMYFUNCTION("""COMPUTED_VALUE"""),"RF-00000275-MCG")</f>
        <v>RF-00000275-MCG</v>
      </c>
    </row>
    <row r="3921" spans="1:2" ht="12.5" x14ac:dyDescent="0.25">
      <c r="A3921" t="str">
        <f ca="1">IFERROR(__xludf.DUMMYFUNCTION("""COMPUTED_VALUE"""),"Mycobacterium kansasii")</f>
        <v>Mycobacterium kansasii</v>
      </c>
      <c r="B3921" t="str">
        <f ca="1">IFERROR(__xludf.DUMMYFUNCTION("""COMPUTED_VALUE"""),"RF-00000277-MCG")</f>
        <v>RF-00000277-MCG</v>
      </c>
    </row>
    <row r="3922" spans="1:2" ht="12.5" x14ac:dyDescent="0.25">
      <c r="A3922" t="str">
        <f ca="1">IFERROR(__xludf.DUMMYFUNCTION("""COMPUTED_VALUE"""),"Mycobacterium scrofulaceum")</f>
        <v>Mycobacterium scrofulaceum</v>
      </c>
      <c r="B3922" t="str">
        <f ca="1">IFERROR(__xludf.DUMMYFUNCTION("""COMPUTED_VALUE"""),"RF-00000283-MCG")</f>
        <v>RF-00000283-MCG</v>
      </c>
    </row>
    <row r="3923" spans="1:2" ht="12.5" x14ac:dyDescent="0.25">
      <c r="A3923" t="str">
        <f ca="1">IFERROR(__xludf.DUMMYFUNCTION("""COMPUTED_VALUE"""),"Mycobacterium spp., unspecified")</f>
        <v>Mycobacterium spp., unspecified</v>
      </c>
      <c r="B3923" t="str">
        <f ca="1">IFERROR(__xludf.DUMMYFUNCTION("""COMPUTED_VALUE"""),"RF-00000281-MCG")</f>
        <v>RF-00000281-MCG</v>
      </c>
    </row>
    <row r="3924" spans="1:2" ht="12.5" x14ac:dyDescent="0.25">
      <c r="A3924" t="str">
        <f ca="1">IFERROR(__xludf.DUMMYFUNCTION("""COMPUTED_VALUE"""),"Mycobacterium tuberculosis")</f>
        <v>Mycobacterium tuberculosis</v>
      </c>
      <c r="B3924" t="str">
        <f ca="1">IFERROR(__xludf.DUMMYFUNCTION("""COMPUTED_VALUE"""),"RF-00000288-MCG")</f>
        <v>RF-00000288-MCG</v>
      </c>
    </row>
    <row r="3925" spans="1:2" ht="12.5" x14ac:dyDescent="0.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x14ac:dyDescent="0.25">
      <c r="A3926" t="str">
        <f ca="1">IFERROR(__xludf.DUMMYFUNCTION("""COMPUTED_VALUE"""),"Mycobacterium tuberculosis complex")</f>
        <v>Mycobacterium tuberculosis complex</v>
      </c>
      <c r="B3926" t="str">
        <f ca="1">IFERROR(__xludf.DUMMYFUNCTION("""COMPUTED_VALUE"""),"RF-00000290-MCG")</f>
        <v>RF-00000290-MCG</v>
      </c>
    </row>
    <row r="3927" spans="1:2" ht="12.5" x14ac:dyDescent="0.25">
      <c r="A3927" t="str">
        <f ca="1">IFERROR(__xludf.DUMMYFUNCTION("""COMPUTED_VALUE"""),"Mycobacterium xenopi")</f>
        <v>Mycobacterium xenopi</v>
      </c>
      <c r="B3927" t="str">
        <f ca="1">IFERROR(__xludf.DUMMYFUNCTION("""COMPUTED_VALUE"""),"RF-00000278-MCG")</f>
        <v>RF-00000278-MCG</v>
      </c>
    </row>
    <row r="3928" spans="1:2" ht="12.5" x14ac:dyDescent="0.25">
      <c r="A3928" t="str">
        <f ca="1">IFERROR(__xludf.DUMMYFUNCTION("""COMPUTED_VALUE"""),"Mycobacterium, atypical")</f>
        <v>Mycobacterium, atypical</v>
      </c>
      <c r="B3928" t="str">
        <f ca="1">IFERROR(__xludf.DUMMYFUNCTION("""COMPUTED_VALUE"""),"RF-00000282-MCG")</f>
        <v>RF-00000282-MCG</v>
      </c>
    </row>
    <row r="3929" spans="1:2" ht="12.5" x14ac:dyDescent="0.25">
      <c r="A3929" t="str">
        <f ca="1">IFERROR(__xludf.DUMMYFUNCTION("""COMPUTED_VALUE"""),"Mycophenolic acid")</f>
        <v>Mycophenolic acid</v>
      </c>
      <c r="B3929" t="str">
        <f ca="1">IFERROR(__xludf.DUMMYFUNCTION("""COMPUTED_VALUE"""),"RF-00000434-TOX")</f>
        <v>RF-00000434-TOX</v>
      </c>
    </row>
    <row r="3930" spans="1:2" ht="12.5" x14ac:dyDescent="0.25">
      <c r="A3930" t="str">
        <f ca="1">IFERROR(__xludf.DUMMYFUNCTION("""COMPUTED_VALUE"""),"Mycotoxins")</f>
        <v>Mycotoxins</v>
      </c>
      <c r="B3930" t="str">
        <f ca="1">IFERROR(__xludf.DUMMYFUNCTION("""COMPUTED_VALUE"""),"RF-00000132-TOX")</f>
        <v>RF-00000132-TOX</v>
      </c>
    </row>
    <row r="3931" spans="1:2" ht="12.5" x14ac:dyDescent="0.25">
      <c r="A3931" t="str">
        <f ca="1">IFERROR(__xludf.DUMMYFUNCTION("""COMPUTED_VALUE"""),"Myoscorpine")</f>
        <v>Myoscorpine</v>
      </c>
      <c r="B3931" t="str">
        <f ca="1">IFERROR(__xludf.DUMMYFUNCTION("""COMPUTED_VALUE"""),"RF-00000291-TOX")</f>
        <v>RF-00000291-TOX</v>
      </c>
    </row>
    <row r="3932" spans="1:2" ht="12.5" x14ac:dyDescent="0.25">
      <c r="A3932" t="str">
        <f ca="1">IFERROR(__xludf.DUMMYFUNCTION("""COMPUTED_VALUE"""),"myricetin")</f>
        <v>myricetin</v>
      </c>
      <c r="B3932" t="str">
        <f ca="1">IFERROR(__xludf.DUMMYFUNCTION("""COMPUTED_VALUE"""),"RF-00000345-NTR")</f>
        <v>RF-00000345-NTR</v>
      </c>
    </row>
    <row r="3933" spans="1:2" ht="12.5" x14ac:dyDescent="0.25">
      <c r="A3933" t="str">
        <f ca="1">IFERROR(__xludf.DUMMYFUNCTION("""COMPUTED_VALUE"""),"N-desethyl-pirimiphos-methyl")</f>
        <v>N-desethyl-pirimiphos-methyl</v>
      </c>
      <c r="B3933" t="str">
        <f ca="1">IFERROR(__xludf.DUMMYFUNCTION("""COMPUTED_VALUE"""),"RF-00000028-PAR")</f>
        <v>RF-00000028-PAR</v>
      </c>
    </row>
    <row r="3934" spans="1:2" ht="12.5" x14ac:dyDescent="0.25">
      <c r="A3934" t="str">
        <f ca="1">IFERROR(__xludf.DUMMYFUNCTION("""COMPUTED_VALUE"""),"N-ethyl perfluorooctane sulfonamidoethanol")</f>
        <v>N-ethyl perfluorooctane sulfonamidoethanol</v>
      </c>
      <c r="B3934" t="str">
        <f ca="1">IFERROR(__xludf.DUMMYFUNCTION("""COMPUTED_VALUE"""),"RF-00000373-ORG")</f>
        <v>RF-00000373-ORG</v>
      </c>
    </row>
    <row r="3935" spans="1:2" ht="12.5" x14ac:dyDescent="0.25">
      <c r="A3935" t="str">
        <f ca="1">IFERROR(__xludf.DUMMYFUNCTION("""COMPUTED_VALUE"""),"N-ethylperfluorooctane sulfonamide")</f>
        <v>N-ethylperfluorooctane sulfonamide</v>
      </c>
      <c r="B3935" t="str">
        <f ca="1">IFERROR(__xludf.DUMMYFUNCTION("""COMPUTED_VALUE"""),"RF-00000443-ORG")</f>
        <v>RF-00000443-ORG</v>
      </c>
    </row>
    <row r="3936" spans="1:2" ht="12.5" x14ac:dyDescent="0.25">
      <c r="A3936" t="str">
        <f ca="1">IFERROR(__xludf.DUMMYFUNCTION("""COMPUTED_VALUE"""),"N-sulfo-carbamoyl gonyautoxins 5")</f>
        <v>N-sulfo-carbamoyl gonyautoxins 5</v>
      </c>
      <c r="B3936" t="str">
        <f ca="1">IFERROR(__xludf.DUMMYFUNCTION("""COMPUTED_VALUE"""),"RF-00000100-TOX")</f>
        <v>RF-00000100-TOX</v>
      </c>
    </row>
    <row r="3937" spans="1:2" ht="12.5" x14ac:dyDescent="0.25">
      <c r="A3937" t="str">
        <f ca="1">IFERROR(__xludf.DUMMYFUNCTION("""COMPUTED_VALUE"""),"N-sulfo-carbamoyl gonyautoxins 6")</f>
        <v>N-sulfo-carbamoyl gonyautoxins 6</v>
      </c>
      <c r="B3937" t="str">
        <f ca="1">IFERROR(__xludf.DUMMYFUNCTION("""COMPUTED_VALUE"""),"RF-00000101-TOX")</f>
        <v>RF-00000101-TOX</v>
      </c>
    </row>
    <row r="3938" spans="1:2" ht="12.5" x14ac:dyDescent="0.25">
      <c r="A3938" t="str">
        <f ca="1">IFERROR(__xludf.DUMMYFUNCTION("""COMPUTED_VALUE"""),"N-sulfo-carbamoyl saxitoxins")</f>
        <v>N-sulfo-carbamoyl saxitoxins</v>
      </c>
      <c r="B3938" t="str">
        <f ca="1">IFERROR(__xludf.DUMMYFUNCTION("""COMPUTED_VALUE"""),"RF-00000099-TOX")</f>
        <v>RF-00000099-TOX</v>
      </c>
    </row>
    <row r="3939" spans="1:2" ht="12.5" x14ac:dyDescent="0.25">
      <c r="A3939" t="str">
        <f ca="1">IFERROR(__xludf.DUMMYFUNCTION("""COMPUTED_VALUE"""),"N-sulfo-carbamoyl toxin 1")</f>
        <v>N-sulfo-carbamoyl toxin 1</v>
      </c>
      <c r="B3939" t="str">
        <f ca="1">IFERROR(__xludf.DUMMYFUNCTION("""COMPUTED_VALUE"""),"RF-00000102-TOX")</f>
        <v>RF-00000102-TOX</v>
      </c>
    </row>
    <row r="3940" spans="1:2" ht="12.5" x14ac:dyDescent="0.25">
      <c r="A3940" t="str">
        <f ca="1">IFERROR(__xludf.DUMMYFUNCTION("""COMPUTED_VALUE"""),"N-sulfo-carbamoyl toxin 2")</f>
        <v>N-sulfo-carbamoyl toxin 2</v>
      </c>
      <c r="B3940" t="str">
        <f ca="1">IFERROR(__xludf.DUMMYFUNCTION("""COMPUTED_VALUE"""),"RF-00000103-TOX")</f>
        <v>RF-00000103-TOX</v>
      </c>
    </row>
    <row r="3941" spans="1:2" ht="12.5" x14ac:dyDescent="0.25">
      <c r="A3941" t="str">
        <f ca="1">IFERROR(__xludf.DUMMYFUNCTION("""COMPUTED_VALUE"""),"N-sulfo-carbamoyl toxin 3")</f>
        <v>N-sulfo-carbamoyl toxin 3</v>
      </c>
      <c r="B3941" t="str">
        <f ca="1">IFERROR(__xludf.DUMMYFUNCTION("""COMPUTED_VALUE"""),"RF-00000104-TOX")</f>
        <v>RF-00000104-TOX</v>
      </c>
    </row>
    <row r="3942" spans="1:2" ht="12.5" x14ac:dyDescent="0.25">
      <c r="A3942" t="str">
        <f ca="1">IFERROR(__xludf.DUMMYFUNCTION("""COMPUTED_VALUE"""),"N-sulfo-carbamoyl toxin 4")</f>
        <v>N-sulfo-carbamoyl toxin 4</v>
      </c>
      <c r="B3942" t="str">
        <f ca="1">IFERROR(__xludf.DUMMYFUNCTION("""COMPUTED_VALUE"""),"RF-00000105-TOX")</f>
        <v>RF-00000105-TOX</v>
      </c>
    </row>
    <row r="3943" spans="1:2" ht="12.5" x14ac:dyDescent="0.25">
      <c r="A3943" t="str">
        <f ca="1">IFERROR(__xludf.DUMMYFUNCTION("""COMPUTED_VALUE"""),"Na-penicillin-G")</f>
        <v>Na-penicillin-G</v>
      </c>
      <c r="B3943" t="str">
        <f ca="1">IFERROR(__xludf.DUMMYFUNCTION("""COMPUTED_VALUE"""),"RF-00000537-VET")</f>
        <v>RF-00000537-VET</v>
      </c>
    </row>
    <row r="3944" spans="1:2" ht="12.5" x14ac:dyDescent="0.25">
      <c r="A3944" t="str">
        <f ca="1">IFERROR(__xludf.DUMMYFUNCTION("""COMPUTED_VALUE"""),"Nabam")</f>
        <v>Nabam</v>
      </c>
      <c r="B3944" t="str">
        <f ca="1">IFERROR(__xludf.DUMMYFUNCTION("""COMPUTED_VALUE"""),"RF-0799-001-PPP")</f>
        <v>RF-0799-001-PPP</v>
      </c>
    </row>
    <row r="3945" spans="1:2" ht="12.5" x14ac:dyDescent="0.25">
      <c r="A3945" t="str">
        <f ca="1">IFERROR(__xludf.DUMMYFUNCTION("""COMPUTED_VALUE"""),"Nabumetone")</f>
        <v>Nabumetone</v>
      </c>
      <c r="B3945" t="str">
        <f ca="1">IFERROR(__xludf.DUMMYFUNCTION("""COMPUTED_VALUE"""),"RF-00000242-VET")</f>
        <v>RF-00000242-VET</v>
      </c>
    </row>
    <row r="3946" spans="1:2" ht="12.5" x14ac:dyDescent="0.25">
      <c r="A3946" t="str">
        <f ca="1">IFERROR(__xludf.DUMMYFUNCTION("""COMPUTED_VALUE"""),"Nafcillin")</f>
        <v>Nafcillin</v>
      </c>
      <c r="B3946" t="str">
        <f ca="1">IFERROR(__xludf.DUMMYFUNCTION("""COMPUTED_VALUE"""),"RF-00000529-VET")</f>
        <v>RF-00000529-VET</v>
      </c>
    </row>
    <row r="3947" spans="1:2" ht="12.5" x14ac:dyDescent="0.25">
      <c r="A3947" t="str">
        <f ca="1">IFERROR(__xludf.DUMMYFUNCTION("""COMPUTED_VALUE"""),"Nairovirus")</f>
        <v>Nairovirus</v>
      </c>
      <c r="B3947" t="str">
        <f ca="1">IFERROR(__xludf.DUMMYFUNCTION("""COMPUTED_VALUE"""),"RF-00002661-MCG")</f>
        <v>RF-00002661-MCG</v>
      </c>
    </row>
    <row r="3948" spans="1:2" ht="12.5" x14ac:dyDescent="0.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x14ac:dyDescent="0.25">
      <c r="A3949" t="str">
        <f ca="1">IFERROR(__xludf.DUMMYFUNCTION("""COMPUTED_VALUE"""),"Nairovirus spp., unidentified")</f>
        <v>Nairovirus spp., unidentified</v>
      </c>
      <c r="B3949" t="str">
        <f ca="1">IFERROR(__xludf.DUMMYFUNCTION("""COMPUTED_VALUE"""),"RF-00002662-MCG")</f>
        <v>RF-00002662-MCG</v>
      </c>
    </row>
    <row r="3950" spans="1:2" ht="12.5" x14ac:dyDescent="0.25">
      <c r="A3950" t="str">
        <f ca="1">IFERROR(__xludf.DUMMYFUNCTION("""COMPUTED_VALUE"""),"Naled")</f>
        <v>Naled</v>
      </c>
      <c r="B3950" t="str">
        <f ca="1">IFERROR(__xludf.DUMMYFUNCTION("""COMPUTED_VALUE"""),"RF-0800-001-PPP")</f>
        <v>RF-0800-001-PPP</v>
      </c>
    </row>
    <row r="3951" spans="1:2" ht="12.5" x14ac:dyDescent="0.25">
      <c r="A3951" t="str">
        <f ca="1">IFERROR(__xludf.DUMMYFUNCTION("""COMPUTED_VALUE"""),"Nalidixic acid")</f>
        <v>Nalidixic acid</v>
      </c>
      <c r="B3951" t="str">
        <f ca="1">IFERROR(__xludf.DUMMYFUNCTION("""COMPUTED_VALUE"""),"RF-00000547-VET")</f>
        <v>RF-00000547-VET</v>
      </c>
    </row>
    <row r="3952" spans="1:2" ht="12.5" x14ac:dyDescent="0.25">
      <c r="A3952" t="str">
        <f ca="1">IFERROR(__xludf.DUMMYFUNCTION("""COMPUTED_VALUE"""),"Nandrolone")</f>
        <v>Nandrolone</v>
      </c>
      <c r="B3952" t="str">
        <f ca="1">IFERROR(__xludf.DUMMYFUNCTION("""COMPUTED_VALUE"""),"RF-00000442-VET")</f>
        <v>RF-00000442-VET</v>
      </c>
    </row>
    <row r="3953" spans="1:2" ht="12.5" x14ac:dyDescent="0.25">
      <c r="A3953" t="str">
        <f ca="1">IFERROR(__xludf.DUMMYFUNCTION("""COMPUTED_VALUE"""),"Naphthalene")</f>
        <v>Naphthalene</v>
      </c>
      <c r="B3953" t="str">
        <f ca="1">IFERROR(__xludf.DUMMYFUNCTION("""COMPUTED_VALUE"""),"RF-00000062-ORG")</f>
        <v>RF-00000062-ORG</v>
      </c>
    </row>
    <row r="3954" spans="1:2" ht="12.5" x14ac:dyDescent="0.25">
      <c r="A3954" t="str">
        <f ca="1">IFERROR(__xludf.DUMMYFUNCTION("""COMPUTED_VALUE"""),"Naphthalene")</f>
        <v>Naphthalene</v>
      </c>
      <c r="B3954" t="str">
        <f ca="1">IFERROR(__xludf.DUMMYFUNCTION("""COMPUTED_VALUE"""),"RF-0801-001-PPP")</f>
        <v>RF-0801-001-PPP</v>
      </c>
    </row>
    <row r="3955" spans="1:2" ht="12.5" x14ac:dyDescent="0.25">
      <c r="A3955" t="str">
        <f ca="1">IFERROR(__xludf.DUMMYFUNCTION("""COMPUTED_VALUE"""),"Naphthol, 1-")</f>
        <v>Naphthol, 1-</v>
      </c>
      <c r="B3955" t="str">
        <f ca="1">IFERROR(__xludf.DUMMYFUNCTION("""COMPUTED_VALUE"""),"RF-0802-001-PPP")</f>
        <v>RF-0802-001-PPP</v>
      </c>
    </row>
    <row r="3956" spans="1:2" ht="12.5" x14ac:dyDescent="0.25">
      <c r="A3956" t="str">
        <f ca="1">IFERROR(__xludf.DUMMYFUNCTION("""COMPUTED_VALUE"""),"Naphthoxyacetic acid, 2-")</f>
        <v>Naphthoxyacetic acid, 2-</v>
      </c>
      <c r="B3956" t="str">
        <f ca="1">IFERROR(__xludf.DUMMYFUNCTION("""COMPUTED_VALUE"""),"RF-0803-001-PPP")</f>
        <v>RF-0803-001-PPP</v>
      </c>
    </row>
    <row r="3957" spans="1:2" ht="12.5" x14ac:dyDescent="0.25">
      <c r="A3957" t="str">
        <f ca="1">IFERROR(__xludf.DUMMYFUNCTION("""COMPUTED_VALUE"""),"Naphtol")</f>
        <v>Naphtol</v>
      </c>
      <c r="B3957" t="str">
        <f ca="1">IFERROR(__xludf.DUMMYFUNCTION("""COMPUTED_VALUE"""),"RF-00000133-VET")</f>
        <v>RF-00000133-VET</v>
      </c>
    </row>
    <row r="3958" spans="1:2" ht="12.5" x14ac:dyDescent="0.25">
      <c r="A3958" t="str">
        <f ca="1">IFERROR(__xludf.DUMMYFUNCTION("""COMPUTED_VALUE"""),"Napropamide")</f>
        <v>Napropamide</v>
      </c>
      <c r="B3958" t="str">
        <f ca="1">IFERROR(__xludf.DUMMYFUNCTION("""COMPUTED_VALUE"""),"RF-0309-001-PPP")</f>
        <v>RF-0309-001-PPP</v>
      </c>
    </row>
    <row r="3959" spans="1:2" ht="12.5" x14ac:dyDescent="0.25">
      <c r="A3959" t="str">
        <f ca="1">IFERROR(__xludf.DUMMYFUNCTION("""COMPUTED_VALUE"""),"Naproxen")</f>
        <v>Naproxen</v>
      </c>
      <c r="B3959" t="str">
        <f ca="1">IFERROR(__xludf.DUMMYFUNCTION("""COMPUTED_VALUE"""),"RF-00000221-VET")</f>
        <v>RF-00000221-VET</v>
      </c>
    </row>
    <row r="3960" spans="1:2" ht="12.5" x14ac:dyDescent="0.25">
      <c r="A3960" t="str">
        <f ca="1">IFERROR(__xludf.DUMMYFUNCTION("""COMPUTED_VALUE"""),"Naptalam")</f>
        <v>Naptalam</v>
      </c>
      <c r="B3960" t="str">
        <f ca="1">IFERROR(__xludf.DUMMYFUNCTION("""COMPUTED_VALUE"""),"RF-0804-001-PPP")</f>
        <v>RF-0804-001-PPP</v>
      </c>
    </row>
    <row r="3961" spans="1:2" ht="12.5" x14ac:dyDescent="0.25">
      <c r="A3961" t="str">
        <f ca="1">IFERROR(__xludf.DUMMYFUNCTION("""COMPUTED_VALUE"""),"Narasin")</f>
        <v>Narasin</v>
      </c>
      <c r="B3961" t="str">
        <f ca="1">IFERROR(__xludf.DUMMYFUNCTION("""COMPUTED_VALUE"""),"RF-00000090-VET")</f>
        <v>RF-00000090-VET</v>
      </c>
    </row>
    <row r="3962" spans="1:2" ht="12.5" x14ac:dyDescent="0.25">
      <c r="A3962" t="str">
        <f ca="1">IFERROR(__xludf.DUMMYFUNCTION("""COMPUTED_VALUE"""),"Narasin sodium")</f>
        <v>Narasin sodium</v>
      </c>
      <c r="B3962" t="str">
        <f ca="1">IFERROR(__xludf.DUMMYFUNCTION("""COMPUTED_VALUE"""),"RF-00000088-VET")</f>
        <v>RF-00000088-VET</v>
      </c>
    </row>
    <row r="3963" spans="1:2" ht="12.5" x14ac:dyDescent="0.25">
      <c r="A3963" t="str">
        <f ca="1">IFERROR(__xludf.DUMMYFUNCTION("""COMPUTED_VALUE"""),"Narceine")</f>
        <v>Narceine</v>
      </c>
      <c r="B3963" t="str">
        <f ca="1">IFERROR(__xludf.DUMMYFUNCTION("""COMPUTED_VALUE"""),"RF-00000255-TOX")</f>
        <v>RF-00000255-TOX</v>
      </c>
    </row>
    <row r="3964" spans="1:2" ht="12.5" x14ac:dyDescent="0.25">
      <c r="A3964" t="str">
        <f ca="1">IFERROR(__xludf.DUMMYFUNCTION("""COMPUTED_VALUE"""),"Natamycin")</f>
        <v>Natamycin</v>
      </c>
      <c r="B3964" t="str">
        <f ca="1">IFERROR(__xludf.DUMMYFUNCTION("""COMPUTED_VALUE"""),"RF-00000199-ADD")</f>
        <v>RF-00000199-ADD</v>
      </c>
    </row>
    <row r="3965" spans="1:2" ht="12.5" x14ac:dyDescent="0.25">
      <c r="A3965" t="str">
        <f ca="1">IFERROR(__xludf.DUMMYFUNCTION("""COMPUTED_VALUE"""),"NDM")</f>
        <v>NDM</v>
      </c>
      <c r="B3965" t="str">
        <f ca="1">IFERROR(__xludf.DUMMYFUNCTION("""COMPUTED_VALUE"""),"RF-00000964-PAR")</f>
        <v>RF-00000964-PAR</v>
      </c>
    </row>
    <row r="3966" spans="1:2" ht="12.5" x14ac:dyDescent="0.25">
      <c r="A3966" t="str">
        <f ca="1">IFERROR(__xludf.DUMMYFUNCTION("""COMPUTED_VALUE"""),"NDM-1")</f>
        <v>NDM-1</v>
      </c>
      <c r="B3966" t="str">
        <f ca="1">IFERROR(__xludf.DUMMYFUNCTION("""COMPUTED_VALUE"""),"RF-00000965-PAR")</f>
        <v>RF-00000965-PAR</v>
      </c>
    </row>
    <row r="3967" spans="1:2" ht="12.5" x14ac:dyDescent="0.25">
      <c r="A3967" t="str">
        <f ca="1">IFERROR(__xludf.DUMMYFUNCTION("""COMPUTED_VALUE"""),"NDM-2")</f>
        <v>NDM-2</v>
      </c>
      <c r="B3967" t="str">
        <f ca="1">IFERROR(__xludf.DUMMYFUNCTION("""COMPUTED_VALUE"""),"RF-00000966-PAR")</f>
        <v>RF-00000966-PAR</v>
      </c>
    </row>
    <row r="3968" spans="1:2" ht="12.5" x14ac:dyDescent="0.25">
      <c r="A3968" t="str">
        <f ca="1">IFERROR(__xludf.DUMMYFUNCTION("""COMPUTED_VALUE"""),"NDM-3")</f>
        <v>NDM-3</v>
      </c>
      <c r="B3968" t="str">
        <f ca="1">IFERROR(__xludf.DUMMYFUNCTION("""COMPUTED_VALUE"""),"RF-00000967-PAR")</f>
        <v>RF-00000967-PAR</v>
      </c>
    </row>
    <row r="3969" spans="1:2" ht="12.5" x14ac:dyDescent="0.25">
      <c r="A3969" t="str">
        <f ca="1">IFERROR(__xludf.DUMMYFUNCTION("""COMPUTED_VALUE"""),"NDM-4")</f>
        <v>NDM-4</v>
      </c>
      <c r="B3969" t="str">
        <f ca="1">IFERROR(__xludf.DUMMYFUNCTION("""COMPUTED_VALUE"""),"RF-00000968-PAR")</f>
        <v>RF-00000968-PAR</v>
      </c>
    </row>
    <row r="3970" spans="1:2" ht="12.5" x14ac:dyDescent="0.25">
      <c r="A3970" t="str">
        <f ca="1">IFERROR(__xludf.DUMMYFUNCTION("""COMPUTED_VALUE"""),"NDM-5")</f>
        <v>NDM-5</v>
      </c>
      <c r="B3970" t="str">
        <f ca="1">IFERROR(__xludf.DUMMYFUNCTION("""COMPUTED_VALUE"""),"RF-00000969-PAR")</f>
        <v>RF-00000969-PAR</v>
      </c>
    </row>
    <row r="3971" spans="1:2" ht="12.5" x14ac:dyDescent="0.25">
      <c r="A3971" t="str">
        <f ca="1">IFERROR(__xludf.DUMMYFUNCTION("""COMPUTED_VALUE"""),"NDM-6")</f>
        <v>NDM-6</v>
      </c>
      <c r="B3971" t="str">
        <f ca="1">IFERROR(__xludf.DUMMYFUNCTION("""COMPUTED_VALUE"""),"RF-00000970-PAR")</f>
        <v>RF-00000970-PAR</v>
      </c>
    </row>
    <row r="3972" spans="1:2" ht="12.5" x14ac:dyDescent="0.25">
      <c r="A3972" t="str">
        <f ca="1">IFERROR(__xludf.DUMMYFUNCTION("""COMPUTED_VALUE"""),"NDM-7")</f>
        <v>NDM-7</v>
      </c>
      <c r="B3972" t="str">
        <f ca="1">IFERROR(__xludf.DUMMYFUNCTION("""COMPUTED_VALUE"""),"RF-00000971-PAR")</f>
        <v>RF-00000971-PAR</v>
      </c>
    </row>
    <row r="3973" spans="1:2" ht="12.5" x14ac:dyDescent="0.25">
      <c r="A3973" t="str">
        <f ca="1">IFERROR(__xludf.DUMMYFUNCTION("""COMPUTED_VALUE"""),"Neamin (Neomycin A)")</f>
        <v>Neamin (Neomycin A)</v>
      </c>
      <c r="B3973" t="str">
        <f ca="1">IFERROR(__xludf.DUMMYFUNCTION("""COMPUTED_VALUE"""),"RF-00000539-VET")</f>
        <v>RF-00000539-VET</v>
      </c>
    </row>
    <row r="3974" spans="1:2" ht="12.5" x14ac:dyDescent="0.25">
      <c r="A3974" t="str">
        <f ca="1">IFERROR(__xludf.DUMMYFUNCTION("""COMPUTED_VALUE"""),"Neburon")</f>
        <v>Neburon</v>
      </c>
      <c r="B3974" t="str">
        <f ca="1">IFERROR(__xludf.DUMMYFUNCTION("""COMPUTED_VALUE"""),"RF-0805-001-PPP")</f>
        <v>RF-0805-001-PPP</v>
      </c>
    </row>
    <row r="3975" spans="1:2" ht="12.5" x14ac:dyDescent="0.25">
      <c r="A3975" t="str">
        <f ca="1">IFERROR(__xludf.DUMMYFUNCTION("""COMPUTED_VALUE"""),"Nemadectin")</f>
        <v>Nemadectin</v>
      </c>
      <c r="B3975" t="str">
        <f ca="1">IFERROR(__xludf.DUMMYFUNCTION("""COMPUTED_VALUE"""),"RF-00000017-VET")</f>
        <v>RF-00000017-VET</v>
      </c>
    </row>
    <row r="3976" spans="1:2" ht="12.5" x14ac:dyDescent="0.25">
      <c r="A3976" t="str">
        <f ca="1">IFERROR(__xludf.DUMMYFUNCTION("""COMPUTED_VALUE"""),"Nematodes")</f>
        <v>Nematodes</v>
      </c>
      <c r="B3976" t="str">
        <f ca="1">IFERROR(__xludf.DUMMYFUNCTION("""COMPUTED_VALUE"""),"RF-00002795-MCG")</f>
        <v>RF-00002795-MCG</v>
      </c>
    </row>
    <row r="3977" spans="1:2" ht="12.5" x14ac:dyDescent="0.25">
      <c r="A3977" t="str">
        <f ca="1">IFERROR(__xludf.DUMMYFUNCTION("""COMPUTED_VALUE"""),"Neohesperidine DC")</f>
        <v>Neohesperidine DC</v>
      </c>
      <c r="B3977" t="str">
        <f ca="1">IFERROR(__xludf.DUMMYFUNCTION("""COMPUTED_VALUE"""),"RF-00000200-ADD")</f>
        <v>RF-00000200-ADD</v>
      </c>
    </row>
    <row r="3978" spans="1:2" ht="12.5" x14ac:dyDescent="0.25">
      <c r="A3978" t="str">
        <f ca="1">IFERROR(__xludf.DUMMYFUNCTION("""COMPUTED_VALUE"""),"Neomycin")</f>
        <v>Neomycin</v>
      </c>
      <c r="B3978" t="str">
        <f ca="1">IFERROR(__xludf.DUMMYFUNCTION("""COMPUTED_VALUE"""),"RF-00000530-VET")</f>
        <v>RF-00000530-VET</v>
      </c>
    </row>
    <row r="3979" spans="1:2" ht="12.5" x14ac:dyDescent="0.25">
      <c r="A3979" t="str">
        <f ca="1">IFERROR(__xludf.DUMMYFUNCTION("""COMPUTED_VALUE"""),"Neomycin C")</f>
        <v>Neomycin C</v>
      </c>
      <c r="B3979" t="str">
        <f ca="1">IFERROR(__xludf.DUMMYFUNCTION("""COMPUTED_VALUE"""),"RF-00000531-VET")</f>
        <v>RF-00000531-VET</v>
      </c>
    </row>
    <row r="3980" spans="1:2" ht="12.5" x14ac:dyDescent="0.25">
      <c r="A3980" t="str">
        <f ca="1">IFERROR(__xludf.DUMMYFUNCTION("""COMPUTED_VALUE"""),"Neopalytoxin")</f>
        <v>Neopalytoxin</v>
      </c>
      <c r="B3980" t="str">
        <f ca="1">IFERROR(__xludf.DUMMYFUNCTION("""COMPUTED_VALUE"""),"RF-00000077-TOX")</f>
        <v>RF-00000077-TOX</v>
      </c>
    </row>
    <row r="3981" spans="1:2" ht="12.5" x14ac:dyDescent="0.25">
      <c r="A3981" t="str">
        <f ca="1">IFERROR(__xludf.DUMMYFUNCTION("""COMPUTED_VALUE"""),"Neoplatyphylline")</f>
        <v>Neoplatyphylline</v>
      </c>
      <c r="B3981" t="str">
        <f ca="1">IFERROR(__xludf.DUMMYFUNCTION("""COMPUTED_VALUE"""),"RF-00000244-TOX")</f>
        <v>RF-00000244-TOX</v>
      </c>
    </row>
    <row r="3982" spans="1:2" ht="12.5" x14ac:dyDescent="0.25">
      <c r="A3982" t="str">
        <f ca="1">IFERROR(__xludf.DUMMYFUNCTION("""COMPUTED_VALUE"""),"Neorickettsia")</f>
        <v>Neorickettsia</v>
      </c>
      <c r="B3982" t="str">
        <f ca="1">IFERROR(__xludf.DUMMYFUNCTION("""COMPUTED_VALUE"""),"RF-00003920-MCG")</f>
        <v>RF-00003920-MCG</v>
      </c>
    </row>
    <row r="3983" spans="1:2" ht="12.5" x14ac:dyDescent="0.25">
      <c r="A3983" t="str">
        <f ca="1">IFERROR(__xludf.DUMMYFUNCTION("""COMPUTED_VALUE"""),"Neorickettsia risticii")</f>
        <v>Neorickettsia risticii</v>
      </c>
      <c r="B3983" t="str">
        <f ca="1">IFERROR(__xludf.DUMMYFUNCTION("""COMPUTED_VALUE"""),"RF-00003921-MCG")</f>
        <v>RF-00003921-MCG</v>
      </c>
    </row>
    <row r="3984" spans="1:2" ht="12.5" x14ac:dyDescent="0.25">
      <c r="A3984" t="str">
        <f ca="1">IFERROR(__xludf.DUMMYFUNCTION("""COMPUTED_VALUE"""),"neosaxitoxin")</f>
        <v>neosaxitoxin</v>
      </c>
      <c r="B3984" t="str">
        <f ca="1">IFERROR(__xludf.DUMMYFUNCTION("""COMPUTED_VALUE"""),"RF-00000112-TOX")</f>
        <v>RF-00000112-TOX</v>
      </c>
    </row>
    <row r="3985" spans="1:2" ht="12.5" x14ac:dyDescent="0.25">
      <c r="A3985" t="str">
        <f ca="1">IFERROR(__xludf.DUMMYFUNCTION("""COMPUTED_VALUE"""),"Neosolaniol")</f>
        <v>Neosolaniol</v>
      </c>
      <c r="B3985" t="str">
        <f ca="1">IFERROR(__xludf.DUMMYFUNCTION("""COMPUTED_VALUE"""),"RF-00000189-TOX")</f>
        <v>RF-00000189-TOX</v>
      </c>
    </row>
    <row r="3986" spans="1:2" ht="12.5" x14ac:dyDescent="0.25">
      <c r="A3986" t="str">
        <f ca="1">IFERROR(__xludf.DUMMYFUNCTION("""COMPUTED_VALUE"""),"Neospiramycin")</f>
        <v>Neospiramycin</v>
      </c>
      <c r="B3986" t="str">
        <f ca="1">IFERROR(__xludf.DUMMYFUNCTION("""COMPUTED_VALUE"""),"RF-00000532-VET")</f>
        <v>RF-00000532-VET</v>
      </c>
    </row>
    <row r="3987" spans="1:2" ht="12.5" x14ac:dyDescent="0.25">
      <c r="A3987" t="str">
        <f ca="1">IFERROR(__xludf.DUMMYFUNCTION("""COMPUTED_VALUE"""),"Neotame")</f>
        <v>Neotame</v>
      </c>
      <c r="B3987" t="str">
        <f ca="1">IFERROR(__xludf.DUMMYFUNCTION("""COMPUTED_VALUE"""),"RF-00000201-ADD")</f>
        <v>RF-00000201-ADD</v>
      </c>
    </row>
    <row r="3988" spans="1:2" ht="12.5" x14ac:dyDescent="0.25">
      <c r="A3988" t="str">
        <f ca="1">IFERROR(__xludf.DUMMYFUNCTION("""COMPUTED_VALUE"""),"Nereistoxin")</f>
        <v>Nereistoxin</v>
      </c>
      <c r="B3988" t="str">
        <f ca="1">IFERROR(__xludf.DUMMYFUNCTION("""COMPUTED_VALUE"""),"RF-0806-001-PPP")</f>
        <v>RF-0806-001-PPP</v>
      </c>
    </row>
    <row r="3989" spans="1:2" ht="12.5" x14ac:dyDescent="0.25">
      <c r="A3989" t="str">
        <f ca="1">IFERROR(__xludf.DUMMYFUNCTION("""COMPUTED_VALUE"""),"Netilmicin")</f>
        <v>Netilmicin</v>
      </c>
      <c r="B3989" t="str">
        <f ca="1">IFERROR(__xludf.DUMMYFUNCTION("""COMPUTED_VALUE"""),"RF-00000598-VET")</f>
        <v>RF-00000598-VET</v>
      </c>
    </row>
    <row r="3990" spans="1:2" ht="12.5" x14ac:dyDescent="0.25">
      <c r="A3990" t="str">
        <f ca="1">IFERROR(__xludf.DUMMYFUNCTION("""COMPUTED_VALUE"""),"Netobimin")</f>
        <v>Netobimin</v>
      </c>
      <c r="B3990" t="str">
        <f ca="1">IFERROR(__xludf.DUMMYFUNCTION("""COMPUTED_VALUE"""),"RF-00000022-VET")</f>
        <v>RF-00000022-VET</v>
      </c>
    </row>
    <row r="3991" spans="1:2" ht="12.5" x14ac:dyDescent="0.25">
      <c r="A3991" t="str">
        <f ca="1">IFERROR(__xludf.DUMMYFUNCTION("""COMPUTED_VALUE"""),"niacin")</f>
        <v>niacin</v>
      </c>
      <c r="B3991" t="str">
        <f ca="1">IFERROR(__xludf.DUMMYFUNCTION("""COMPUTED_VALUE"""),"RF-00000441-NTR")</f>
        <v>RF-00000441-NTR</v>
      </c>
    </row>
    <row r="3992" spans="1:2" ht="12.5" x14ac:dyDescent="0.25">
      <c r="A3992" t="str">
        <f ca="1">IFERROR(__xludf.DUMMYFUNCTION("""COMPUTED_VALUE"""),"niacin equivalents from tryptophan")</f>
        <v>niacin equivalents from tryptophan</v>
      </c>
      <c r="B3992" t="str">
        <f ca="1">IFERROR(__xludf.DUMMYFUNCTION("""COMPUTED_VALUE"""),"RF-00000346-NTR")</f>
        <v>RF-00000346-NTR</v>
      </c>
    </row>
    <row r="3993" spans="1:2" ht="12.5" x14ac:dyDescent="0.25">
      <c r="A3993" t="str">
        <f ca="1">IFERROR(__xludf.DUMMYFUNCTION("""COMPUTED_VALUE"""),"niacin equivalents, total")</f>
        <v>niacin equivalents, total</v>
      </c>
      <c r="B3993" t="str">
        <f ca="1">IFERROR(__xludf.DUMMYFUNCTION("""COMPUTED_VALUE"""),"RF-00000347-NTR")</f>
        <v>RF-00000347-NTR</v>
      </c>
    </row>
    <row r="3994" spans="1:2" ht="12.5" x14ac:dyDescent="0.25">
      <c r="A3994" t="str">
        <f ca="1">IFERROR(__xludf.DUMMYFUNCTION("""COMPUTED_VALUE"""),"niacin, available")</f>
        <v>niacin, available</v>
      </c>
      <c r="B3994" t="str">
        <f ca="1">IFERROR(__xludf.DUMMYFUNCTION("""COMPUTED_VALUE"""),"RF-00000348-NTR")</f>
        <v>RF-00000348-NTR</v>
      </c>
    </row>
    <row r="3995" spans="1:2" ht="12.5" x14ac:dyDescent="0.25">
      <c r="A3995" t="str">
        <f ca="1">IFERROR(__xludf.DUMMYFUNCTION("""COMPUTED_VALUE"""),"niacin, preformed")</f>
        <v>niacin, preformed</v>
      </c>
      <c r="B3995" t="str">
        <f ca="1">IFERROR(__xludf.DUMMYFUNCTION("""COMPUTED_VALUE"""),"RF-00000349-NTR")</f>
        <v>RF-00000349-NTR</v>
      </c>
    </row>
    <row r="3996" spans="1:2" ht="12.5" x14ac:dyDescent="0.25">
      <c r="A3996" t="str">
        <f ca="1">IFERROR(__xludf.DUMMYFUNCTION("""COMPUTED_VALUE"""),"Nicarbazin")</f>
        <v>Nicarbazin</v>
      </c>
      <c r="B3996" t="str">
        <f ca="1">IFERROR(__xludf.DUMMYFUNCTION("""COMPUTED_VALUE"""),"RF-00000071-VET")</f>
        <v>RF-00000071-VET</v>
      </c>
    </row>
    <row r="3997" spans="1:2" ht="12.5" x14ac:dyDescent="0.25">
      <c r="A3997" t="str">
        <f ca="1">IFERROR(__xludf.DUMMYFUNCTION("""COMPUTED_VALUE"""),"Nickel (Ni)")</f>
        <v>Nickel (Ni)</v>
      </c>
      <c r="B3997" t="str">
        <f ca="1">IFERROR(__xludf.DUMMYFUNCTION("""COMPUTED_VALUE"""),"RF-00000182-CHE")</f>
        <v>RF-00000182-CHE</v>
      </c>
    </row>
    <row r="3998" spans="1:2" ht="12.5" x14ac:dyDescent="0.25">
      <c r="A3998" t="str">
        <f ca="1">IFERROR(__xludf.DUMMYFUNCTION("""COMPUTED_VALUE"""),"Nickel and derivatives")</f>
        <v>Nickel and derivatives</v>
      </c>
      <c r="B3998" t="str">
        <f ca="1">IFERROR(__xludf.DUMMYFUNCTION("""COMPUTED_VALUE"""),"RF-00000181-CHE")</f>
        <v>RF-00000181-CHE</v>
      </c>
    </row>
    <row r="3999" spans="1:2" ht="12.5" x14ac:dyDescent="0.25">
      <c r="A3999" t="str">
        <f ca="1">IFERROR(__xludf.DUMMYFUNCTION("""COMPUTED_VALUE"""),"Niclosamid")</f>
        <v>Niclosamid</v>
      </c>
      <c r="B3999" t="str">
        <f ca="1">IFERROR(__xludf.DUMMYFUNCTION("""COMPUTED_VALUE"""),"RF-00000020-VET")</f>
        <v>RF-00000020-VET</v>
      </c>
    </row>
    <row r="4000" spans="1:2" ht="12.5" x14ac:dyDescent="0.25">
      <c r="A4000" t="str">
        <f ca="1">IFERROR(__xludf.DUMMYFUNCTION("""COMPUTED_VALUE"""),"Niclosamide")</f>
        <v>Niclosamide</v>
      </c>
      <c r="B4000" t="str">
        <f ca="1">IFERROR(__xludf.DUMMYFUNCTION("""COMPUTED_VALUE"""),"RF-0808-001-PPP")</f>
        <v>RF-0808-001-PPP</v>
      </c>
    </row>
    <row r="4001" spans="1:2" ht="12.5" x14ac:dyDescent="0.25">
      <c r="A4001" t="str">
        <f ca="1">IFERROR(__xludf.DUMMYFUNCTION("""COMPUTED_VALUE"""),"Nicosulfuron")</f>
        <v>Nicosulfuron</v>
      </c>
      <c r="B4001" t="str">
        <f ca="1">IFERROR(__xludf.DUMMYFUNCTION("""COMPUTED_VALUE"""),"RF-0310-001-PPP")</f>
        <v>RF-0310-001-PPP</v>
      </c>
    </row>
    <row r="4002" spans="1:2" ht="12.5" x14ac:dyDescent="0.25">
      <c r="A4002" t="str">
        <f ca="1">IFERROR(__xludf.DUMMYFUNCTION("""COMPUTED_VALUE"""),"Nicotine")</f>
        <v>Nicotine</v>
      </c>
      <c r="B4002" t="str">
        <f ca="1">IFERROR(__xludf.DUMMYFUNCTION("""COMPUTED_VALUE"""),"RF-0809-001-PPP")</f>
        <v>RF-0809-001-PPP</v>
      </c>
    </row>
    <row r="4003" spans="1:2" ht="12.5" x14ac:dyDescent="0.25">
      <c r="A4003" t="str">
        <f ca="1">IFERROR(__xludf.DUMMYFUNCTION("""COMPUTED_VALUE"""),"Niflumic acid")</f>
        <v>Niflumic acid</v>
      </c>
      <c r="B4003" t="str">
        <f ca="1">IFERROR(__xludf.DUMMYFUNCTION("""COMPUTED_VALUE"""),"RF-00000240-VET")</f>
        <v>RF-00000240-VET</v>
      </c>
    </row>
    <row r="4004" spans="1:2" ht="12.5" x14ac:dyDescent="0.25">
      <c r="A4004" t="str">
        <f ca="1">IFERROR(__xludf.DUMMYFUNCTION("""COMPUTED_VALUE"""),"Nifuroxazide")</f>
        <v>Nifuroxazide</v>
      </c>
      <c r="B4004" t="str">
        <f ca="1">IFERROR(__xludf.DUMMYFUNCTION("""COMPUTED_VALUE"""),"RF-00000512-VET")</f>
        <v>RF-00000512-VET</v>
      </c>
    </row>
    <row r="4005" spans="1:2" ht="12.5" x14ac:dyDescent="0.25">
      <c r="A4005" t="str">
        <f ca="1">IFERROR(__xludf.DUMMYFUNCTION("""COMPUTED_VALUE"""),"Nifuroxin")</f>
        <v>Nifuroxin</v>
      </c>
      <c r="B4005" t="str">
        <f ca="1">IFERROR(__xludf.DUMMYFUNCTION("""COMPUTED_VALUE"""),"RF-00000283-VET")</f>
        <v>RF-00000283-VET</v>
      </c>
    </row>
    <row r="4006" spans="1:2" ht="12.5" x14ac:dyDescent="0.25">
      <c r="A4006" t="str">
        <f ca="1">IFERROR(__xludf.DUMMYFUNCTION("""COMPUTED_VALUE"""),"Nifurprazine")</f>
        <v>Nifurprazine</v>
      </c>
      <c r="B4006" t="str">
        <f ca="1">IFERROR(__xludf.DUMMYFUNCTION("""COMPUTED_VALUE"""),"RF-00000510-VET")</f>
        <v>RF-00000510-VET</v>
      </c>
    </row>
    <row r="4007" spans="1:2" ht="12.5" x14ac:dyDescent="0.25">
      <c r="A4007" t="str">
        <f ca="1">IFERROR(__xludf.DUMMYFUNCTION("""COMPUTED_VALUE"""),"Nifursol")</f>
        <v>Nifursol</v>
      </c>
      <c r="B4007" t="str">
        <f ca="1">IFERROR(__xludf.DUMMYFUNCTION("""COMPUTED_VALUE"""),"RF-00000500-VET")</f>
        <v>RF-00000500-VET</v>
      </c>
    </row>
    <row r="4008" spans="1:2" ht="12.5" x14ac:dyDescent="0.25">
      <c r="A4008" t="str">
        <f ca="1">IFERROR(__xludf.DUMMYFUNCTION("""COMPUTED_VALUE"""),"Nigericin sodium")</f>
        <v>Nigericin sodium</v>
      </c>
      <c r="B4008" t="str">
        <f ca="1">IFERROR(__xludf.DUMMYFUNCTION("""COMPUTED_VALUE"""),"RF-00000067-VET")</f>
        <v>RF-00000067-VET</v>
      </c>
    </row>
    <row r="4009" spans="1:2" ht="12.5" x14ac:dyDescent="0.25">
      <c r="A4009" t="str">
        <f ca="1">IFERROR(__xludf.DUMMYFUNCTION("""COMPUTED_VALUE"""),"Nimorazole")</f>
        <v>Nimorazole</v>
      </c>
      <c r="B4009" t="str">
        <f ca="1">IFERROR(__xludf.DUMMYFUNCTION("""COMPUTED_VALUE"""),"RF-00000073-VET")</f>
        <v>RF-00000073-VET</v>
      </c>
    </row>
    <row r="4010" spans="1:2" ht="12.5" x14ac:dyDescent="0.25">
      <c r="A4010" t="str">
        <f ca="1">IFERROR(__xludf.DUMMYFUNCTION("""COMPUTED_VALUE"""),"Nisin")</f>
        <v>Nisin</v>
      </c>
      <c r="B4010" t="str">
        <f ca="1">IFERROR(__xludf.DUMMYFUNCTION("""COMPUTED_VALUE"""),"RF-00000202-ADD")</f>
        <v>RF-00000202-ADD</v>
      </c>
    </row>
    <row r="4011" spans="1:2" ht="12.5" x14ac:dyDescent="0.25">
      <c r="A4011" t="str">
        <f ca="1">IFERROR(__xludf.DUMMYFUNCTION("""COMPUTED_VALUE"""),"Nitenpyram")</f>
        <v>Nitenpyram</v>
      </c>
      <c r="B4011" t="str">
        <f ca="1">IFERROR(__xludf.DUMMYFUNCTION("""COMPUTED_VALUE"""),"RF-0810-001-PPP")</f>
        <v>RF-0810-001-PPP</v>
      </c>
    </row>
    <row r="4012" spans="1:2" ht="12.5" x14ac:dyDescent="0.25">
      <c r="A4012" t="str">
        <f ca="1">IFERROR(__xludf.DUMMYFUNCTION("""COMPUTED_VALUE"""),"Nithiazine")</f>
        <v>Nithiazine</v>
      </c>
      <c r="B4012" t="str">
        <f ca="1">IFERROR(__xludf.DUMMYFUNCTION("""COMPUTED_VALUE"""),"RF-0811-001-PPP")</f>
        <v>RF-0811-001-PPP</v>
      </c>
    </row>
    <row r="4013" spans="1:2" ht="12.5" x14ac:dyDescent="0.25">
      <c r="A4013" t="str">
        <f ca="1">IFERROR(__xludf.DUMMYFUNCTION("""COMPUTED_VALUE"""),"Nitralin")</f>
        <v>Nitralin</v>
      </c>
      <c r="B4013" t="str">
        <f ca="1">IFERROR(__xludf.DUMMYFUNCTION("""COMPUTED_VALUE"""),"RF-0812-001-PPP")</f>
        <v>RF-0812-001-PPP</v>
      </c>
    </row>
    <row r="4014" spans="1:2" ht="12.5" x14ac:dyDescent="0.25">
      <c r="A4014" t="str">
        <f ca="1">IFERROR(__xludf.DUMMYFUNCTION("""COMPUTED_VALUE"""),"Nitrapyrin")</f>
        <v>Nitrapyrin</v>
      </c>
      <c r="B4014" t="str">
        <f ca="1">IFERROR(__xludf.DUMMYFUNCTION("""COMPUTED_VALUE"""),"RF-0813-001-PPP")</f>
        <v>RF-0813-001-PPP</v>
      </c>
    </row>
    <row r="4015" spans="1:2" ht="12.5" x14ac:dyDescent="0.25">
      <c r="A4015" t="str">
        <f ca="1">IFERROR(__xludf.DUMMYFUNCTION("""COMPUTED_VALUE"""),"Nitrate")</f>
        <v>Nitrate</v>
      </c>
      <c r="B4015" t="str">
        <f ca="1">IFERROR(__xludf.DUMMYFUNCTION("""COMPUTED_VALUE"""),"RF-00000085-CHE")</f>
        <v>RF-00000085-CHE</v>
      </c>
    </row>
    <row r="4016" spans="1:2" ht="12.5" x14ac:dyDescent="0.25">
      <c r="A4016" t="str">
        <f ca="1">IFERROR(__xludf.DUMMYFUNCTION("""COMPUTED_VALUE"""),"Nitric nitrogen")</f>
        <v>Nitric nitrogen</v>
      </c>
      <c r="B4016" t="str">
        <f ca="1">IFERROR(__xludf.DUMMYFUNCTION("""COMPUTED_VALUE"""),"RF-00000086-CHE")</f>
        <v>RF-00000086-CHE</v>
      </c>
    </row>
    <row r="4017" spans="1:2" ht="12.5" x14ac:dyDescent="0.25">
      <c r="A4017" t="str">
        <f ca="1">IFERROR(__xludf.DUMMYFUNCTION("""COMPUTED_VALUE"""),"Nitrites")</f>
        <v>Nitrites</v>
      </c>
      <c r="B4017" t="str">
        <f ca="1">IFERROR(__xludf.DUMMYFUNCTION("""COMPUTED_VALUE"""),"RF-00000087-CHE")</f>
        <v>RF-00000087-CHE</v>
      </c>
    </row>
    <row r="4018" spans="1:2" ht="12.5" x14ac:dyDescent="0.25">
      <c r="A4018" t="str">
        <f ca="1">IFERROR(__xludf.DUMMYFUNCTION("""COMPUTED_VALUE"""),"Nitrobenzene")</f>
        <v>Nitrobenzene</v>
      </c>
      <c r="B4018" t="str">
        <f ca="1">IFERROR(__xludf.DUMMYFUNCTION("""COMPUTED_VALUE"""),"RF-0814-001-PPP")</f>
        <v>RF-0814-001-PPP</v>
      </c>
    </row>
    <row r="4019" spans="1:2" ht="12.5" x14ac:dyDescent="0.25">
      <c r="A4019" t="str">
        <f ca="1">IFERROR(__xludf.DUMMYFUNCTION("""COMPUTED_VALUE"""),"Nitrofen")</f>
        <v>Nitrofen</v>
      </c>
      <c r="B4019" t="str">
        <f ca="1">IFERROR(__xludf.DUMMYFUNCTION("""COMPUTED_VALUE"""),"RF-0311-001-PPP")</f>
        <v>RF-0311-001-PPP</v>
      </c>
    </row>
    <row r="4020" spans="1:2" ht="12.5" x14ac:dyDescent="0.25">
      <c r="A4020" t="str">
        <f ca="1">IFERROR(__xludf.DUMMYFUNCTION("""COMPUTED_VALUE"""),"Nitrofurans")</f>
        <v>Nitrofurans</v>
      </c>
      <c r="B4020" t="str">
        <f ca="1">IFERROR(__xludf.DUMMYFUNCTION("""COMPUTED_VALUE"""),"RF-00000517-VET")</f>
        <v>RF-00000517-VET</v>
      </c>
    </row>
    <row r="4021" spans="1:2" ht="12.5" x14ac:dyDescent="0.25">
      <c r="A4021" t="str">
        <f ca="1">IFERROR(__xludf.DUMMYFUNCTION("""COMPUTED_VALUE"""),"Nitrofurantoin")</f>
        <v>Nitrofurantoin</v>
      </c>
      <c r="B4021" t="str">
        <f ca="1">IFERROR(__xludf.DUMMYFUNCTION("""COMPUTED_VALUE"""),"RF-00000505-VET")</f>
        <v>RF-00000505-VET</v>
      </c>
    </row>
    <row r="4022" spans="1:2" ht="12.5" x14ac:dyDescent="0.25">
      <c r="A4022" t="str">
        <f ca="1">IFERROR(__xludf.DUMMYFUNCTION("""COMPUTED_VALUE"""),"Nitrofurathiazide")</f>
        <v>Nitrofurathiazide</v>
      </c>
      <c r="B4022" t="str">
        <f ca="1">IFERROR(__xludf.DUMMYFUNCTION("""COMPUTED_VALUE"""),"RF-00000504-VET")</f>
        <v>RF-00000504-VET</v>
      </c>
    </row>
    <row r="4023" spans="1:2" ht="12.5" x14ac:dyDescent="0.25">
      <c r="A4023" t="str">
        <f ca="1">IFERROR(__xludf.DUMMYFUNCTION("""COMPUTED_VALUE"""),"Nitrofurazone")</f>
        <v>Nitrofurazone</v>
      </c>
      <c r="B4023" t="str">
        <f ca="1">IFERROR(__xludf.DUMMYFUNCTION("""COMPUTED_VALUE"""),"RF-00000503-VET")</f>
        <v>RF-00000503-VET</v>
      </c>
    </row>
    <row r="4024" spans="1:2" ht="12.5" x14ac:dyDescent="0.25">
      <c r="A4024" t="str">
        <f ca="1">IFERROR(__xludf.DUMMYFUNCTION("""COMPUTED_VALUE"""),"Nitrogen")</f>
        <v>Nitrogen</v>
      </c>
      <c r="B4024" t="str">
        <f ca="1">IFERROR(__xludf.DUMMYFUNCTION("""COMPUTED_VALUE"""),"RF-00000090-CHE")</f>
        <v>RF-00000090-CHE</v>
      </c>
    </row>
    <row r="4025" spans="1:2" ht="12.5" x14ac:dyDescent="0.25">
      <c r="A4025" t="str">
        <f ca="1">IFERROR(__xludf.DUMMYFUNCTION("""COMPUTED_VALUE"""),"Nitrogen (Isobutylidenediurea)")</f>
        <v>Nitrogen (Isobutylidenediurea)</v>
      </c>
      <c r="B4025" t="str">
        <f ca="1">IFERROR(__xludf.DUMMYFUNCTION("""COMPUTED_VALUE"""),"RF-00000094-CHE")</f>
        <v>RF-00000094-CHE</v>
      </c>
    </row>
    <row r="4026" spans="1:2" ht="12.5" x14ac:dyDescent="0.25">
      <c r="A4026" t="str">
        <f ca="1">IFERROR(__xludf.DUMMYFUNCTION("""COMPUTED_VALUE"""),"Nitrogen (N)")</f>
        <v>Nitrogen (N)</v>
      </c>
      <c r="B4026" t="str">
        <f ca="1">IFERROR(__xludf.DUMMYFUNCTION("""COMPUTED_VALUE"""),"RF-00000081-CHE")</f>
        <v>RF-00000081-CHE</v>
      </c>
    </row>
    <row r="4027" spans="1:2" ht="12.5" x14ac:dyDescent="0.25">
      <c r="A4027" t="str">
        <f ca="1">IFERROR(__xludf.DUMMYFUNCTION("""COMPUTED_VALUE"""),"Nitrogen and derivatives")</f>
        <v>Nitrogen and derivatives</v>
      </c>
      <c r="B4027" t="str">
        <f ca="1">IFERROR(__xludf.DUMMYFUNCTION("""COMPUTED_VALUE"""),"RF-00000080-CHE")</f>
        <v>RF-00000080-CHE</v>
      </c>
    </row>
    <row r="4028" spans="1:2" ht="12.5" x14ac:dyDescent="0.25">
      <c r="A4028" t="str">
        <f ca="1">IFERROR(__xludf.DUMMYFUNCTION("""COMPUTED_VALUE"""),"nitrogen conversion factor")</f>
        <v>nitrogen conversion factor</v>
      </c>
      <c r="B4028" t="str">
        <f ca="1">IFERROR(__xludf.DUMMYFUNCTION("""COMPUTED_VALUE"""),"RF-00000350-NTR")</f>
        <v>RF-00000350-NTR</v>
      </c>
    </row>
    <row r="4029" spans="1:2" ht="12.5" x14ac:dyDescent="0.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x14ac:dyDescent="0.25">
      <c r="A4030" t="str">
        <f ca="1">IFERROR(__xludf.DUMMYFUNCTION("""COMPUTED_VALUE"""),"Nitrogen from the dicyanediamide")</f>
        <v>Nitrogen from the dicyanediamide</v>
      </c>
      <c r="B4030" t="str">
        <f ca="1">IFERROR(__xludf.DUMMYFUNCTION("""COMPUTED_VALUE"""),"RF-00000092-CHE")</f>
        <v>RF-00000092-CHE</v>
      </c>
    </row>
    <row r="4031" spans="1:2" ht="12.5" x14ac:dyDescent="0.25">
      <c r="A4031" t="str">
        <f ca="1">IFERROR(__xludf.DUMMYFUNCTION("""COMPUTED_VALUE"""),"Nitrogen from the ureaform")</f>
        <v>Nitrogen from the ureaform</v>
      </c>
      <c r="B4031" t="str">
        <f ca="1">IFERROR(__xludf.DUMMYFUNCTION("""COMPUTED_VALUE"""),"RF-00000093-CHE")</f>
        <v>RF-00000093-CHE</v>
      </c>
    </row>
    <row r="4032" spans="1:2" ht="12.5" x14ac:dyDescent="0.25">
      <c r="A4032" t="str">
        <f ca="1">IFERROR(__xludf.DUMMYFUNCTION("""COMPUTED_VALUE"""),"Nitrogen from the ureaform")</f>
        <v>Nitrogen from the ureaform</v>
      </c>
      <c r="B4032" t="str">
        <f ca="1">IFERROR(__xludf.DUMMYFUNCTION("""COMPUTED_VALUE"""),"RF-00000101-CHE")</f>
        <v>RF-00000101-CHE</v>
      </c>
    </row>
    <row r="4033" spans="1:2" ht="12.5" x14ac:dyDescent="0.25">
      <c r="A4033" t="str">
        <f ca="1">IFERROR(__xludf.DUMMYFUNCTION("""COMPUTED_VALUE"""),"Nitrogen from urea-formaldehyde")</f>
        <v>Nitrogen from urea-formaldehyde</v>
      </c>
      <c r="B4033" t="str">
        <f ca="1">IFERROR(__xludf.DUMMYFUNCTION("""COMPUTED_VALUE"""),"RF-00000106-CHE")</f>
        <v>RF-00000106-CHE</v>
      </c>
    </row>
    <row r="4034" spans="1:2" ht="12.5" x14ac:dyDescent="0.25">
      <c r="A4034" t="str">
        <f ca="1">IFERROR(__xludf.DUMMYFUNCTION("""COMPUTED_VALUE"""),"Nitrogen in the SCU, released after 1 day")</f>
        <v>Nitrogen in the SCU, released after 1 day</v>
      </c>
      <c r="B4034" t="str">
        <f ca="1">IFERROR(__xludf.DUMMYFUNCTION("""COMPUTED_VALUE"""),"RF-00000099-CHE")</f>
        <v>RF-00000099-CHE</v>
      </c>
    </row>
    <row r="4035" spans="1:2" ht="12.5" x14ac:dyDescent="0.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x14ac:dyDescent="0.25">
      <c r="A4036" t="str">
        <f ca="1">IFERROR(__xludf.DUMMYFUNCTION("""COMPUTED_VALUE"""),"nitrogen, non protein")</f>
        <v>nitrogen, non protein</v>
      </c>
      <c r="B4036" t="str">
        <f ca="1">IFERROR(__xludf.DUMMYFUNCTION("""COMPUTED_VALUE"""),"RF-00000351-NTR")</f>
        <v>RF-00000351-NTR</v>
      </c>
    </row>
    <row r="4037" spans="1:2" ht="12.5" x14ac:dyDescent="0.25">
      <c r="A4037" t="str">
        <f ca="1">IFERROR(__xludf.DUMMYFUNCTION("""COMPUTED_VALUE"""),"Nitroimidazoles (group)")</f>
        <v>Nitroimidazoles (group)</v>
      </c>
      <c r="B4037" t="str">
        <f ca="1">IFERROR(__xludf.DUMMYFUNCTION("""COMPUTED_VALUE"""),"RF-00000499-VET")</f>
        <v>RF-00000499-VET</v>
      </c>
    </row>
    <row r="4038" spans="1:2" ht="12.5" x14ac:dyDescent="0.25">
      <c r="A4038" t="str">
        <f ca="1">IFERROR(__xludf.DUMMYFUNCTION("""COMPUTED_VALUE"""),"Nitroimidazoles and Nitrofurans")</f>
        <v>Nitroimidazoles and Nitrofurans</v>
      </c>
      <c r="B4038" t="str">
        <f ca="1">IFERROR(__xludf.DUMMYFUNCTION("""COMPUTED_VALUE"""),"RF-00000750-VET")</f>
        <v>RF-00000750-VET</v>
      </c>
    </row>
    <row r="4039" spans="1:2" ht="12.5" x14ac:dyDescent="0.25">
      <c r="A4039" t="str">
        <f ca="1">IFERROR(__xludf.DUMMYFUNCTION("""COMPUTED_VALUE"""),"Nitromide")</f>
        <v>Nitromide</v>
      </c>
      <c r="B4039" t="str">
        <f ca="1">IFERROR(__xludf.DUMMYFUNCTION("""COMPUTED_VALUE"""),"RF-00000060-VET")</f>
        <v>RF-00000060-VET</v>
      </c>
    </row>
    <row r="4040" spans="1:2" ht="12.5" x14ac:dyDescent="0.25">
      <c r="A4040" t="str">
        <f ca="1">IFERROR(__xludf.DUMMYFUNCTION("""COMPUTED_VALUE"""),"nitrosamines, total")</f>
        <v>nitrosamines, total</v>
      </c>
      <c r="B4040" t="str">
        <f ca="1">IFERROR(__xludf.DUMMYFUNCTION("""COMPUTED_VALUE"""),"RF-00000352-NTR")</f>
        <v>RF-00000352-NTR</v>
      </c>
    </row>
    <row r="4041" spans="1:2" ht="12.5" x14ac:dyDescent="0.25">
      <c r="A4041" t="str">
        <f ca="1">IFERROR(__xludf.DUMMYFUNCTION("""COMPUTED_VALUE"""),"Nitrothal-Isopropyl")</f>
        <v>Nitrothal-Isopropyl</v>
      </c>
      <c r="B4041" t="str">
        <f ca="1">IFERROR(__xludf.DUMMYFUNCTION("""COMPUTED_VALUE"""),"RF-0815-001-PPP")</f>
        <v>RF-0815-001-PPP</v>
      </c>
    </row>
    <row r="4042" spans="1:2" ht="12.5" x14ac:dyDescent="0.25">
      <c r="A4042" t="str">
        <f ca="1">IFERROR(__xludf.DUMMYFUNCTION("""COMPUTED_VALUE"""),"Nitrous oxide")</f>
        <v>Nitrous oxide</v>
      </c>
      <c r="B4042" t="str">
        <f ca="1">IFERROR(__xludf.DUMMYFUNCTION("""COMPUTED_VALUE"""),"RF-00000203-ADD")</f>
        <v>RF-00000203-ADD</v>
      </c>
    </row>
    <row r="4043" spans="1:2" ht="12.5" x14ac:dyDescent="0.25">
      <c r="A4043" t="str">
        <f ca="1">IFERROR(__xludf.DUMMYFUNCTION("""COMPUTED_VALUE"""),"Nitrovin")</f>
        <v>Nitrovin</v>
      </c>
      <c r="B4043" t="str">
        <f ca="1">IFERROR(__xludf.DUMMYFUNCTION("""COMPUTED_VALUE"""),"RF-00000509-VET")</f>
        <v>RF-00000509-VET</v>
      </c>
    </row>
    <row r="4044" spans="1:2" ht="12.5" x14ac:dyDescent="0.25">
      <c r="A4044" t="str">
        <f ca="1">IFERROR(__xludf.DUMMYFUNCTION("""COMPUTED_VALUE"""),"Nitroxinil")</f>
        <v>Nitroxinil</v>
      </c>
      <c r="B4044" t="str">
        <f ca="1">IFERROR(__xludf.DUMMYFUNCTION("""COMPUTED_VALUE"""),"RF-00000026-VET")</f>
        <v>RF-00000026-VET</v>
      </c>
    </row>
    <row r="4045" spans="1:2" ht="12.5" x14ac:dyDescent="0.25">
      <c r="A4045" t="str">
        <f ca="1">IFERROR(__xludf.DUMMYFUNCTION("""COMPUTED_VALUE"""),"Nivalenol")</f>
        <v>Nivalenol</v>
      </c>
      <c r="B4045" t="str">
        <f ca="1">IFERROR(__xludf.DUMMYFUNCTION("""COMPUTED_VALUE"""),"RF-00000166-TOX")</f>
        <v>RF-00000166-TOX</v>
      </c>
    </row>
    <row r="4046" spans="1:2" ht="12.5" x14ac:dyDescent="0.25">
      <c r="A4046" t="str">
        <f ca="1">IFERROR(__xludf.DUMMYFUNCTION("""COMPUTED_VALUE"""),"Non-dioxin-like PCBs")</f>
        <v>Non-dioxin-like PCBs</v>
      </c>
      <c r="B4046" t="str">
        <f ca="1">IFERROR(__xludf.DUMMYFUNCTION("""COMPUTED_VALUE"""),"RF-00000130-ORG")</f>
        <v>RF-00000130-ORG</v>
      </c>
    </row>
    <row r="4047" spans="1:2" ht="12.5" x14ac:dyDescent="0.25">
      <c r="A4047" t="str">
        <f ca="1">IFERROR(__xludf.DUMMYFUNCTION("""COMPUTED_VALUE"""),"Non-ortho substituted PCBs")</f>
        <v>Non-ortho substituted PCBs</v>
      </c>
      <c r="B4047" t="str">
        <f ca="1">IFERROR(__xludf.DUMMYFUNCTION("""COMPUTED_VALUE"""),"RF-00000125-ORG")</f>
        <v>RF-00000125-ORG</v>
      </c>
    </row>
    <row r="4048" spans="1:2" ht="12.5" x14ac:dyDescent="0.25">
      <c r="A4048" t="str">
        <f ca="1">IFERROR(__xludf.DUMMYFUNCTION("""COMPUTED_VALUE"""),"Non-protein nitrogen")</f>
        <v>Non-protein nitrogen</v>
      </c>
      <c r="B4048" t="str">
        <f ca="1">IFERROR(__xludf.DUMMYFUNCTION("""COMPUTED_VALUE"""),"RF-00000102-CHE")</f>
        <v>RF-00000102-CHE</v>
      </c>
    </row>
    <row r="4049" spans="1:2" ht="12.5" x14ac:dyDescent="0.25">
      <c r="A4049" t="str">
        <f ca="1">IFERROR(__xludf.DUMMYFUNCTION("""COMPUTED_VALUE"""),"non-starch polysaccharides")</f>
        <v>non-starch polysaccharides</v>
      </c>
      <c r="B4049" t="str">
        <f ca="1">IFERROR(__xludf.DUMMYFUNCTION("""COMPUTED_VALUE"""),"RF-00000353-NTR")</f>
        <v>RF-00000353-NTR</v>
      </c>
    </row>
    <row r="4050" spans="1:2" ht="12.5" x14ac:dyDescent="0.25">
      <c r="A4050" t="str">
        <f ca="1">IFERROR(__xludf.DUMMYFUNCTION("""COMPUTED_VALUE"""),"Non-steroidal anti-inflamatory drugs")</f>
        <v>Non-steroidal anti-inflamatory drugs</v>
      </c>
      <c r="B4050" t="str">
        <f ca="1">IFERROR(__xludf.DUMMYFUNCTION("""COMPUTED_VALUE"""),"RF-00000194-VET")</f>
        <v>RF-00000194-VET</v>
      </c>
    </row>
    <row r="4051" spans="1:2" ht="12.5" x14ac:dyDescent="0.25">
      <c r="A4051" t="str">
        <f ca="1">IFERROR(__xludf.DUMMYFUNCTION("""COMPUTED_VALUE"""),"Nonachlor")</f>
        <v>Nonachlor</v>
      </c>
      <c r="B4051" t="str">
        <f ca="1">IFERROR(__xludf.DUMMYFUNCTION("""COMPUTED_VALUE"""),"RF-0979-001-PPP")</f>
        <v>RF-0979-001-PPP</v>
      </c>
    </row>
    <row r="4052" spans="1:2" ht="12.5" x14ac:dyDescent="0.25">
      <c r="A4052" t="str">
        <f ca="1">IFERROR(__xludf.DUMMYFUNCTION("""COMPUTED_VALUE"""),"Nonachlor-Cis")</f>
        <v>Nonachlor-Cis</v>
      </c>
      <c r="B4052" t="str">
        <f ca="1">IFERROR(__xludf.DUMMYFUNCTION("""COMPUTED_VALUE"""),"RF-1008-001-PPP")</f>
        <v>RF-1008-001-PPP</v>
      </c>
    </row>
    <row r="4053" spans="1:2" ht="12.5" x14ac:dyDescent="0.25">
      <c r="A4053" t="str">
        <f ca="1">IFERROR(__xludf.DUMMYFUNCTION("""COMPUTED_VALUE"""),"Nonachlor-Trans")</f>
        <v>Nonachlor-Trans</v>
      </c>
      <c r="B4053" t="str">
        <f ca="1">IFERROR(__xludf.DUMMYFUNCTION("""COMPUTED_VALUE"""),"RF-0999-001-PPP")</f>
        <v>RF-0999-001-PPP</v>
      </c>
    </row>
    <row r="4054" spans="1:2" ht="12.5" x14ac:dyDescent="0.25">
      <c r="A4054" t="str">
        <f ca="1">IFERROR(__xludf.DUMMYFUNCTION("""COMPUTED_VALUE"""),"Nonachlorobornane")</f>
        <v>Nonachlorobornane</v>
      </c>
      <c r="B4054" t="str">
        <f ca="1">IFERROR(__xludf.DUMMYFUNCTION("""COMPUTED_VALUE"""),"RF-1000-001-PPP")</f>
        <v>RF-1000-001-PPP</v>
      </c>
    </row>
    <row r="4055" spans="1:2" ht="12.5" x14ac:dyDescent="0.25">
      <c r="A4055" t="str">
        <f ca="1">IFERROR(__xludf.DUMMYFUNCTION("""COMPUTED_VALUE"""),"Norandrostane-3-Beta-17-Diol")</f>
        <v>Norandrostane-3-Beta-17-Diol</v>
      </c>
      <c r="B4055" t="str">
        <f ca="1">IFERROR(__xludf.DUMMYFUNCTION("""COMPUTED_VALUE"""),"RF-00000431-VET")</f>
        <v>RF-00000431-VET</v>
      </c>
    </row>
    <row r="4056" spans="1:2" ht="12.5" x14ac:dyDescent="0.25">
      <c r="A4056" t="str">
        <f ca="1">IFERROR(__xludf.DUMMYFUNCTION("""COMPUTED_VALUE"""),"Norandrostendion")</f>
        <v>Norandrostendion</v>
      </c>
      <c r="B4056" t="str">
        <f ca="1">IFERROR(__xludf.DUMMYFUNCTION("""COMPUTED_VALUE"""),"RF-00000436-VET")</f>
        <v>RF-00000436-VET</v>
      </c>
    </row>
    <row r="4057" spans="1:2" ht="12.5" x14ac:dyDescent="0.25">
      <c r="A4057" t="str">
        <f ca="1">IFERROR(__xludf.DUMMYFUNCTION("""COMPUTED_VALUE"""),"Nordazepam")</f>
        <v>Nordazepam</v>
      </c>
      <c r="B4057" t="str">
        <f ca="1">IFERROR(__xludf.DUMMYFUNCTION("""COMPUTED_VALUE"""),"RF-00000190-VET")</f>
        <v>RF-00000190-VET</v>
      </c>
    </row>
    <row r="4058" spans="1:2" ht="12.5" x14ac:dyDescent="0.25">
      <c r="A4058" t="str">
        <f ca="1">IFERROR(__xludf.DUMMYFUNCTION("""COMPUTED_VALUE"""),"Norethandrolon")</f>
        <v>Norethandrolon</v>
      </c>
      <c r="B4058" t="str">
        <f ca="1">IFERROR(__xludf.DUMMYFUNCTION("""COMPUTED_VALUE"""),"RF-00000429-VET")</f>
        <v>RF-00000429-VET</v>
      </c>
    </row>
    <row r="4059" spans="1:2" ht="12.5" x14ac:dyDescent="0.25">
      <c r="A4059" t="str">
        <f ca="1">IFERROR(__xludf.DUMMYFUNCTION("""COMPUTED_VALUE"""),"Norethandrone")</f>
        <v>Norethandrone</v>
      </c>
      <c r="B4059" t="str">
        <f ca="1">IFERROR(__xludf.DUMMYFUNCTION("""COMPUTED_VALUE"""),"RF-00000440-VET")</f>
        <v>RF-00000440-VET</v>
      </c>
    </row>
    <row r="4060" spans="1:2" ht="12.5" x14ac:dyDescent="0.25">
      <c r="A4060" t="str">
        <f ca="1">IFERROR(__xludf.DUMMYFUNCTION("""COMPUTED_VALUE"""),"Norethindrone (Norethisteron)")</f>
        <v>Norethindrone (Norethisteron)</v>
      </c>
      <c r="B4060" t="str">
        <f ca="1">IFERROR(__xludf.DUMMYFUNCTION("""COMPUTED_VALUE"""),"RF-00000445-VET")</f>
        <v>RF-00000445-VET</v>
      </c>
    </row>
    <row r="4061" spans="1:2" ht="12.5" x14ac:dyDescent="0.25">
      <c r="A4061" t="str">
        <f ca="1">IFERROR(__xludf.DUMMYFUNCTION("""COMPUTED_VALUE"""),"Norethindroneacetate (Norethisteronacetate)")</f>
        <v>Norethindroneacetate (Norethisteronacetate)</v>
      </c>
      <c r="B4061" t="str">
        <f ca="1">IFERROR(__xludf.DUMMYFUNCTION("""COMPUTED_VALUE"""),"RF-00000403-VET")</f>
        <v>RF-00000403-VET</v>
      </c>
    </row>
    <row r="4062" spans="1:2" ht="12.5" x14ac:dyDescent="0.25">
      <c r="A4062" t="str">
        <f ca="1">IFERROR(__xludf.DUMMYFUNCTION("""COMPUTED_VALUE"""),"Norethynodrel")</f>
        <v>Norethynodrel</v>
      </c>
      <c r="B4062" t="str">
        <f ca="1">IFERROR(__xludf.DUMMYFUNCTION("""COMPUTED_VALUE"""),"RF-00000359-VET")</f>
        <v>RF-00000359-VET</v>
      </c>
    </row>
    <row r="4063" spans="1:2" ht="12.5" x14ac:dyDescent="0.25">
      <c r="A4063" t="str">
        <f ca="1">IFERROR(__xludf.DUMMYFUNCTION("""COMPUTED_VALUE"""),"Norfloxacin")</f>
        <v>Norfloxacin</v>
      </c>
      <c r="B4063" t="str">
        <f ca="1">IFERROR(__xludf.DUMMYFUNCTION("""COMPUTED_VALUE"""),"RF-00000597-VET")</f>
        <v>RF-00000597-VET</v>
      </c>
    </row>
    <row r="4064" spans="1:2" ht="12.5" x14ac:dyDescent="0.25">
      <c r="A4064" t="str">
        <f ca="1">IFERROR(__xludf.DUMMYFUNCTION("""COMPUTED_VALUE"""),"Norflurazon")</f>
        <v>Norflurazon</v>
      </c>
      <c r="B4064" t="str">
        <f ca="1">IFERROR(__xludf.DUMMYFUNCTION("""COMPUTED_VALUE"""),"RF-0312-001-PPP")</f>
        <v>RF-0312-001-PPP</v>
      </c>
    </row>
    <row r="4065" spans="1:2" ht="12.5" x14ac:dyDescent="0.25">
      <c r="A4065" t="str">
        <f ca="1">IFERROR(__xludf.DUMMYFUNCTION("""COMPUTED_VALUE"""),"Norflurazon-Desmethyl")</f>
        <v>Norflurazon-Desmethyl</v>
      </c>
      <c r="B4065" t="str">
        <f ca="1">IFERROR(__xludf.DUMMYFUNCTION("""COMPUTED_VALUE"""),"RF-0816-001-PPP")</f>
        <v>RF-0816-001-PPP</v>
      </c>
    </row>
    <row r="4066" spans="1:2" ht="12.5" x14ac:dyDescent="0.25">
      <c r="A4066" t="str">
        <f ca="1">IFERROR(__xludf.DUMMYFUNCTION("""COMPUTED_VALUE"""),"Norgestomet")</f>
        <v>Norgestomet</v>
      </c>
      <c r="B4066" t="str">
        <f ca="1">IFERROR(__xludf.DUMMYFUNCTION("""COMPUTED_VALUE"""),"RF-00000369-VET")</f>
        <v>RF-00000369-VET</v>
      </c>
    </row>
    <row r="4067" spans="1:2" ht="12.5" x14ac:dyDescent="0.25">
      <c r="A4067" t="str">
        <f ca="1">IFERROR(__xludf.DUMMYFUNCTION("""COMPUTED_VALUE"""),"Norgestrel")</f>
        <v>Norgestrel</v>
      </c>
      <c r="B4067" t="str">
        <f ca="1">IFERROR(__xludf.DUMMYFUNCTION("""COMPUTED_VALUE"""),"RF-00000405-VET")</f>
        <v>RF-00000405-VET</v>
      </c>
    </row>
    <row r="4068" spans="1:2" ht="12.5" x14ac:dyDescent="0.25">
      <c r="A4068" t="str">
        <f ca="1">IFERROR(__xludf.DUMMYFUNCTION("""COMPUTED_VALUE"""),"Normethandrolone")</f>
        <v>Normethandrolone</v>
      </c>
      <c r="B4068" t="str">
        <f ca="1">IFERROR(__xludf.DUMMYFUNCTION("""COMPUTED_VALUE"""),"RF-00000367-VET")</f>
        <v>RF-00000367-VET</v>
      </c>
    </row>
    <row r="4069" spans="1:2" ht="12.5" x14ac:dyDescent="0.25">
      <c r="A4069" t="str">
        <f ca="1">IFERROR(__xludf.DUMMYFUNCTION("""COMPUTED_VALUE"""),"norovirus (Norwalk-like virus)")</f>
        <v>norovirus (Norwalk-like virus)</v>
      </c>
      <c r="B4069" t="str">
        <f ca="1">IFERROR(__xludf.DUMMYFUNCTION("""COMPUTED_VALUE"""),"RF-00000041-MCG")</f>
        <v>RF-00000041-MCG</v>
      </c>
    </row>
    <row r="4070" spans="1:2" ht="12.5" x14ac:dyDescent="0.25">
      <c r="A4070" t="str">
        <f ca="1">IFERROR(__xludf.DUMMYFUNCTION("""COMPUTED_VALUE"""),"Nortestosterone cypionate")</f>
        <v>Nortestosterone cypionate</v>
      </c>
      <c r="B4070" t="str">
        <f ca="1">IFERROR(__xludf.DUMMYFUNCTION("""COMPUTED_VALUE"""),"RF-00000364-VET")</f>
        <v>RF-00000364-VET</v>
      </c>
    </row>
    <row r="4071" spans="1:2" ht="12.5" x14ac:dyDescent="0.25">
      <c r="A4071" t="str">
        <f ca="1">IFERROR(__xludf.DUMMYFUNCTION("""COMPUTED_VALUE"""),"Nortestosterone decanoate")</f>
        <v>Nortestosterone decanoate</v>
      </c>
      <c r="B4071" t="str">
        <f ca="1">IFERROR(__xludf.DUMMYFUNCTION("""COMPUTED_VALUE"""),"RF-00000363-VET")</f>
        <v>RF-00000363-VET</v>
      </c>
    </row>
    <row r="4072" spans="1:2" ht="12.5" x14ac:dyDescent="0.25">
      <c r="A4072" t="str">
        <f ca="1">IFERROR(__xludf.DUMMYFUNCTION("""COMPUTED_VALUE"""),"Nortestosterone laurate")</f>
        <v>Nortestosterone laurate</v>
      </c>
      <c r="B4072" t="str">
        <f ca="1">IFERROR(__xludf.DUMMYFUNCTION("""COMPUTED_VALUE"""),"RF-00000362-VET")</f>
        <v>RF-00000362-VET</v>
      </c>
    </row>
    <row r="4073" spans="1:2" ht="12.5" x14ac:dyDescent="0.25">
      <c r="A4073" t="str">
        <f ca="1">IFERROR(__xludf.DUMMYFUNCTION("""COMPUTED_VALUE"""),"Nortestosterone phenylpropionate")</f>
        <v>Nortestosterone phenylpropionate</v>
      </c>
      <c r="B4073" t="str">
        <f ca="1">IFERROR(__xludf.DUMMYFUNCTION("""COMPUTED_VALUE"""),"RF-00000348-VET")</f>
        <v>RF-00000348-VET</v>
      </c>
    </row>
    <row r="4074" spans="1:2" ht="12.5" x14ac:dyDescent="0.25">
      <c r="A4074" t="str">
        <f ca="1">IFERROR(__xludf.DUMMYFUNCTION("""COMPUTED_VALUE"""),"Noruron")</f>
        <v>Noruron</v>
      </c>
      <c r="B4074" t="str">
        <f ca="1">IFERROR(__xludf.DUMMYFUNCTION("""COMPUTED_VALUE"""),"RF-0817-001-PPP")</f>
        <v>RF-0817-001-PPP</v>
      </c>
    </row>
    <row r="4075" spans="1:2" ht="12.5" x14ac:dyDescent="0.25">
      <c r="A4075" t="str">
        <f ca="1">IFERROR(__xludf.DUMMYFUNCTION("""COMPUTED_VALUE"""),"Norvinisterone")</f>
        <v>Norvinisterone</v>
      </c>
      <c r="B4075" t="str">
        <f ca="1">IFERROR(__xludf.DUMMYFUNCTION("""COMPUTED_VALUE"""),"RF-00000360-VET")</f>
        <v>RF-00000360-VET</v>
      </c>
    </row>
    <row r="4076" spans="1:2" ht="12.5" x14ac:dyDescent="0.25">
      <c r="A4076" t="str">
        <f ca="1">IFERROR(__xludf.DUMMYFUNCTION("""COMPUTED_VALUE"""),"Noscapine")</f>
        <v>Noscapine</v>
      </c>
      <c r="B4076" t="str">
        <f ca="1">IFERROR(__xludf.DUMMYFUNCTION("""COMPUTED_VALUE"""),"RF-00000253-TOX")</f>
        <v>RF-00000253-TOX</v>
      </c>
    </row>
    <row r="4077" spans="1:2" ht="12.5" x14ac:dyDescent="0.25">
      <c r="A4077" t="str">
        <f ca="1">IFERROR(__xludf.DUMMYFUNCTION("""COMPUTED_VALUE"""),"Not in list")</f>
        <v>Not in list</v>
      </c>
      <c r="B4077" t="str">
        <f ca="1">IFERROR(__xludf.DUMMYFUNCTION("""COMPUTED_VALUE"""),"RF-XXXX-XXX-XXX")</f>
        <v>RF-XXXX-XXX-XXX</v>
      </c>
    </row>
    <row r="4078" spans="1:2" ht="12.5" x14ac:dyDescent="0.25">
      <c r="A4078" t="str">
        <f ca="1">IFERROR(__xludf.DUMMYFUNCTION("""COMPUTED_VALUE"""),"Not typeable")</f>
        <v>Not typeable</v>
      </c>
      <c r="B4078" t="str">
        <f ca="1">IFERROR(__xludf.DUMMYFUNCTION("""COMPUTED_VALUE"""),"RF-00000489-MCG")</f>
        <v>RF-00000489-MCG</v>
      </c>
    </row>
    <row r="4079" spans="1:2" ht="12.5" x14ac:dyDescent="0.25">
      <c r="A4079" t="str">
        <f ca="1">IFERROR(__xludf.DUMMYFUNCTION("""COMPUTED_VALUE"""),"Novaluron")</f>
        <v>Novaluron</v>
      </c>
      <c r="B4079" t="str">
        <f ca="1">IFERROR(__xludf.DUMMYFUNCTION("""COMPUTED_VALUE"""),"RF-0313-001-PPP")</f>
        <v>RF-0313-001-PPP</v>
      </c>
    </row>
    <row r="4080" spans="1:2" ht="12.5" x14ac:dyDescent="0.25">
      <c r="A4080" t="str">
        <f ca="1">IFERROR(__xludf.DUMMYFUNCTION("""COMPUTED_VALUE"""),"Noviflumuron")</f>
        <v>Noviflumuron</v>
      </c>
      <c r="B4080" t="str">
        <f ca="1">IFERROR(__xludf.DUMMYFUNCTION("""COMPUTED_VALUE"""),"RF-0818-001-PPP")</f>
        <v>RF-0818-001-PPP</v>
      </c>
    </row>
    <row r="4081" spans="1:2" ht="12.5" x14ac:dyDescent="0.25">
      <c r="A4081" t="str">
        <f ca="1">IFERROR(__xludf.DUMMYFUNCTION("""COMPUTED_VALUE"""),"Novobiocin")</f>
        <v>Novobiocin</v>
      </c>
      <c r="B4081" t="str">
        <f ca="1">IFERROR(__xludf.DUMMYFUNCTION("""COMPUTED_VALUE"""),"RF-00000587-VET")</f>
        <v>RF-00000587-VET</v>
      </c>
    </row>
    <row r="4082" spans="1:2" ht="12.5" x14ac:dyDescent="0.25">
      <c r="A4082" t="str">
        <f ca="1">IFERROR(__xludf.DUMMYFUNCTION("""COMPUTED_VALUE"""),"Nuarimol")</f>
        <v>Nuarimol</v>
      </c>
      <c r="B4082" t="str">
        <f ca="1">IFERROR(__xludf.DUMMYFUNCTION("""COMPUTED_VALUE"""),"RF-0819-001-PPP")</f>
        <v>RF-0819-001-PPP</v>
      </c>
    </row>
    <row r="4083" spans="1:2" ht="12.5" x14ac:dyDescent="0.25">
      <c r="A4083" t="str">
        <f ca="1">IFERROR(__xludf.DUMMYFUNCTION("""COMPUTED_VALUE"""),"Nutrients")</f>
        <v>Nutrients</v>
      </c>
      <c r="B4083" t="str">
        <f ca="1">IFERROR(__xludf.DUMMYFUNCTION("""COMPUTED_VALUE"""),"RF-00000001-NTR")</f>
        <v>RF-00000001-NTR</v>
      </c>
    </row>
    <row r="4084" spans="1:2" ht="12.5" x14ac:dyDescent="0.25">
      <c r="A4084" t="str">
        <f ca="1">IFERROR(__xludf.DUMMYFUNCTION("""COMPUTED_VALUE"""),"O-methylsterigmatocystin")</f>
        <v>O-methylsterigmatocystin</v>
      </c>
      <c r="B4084" t="str">
        <f ca="1">IFERROR(__xludf.DUMMYFUNCTION("""COMPUTED_VALUE"""),"RF-00000196-TOX")</f>
        <v>RF-00000196-TOX</v>
      </c>
    </row>
    <row r="4085" spans="1:2" ht="12.5" x14ac:dyDescent="0.25">
      <c r="A4085" t="str">
        <f ca="1">IFERROR(__xludf.DUMMYFUNCTION("""COMPUTED_VALUE"""),"OCDD")</f>
        <v>OCDD</v>
      </c>
      <c r="B4085" t="str">
        <f ca="1">IFERROR(__xludf.DUMMYFUNCTION("""COMPUTED_VALUE"""),"RF-00000346-ORG")</f>
        <v>RF-00000346-ORG</v>
      </c>
    </row>
    <row r="4086" spans="1:2" ht="12.5" x14ac:dyDescent="0.25">
      <c r="A4086" t="str">
        <f ca="1">IFERROR(__xludf.DUMMYFUNCTION("""COMPUTED_VALUE"""),"OCDF")</f>
        <v>OCDF</v>
      </c>
      <c r="B4086" t="str">
        <f ca="1">IFERROR(__xludf.DUMMYFUNCTION("""COMPUTED_VALUE"""),"RF-00000339-ORG")</f>
        <v>RF-00000339-ORG</v>
      </c>
    </row>
    <row r="4087" spans="1:2" ht="12.5" x14ac:dyDescent="0.25">
      <c r="A4087" t="str">
        <f ca="1">IFERROR(__xludf.DUMMYFUNCTION("""COMPUTED_VALUE"""),"Ochratoxin A")</f>
        <v>Ochratoxin A</v>
      </c>
      <c r="B4087" t="str">
        <f ca="1">IFERROR(__xludf.DUMMYFUNCTION("""COMPUTED_VALUE"""),"RF-00000148-TOX")</f>
        <v>RF-00000148-TOX</v>
      </c>
    </row>
    <row r="4088" spans="1:2" ht="12.5" x14ac:dyDescent="0.25">
      <c r="A4088" t="str">
        <f ca="1">IFERROR(__xludf.DUMMYFUNCTION("""COMPUTED_VALUE"""),"Ochratoxin B")</f>
        <v>Ochratoxin B</v>
      </c>
      <c r="B4088" t="str">
        <f ca="1">IFERROR(__xludf.DUMMYFUNCTION("""COMPUTED_VALUE"""),"RF-00000431-TOX")</f>
        <v>RF-00000431-TOX</v>
      </c>
    </row>
    <row r="4089" spans="1:2" ht="12.5" x14ac:dyDescent="0.25">
      <c r="A4089" t="str">
        <f ca="1">IFERROR(__xludf.DUMMYFUNCTION("""COMPUTED_VALUE"""),"Ochratoxins")</f>
        <v>Ochratoxins</v>
      </c>
      <c r="B4089" t="str">
        <f ca="1">IFERROR(__xludf.DUMMYFUNCTION("""COMPUTED_VALUE"""),"RF-00000430-TOX")</f>
        <v>RF-00000430-TOX</v>
      </c>
    </row>
    <row r="4090" spans="1:2" ht="12.5" x14ac:dyDescent="0.25">
      <c r="A4090" t="str">
        <f ca="1">IFERROR(__xludf.DUMMYFUNCTION("""COMPUTED_VALUE"""),"Octacloroestireno")</f>
        <v>Octacloroestireno</v>
      </c>
      <c r="B4090" t="str">
        <f ca="1">IFERROR(__xludf.DUMMYFUNCTION("""COMPUTED_VALUE"""),"RF-1073-001-PPP")</f>
        <v>RF-1073-001-PPP</v>
      </c>
    </row>
    <row r="4091" spans="1:2" ht="12.5" x14ac:dyDescent="0.25">
      <c r="A4091" t="str">
        <f ca="1">IFERROR(__xludf.DUMMYFUNCTION("""COMPUTED_VALUE"""),"Octhilinone")</f>
        <v>Octhilinone</v>
      </c>
      <c r="B4091" t="str">
        <f ca="1">IFERROR(__xludf.DUMMYFUNCTION("""COMPUTED_VALUE"""),"RF-0820-001-PPP")</f>
        <v>RF-0820-001-PPP</v>
      </c>
    </row>
    <row r="4092" spans="1:2" ht="12.5" x14ac:dyDescent="0.25">
      <c r="A4092" t="str">
        <f ca="1">IFERROR(__xludf.DUMMYFUNCTION("""COMPUTED_VALUE"""),"Octyl gallate")</f>
        <v>Octyl gallate</v>
      </c>
      <c r="B4092" t="str">
        <f ca="1">IFERROR(__xludf.DUMMYFUNCTION("""COMPUTED_VALUE"""),"RF-00000204-ADD")</f>
        <v>RF-00000204-ADD</v>
      </c>
    </row>
    <row r="4093" spans="1:2" ht="12.5" x14ac:dyDescent="0.25">
      <c r="A4093" t="str">
        <f ca="1">IFERROR(__xludf.DUMMYFUNCTION("""COMPUTED_VALUE"""),"Ofloxacin")</f>
        <v>Ofloxacin</v>
      </c>
      <c r="B4093" t="str">
        <f ca="1">IFERROR(__xludf.DUMMYFUNCTION("""COMPUTED_VALUE"""),"RF-00000558-VET")</f>
        <v>RF-00000558-VET</v>
      </c>
    </row>
    <row r="4094" spans="1:2" ht="12.5" x14ac:dyDescent="0.25">
      <c r="A4094" t="str">
        <f ca="1">IFERROR(__xludf.DUMMYFUNCTION("""COMPUTED_VALUE"""),"Ofurace")</f>
        <v>Ofurace</v>
      </c>
      <c r="B4094" t="str">
        <f ca="1">IFERROR(__xludf.DUMMYFUNCTION("""COMPUTED_VALUE"""),"RF-0821-001-PPP")</f>
        <v>RF-0821-001-PPP</v>
      </c>
    </row>
    <row r="4095" spans="1:2" ht="12.5" x14ac:dyDescent="0.25">
      <c r="A4095" t="str">
        <f ca="1">IFERROR(__xludf.DUMMYFUNCTION("""COMPUTED_VALUE"""),"Okadaic acid")</f>
        <v>Okadaic acid</v>
      </c>
      <c r="B4095" t="str">
        <f ca="1">IFERROR(__xludf.DUMMYFUNCTION("""COMPUTED_VALUE"""),"RF-00000065-TOX")</f>
        <v>RF-00000065-TOX</v>
      </c>
    </row>
    <row r="4096" spans="1:2" ht="12.5" x14ac:dyDescent="0.25">
      <c r="A4096" t="str">
        <f ca="1">IFERROR(__xludf.DUMMYFUNCTION("""COMPUTED_VALUE"""),"Okadaic acid group toxins")</f>
        <v>Okadaic acid group toxins</v>
      </c>
      <c r="B4096" t="str">
        <f ca="1">IFERROR(__xludf.DUMMYFUNCTION("""COMPUTED_VALUE"""),"RF-00000064-TOX")</f>
        <v>RF-00000064-TOX</v>
      </c>
    </row>
    <row r="4097" spans="1:2" ht="12.5" x14ac:dyDescent="0.25">
      <c r="A4097" t="str">
        <f ca="1">IFERROR(__xludf.DUMMYFUNCTION("""COMPUTED_VALUE"""),"Olaquindox")</f>
        <v>Olaquindox</v>
      </c>
      <c r="B4097" t="str">
        <f ca="1">IFERROR(__xludf.DUMMYFUNCTION("""COMPUTED_VALUE"""),"RF-00000269-VET")</f>
        <v>RF-00000269-VET</v>
      </c>
    </row>
    <row r="4098" spans="1:2" ht="12.5" x14ac:dyDescent="0.25">
      <c r="A4098" t="str">
        <f ca="1">IFERROR(__xludf.DUMMYFUNCTION("""COMPUTED_VALUE"""),"Oleandomycin")</f>
        <v>Oleandomycin</v>
      </c>
      <c r="B4098" t="str">
        <f ca="1">IFERROR(__xludf.DUMMYFUNCTION("""COMPUTED_VALUE"""),"RF-00000559-VET")</f>
        <v>RF-00000559-VET</v>
      </c>
    </row>
    <row r="4099" spans="1:2" ht="12.5" x14ac:dyDescent="0.25">
      <c r="A4099" t="str">
        <f ca="1">IFERROR(__xludf.DUMMYFUNCTION("""COMPUTED_VALUE"""),"oligosaccharides, available")</f>
        <v>oligosaccharides, available</v>
      </c>
      <c r="B4099" t="str">
        <f ca="1">IFERROR(__xludf.DUMMYFUNCTION("""COMPUTED_VALUE"""),"RF-00000354-NTR")</f>
        <v>RF-00000354-NTR</v>
      </c>
    </row>
    <row r="4100" spans="1:2" ht="12.5" x14ac:dyDescent="0.25">
      <c r="A4100" t="str">
        <f ca="1">IFERROR(__xludf.DUMMYFUNCTION("""COMPUTED_VALUE"""),"Omethoate")</f>
        <v>Omethoate</v>
      </c>
      <c r="B4100" t="str">
        <f ca="1">IFERROR(__xludf.DUMMYFUNCTION("""COMPUTED_VALUE"""),"RF-0139-002-PPP")</f>
        <v>RF-0139-002-PPP</v>
      </c>
    </row>
    <row r="4101" spans="1:2" ht="12.5" x14ac:dyDescent="0.25">
      <c r="A4101" t="str">
        <f ca="1">IFERROR(__xludf.DUMMYFUNCTION("""COMPUTED_VALUE"""),"Onetine")</f>
        <v>Onetine</v>
      </c>
      <c r="B4101" t="str">
        <f ca="1">IFERROR(__xludf.DUMMYFUNCTION("""COMPUTED_VALUE"""),"RF-00000412-TOX")</f>
        <v>RF-00000412-TOX</v>
      </c>
    </row>
    <row r="4102" spans="1:2" ht="12.5" x14ac:dyDescent="0.25">
      <c r="A4102" t="str">
        <f ca="1">IFERROR(__xludf.DUMMYFUNCTION("""COMPUTED_VALUE"""),"Opium alkaloids")</f>
        <v>Opium alkaloids</v>
      </c>
      <c r="B4102" t="str">
        <f ca="1">IFERROR(__xludf.DUMMYFUNCTION("""COMPUTED_VALUE"""),"RF-00000249-TOX")</f>
        <v>RF-00000249-TOX</v>
      </c>
    </row>
    <row r="4103" spans="1:2" ht="12.5" x14ac:dyDescent="0.25">
      <c r="A4103" t="str">
        <f ca="1">IFERROR(__xludf.DUMMYFUNCTION("""COMPUTED_VALUE"""),"Orbencarb")</f>
        <v>Orbencarb</v>
      </c>
      <c r="B4103" t="str">
        <f ca="1">IFERROR(__xludf.DUMMYFUNCTION("""COMPUTED_VALUE"""),"RF-0822-001-PPP")</f>
        <v>RF-0822-001-PPP</v>
      </c>
    </row>
    <row r="4104" spans="1:2" ht="12.5" x14ac:dyDescent="0.25">
      <c r="A4104" t="str">
        <f ca="1">IFERROR(__xludf.DUMMYFUNCTION("""COMPUTED_VALUE"""),"Orbifloxacin")</f>
        <v>Orbifloxacin</v>
      </c>
      <c r="B4104" t="str">
        <f ca="1">IFERROR(__xludf.DUMMYFUNCTION("""COMPUTED_VALUE"""),"RF-00000734-VET")</f>
        <v>RF-00000734-VET</v>
      </c>
    </row>
    <row r="4105" spans="1:2" ht="12.5" x14ac:dyDescent="0.25">
      <c r="A4105" t="str">
        <f ca="1">IFERROR(__xludf.DUMMYFUNCTION("""COMPUTED_VALUE"""),"Orbivirus")</f>
        <v>Orbivirus</v>
      </c>
      <c r="B4105" t="str">
        <f ca="1">IFERROR(__xludf.DUMMYFUNCTION("""COMPUTED_VALUE"""),"RF-00002658-MCG")</f>
        <v>RF-00002658-MCG</v>
      </c>
    </row>
    <row r="4106" spans="1:2" ht="12.5" x14ac:dyDescent="0.25">
      <c r="A4106" t="str">
        <f ca="1">IFERROR(__xludf.DUMMYFUNCTION("""COMPUTED_VALUE"""),"Orbivirus African horse sickness virus")</f>
        <v>Orbivirus African horse sickness virus</v>
      </c>
      <c r="B4106" t="str">
        <f ca="1">IFERROR(__xludf.DUMMYFUNCTION("""COMPUTED_VALUE"""),"RF-00002660-MCG")</f>
        <v>RF-00002660-MCG</v>
      </c>
    </row>
    <row r="4107" spans="1:2" ht="12.5" x14ac:dyDescent="0.25">
      <c r="A4107" t="str">
        <f ca="1">IFERROR(__xludf.DUMMYFUNCTION("""COMPUTED_VALUE"""),"Orbivirus Great Island virus")</f>
        <v>Orbivirus Great Island virus</v>
      </c>
      <c r="B4107" t="str">
        <f ca="1">IFERROR(__xludf.DUMMYFUNCTION("""COMPUTED_VALUE"""),"RF-00003926-MCG")</f>
        <v>RF-00003926-MCG</v>
      </c>
    </row>
    <row r="4108" spans="1:2" ht="12.5" x14ac:dyDescent="0.25">
      <c r="A4108" t="str">
        <f ca="1">IFERROR(__xludf.DUMMYFUNCTION("""COMPUTED_VALUE"""),"Orbivirus spp., unidentified")</f>
        <v>Orbivirus spp., unidentified</v>
      </c>
      <c r="B4108" t="str">
        <f ca="1">IFERROR(__xludf.DUMMYFUNCTION("""COMPUTED_VALUE"""),"RF-00002659-MCG")</f>
        <v>RF-00002659-MCG</v>
      </c>
    </row>
    <row r="4109" spans="1:2" ht="12.5" x14ac:dyDescent="0.25">
      <c r="A4109" t="str">
        <f ca="1">IFERROR(__xludf.DUMMYFUNCTION("""COMPUTED_VALUE"""),"Orciprenalin-3-O-sulfate")</f>
        <v>Orciprenalin-3-O-sulfate</v>
      </c>
      <c r="B4109" t="str">
        <f ca="1">IFERROR(__xludf.DUMMYFUNCTION("""COMPUTED_VALUE"""),"RF-00000477-VET")</f>
        <v>RF-00000477-VET</v>
      </c>
    </row>
    <row r="4110" spans="1:2" ht="12.5" x14ac:dyDescent="0.25">
      <c r="A4110" t="str">
        <f ca="1">IFERROR(__xludf.DUMMYFUNCTION("""COMPUTED_VALUE"""),"organic acids, total")</f>
        <v>organic acids, total</v>
      </c>
      <c r="B4110" t="str">
        <f ca="1">IFERROR(__xludf.DUMMYFUNCTION("""COMPUTED_VALUE"""),"RF-00000355-NTR")</f>
        <v>RF-00000355-NTR</v>
      </c>
    </row>
    <row r="4111" spans="1:2" ht="12.5" x14ac:dyDescent="0.25">
      <c r="A4111" t="str">
        <f ca="1">IFERROR(__xludf.DUMMYFUNCTION("""COMPUTED_VALUE"""),"Organic Arsenic")</f>
        <v>Organic Arsenic</v>
      </c>
      <c r="B4111" t="str">
        <f ca="1">IFERROR(__xludf.DUMMYFUNCTION("""COMPUTED_VALUE"""),"RF-00000132-CHE")</f>
        <v>RF-00000132-CHE</v>
      </c>
    </row>
    <row r="4112" spans="1:2" ht="12.5" x14ac:dyDescent="0.25">
      <c r="A4112" t="str">
        <f ca="1">IFERROR(__xludf.DUMMYFUNCTION("""COMPUTED_VALUE"""),"Organic Chromium")</f>
        <v>Organic Chromium</v>
      </c>
      <c r="B4112" t="str">
        <f ca="1">IFERROR(__xludf.DUMMYFUNCTION("""COMPUTED_VALUE"""),"RF-00000153-CHE")</f>
        <v>RF-00000153-CHE</v>
      </c>
    </row>
    <row r="4113" spans="1:2" ht="12.5" x14ac:dyDescent="0.25">
      <c r="A4113" t="str">
        <f ca="1">IFERROR(__xludf.DUMMYFUNCTION("""COMPUTED_VALUE"""),"Organic contaminants")</f>
        <v>Organic contaminants</v>
      </c>
      <c r="B4113" t="str">
        <f ca="1">IFERROR(__xludf.DUMMYFUNCTION("""COMPUTED_VALUE"""),"RF-00000001-ORG")</f>
        <v>RF-00000001-ORG</v>
      </c>
    </row>
    <row r="4114" spans="1:2" ht="12.5" x14ac:dyDescent="0.25">
      <c r="A4114" t="str">
        <f ca="1">IFERROR(__xludf.DUMMYFUNCTION("""COMPUTED_VALUE"""),"Organic Nitrogen")</f>
        <v>Organic Nitrogen</v>
      </c>
      <c r="B4114" t="str">
        <f ca="1">IFERROR(__xludf.DUMMYFUNCTION("""COMPUTED_VALUE"""),"RF-00000088-CHE")</f>
        <v>RF-00000088-CHE</v>
      </c>
    </row>
    <row r="4115" spans="1:2" ht="12.5" x14ac:dyDescent="0.25">
      <c r="A4115" t="str">
        <f ca="1">IFERROR(__xludf.DUMMYFUNCTION("""COMPUTED_VALUE"""),"Organic Selenium")</f>
        <v>Organic Selenium</v>
      </c>
      <c r="B4115" t="str">
        <f ca="1">IFERROR(__xludf.DUMMYFUNCTION("""COMPUTED_VALUE"""),"RF-00000185-CHE")</f>
        <v>RF-00000185-CHE</v>
      </c>
    </row>
    <row r="4116" spans="1:2" ht="12.5" x14ac:dyDescent="0.25">
      <c r="A4116" t="str">
        <f ca="1">IFERROR(__xludf.DUMMYFUNCTION("""COMPUTED_VALUE"""),"Organic tin")</f>
        <v>Organic tin</v>
      </c>
      <c r="B4116" t="str">
        <f ca="1">IFERROR(__xludf.DUMMYFUNCTION("""COMPUTED_VALUE"""),"RF-00000266-CHE")</f>
        <v>RF-00000266-CHE</v>
      </c>
    </row>
    <row r="4117" spans="1:2" ht="12.5" x14ac:dyDescent="0.25">
      <c r="A4117" t="str">
        <f ca="1">IFERROR(__xludf.DUMMYFUNCTION("""COMPUTED_VALUE"""),"Organochlorine compounds")</f>
        <v>Organochlorine compounds</v>
      </c>
      <c r="B4117" t="str">
        <f ca="1">IFERROR(__xludf.DUMMYFUNCTION("""COMPUTED_VALUE"""),"RF-00000004-PAR")</f>
        <v>RF-00000004-PAR</v>
      </c>
    </row>
    <row r="4118" spans="1:2" ht="12.5" x14ac:dyDescent="0.25">
      <c r="A4118" t="str">
        <f ca="1">IFERROR(__xludf.DUMMYFUNCTION("""COMPUTED_VALUE"""),"Ornidazole")</f>
        <v>Ornidazole</v>
      </c>
      <c r="B4118" t="str">
        <f ca="1">IFERROR(__xludf.DUMMYFUNCTION("""COMPUTED_VALUE"""),"RF-00000070-VET")</f>
        <v>RF-00000070-VET</v>
      </c>
    </row>
    <row r="4119" spans="1:2" ht="12.5" x14ac:dyDescent="0.25">
      <c r="A4119" t="str">
        <f ca="1">IFERROR(__xludf.DUMMYFUNCTION("""COMPUTED_VALUE"""),"Ortho-Cresol")</f>
        <v>Ortho-Cresol</v>
      </c>
      <c r="B4119" t="str">
        <f ca="1">IFERROR(__xludf.DUMMYFUNCTION("""COMPUTED_VALUE"""),"RF-00000032-ORG")</f>
        <v>RF-00000032-ORG</v>
      </c>
    </row>
    <row r="4120" spans="1:2" ht="12.5" x14ac:dyDescent="0.25">
      <c r="A4120" t="str">
        <f ca="1">IFERROR(__xludf.DUMMYFUNCTION("""COMPUTED_VALUE"""),"Orthobunyavirus")</f>
        <v>Orthobunyavirus</v>
      </c>
      <c r="B4120" t="str">
        <f ca="1">IFERROR(__xludf.DUMMYFUNCTION("""COMPUTED_VALUE"""),"RF-00002650-MCG")</f>
        <v>RF-00002650-MCG</v>
      </c>
    </row>
    <row r="4121" spans="1:2" ht="12.5" x14ac:dyDescent="0.25">
      <c r="A4121" t="str">
        <f ca="1">IFERROR(__xludf.DUMMYFUNCTION("""COMPUTED_VALUE"""),"Orthobunyavirus Batai virus")</f>
        <v>Orthobunyavirus Batai virus</v>
      </c>
      <c r="B4121" t="str">
        <f ca="1">IFERROR(__xludf.DUMMYFUNCTION("""COMPUTED_VALUE"""),"RF-00002653-MCG")</f>
        <v>RF-00002653-MCG</v>
      </c>
    </row>
    <row r="4122" spans="1:2" ht="12.5" x14ac:dyDescent="0.25">
      <c r="A4122" t="str">
        <f ca="1">IFERROR(__xludf.DUMMYFUNCTION("""COMPUTED_VALUE"""),"Orthobunyavirus Bhanja virus")</f>
        <v>Orthobunyavirus Bhanja virus</v>
      </c>
      <c r="B4122" t="str">
        <f ca="1">IFERROR(__xludf.DUMMYFUNCTION("""COMPUTED_VALUE"""),"RF-00003924-MCG")</f>
        <v>RF-00003924-MCG</v>
      </c>
    </row>
    <row r="4123" spans="1:2" ht="12.5" x14ac:dyDescent="0.25">
      <c r="A4123" t="str">
        <f ca="1">IFERROR(__xludf.DUMMYFUNCTION("""COMPUTED_VALUE"""),"Orthobunyavirus Inkoo virus")</f>
        <v>Orthobunyavirus Inkoo virus</v>
      </c>
      <c r="B4123" t="str">
        <f ca="1">IFERROR(__xludf.DUMMYFUNCTION("""COMPUTED_VALUE"""),"RF-00002654-MCG")</f>
        <v>RF-00002654-MCG</v>
      </c>
    </row>
    <row r="4124" spans="1:2" ht="12.5" x14ac:dyDescent="0.25">
      <c r="A4124" t="str">
        <f ca="1">IFERROR(__xludf.DUMMYFUNCTION("""COMPUTED_VALUE"""),"Orthobunyavirus spp., unidentified")</f>
        <v>Orthobunyavirus spp., unidentified</v>
      </c>
      <c r="B4124" t="str">
        <f ca="1">IFERROR(__xludf.DUMMYFUNCTION("""COMPUTED_VALUE"""),"RF-00002651-MCG")</f>
        <v>RF-00002651-MCG</v>
      </c>
    </row>
    <row r="4125" spans="1:2" ht="12.5" x14ac:dyDescent="0.25">
      <c r="A4125" t="str">
        <f ca="1">IFERROR(__xludf.DUMMYFUNCTION("""COMPUTED_VALUE"""),"Orthobunyavirus Tahyna virus")</f>
        <v>Orthobunyavirus Tahyna virus</v>
      </c>
      <c r="B4125" t="str">
        <f ca="1">IFERROR(__xludf.DUMMYFUNCTION("""COMPUTED_VALUE"""),"RF-00002652-MCG")</f>
        <v>RF-00002652-MCG</v>
      </c>
    </row>
    <row r="4126" spans="1:2" ht="12.5" x14ac:dyDescent="0.25">
      <c r="A4126" t="str">
        <f ca="1">IFERROR(__xludf.DUMMYFUNCTION("""COMPUTED_VALUE"""),"Orthosomycins")</f>
        <v>Orthosomycins</v>
      </c>
      <c r="B4126" t="str">
        <f ca="1">IFERROR(__xludf.DUMMYFUNCTION("""COMPUTED_VALUE"""),"RF-00000755-VET")</f>
        <v>RF-00000755-VET</v>
      </c>
    </row>
    <row r="4127" spans="1:2" ht="12.5" x14ac:dyDescent="0.25">
      <c r="A4127" t="str">
        <f ca="1">IFERROR(__xludf.DUMMYFUNCTION("""COMPUTED_VALUE"""),"Orthosulfamuron")</f>
        <v>Orthosulfamuron</v>
      </c>
      <c r="B4127" t="str">
        <f ca="1">IFERROR(__xludf.DUMMYFUNCTION("""COMPUTED_VALUE"""),"RF-0315-001-PPP")</f>
        <v>RF-0315-001-PPP</v>
      </c>
    </row>
    <row r="4128" spans="1:2" ht="12.5" x14ac:dyDescent="0.25">
      <c r="A4128" t="str">
        <f ca="1">IFERROR(__xludf.DUMMYFUNCTION("""COMPUTED_VALUE"""),"Orto-phosphate")</f>
        <v>Orto-phosphate</v>
      </c>
      <c r="B4128" t="str">
        <f ca="1">IFERROR(__xludf.DUMMYFUNCTION("""COMPUTED_VALUE"""),"RF-00000032-CHE")</f>
        <v>RF-00000032-CHE</v>
      </c>
    </row>
    <row r="4129" spans="1:2" ht="12.5" x14ac:dyDescent="0.25">
      <c r="A4129" t="str">
        <f ca="1">IFERROR(__xludf.DUMMYFUNCTION("""COMPUTED_VALUE"""),"Oryzalin")</f>
        <v>Oryzalin</v>
      </c>
      <c r="B4129" t="str">
        <f ca="1">IFERROR(__xludf.DUMMYFUNCTION("""COMPUTED_VALUE"""),"RF-0316-001-PPP")</f>
        <v>RF-0316-001-PPP</v>
      </c>
    </row>
    <row r="4130" spans="1:2" ht="12.5" x14ac:dyDescent="0.25">
      <c r="A4130" t="str">
        <f ca="1">IFERROR(__xludf.DUMMYFUNCTION("""COMPUTED_VALUE"""),"Ostreocin-D")</f>
        <v>Ostreocin-D</v>
      </c>
      <c r="B4130" t="str">
        <f ca="1">IFERROR(__xludf.DUMMYFUNCTION("""COMPUTED_VALUE"""),"RF-00000071-TOX")</f>
        <v>RF-00000071-TOX</v>
      </c>
    </row>
    <row r="4131" spans="1:2" ht="12.5" x14ac:dyDescent="0.25">
      <c r="A4131" t="str">
        <f ca="1">IFERROR(__xludf.DUMMYFUNCTION("""COMPUTED_VALUE"""),"Other")</f>
        <v>Other</v>
      </c>
      <c r="B4131" t="str">
        <f ca="1">IFERROR(__xludf.DUMMYFUNCTION("""COMPUTED_VALUE"""),"Other")</f>
        <v>Other</v>
      </c>
    </row>
    <row r="4132" spans="1:2" ht="12.5" x14ac:dyDescent="0.25">
      <c r="A4132" t="str">
        <f ca="1">IFERROR(__xludf.DUMMYFUNCTION("""COMPUTED_VALUE"""),"Other Brominated flame retardant (BFR)")</f>
        <v>Other Brominated flame retardant (BFR)</v>
      </c>
      <c r="B4132" t="str">
        <f ca="1">IFERROR(__xludf.DUMMYFUNCTION("""COMPUTED_VALUE"""),"RF-00000081-ORG")</f>
        <v>RF-00000081-ORG</v>
      </c>
    </row>
    <row r="4133" spans="1:2" ht="12.5" x14ac:dyDescent="0.25">
      <c r="A4133" t="str">
        <f ca="1">IFERROR(__xludf.DUMMYFUNCTION("""COMPUTED_VALUE"""),"Other pharmacologically active substances")</f>
        <v>Other pharmacologically active substances</v>
      </c>
      <c r="B4133" t="str">
        <f ca="1">IFERROR(__xludf.DUMMYFUNCTION("""COMPUTED_VALUE"""),"RF-00000243-VET")</f>
        <v>RF-00000243-VET</v>
      </c>
    </row>
    <row r="4134" spans="1:2" ht="12.5" x14ac:dyDescent="0.25">
      <c r="A4134" t="str">
        <f ca="1">IFERROR(__xludf.DUMMYFUNCTION("""COMPUTED_VALUE"""),"Other serotypes")</f>
        <v>Other serotypes</v>
      </c>
      <c r="B4134" t="str">
        <f ca="1">IFERROR(__xludf.DUMMYFUNCTION("""COMPUTED_VALUE"""),"RF-00000488-MCG")</f>
        <v>RF-00000488-MCG</v>
      </c>
    </row>
    <row r="4135" spans="1:2" ht="12.5" x14ac:dyDescent="0.25">
      <c r="A4135" t="str">
        <f ca="1">IFERROR(__xludf.DUMMYFUNCTION("""COMPUTED_VALUE"""),"Otosenine")</f>
        <v>Otosenine</v>
      </c>
      <c r="B4135" t="str">
        <f ca="1">IFERROR(__xludf.DUMMYFUNCTION("""COMPUTED_VALUE"""),"RF-00000292-TOX")</f>
        <v>RF-00000292-TOX</v>
      </c>
    </row>
    <row r="4136" spans="1:2" ht="12.5" x14ac:dyDescent="0.25">
      <c r="A4136" t="str">
        <f ca="1">IFERROR(__xludf.DUMMYFUNCTION("""COMPUTED_VALUE"""),"Ovatoxin A")</f>
        <v>Ovatoxin A</v>
      </c>
      <c r="B4136" t="str">
        <f ca="1">IFERROR(__xludf.DUMMYFUNCTION("""COMPUTED_VALUE"""),"RF-00000072-TOX")</f>
        <v>RF-00000072-TOX</v>
      </c>
    </row>
    <row r="4137" spans="1:2" ht="12.5" x14ac:dyDescent="0.25">
      <c r="A4137" t="str">
        <f ca="1">IFERROR(__xludf.DUMMYFUNCTION("""COMPUTED_VALUE"""),"OXA")</f>
        <v>OXA</v>
      </c>
      <c r="B4137" t="str">
        <f ca="1">IFERROR(__xludf.DUMMYFUNCTION("""COMPUTED_VALUE"""),"RF-00000972-PAR")</f>
        <v>RF-00000972-PAR</v>
      </c>
    </row>
    <row r="4138" spans="1:2" ht="12.5" x14ac:dyDescent="0.25">
      <c r="A4138" t="str">
        <f ca="1">IFERROR(__xludf.DUMMYFUNCTION("""COMPUTED_VALUE"""),"OXA-1")</f>
        <v>OXA-1</v>
      </c>
      <c r="B4138" t="str">
        <f ca="1">IFERROR(__xludf.DUMMYFUNCTION("""COMPUTED_VALUE"""),"RF-00000973-PAR")</f>
        <v>RF-00000973-PAR</v>
      </c>
    </row>
    <row r="4139" spans="1:2" ht="12.5" x14ac:dyDescent="0.25">
      <c r="A4139" t="str">
        <f ca="1">IFERROR(__xludf.DUMMYFUNCTION("""COMPUTED_VALUE"""),"OXA-10")</f>
        <v>OXA-10</v>
      </c>
      <c r="B4139" t="str">
        <f ca="1">IFERROR(__xludf.DUMMYFUNCTION("""COMPUTED_VALUE"""),"RF-00000982-PAR")</f>
        <v>RF-00000982-PAR</v>
      </c>
    </row>
    <row r="4140" spans="1:2" ht="12.5" x14ac:dyDescent="0.25">
      <c r="A4140" t="str">
        <f ca="1">IFERROR(__xludf.DUMMYFUNCTION("""COMPUTED_VALUE"""),"OXA-100")</f>
        <v>OXA-100</v>
      </c>
      <c r="B4140" t="str">
        <f ca="1">IFERROR(__xludf.DUMMYFUNCTION("""COMPUTED_VALUE"""),"RF-00001072-PAR")</f>
        <v>RF-00001072-PAR</v>
      </c>
    </row>
    <row r="4141" spans="1:2" ht="12.5" x14ac:dyDescent="0.25">
      <c r="A4141" t="str">
        <f ca="1">IFERROR(__xludf.DUMMYFUNCTION("""COMPUTED_VALUE"""),"OXA-101")</f>
        <v>OXA-101</v>
      </c>
      <c r="B4141" t="str">
        <f ca="1">IFERROR(__xludf.DUMMYFUNCTION("""COMPUTED_VALUE"""),"RF-00001073-PAR")</f>
        <v>RF-00001073-PAR</v>
      </c>
    </row>
    <row r="4142" spans="1:2" ht="12.5" x14ac:dyDescent="0.25">
      <c r="A4142" t="str">
        <f ca="1">IFERROR(__xludf.DUMMYFUNCTION("""COMPUTED_VALUE"""),"OXA-102")</f>
        <v>OXA-102</v>
      </c>
      <c r="B4142" t="str">
        <f ca="1">IFERROR(__xludf.DUMMYFUNCTION("""COMPUTED_VALUE"""),"RF-00001074-PAR")</f>
        <v>RF-00001074-PAR</v>
      </c>
    </row>
    <row r="4143" spans="1:2" ht="12.5" x14ac:dyDescent="0.25">
      <c r="A4143" t="str">
        <f ca="1">IFERROR(__xludf.DUMMYFUNCTION("""COMPUTED_VALUE"""),"OXA-103")</f>
        <v>OXA-103</v>
      </c>
      <c r="B4143" t="str">
        <f ca="1">IFERROR(__xludf.DUMMYFUNCTION("""COMPUTED_VALUE"""),"RF-00001075-PAR")</f>
        <v>RF-00001075-PAR</v>
      </c>
    </row>
    <row r="4144" spans="1:2" ht="12.5" x14ac:dyDescent="0.25">
      <c r="A4144" t="str">
        <f ca="1">IFERROR(__xludf.DUMMYFUNCTION("""COMPUTED_VALUE"""),"OXA-104")</f>
        <v>OXA-104</v>
      </c>
      <c r="B4144" t="str">
        <f ca="1">IFERROR(__xludf.DUMMYFUNCTION("""COMPUTED_VALUE"""),"RF-00001076-PAR")</f>
        <v>RF-00001076-PAR</v>
      </c>
    </row>
    <row r="4145" spans="1:2" ht="12.5" x14ac:dyDescent="0.25">
      <c r="A4145" t="str">
        <f ca="1">IFERROR(__xludf.DUMMYFUNCTION("""COMPUTED_VALUE"""),"OXA-105")</f>
        <v>OXA-105</v>
      </c>
      <c r="B4145" t="str">
        <f ca="1">IFERROR(__xludf.DUMMYFUNCTION("""COMPUTED_VALUE"""),"RF-00001077-PAR")</f>
        <v>RF-00001077-PAR</v>
      </c>
    </row>
    <row r="4146" spans="1:2" ht="12.5" x14ac:dyDescent="0.25">
      <c r="A4146" t="str">
        <f ca="1">IFERROR(__xludf.DUMMYFUNCTION("""COMPUTED_VALUE"""),"OXA-106")</f>
        <v>OXA-106</v>
      </c>
      <c r="B4146" t="str">
        <f ca="1">IFERROR(__xludf.DUMMYFUNCTION("""COMPUTED_VALUE"""),"RF-00001078-PAR")</f>
        <v>RF-00001078-PAR</v>
      </c>
    </row>
    <row r="4147" spans="1:2" ht="12.5" x14ac:dyDescent="0.25">
      <c r="A4147" t="str">
        <f ca="1">IFERROR(__xludf.DUMMYFUNCTION("""COMPUTED_VALUE"""),"OXA-107")</f>
        <v>OXA-107</v>
      </c>
      <c r="B4147" t="str">
        <f ca="1">IFERROR(__xludf.DUMMYFUNCTION("""COMPUTED_VALUE"""),"RF-00001079-PAR")</f>
        <v>RF-00001079-PAR</v>
      </c>
    </row>
    <row r="4148" spans="1:2" ht="12.5" x14ac:dyDescent="0.25">
      <c r="A4148" t="str">
        <f ca="1">IFERROR(__xludf.DUMMYFUNCTION("""COMPUTED_VALUE"""),"OXA-108")</f>
        <v>OXA-108</v>
      </c>
      <c r="B4148" t="str">
        <f ca="1">IFERROR(__xludf.DUMMYFUNCTION("""COMPUTED_VALUE"""),"RF-00001080-PAR")</f>
        <v>RF-00001080-PAR</v>
      </c>
    </row>
    <row r="4149" spans="1:2" ht="12.5" x14ac:dyDescent="0.25">
      <c r="A4149" t="str">
        <f ca="1">IFERROR(__xludf.DUMMYFUNCTION("""COMPUTED_VALUE"""),"OXA-109")</f>
        <v>OXA-109</v>
      </c>
      <c r="B4149" t="str">
        <f ca="1">IFERROR(__xludf.DUMMYFUNCTION("""COMPUTED_VALUE"""),"RF-00001081-PAR")</f>
        <v>RF-00001081-PAR</v>
      </c>
    </row>
    <row r="4150" spans="1:2" ht="12.5" x14ac:dyDescent="0.25">
      <c r="A4150" t="str">
        <f ca="1">IFERROR(__xludf.DUMMYFUNCTION("""COMPUTED_VALUE"""),"OXA-11")</f>
        <v>OXA-11</v>
      </c>
      <c r="B4150" t="str">
        <f ca="1">IFERROR(__xludf.DUMMYFUNCTION("""COMPUTED_VALUE"""),"RF-00000983-PAR")</f>
        <v>RF-00000983-PAR</v>
      </c>
    </row>
    <row r="4151" spans="1:2" ht="12.5" x14ac:dyDescent="0.25">
      <c r="A4151" t="str">
        <f ca="1">IFERROR(__xludf.DUMMYFUNCTION("""COMPUTED_VALUE"""),"OXA-110")</f>
        <v>OXA-110</v>
      </c>
      <c r="B4151" t="str">
        <f ca="1">IFERROR(__xludf.DUMMYFUNCTION("""COMPUTED_VALUE"""),"RF-00001082-PAR")</f>
        <v>RF-00001082-PAR</v>
      </c>
    </row>
    <row r="4152" spans="1:2" ht="12.5" x14ac:dyDescent="0.25">
      <c r="A4152" t="str">
        <f ca="1">IFERROR(__xludf.DUMMYFUNCTION("""COMPUTED_VALUE"""),"OXA-111")</f>
        <v>OXA-111</v>
      </c>
      <c r="B4152" t="str">
        <f ca="1">IFERROR(__xludf.DUMMYFUNCTION("""COMPUTED_VALUE"""),"RF-00001083-PAR")</f>
        <v>RF-00001083-PAR</v>
      </c>
    </row>
    <row r="4153" spans="1:2" ht="12.5" x14ac:dyDescent="0.25">
      <c r="A4153" t="str">
        <f ca="1">IFERROR(__xludf.DUMMYFUNCTION("""COMPUTED_VALUE"""),"OXA-112")</f>
        <v>OXA-112</v>
      </c>
      <c r="B4153" t="str">
        <f ca="1">IFERROR(__xludf.DUMMYFUNCTION("""COMPUTED_VALUE"""),"RF-00001084-PAR")</f>
        <v>RF-00001084-PAR</v>
      </c>
    </row>
    <row r="4154" spans="1:2" ht="12.5" x14ac:dyDescent="0.25">
      <c r="A4154" t="str">
        <f ca="1">IFERROR(__xludf.DUMMYFUNCTION("""COMPUTED_VALUE"""),"OXA-113")</f>
        <v>OXA-113</v>
      </c>
      <c r="B4154" t="str">
        <f ca="1">IFERROR(__xludf.DUMMYFUNCTION("""COMPUTED_VALUE"""),"RF-00001085-PAR")</f>
        <v>RF-00001085-PAR</v>
      </c>
    </row>
    <row r="4155" spans="1:2" ht="12.5" x14ac:dyDescent="0.25">
      <c r="A4155" t="str">
        <f ca="1">IFERROR(__xludf.DUMMYFUNCTION("""COMPUTED_VALUE"""),"OXA-114")</f>
        <v>OXA-114</v>
      </c>
      <c r="B4155" t="str">
        <f ca="1">IFERROR(__xludf.DUMMYFUNCTION("""COMPUTED_VALUE"""),"RF-00001086-PAR")</f>
        <v>RF-00001086-PAR</v>
      </c>
    </row>
    <row r="4156" spans="1:2" ht="12.5" x14ac:dyDescent="0.25">
      <c r="A4156" t="str">
        <f ca="1">IFERROR(__xludf.DUMMYFUNCTION("""COMPUTED_VALUE"""),"OXA-115")</f>
        <v>OXA-115</v>
      </c>
      <c r="B4156" t="str">
        <f ca="1">IFERROR(__xludf.DUMMYFUNCTION("""COMPUTED_VALUE"""),"RF-00001087-PAR")</f>
        <v>RF-00001087-PAR</v>
      </c>
    </row>
    <row r="4157" spans="1:2" ht="12.5" x14ac:dyDescent="0.25">
      <c r="A4157" t="str">
        <f ca="1">IFERROR(__xludf.DUMMYFUNCTION("""COMPUTED_VALUE"""),"OXA-116")</f>
        <v>OXA-116</v>
      </c>
      <c r="B4157" t="str">
        <f ca="1">IFERROR(__xludf.DUMMYFUNCTION("""COMPUTED_VALUE"""),"RF-00001088-PAR")</f>
        <v>RF-00001088-PAR</v>
      </c>
    </row>
    <row r="4158" spans="1:2" ht="12.5" x14ac:dyDescent="0.25">
      <c r="A4158" t="str">
        <f ca="1">IFERROR(__xludf.DUMMYFUNCTION("""COMPUTED_VALUE"""),"OXA-117")</f>
        <v>OXA-117</v>
      </c>
      <c r="B4158" t="str">
        <f ca="1">IFERROR(__xludf.DUMMYFUNCTION("""COMPUTED_VALUE"""),"RF-00001089-PAR")</f>
        <v>RF-00001089-PAR</v>
      </c>
    </row>
    <row r="4159" spans="1:2" ht="12.5" x14ac:dyDescent="0.25">
      <c r="A4159" t="str">
        <f ca="1">IFERROR(__xludf.DUMMYFUNCTION("""COMPUTED_VALUE"""),"OXA-118")</f>
        <v>OXA-118</v>
      </c>
      <c r="B4159" t="str">
        <f ca="1">IFERROR(__xludf.DUMMYFUNCTION("""COMPUTED_VALUE"""),"RF-00001090-PAR")</f>
        <v>RF-00001090-PAR</v>
      </c>
    </row>
    <row r="4160" spans="1:2" ht="12.5" x14ac:dyDescent="0.25">
      <c r="A4160" t="str">
        <f ca="1">IFERROR(__xludf.DUMMYFUNCTION("""COMPUTED_VALUE"""),"OXA-119")</f>
        <v>OXA-119</v>
      </c>
      <c r="B4160" t="str">
        <f ca="1">IFERROR(__xludf.DUMMYFUNCTION("""COMPUTED_VALUE"""),"RF-00001091-PAR")</f>
        <v>RF-00001091-PAR</v>
      </c>
    </row>
    <row r="4161" spans="1:2" ht="12.5" x14ac:dyDescent="0.25">
      <c r="A4161" t="str">
        <f ca="1">IFERROR(__xludf.DUMMYFUNCTION("""COMPUTED_VALUE"""),"OXA-12")</f>
        <v>OXA-12</v>
      </c>
      <c r="B4161" t="str">
        <f ca="1">IFERROR(__xludf.DUMMYFUNCTION("""COMPUTED_VALUE"""),"RF-00000984-PAR")</f>
        <v>RF-00000984-PAR</v>
      </c>
    </row>
    <row r="4162" spans="1:2" ht="12.5" x14ac:dyDescent="0.25">
      <c r="A4162" t="str">
        <f ca="1">IFERROR(__xludf.DUMMYFUNCTION("""COMPUTED_VALUE"""),"OXA-120")</f>
        <v>OXA-120</v>
      </c>
      <c r="B4162" t="str">
        <f ca="1">IFERROR(__xludf.DUMMYFUNCTION("""COMPUTED_VALUE"""),"RF-00001092-PAR")</f>
        <v>RF-00001092-PAR</v>
      </c>
    </row>
    <row r="4163" spans="1:2" ht="12.5" x14ac:dyDescent="0.25">
      <c r="A4163" t="str">
        <f ca="1">IFERROR(__xludf.DUMMYFUNCTION("""COMPUTED_VALUE"""),"OXA-121")</f>
        <v>OXA-121</v>
      </c>
      <c r="B4163" t="str">
        <f ca="1">IFERROR(__xludf.DUMMYFUNCTION("""COMPUTED_VALUE"""),"RF-00001093-PAR")</f>
        <v>RF-00001093-PAR</v>
      </c>
    </row>
    <row r="4164" spans="1:2" ht="12.5" x14ac:dyDescent="0.25">
      <c r="A4164" t="str">
        <f ca="1">IFERROR(__xludf.DUMMYFUNCTION("""COMPUTED_VALUE"""),"OXA-122")</f>
        <v>OXA-122</v>
      </c>
      <c r="B4164" t="str">
        <f ca="1">IFERROR(__xludf.DUMMYFUNCTION("""COMPUTED_VALUE"""),"RF-00001094-PAR")</f>
        <v>RF-00001094-PAR</v>
      </c>
    </row>
    <row r="4165" spans="1:2" ht="12.5" x14ac:dyDescent="0.25">
      <c r="A4165" t="str">
        <f ca="1">IFERROR(__xludf.DUMMYFUNCTION("""COMPUTED_VALUE"""),"OXA-123")</f>
        <v>OXA-123</v>
      </c>
      <c r="B4165" t="str">
        <f ca="1">IFERROR(__xludf.DUMMYFUNCTION("""COMPUTED_VALUE"""),"RF-00001095-PAR")</f>
        <v>RF-00001095-PAR</v>
      </c>
    </row>
    <row r="4166" spans="1:2" ht="12.5" x14ac:dyDescent="0.25">
      <c r="A4166" t="str">
        <f ca="1">IFERROR(__xludf.DUMMYFUNCTION("""COMPUTED_VALUE"""),"OXA-124")</f>
        <v>OXA-124</v>
      </c>
      <c r="B4166" t="str">
        <f ca="1">IFERROR(__xludf.DUMMYFUNCTION("""COMPUTED_VALUE"""),"RF-00001096-PAR")</f>
        <v>RF-00001096-PAR</v>
      </c>
    </row>
    <row r="4167" spans="1:2" ht="12.5" x14ac:dyDescent="0.25">
      <c r="A4167" t="str">
        <f ca="1">IFERROR(__xludf.DUMMYFUNCTION("""COMPUTED_VALUE"""),"OXA-125")</f>
        <v>OXA-125</v>
      </c>
      <c r="B4167" t="str">
        <f ca="1">IFERROR(__xludf.DUMMYFUNCTION("""COMPUTED_VALUE"""),"RF-00001097-PAR")</f>
        <v>RF-00001097-PAR</v>
      </c>
    </row>
    <row r="4168" spans="1:2" ht="12.5" x14ac:dyDescent="0.25">
      <c r="A4168" t="str">
        <f ca="1">IFERROR(__xludf.DUMMYFUNCTION("""COMPUTED_VALUE"""),"OXA-126")</f>
        <v>OXA-126</v>
      </c>
      <c r="B4168" t="str">
        <f ca="1">IFERROR(__xludf.DUMMYFUNCTION("""COMPUTED_VALUE"""),"RF-00001098-PAR")</f>
        <v>RF-00001098-PAR</v>
      </c>
    </row>
    <row r="4169" spans="1:2" ht="12.5" x14ac:dyDescent="0.25">
      <c r="A4169" t="str">
        <f ca="1">IFERROR(__xludf.DUMMYFUNCTION("""COMPUTED_VALUE"""),"OXA-127")</f>
        <v>OXA-127</v>
      </c>
      <c r="B4169" t="str">
        <f ca="1">IFERROR(__xludf.DUMMYFUNCTION("""COMPUTED_VALUE"""),"RF-00001099-PAR")</f>
        <v>RF-00001099-PAR</v>
      </c>
    </row>
    <row r="4170" spans="1:2" ht="12.5" x14ac:dyDescent="0.25">
      <c r="A4170" t="str">
        <f ca="1">IFERROR(__xludf.DUMMYFUNCTION("""COMPUTED_VALUE"""),"OXA-128")</f>
        <v>OXA-128</v>
      </c>
      <c r="B4170" t="str">
        <f ca="1">IFERROR(__xludf.DUMMYFUNCTION("""COMPUTED_VALUE"""),"RF-00001100-PAR")</f>
        <v>RF-00001100-PAR</v>
      </c>
    </row>
    <row r="4171" spans="1:2" ht="12.5" x14ac:dyDescent="0.25">
      <c r="A4171" t="str">
        <f ca="1">IFERROR(__xludf.DUMMYFUNCTION("""COMPUTED_VALUE"""),"OXA-129")</f>
        <v>OXA-129</v>
      </c>
      <c r="B4171" t="str">
        <f ca="1">IFERROR(__xludf.DUMMYFUNCTION("""COMPUTED_VALUE"""),"RF-00001101-PAR")</f>
        <v>RF-00001101-PAR</v>
      </c>
    </row>
    <row r="4172" spans="1:2" ht="12.5" x14ac:dyDescent="0.25">
      <c r="A4172" t="str">
        <f ca="1">IFERROR(__xludf.DUMMYFUNCTION("""COMPUTED_VALUE"""),"OXA-13")</f>
        <v>OXA-13</v>
      </c>
      <c r="B4172" t="str">
        <f ca="1">IFERROR(__xludf.DUMMYFUNCTION("""COMPUTED_VALUE"""),"RF-00000985-PAR")</f>
        <v>RF-00000985-PAR</v>
      </c>
    </row>
    <row r="4173" spans="1:2" ht="12.5" x14ac:dyDescent="0.25">
      <c r="A4173" t="str">
        <f ca="1">IFERROR(__xludf.DUMMYFUNCTION("""COMPUTED_VALUE"""),"OXA-130")</f>
        <v>OXA-130</v>
      </c>
      <c r="B4173" t="str">
        <f ca="1">IFERROR(__xludf.DUMMYFUNCTION("""COMPUTED_VALUE"""),"RF-00001102-PAR")</f>
        <v>RF-00001102-PAR</v>
      </c>
    </row>
    <row r="4174" spans="1:2" ht="12.5" x14ac:dyDescent="0.25">
      <c r="A4174" t="str">
        <f ca="1">IFERROR(__xludf.DUMMYFUNCTION("""COMPUTED_VALUE"""),"OXA-131")</f>
        <v>OXA-131</v>
      </c>
      <c r="B4174" t="str">
        <f ca="1">IFERROR(__xludf.DUMMYFUNCTION("""COMPUTED_VALUE"""),"RF-00001103-PAR")</f>
        <v>RF-00001103-PAR</v>
      </c>
    </row>
    <row r="4175" spans="1:2" ht="12.5" x14ac:dyDescent="0.25">
      <c r="A4175" t="str">
        <f ca="1">IFERROR(__xludf.DUMMYFUNCTION("""COMPUTED_VALUE"""),"OXA-132")</f>
        <v>OXA-132</v>
      </c>
      <c r="B4175" t="str">
        <f ca="1">IFERROR(__xludf.DUMMYFUNCTION("""COMPUTED_VALUE"""),"RF-00001104-PAR")</f>
        <v>RF-00001104-PAR</v>
      </c>
    </row>
    <row r="4176" spans="1:2" ht="12.5" x14ac:dyDescent="0.25">
      <c r="A4176" t="str">
        <f ca="1">IFERROR(__xludf.DUMMYFUNCTION("""COMPUTED_VALUE"""),"OXA-133")</f>
        <v>OXA-133</v>
      </c>
      <c r="B4176" t="str">
        <f ca="1">IFERROR(__xludf.DUMMYFUNCTION("""COMPUTED_VALUE"""),"RF-00001105-PAR")</f>
        <v>RF-00001105-PAR</v>
      </c>
    </row>
    <row r="4177" spans="1:2" ht="12.5" x14ac:dyDescent="0.25">
      <c r="A4177" t="str">
        <f ca="1">IFERROR(__xludf.DUMMYFUNCTION("""COMPUTED_VALUE"""),"OXA-134")</f>
        <v>OXA-134</v>
      </c>
      <c r="B4177" t="str">
        <f ca="1">IFERROR(__xludf.DUMMYFUNCTION("""COMPUTED_VALUE"""),"RF-00001106-PAR")</f>
        <v>RF-00001106-PAR</v>
      </c>
    </row>
    <row r="4178" spans="1:2" ht="12.5" x14ac:dyDescent="0.25">
      <c r="A4178" t="str">
        <f ca="1">IFERROR(__xludf.DUMMYFUNCTION("""COMPUTED_VALUE"""),"OXA-135")</f>
        <v>OXA-135</v>
      </c>
      <c r="B4178" t="str">
        <f ca="1">IFERROR(__xludf.DUMMYFUNCTION("""COMPUTED_VALUE"""),"RF-00001107-PAR")</f>
        <v>RF-00001107-PAR</v>
      </c>
    </row>
    <row r="4179" spans="1:2" ht="12.5" x14ac:dyDescent="0.25">
      <c r="A4179" t="str">
        <f ca="1">IFERROR(__xludf.DUMMYFUNCTION("""COMPUTED_VALUE"""),"OXA-136")</f>
        <v>OXA-136</v>
      </c>
      <c r="B4179" t="str">
        <f ca="1">IFERROR(__xludf.DUMMYFUNCTION("""COMPUTED_VALUE"""),"RF-00001108-PAR")</f>
        <v>RF-00001108-PAR</v>
      </c>
    </row>
    <row r="4180" spans="1:2" ht="12.5" x14ac:dyDescent="0.25">
      <c r="A4180" t="str">
        <f ca="1">IFERROR(__xludf.DUMMYFUNCTION("""COMPUTED_VALUE"""),"OXA-137")</f>
        <v>OXA-137</v>
      </c>
      <c r="B4180" t="str">
        <f ca="1">IFERROR(__xludf.DUMMYFUNCTION("""COMPUTED_VALUE"""),"RF-00001109-PAR")</f>
        <v>RF-00001109-PAR</v>
      </c>
    </row>
    <row r="4181" spans="1:2" ht="12.5" x14ac:dyDescent="0.25">
      <c r="A4181" t="str">
        <f ca="1">IFERROR(__xludf.DUMMYFUNCTION("""COMPUTED_VALUE"""),"OXA-138")</f>
        <v>OXA-138</v>
      </c>
      <c r="B4181" t="str">
        <f ca="1">IFERROR(__xludf.DUMMYFUNCTION("""COMPUTED_VALUE"""),"RF-00001110-PAR")</f>
        <v>RF-00001110-PAR</v>
      </c>
    </row>
    <row r="4182" spans="1:2" ht="12.5" x14ac:dyDescent="0.25">
      <c r="A4182" t="str">
        <f ca="1">IFERROR(__xludf.DUMMYFUNCTION("""COMPUTED_VALUE"""),"OXA-139")</f>
        <v>OXA-139</v>
      </c>
      <c r="B4182" t="str">
        <f ca="1">IFERROR(__xludf.DUMMYFUNCTION("""COMPUTED_VALUE"""),"RF-00001111-PAR")</f>
        <v>RF-00001111-PAR</v>
      </c>
    </row>
    <row r="4183" spans="1:2" ht="12.5" x14ac:dyDescent="0.25">
      <c r="A4183" t="str">
        <f ca="1">IFERROR(__xludf.DUMMYFUNCTION("""COMPUTED_VALUE"""),"OXA-14")</f>
        <v>OXA-14</v>
      </c>
      <c r="B4183" t="str">
        <f ca="1">IFERROR(__xludf.DUMMYFUNCTION("""COMPUTED_VALUE"""),"RF-00000986-PAR")</f>
        <v>RF-00000986-PAR</v>
      </c>
    </row>
    <row r="4184" spans="1:2" ht="12.5" x14ac:dyDescent="0.25">
      <c r="A4184" t="str">
        <f ca="1">IFERROR(__xludf.DUMMYFUNCTION("""COMPUTED_VALUE"""),"OXA-140")</f>
        <v>OXA-140</v>
      </c>
      <c r="B4184" t="str">
        <f ca="1">IFERROR(__xludf.DUMMYFUNCTION("""COMPUTED_VALUE"""),"RF-00001112-PAR")</f>
        <v>RF-00001112-PAR</v>
      </c>
    </row>
    <row r="4185" spans="1:2" ht="12.5" x14ac:dyDescent="0.25">
      <c r="A4185" t="str">
        <f ca="1">IFERROR(__xludf.DUMMYFUNCTION("""COMPUTED_VALUE"""),"OXA-141")</f>
        <v>OXA-141</v>
      </c>
      <c r="B4185" t="str">
        <f ca="1">IFERROR(__xludf.DUMMYFUNCTION("""COMPUTED_VALUE"""),"RF-00001113-PAR")</f>
        <v>RF-00001113-PAR</v>
      </c>
    </row>
    <row r="4186" spans="1:2" ht="12.5" x14ac:dyDescent="0.25">
      <c r="A4186" t="str">
        <f ca="1">IFERROR(__xludf.DUMMYFUNCTION("""COMPUTED_VALUE"""),"OXA-142")</f>
        <v>OXA-142</v>
      </c>
      <c r="B4186" t="str">
        <f ca="1">IFERROR(__xludf.DUMMYFUNCTION("""COMPUTED_VALUE"""),"RF-00001114-PAR")</f>
        <v>RF-00001114-PAR</v>
      </c>
    </row>
    <row r="4187" spans="1:2" ht="12.5" x14ac:dyDescent="0.25">
      <c r="A4187" t="str">
        <f ca="1">IFERROR(__xludf.DUMMYFUNCTION("""COMPUTED_VALUE"""),"OXA-143")</f>
        <v>OXA-143</v>
      </c>
      <c r="B4187" t="str">
        <f ca="1">IFERROR(__xludf.DUMMYFUNCTION("""COMPUTED_VALUE"""),"RF-00001115-PAR")</f>
        <v>RF-00001115-PAR</v>
      </c>
    </row>
    <row r="4188" spans="1:2" ht="12.5" x14ac:dyDescent="0.25">
      <c r="A4188" t="str">
        <f ca="1">IFERROR(__xludf.DUMMYFUNCTION("""COMPUTED_VALUE"""),"OXA-144")</f>
        <v>OXA-144</v>
      </c>
      <c r="B4188" t="str">
        <f ca="1">IFERROR(__xludf.DUMMYFUNCTION("""COMPUTED_VALUE"""),"RF-00001116-PAR")</f>
        <v>RF-00001116-PAR</v>
      </c>
    </row>
    <row r="4189" spans="1:2" ht="12.5" x14ac:dyDescent="0.25">
      <c r="A4189" t="str">
        <f ca="1">IFERROR(__xludf.DUMMYFUNCTION("""COMPUTED_VALUE"""),"OXA-145")</f>
        <v>OXA-145</v>
      </c>
      <c r="B4189" t="str">
        <f ca="1">IFERROR(__xludf.DUMMYFUNCTION("""COMPUTED_VALUE"""),"RF-00001117-PAR")</f>
        <v>RF-00001117-PAR</v>
      </c>
    </row>
    <row r="4190" spans="1:2" ht="12.5" x14ac:dyDescent="0.25">
      <c r="A4190" t="str">
        <f ca="1">IFERROR(__xludf.DUMMYFUNCTION("""COMPUTED_VALUE"""),"OXA-146")</f>
        <v>OXA-146</v>
      </c>
      <c r="B4190" t="str">
        <f ca="1">IFERROR(__xludf.DUMMYFUNCTION("""COMPUTED_VALUE"""),"RF-00001118-PAR")</f>
        <v>RF-00001118-PAR</v>
      </c>
    </row>
    <row r="4191" spans="1:2" ht="12.5" x14ac:dyDescent="0.25">
      <c r="A4191" t="str">
        <f ca="1">IFERROR(__xludf.DUMMYFUNCTION("""COMPUTED_VALUE"""),"OXA-147")</f>
        <v>OXA-147</v>
      </c>
      <c r="B4191" t="str">
        <f ca="1">IFERROR(__xludf.DUMMYFUNCTION("""COMPUTED_VALUE"""),"RF-00001119-PAR")</f>
        <v>RF-00001119-PAR</v>
      </c>
    </row>
    <row r="4192" spans="1:2" ht="12.5" x14ac:dyDescent="0.25">
      <c r="A4192" t="str">
        <f ca="1">IFERROR(__xludf.DUMMYFUNCTION("""COMPUTED_VALUE"""),"OXA-148")</f>
        <v>OXA-148</v>
      </c>
      <c r="B4192" t="str">
        <f ca="1">IFERROR(__xludf.DUMMYFUNCTION("""COMPUTED_VALUE"""),"RF-00001120-PAR")</f>
        <v>RF-00001120-PAR</v>
      </c>
    </row>
    <row r="4193" spans="1:2" ht="12.5" x14ac:dyDescent="0.25">
      <c r="A4193" t="str">
        <f ca="1">IFERROR(__xludf.DUMMYFUNCTION("""COMPUTED_VALUE"""),"OXA-149")</f>
        <v>OXA-149</v>
      </c>
      <c r="B4193" t="str">
        <f ca="1">IFERROR(__xludf.DUMMYFUNCTION("""COMPUTED_VALUE"""),"RF-00001121-PAR")</f>
        <v>RF-00001121-PAR</v>
      </c>
    </row>
    <row r="4194" spans="1:2" ht="12.5" x14ac:dyDescent="0.25">
      <c r="A4194" t="str">
        <f ca="1">IFERROR(__xludf.DUMMYFUNCTION("""COMPUTED_VALUE"""),"OXA-15")</f>
        <v>OXA-15</v>
      </c>
      <c r="B4194" t="str">
        <f ca="1">IFERROR(__xludf.DUMMYFUNCTION("""COMPUTED_VALUE"""),"RF-00000987-PAR")</f>
        <v>RF-00000987-PAR</v>
      </c>
    </row>
    <row r="4195" spans="1:2" ht="12.5" x14ac:dyDescent="0.25">
      <c r="A4195" t="str">
        <f ca="1">IFERROR(__xludf.DUMMYFUNCTION("""COMPUTED_VALUE"""),"OXA-150")</f>
        <v>OXA-150</v>
      </c>
      <c r="B4195" t="str">
        <f ca="1">IFERROR(__xludf.DUMMYFUNCTION("""COMPUTED_VALUE"""),"RF-00001122-PAR")</f>
        <v>RF-00001122-PAR</v>
      </c>
    </row>
    <row r="4196" spans="1:2" ht="12.5" x14ac:dyDescent="0.25">
      <c r="A4196" t="str">
        <f ca="1">IFERROR(__xludf.DUMMYFUNCTION("""COMPUTED_VALUE"""),"OXA-151")</f>
        <v>OXA-151</v>
      </c>
      <c r="B4196" t="str">
        <f ca="1">IFERROR(__xludf.DUMMYFUNCTION("""COMPUTED_VALUE"""),"RF-00001123-PAR")</f>
        <v>RF-00001123-PAR</v>
      </c>
    </row>
    <row r="4197" spans="1:2" ht="12.5" x14ac:dyDescent="0.25">
      <c r="A4197" t="str">
        <f ca="1">IFERROR(__xludf.DUMMYFUNCTION("""COMPUTED_VALUE"""),"OXA-152")</f>
        <v>OXA-152</v>
      </c>
      <c r="B4197" t="str">
        <f ca="1">IFERROR(__xludf.DUMMYFUNCTION("""COMPUTED_VALUE"""),"RF-00001124-PAR")</f>
        <v>RF-00001124-PAR</v>
      </c>
    </row>
    <row r="4198" spans="1:2" ht="12.5" x14ac:dyDescent="0.25">
      <c r="A4198" t="str">
        <f ca="1">IFERROR(__xludf.DUMMYFUNCTION("""COMPUTED_VALUE"""),"OXA-153")</f>
        <v>OXA-153</v>
      </c>
      <c r="B4198" t="str">
        <f ca="1">IFERROR(__xludf.DUMMYFUNCTION("""COMPUTED_VALUE"""),"RF-00001125-PAR")</f>
        <v>RF-00001125-PAR</v>
      </c>
    </row>
    <row r="4199" spans="1:2" ht="12.5" x14ac:dyDescent="0.25">
      <c r="A4199" t="str">
        <f ca="1">IFERROR(__xludf.DUMMYFUNCTION("""COMPUTED_VALUE"""),"OXA-154")</f>
        <v>OXA-154</v>
      </c>
      <c r="B4199" t="str">
        <f ca="1">IFERROR(__xludf.DUMMYFUNCTION("""COMPUTED_VALUE"""),"RF-00001126-PAR")</f>
        <v>RF-00001126-PAR</v>
      </c>
    </row>
    <row r="4200" spans="1:2" ht="12.5" x14ac:dyDescent="0.25">
      <c r="A4200" t="str">
        <f ca="1">IFERROR(__xludf.DUMMYFUNCTION("""COMPUTED_VALUE"""),"OXA-155")</f>
        <v>OXA-155</v>
      </c>
      <c r="B4200" t="str">
        <f ca="1">IFERROR(__xludf.DUMMYFUNCTION("""COMPUTED_VALUE"""),"RF-00001127-PAR")</f>
        <v>RF-00001127-PAR</v>
      </c>
    </row>
    <row r="4201" spans="1:2" ht="12.5" x14ac:dyDescent="0.25">
      <c r="A4201" t="str">
        <f ca="1">IFERROR(__xludf.DUMMYFUNCTION("""COMPUTED_VALUE"""),"OXA-156")</f>
        <v>OXA-156</v>
      </c>
      <c r="B4201" t="str">
        <f ca="1">IFERROR(__xludf.DUMMYFUNCTION("""COMPUTED_VALUE"""),"RF-00001128-PAR")</f>
        <v>RF-00001128-PAR</v>
      </c>
    </row>
    <row r="4202" spans="1:2" ht="12.5" x14ac:dyDescent="0.25">
      <c r="A4202" t="str">
        <f ca="1">IFERROR(__xludf.DUMMYFUNCTION("""COMPUTED_VALUE"""),"OXA-157")</f>
        <v>OXA-157</v>
      </c>
      <c r="B4202" t="str">
        <f ca="1">IFERROR(__xludf.DUMMYFUNCTION("""COMPUTED_VALUE"""),"RF-00001129-PAR")</f>
        <v>RF-00001129-PAR</v>
      </c>
    </row>
    <row r="4203" spans="1:2" ht="12.5" x14ac:dyDescent="0.25">
      <c r="A4203" t="str">
        <f ca="1">IFERROR(__xludf.DUMMYFUNCTION("""COMPUTED_VALUE"""),"OXA-158")</f>
        <v>OXA-158</v>
      </c>
      <c r="B4203" t="str">
        <f ca="1">IFERROR(__xludf.DUMMYFUNCTION("""COMPUTED_VALUE"""),"RF-00001130-PAR")</f>
        <v>RF-00001130-PAR</v>
      </c>
    </row>
    <row r="4204" spans="1:2" ht="12.5" x14ac:dyDescent="0.25">
      <c r="A4204" t="str">
        <f ca="1">IFERROR(__xludf.DUMMYFUNCTION("""COMPUTED_VALUE"""),"OXA-159")</f>
        <v>OXA-159</v>
      </c>
      <c r="B4204" t="str">
        <f ca="1">IFERROR(__xludf.DUMMYFUNCTION("""COMPUTED_VALUE"""),"RF-00001131-PAR")</f>
        <v>RF-00001131-PAR</v>
      </c>
    </row>
    <row r="4205" spans="1:2" ht="12.5" x14ac:dyDescent="0.25">
      <c r="A4205" t="str">
        <f ca="1">IFERROR(__xludf.DUMMYFUNCTION("""COMPUTED_VALUE"""),"OXA-16")</f>
        <v>OXA-16</v>
      </c>
      <c r="B4205" t="str">
        <f ca="1">IFERROR(__xludf.DUMMYFUNCTION("""COMPUTED_VALUE"""),"RF-00000988-PAR")</f>
        <v>RF-00000988-PAR</v>
      </c>
    </row>
    <row r="4206" spans="1:2" ht="12.5" x14ac:dyDescent="0.25">
      <c r="A4206" t="str">
        <f ca="1">IFERROR(__xludf.DUMMYFUNCTION("""COMPUTED_VALUE"""),"OXA-160")</f>
        <v>OXA-160</v>
      </c>
      <c r="B4206" t="str">
        <f ca="1">IFERROR(__xludf.DUMMYFUNCTION("""COMPUTED_VALUE"""),"RF-00001132-PAR")</f>
        <v>RF-00001132-PAR</v>
      </c>
    </row>
    <row r="4207" spans="1:2" ht="12.5" x14ac:dyDescent="0.25">
      <c r="A4207" t="str">
        <f ca="1">IFERROR(__xludf.DUMMYFUNCTION("""COMPUTED_VALUE"""),"OXA-161")</f>
        <v>OXA-161</v>
      </c>
      <c r="B4207" t="str">
        <f ca="1">IFERROR(__xludf.DUMMYFUNCTION("""COMPUTED_VALUE"""),"RF-00001133-PAR")</f>
        <v>RF-00001133-PAR</v>
      </c>
    </row>
    <row r="4208" spans="1:2" ht="12.5" x14ac:dyDescent="0.25">
      <c r="A4208" t="str">
        <f ca="1">IFERROR(__xludf.DUMMYFUNCTION("""COMPUTED_VALUE"""),"OXA-162")</f>
        <v>OXA-162</v>
      </c>
      <c r="B4208" t="str">
        <f ca="1">IFERROR(__xludf.DUMMYFUNCTION("""COMPUTED_VALUE"""),"RF-00001134-PAR")</f>
        <v>RF-00001134-PAR</v>
      </c>
    </row>
    <row r="4209" spans="1:2" ht="12.5" x14ac:dyDescent="0.25">
      <c r="A4209" t="str">
        <f ca="1">IFERROR(__xludf.DUMMYFUNCTION("""COMPUTED_VALUE"""),"OXA-163")</f>
        <v>OXA-163</v>
      </c>
      <c r="B4209" t="str">
        <f ca="1">IFERROR(__xludf.DUMMYFUNCTION("""COMPUTED_VALUE"""),"RF-00001135-PAR")</f>
        <v>RF-00001135-PAR</v>
      </c>
    </row>
    <row r="4210" spans="1:2" ht="12.5" x14ac:dyDescent="0.25">
      <c r="A4210" t="str">
        <f ca="1">IFERROR(__xludf.DUMMYFUNCTION("""COMPUTED_VALUE"""),"OXA-164")</f>
        <v>OXA-164</v>
      </c>
      <c r="B4210" t="str">
        <f ca="1">IFERROR(__xludf.DUMMYFUNCTION("""COMPUTED_VALUE"""),"RF-00001136-PAR")</f>
        <v>RF-00001136-PAR</v>
      </c>
    </row>
    <row r="4211" spans="1:2" ht="12.5" x14ac:dyDescent="0.25">
      <c r="A4211" t="str">
        <f ca="1">IFERROR(__xludf.DUMMYFUNCTION("""COMPUTED_VALUE"""),"OXA-165")</f>
        <v>OXA-165</v>
      </c>
      <c r="B4211" t="str">
        <f ca="1">IFERROR(__xludf.DUMMYFUNCTION("""COMPUTED_VALUE"""),"RF-00001137-PAR")</f>
        <v>RF-00001137-PAR</v>
      </c>
    </row>
    <row r="4212" spans="1:2" ht="12.5" x14ac:dyDescent="0.25">
      <c r="A4212" t="str">
        <f ca="1">IFERROR(__xludf.DUMMYFUNCTION("""COMPUTED_VALUE"""),"OXA-166")</f>
        <v>OXA-166</v>
      </c>
      <c r="B4212" t="str">
        <f ca="1">IFERROR(__xludf.DUMMYFUNCTION("""COMPUTED_VALUE"""),"RF-00001138-PAR")</f>
        <v>RF-00001138-PAR</v>
      </c>
    </row>
    <row r="4213" spans="1:2" ht="12.5" x14ac:dyDescent="0.25">
      <c r="A4213" t="str">
        <f ca="1">IFERROR(__xludf.DUMMYFUNCTION("""COMPUTED_VALUE"""),"OXA-167")</f>
        <v>OXA-167</v>
      </c>
      <c r="B4213" t="str">
        <f ca="1">IFERROR(__xludf.DUMMYFUNCTION("""COMPUTED_VALUE"""),"RF-00001139-PAR")</f>
        <v>RF-00001139-PAR</v>
      </c>
    </row>
    <row r="4214" spans="1:2" ht="12.5" x14ac:dyDescent="0.25">
      <c r="A4214" t="str">
        <f ca="1">IFERROR(__xludf.DUMMYFUNCTION("""COMPUTED_VALUE"""),"OXA-168")</f>
        <v>OXA-168</v>
      </c>
      <c r="B4214" t="str">
        <f ca="1">IFERROR(__xludf.DUMMYFUNCTION("""COMPUTED_VALUE"""),"RF-00001140-PAR")</f>
        <v>RF-00001140-PAR</v>
      </c>
    </row>
    <row r="4215" spans="1:2" ht="12.5" x14ac:dyDescent="0.25">
      <c r="A4215" t="str">
        <f ca="1">IFERROR(__xludf.DUMMYFUNCTION("""COMPUTED_VALUE"""),"OXA-169")</f>
        <v>OXA-169</v>
      </c>
      <c r="B4215" t="str">
        <f ca="1">IFERROR(__xludf.DUMMYFUNCTION("""COMPUTED_VALUE"""),"RF-00001141-PAR")</f>
        <v>RF-00001141-PAR</v>
      </c>
    </row>
    <row r="4216" spans="1:2" ht="12.5" x14ac:dyDescent="0.25">
      <c r="A4216" t="str">
        <f ca="1">IFERROR(__xludf.DUMMYFUNCTION("""COMPUTED_VALUE"""),"OXA-17")</f>
        <v>OXA-17</v>
      </c>
      <c r="B4216" t="str">
        <f ca="1">IFERROR(__xludf.DUMMYFUNCTION("""COMPUTED_VALUE"""),"RF-00000989-PAR")</f>
        <v>RF-00000989-PAR</v>
      </c>
    </row>
    <row r="4217" spans="1:2" ht="12.5" x14ac:dyDescent="0.25">
      <c r="A4217" t="str">
        <f ca="1">IFERROR(__xludf.DUMMYFUNCTION("""COMPUTED_VALUE"""),"OXA-170")</f>
        <v>OXA-170</v>
      </c>
      <c r="B4217" t="str">
        <f ca="1">IFERROR(__xludf.DUMMYFUNCTION("""COMPUTED_VALUE"""),"RF-00001142-PAR")</f>
        <v>RF-00001142-PAR</v>
      </c>
    </row>
    <row r="4218" spans="1:2" ht="12.5" x14ac:dyDescent="0.25">
      <c r="A4218" t="str">
        <f ca="1">IFERROR(__xludf.DUMMYFUNCTION("""COMPUTED_VALUE"""),"OXA-171")</f>
        <v>OXA-171</v>
      </c>
      <c r="B4218" t="str">
        <f ca="1">IFERROR(__xludf.DUMMYFUNCTION("""COMPUTED_VALUE"""),"RF-00001143-PAR")</f>
        <v>RF-00001143-PAR</v>
      </c>
    </row>
    <row r="4219" spans="1:2" ht="12.5" x14ac:dyDescent="0.25">
      <c r="A4219" t="str">
        <f ca="1">IFERROR(__xludf.DUMMYFUNCTION("""COMPUTED_VALUE"""),"OXA-172")</f>
        <v>OXA-172</v>
      </c>
      <c r="B4219" t="str">
        <f ca="1">IFERROR(__xludf.DUMMYFUNCTION("""COMPUTED_VALUE"""),"RF-00001144-PAR")</f>
        <v>RF-00001144-PAR</v>
      </c>
    </row>
    <row r="4220" spans="1:2" ht="12.5" x14ac:dyDescent="0.25">
      <c r="A4220" t="str">
        <f ca="1">IFERROR(__xludf.DUMMYFUNCTION("""COMPUTED_VALUE"""),"OXA-173")</f>
        <v>OXA-173</v>
      </c>
      <c r="B4220" t="str">
        <f ca="1">IFERROR(__xludf.DUMMYFUNCTION("""COMPUTED_VALUE"""),"RF-00001145-PAR")</f>
        <v>RF-00001145-PAR</v>
      </c>
    </row>
    <row r="4221" spans="1:2" ht="12.5" x14ac:dyDescent="0.25">
      <c r="A4221" t="str">
        <f ca="1">IFERROR(__xludf.DUMMYFUNCTION("""COMPUTED_VALUE"""),"OXA-174")</f>
        <v>OXA-174</v>
      </c>
      <c r="B4221" t="str">
        <f ca="1">IFERROR(__xludf.DUMMYFUNCTION("""COMPUTED_VALUE"""),"RF-00001146-PAR")</f>
        <v>RF-00001146-PAR</v>
      </c>
    </row>
    <row r="4222" spans="1:2" ht="12.5" x14ac:dyDescent="0.25">
      <c r="A4222" t="str">
        <f ca="1">IFERROR(__xludf.DUMMYFUNCTION("""COMPUTED_VALUE"""),"OXA-175")</f>
        <v>OXA-175</v>
      </c>
      <c r="B4222" t="str">
        <f ca="1">IFERROR(__xludf.DUMMYFUNCTION("""COMPUTED_VALUE"""),"RF-00001147-PAR")</f>
        <v>RF-00001147-PAR</v>
      </c>
    </row>
    <row r="4223" spans="1:2" ht="12.5" x14ac:dyDescent="0.25">
      <c r="A4223" t="str">
        <f ca="1">IFERROR(__xludf.DUMMYFUNCTION("""COMPUTED_VALUE"""),"OXA-176")</f>
        <v>OXA-176</v>
      </c>
      <c r="B4223" t="str">
        <f ca="1">IFERROR(__xludf.DUMMYFUNCTION("""COMPUTED_VALUE"""),"RF-00001148-PAR")</f>
        <v>RF-00001148-PAR</v>
      </c>
    </row>
    <row r="4224" spans="1:2" ht="12.5" x14ac:dyDescent="0.25">
      <c r="A4224" t="str">
        <f ca="1">IFERROR(__xludf.DUMMYFUNCTION("""COMPUTED_VALUE"""),"OXA-177")</f>
        <v>OXA-177</v>
      </c>
      <c r="B4224" t="str">
        <f ca="1">IFERROR(__xludf.DUMMYFUNCTION("""COMPUTED_VALUE"""),"RF-00001149-PAR")</f>
        <v>RF-00001149-PAR</v>
      </c>
    </row>
    <row r="4225" spans="1:2" ht="12.5" x14ac:dyDescent="0.25">
      <c r="A4225" t="str">
        <f ca="1">IFERROR(__xludf.DUMMYFUNCTION("""COMPUTED_VALUE"""),"OXA-178")</f>
        <v>OXA-178</v>
      </c>
      <c r="B4225" t="str">
        <f ca="1">IFERROR(__xludf.DUMMYFUNCTION("""COMPUTED_VALUE"""),"RF-00001150-PAR")</f>
        <v>RF-00001150-PAR</v>
      </c>
    </row>
    <row r="4226" spans="1:2" ht="12.5" x14ac:dyDescent="0.25">
      <c r="A4226" t="str">
        <f ca="1">IFERROR(__xludf.DUMMYFUNCTION("""COMPUTED_VALUE"""),"OXA-179")</f>
        <v>OXA-179</v>
      </c>
      <c r="B4226" t="str">
        <f ca="1">IFERROR(__xludf.DUMMYFUNCTION("""COMPUTED_VALUE"""),"RF-00001151-PAR")</f>
        <v>RF-00001151-PAR</v>
      </c>
    </row>
    <row r="4227" spans="1:2" ht="12.5" x14ac:dyDescent="0.25">
      <c r="A4227" t="str">
        <f ca="1">IFERROR(__xludf.DUMMYFUNCTION("""COMPUTED_VALUE"""),"OXA-18")</f>
        <v>OXA-18</v>
      </c>
      <c r="B4227" t="str">
        <f ca="1">IFERROR(__xludf.DUMMYFUNCTION("""COMPUTED_VALUE"""),"RF-00000990-PAR")</f>
        <v>RF-00000990-PAR</v>
      </c>
    </row>
    <row r="4228" spans="1:2" ht="12.5" x14ac:dyDescent="0.25">
      <c r="A4228" t="str">
        <f ca="1">IFERROR(__xludf.DUMMYFUNCTION("""COMPUTED_VALUE"""),"OXA-180")</f>
        <v>OXA-180</v>
      </c>
      <c r="B4228" t="str">
        <f ca="1">IFERROR(__xludf.DUMMYFUNCTION("""COMPUTED_VALUE"""),"RF-00001152-PAR")</f>
        <v>RF-00001152-PAR</v>
      </c>
    </row>
    <row r="4229" spans="1:2" ht="12.5" x14ac:dyDescent="0.25">
      <c r="A4229" t="str">
        <f ca="1">IFERROR(__xludf.DUMMYFUNCTION("""COMPUTED_VALUE"""),"OXA-181")</f>
        <v>OXA-181</v>
      </c>
      <c r="B4229" t="str">
        <f ca="1">IFERROR(__xludf.DUMMYFUNCTION("""COMPUTED_VALUE"""),"RF-00001153-PAR")</f>
        <v>RF-00001153-PAR</v>
      </c>
    </row>
    <row r="4230" spans="1:2" ht="12.5" x14ac:dyDescent="0.25">
      <c r="A4230" t="str">
        <f ca="1">IFERROR(__xludf.DUMMYFUNCTION("""COMPUTED_VALUE"""),"OXA-182")</f>
        <v>OXA-182</v>
      </c>
      <c r="B4230" t="str">
        <f ca="1">IFERROR(__xludf.DUMMYFUNCTION("""COMPUTED_VALUE"""),"RF-00001154-PAR")</f>
        <v>RF-00001154-PAR</v>
      </c>
    </row>
    <row r="4231" spans="1:2" ht="12.5" x14ac:dyDescent="0.25">
      <c r="A4231" t="str">
        <f ca="1">IFERROR(__xludf.DUMMYFUNCTION("""COMPUTED_VALUE"""),"OXA-183")</f>
        <v>OXA-183</v>
      </c>
      <c r="B4231" t="str">
        <f ca="1">IFERROR(__xludf.DUMMYFUNCTION("""COMPUTED_VALUE"""),"RF-00001155-PAR")</f>
        <v>RF-00001155-PAR</v>
      </c>
    </row>
    <row r="4232" spans="1:2" ht="12.5" x14ac:dyDescent="0.25">
      <c r="A4232" t="str">
        <f ca="1">IFERROR(__xludf.DUMMYFUNCTION("""COMPUTED_VALUE"""),"OXA-184")</f>
        <v>OXA-184</v>
      </c>
      <c r="B4232" t="str">
        <f ca="1">IFERROR(__xludf.DUMMYFUNCTION("""COMPUTED_VALUE"""),"RF-00001156-PAR")</f>
        <v>RF-00001156-PAR</v>
      </c>
    </row>
    <row r="4233" spans="1:2" ht="12.5" x14ac:dyDescent="0.25">
      <c r="A4233" t="str">
        <f ca="1">IFERROR(__xludf.DUMMYFUNCTION("""COMPUTED_VALUE"""),"OXA-185")</f>
        <v>OXA-185</v>
      </c>
      <c r="B4233" t="str">
        <f ca="1">IFERROR(__xludf.DUMMYFUNCTION("""COMPUTED_VALUE"""),"RF-00001157-PAR")</f>
        <v>RF-00001157-PAR</v>
      </c>
    </row>
    <row r="4234" spans="1:2" ht="12.5" x14ac:dyDescent="0.25">
      <c r="A4234" t="str">
        <f ca="1">IFERROR(__xludf.DUMMYFUNCTION("""COMPUTED_VALUE"""),"OXA-186")</f>
        <v>OXA-186</v>
      </c>
      <c r="B4234" t="str">
        <f ca="1">IFERROR(__xludf.DUMMYFUNCTION("""COMPUTED_VALUE"""),"RF-00001158-PAR")</f>
        <v>RF-00001158-PAR</v>
      </c>
    </row>
    <row r="4235" spans="1:2" ht="12.5" x14ac:dyDescent="0.25">
      <c r="A4235" t="str">
        <f ca="1">IFERROR(__xludf.DUMMYFUNCTION("""COMPUTED_VALUE"""),"OXA-187")</f>
        <v>OXA-187</v>
      </c>
      <c r="B4235" t="str">
        <f ca="1">IFERROR(__xludf.DUMMYFUNCTION("""COMPUTED_VALUE"""),"RF-00001159-PAR")</f>
        <v>RF-00001159-PAR</v>
      </c>
    </row>
    <row r="4236" spans="1:2" ht="12.5" x14ac:dyDescent="0.25">
      <c r="A4236" t="str">
        <f ca="1">IFERROR(__xludf.DUMMYFUNCTION("""COMPUTED_VALUE"""),"OXA-188")</f>
        <v>OXA-188</v>
      </c>
      <c r="B4236" t="str">
        <f ca="1">IFERROR(__xludf.DUMMYFUNCTION("""COMPUTED_VALUE"""),"RF-00001160-PAR")</f>
        <v>RF-00001160-PAR</v>
      </c>
    </row>
    <row r="4237" spans="1:2" ht="12.5" x14ac:dyDescent="0.25">
      <c r="A4237" t="str">
        <f ca="1">IFERROR(__xludf.DUMMYFUNCTION("""COMPUTED_VALUE"""),"OXA-189")</f>
        <v>OXA-189</v>
      </c>
      <c r="B4237" t="str">
        <f ca="1">IFERROR(__xludf.DUMMYFUNCTION("""COMPUTED_VALUE"""),"RF-00001161-PAR")</f>
        <v>RF-00001161-PAR</v>
      </c>
    </row>
    <row r="4238" spans="1:2" ht="12.5" x14ac:dyDescent="0.25">
      <c r="A4238" t="str">
        <f ca="1">IFERROR(__xludf.DUMMYFUNCTION("""COMPUTED_VALUE"""),"OXA-19")</f>
        <v>OXA-19</v>
      </c>
      <c r="B4238" t="str">
        <f ca="1">IFERROR(__xludf.DUMMYFUNCTION("""COMPUTED_VALUE"""),"RF-00000991-PAR")</f>
        <v>RF-00000991-PAR</v>
      </c>
    </row>
    <row r="4239" spans="1:2" ht="12.5" x14ac:dyDescent="0.25">
      <c r="A4239" t="str">
        <f ca="1">IFERROR(__xludf.DUMMYFUNCTION("""COMPUTED_VALUE"""),"OXA-190")</f>
        <v>OXA-190</v>
      </c>
      <c r="B4239" t="str">
        <f ca="1">IFERROR(__xludf.DUMMYFUNCTION("""COMPUTED_VALUE"""),"RF-00001162-PAR")</f>
        <v>RF-00001162-PAR</v>
      </c>
    </row>
    <row r="4240" spans="1:2" ht="12.5" x14ac:dyDescent="0.25">
      <c r="A4240" t="str">
        <f ca="1">IFERROR(__xludf.DUMMYFUNCTION("""COMPUTED_VALUE"""),"OXA-191")</f>
        <v>OXA-191</v>
      </c>
      <c r="B4240" t="str">
        <f ca="1">IFERROR(__xludf.DUMMYFUNCTION("""COMPUTED_VALUE"""),"RF-00001163-PAR")</f>
        <v>RF-00001163-PAR</v>
      </c>
    </row>
    <row r="4241" spans="1:2" ht="12.5" x14ac:dyDescent="0.25">
      <c r="A4241" t="str">
        <f ca="1">IFERROR(__xludf.DUMMYFUNCTION("""COMPUTED_VALUE"""),"OXA-192")</f>
        <v>OXA-192</v>
      </c>
      <c r="B4241" t="str">
        <f ca="1">IFERROR(__xludf.DUMMYFUNCTION("""COMPUTED_VALUE"""),"RF-00001164-PAR")</f>
        <v>RF-00001164-PAR</v>
      </c>
    </row>
    <row r="4242" spans="1:2" ht="12.5" x14ac:dyDescent="0.25">
      <c r="A4242" t="str">
        <f ca="1">IFERROR(__xludf.DUMMYFUNCTION("""COMPUTED_VALUE"""),"OXA-193")</f>
        <v>OXA-193</v>
      </c>
      <c r="B4242" t="str">
        <f ca="1">IFERROR(__xludf.DUMMYFUNCTION("""COMPUTED_VALUE"""),"RF-00001165-PAR")</f>
        <v>RF-00001165-PAR</v>
      </c>
    </row>
    <row r="4243" spans="1:2" ht="12.5" x14ac:dyDescent="0.25">
      <c r="A4243" t="str">
        <f ca="1">IFERROR(__xludf.DUMMYFUNCTION("""COMPUTED_VALUE"""),"OXA-194")</f>
        <v>OXA-194</v>
      </c>
      <c r="B4243" t="str">
        <f ca="1">IFERROR(__xludf.DUMMYFUNCTION("""COMPUTED_VALUE"""),"RF-00001166-PAR")</f>
        <v>RF-00001166-PAR</v>
      </c>
    </row>
    <row r="4244" spans="1:2" ht="12.5" x14ac:dyDescent="0.25">
      <c r="A4244" t="str">
        <f ca="1">IFERROR(__xludf.DUMMYFUNCTION("""COMPUTED_VALUE"""),"OXA-195")</f>
        <v>OXA-195</v>
      </c>
      <c r="B4244" t="str">
        <f ca="1">IFERROR(__xludf.DUMMYFUNCTION("""COMPUTED_VALUE"""),"RF-00001167-PAR")</f>
        <v>RF-00001167-PAR</v>
      </c>
    </row>
    <row r="4245" spans="1:2" ht="12.5" x14ac:dyDescent="0.25">
      <c r="A4245" t="str">
        <f ca="1">IFERROR(__xludf.DUMMYFUNCTION("""COMPUTED_VALUE"""),"OXA-196")</f>
        <v>OXA-196</v>
      </c>
      <c r="B4245" t="str">
        <f ca="1">IFERROR(__xludf.DUMMYFUNCTION("""COMPUTED_VALUE"""),"RF-00001168-PAR")</f>
        <v>RF-00001168-PAR</v>
      </c>
    </row>
    <row r="4246" spans="1:2" ht="12.5" x14ac:dyDescent="0.25">
      <c r="A4246" t="str">
        <f ca="1">IFERROR(__xludf.DUMMYFUNCTION("""COMPUTED_VALUE"""),"OXA-197")</f>
        <v>OXA-197</v>
      </c>
      <c r="B4246" t="str">
        <f ca="1">IFERROR(__xludf.DUMMYFUNCTION("""COMPUTED_VALUE"""),"RF-00001169-PAR")</f>
        <v>RF-00001169-PAR</v>
      </c>
    </row>
    <row r="4247" spans="1:2" ht="12.5" x14ac:dyDescent="0.25">
      <c r="A4247" t="str">
        <f ca="1">IFERROR(__xludf.DUMMYFUNCTION("""COMPUTED_VALUE"""),"OXA-198")</f>
        <v>OXA-198</v>
      </c>
      <c r="B4247" t="str">
        <f ca="1">IFERROR(__xludf.DUMMYFUNCTION("""COMPUTED_VALUE"""),"RF-00001170-PAR")</f>
        <v>RF-00001170-PAR</v>
      </c>
    </row>
    <row r="4248" spans="1:2" ht="12.5" x14ac:dyDescent="0.25">
      <c r="A4248" t="str">
        <f ca="1">IFERROR(__xludf.DUMMYFUNCTION("""COMPUTED_VALUE"""),"OXA-199")</f>
        <v>OXA-199</v>
      </c>
      <c r="B4248" t="str">
        <f ca="1">IFERROR(__xludf.DUMMYFUNCTION("""COMPUTED_VALUE"""),"RF-00001171-PAR")</f>
        <v>RF-00001171-PAR</v>
      </c>
    </row>
    <row r="4249" spans="1:2" ht="12.5" x14ac:dyDescent="0.25">
      <c r="A4249" t="str">
        <f ca="1">IFERROR(__xludf.DUMMYFUNCTION("""COMPUTED_VALUE"""),"OXA-2")</f>
        <v>OXA-2</v>
      </c>
      <c r="B4249" t="str">
        <f ca="1">IFERROR(__xludf.DUMMYFUNCTION("""COMPUTED_VALUE"""),"RF-00000974-PAR")</f>
        <v>RF-00000974-PAR</v>
      </c>
    </row>
    <row r="4250" spans="1:2" ht="12.5" x14ac:dyDescent="0.25">
      <c r="A4250" t="str">
        <f ca="1">IFERROR(__xludf.DUMMYFUNCTION("""COMPUTED_VALUE"""),"OXA-20")</f>
        <v>OXA-20</v>
      </c>
      <c r="B4250" t="str">
        <f ca="1">IFERROR(__xludf.DUMMYFUNCTION("""COMPUTED_VALUE"""),"RF-00000992-PAR")</f>
        <v>RF-00000992-PAR</v>
      </c>
    </row>
    <row r="4251" spans="1:2" ht="12.5" x14ac:dyDescent="0.25">
      <c r="A4251" t="str">
        <f ca="1">IFERROR(__xludf.DUMMYFUNCTION("""COMPUTED_VALUE"""),"OXA-200")</f>
        <v>OXA-200</v>
      </c>
      <c r="B4251" t="str">
        <f ca="1">IFERROR(__xludf.DUMMYFUNCTION("""COMPUTED_VALUE"""),"RF-00001172-PAR")</f>
        <v>RF-00001172-PAR</v>
      </c>
    </row>
    <row r="4252" spans="1:2" ht="12.5" x14ac:dyDescent="0.25">
      <c r="A4252" t="str">
        <f ca="1">IFERROR(__xludf.DUMMYFUNCTION("""COMPUTED_VALUE"""),"OXA-201")</f>
        <v>OXA-201</v>
      </c>
      <c r="B4252" t="str">
        <f ca="1">IFERROR(__xludf.DUMMYFUNCTION("""COMPUTED_VALUE"""),"RF-00001173-PAR")</f>
        <v>RF-00001173-PAR</v>
      </c>
    </row>
    <row r="4253" spans="1:2" ht="12.5" x14ac:dyDescent="0.25">
      <c r="A4253" t="str">
        <f ca="1">IFERROR(__xludf.DUMMYFUNCTION("""COMPUTED_VALUE"""),"OXA-202")</f>
        <v>OXA-202</v>
      </c>
      <c r="B4253" t="str">
        <f ca="1">IFERROR(__xludf.DUMMYFUNCTION("""COMPUTED_VALUE"""),"RF-00001174-PAR")</f>
        <v>RF-00001174-PAR</v>
      </c>
    </row>
    <row r="4254" spans="1:2" ht="12.5" x14ac:dyDescent="0.25">
      <c r="A4254" t="str">
        <f ca="1">IFERROR(__xludf.DUMMYFUNCTION("""COMPUTED_VALUE"""),"OXA-203")</f>
        <v>OXA-203</v>
      </c>
      <c r="B4254" t="str">
        <f ca="1">IFERROR(__xludf.DUMMYFUNCTION("""COMPUTED_VALUE"""),"RF-00001175-PAR")</f>
        <v>RF-00001175-PAR</v>
      </c>
    </row>
    <row r="4255" spans="1:2" ht="12.5" x14ac:dyDescent="0.25">
      <c r="A4255" t="str">
        <f ca="1">IFERROR(__xludf.DUMMYFUNCTION("""COMPUTED_VALUE"""),"OXA-204")</f>
        <v>OXA-204</v>
      </c>
      <c r="B4255" t="str">
        <f ca="1">IFERROR(__xludf.DUMMYFUNCTION("""COMPUTED_VALUE"""),"RF-00001176-PAR")</f>
        <v>RF-00001176-PAR</v>
      </c>
    </row>
    <row r="4256" spans="1:2" ht="12.5" x14ac:dyDescent="0.25">
      <c r="A4256" t="str">
        <f ca="1">IFERROR(__xludf.DUMMYFUNCTION("""COMPUTED_VALUE"""),"OXA-205")</f>
        <v>OXA-205</v>
      </c>
      <c r="B4256" t="str">
        <f ca="1">IFERROR(__xludf.DUMMYFUNCTION("""COMPUTED_VALUE"""),"RF-00001177-PAR")</f>
        <v>RF-00001177-PAR</v>
      </c>
    </row>
    <row r="4257" spans="1:2" ht="12.5" x14ac:dyDescent="0.25">
      <c r="A4257" t="str">
        <f ca="1">IFERROR(__xludf.DUMMYFUNCTION("""COMPUTED_VALUE"""),"OXA-206")</f>
        <v>OXA-206</v>
      </c>
      <c r="B4257" t="str">
        <f ca="1">IFERROR(__xludf.DUMMYFUNCTION("""COMPUTED_VALUE"""),"RF-00001178-PAR")</f>
        <v>RF-00001178-PAR</v>
      </c>
    </row>
    <row r="4258" spans="1:2" ht="12.5" x14ac:dyDescent="0.25">
      <c r="A4258" t="str">
        <f ca="1">IFERROR(__xludf.DUMMYFUNCTION("""COMPUTED_VALUE"""),"OXA-207")</f>
        <v>OXA-207</v>
      </c>
      <c r="B4258" t="str">
        <f ca="1">IFERROR(__xludf.DUMMYFUNCTION("""COMPUTED_VALUE"""),"RF-00001179-PAR")</f>
        <v>RF-00001179-PAR</v>
      </c>
    </row>
    <row r="4259" spans="1:2" ht="12.5" x14ac:dyDescent="0.25">
      <c r="A4259" t="str">
        <f ca="1">IFERROR(__xludf.DUMMYFUNCTION("""COMPUTED_VALUE"""),"OXA-208")</f>
        <v>OXA-208</v>
      </c>
      <c r="B4259" t="str">
        <f ca="1">IFERROR(__xludf.DUMMYFUNCTION("""COMPUTED_VALUE"""),"RF-00001180-PAR")</f>
        <v>RF-00001180-PAR</v>
      </c>
    </row>
    <row r="4260" spans="1:2" ht="12.5" x14ac:dyDescent="0.25">
      <c r="A4260" t="str">
        <f ca="1">IFERROR(__xludf.DUMMYFUNCTION("""COMPUTED_VALUE"""),"OXA-209")</f>
        <v>OXA-209</v>
      </c>
      <c r="B4260" t="str">
        <f ca="1">IFERROR(__xludf.DUMMYFUNCTION("""COMPUTED_VALUE"""),"RF-00001181-PAR")</f>
        <v>RF-00001181-PAR</v>
      </c>
    </row>
    <row r="4261" spans="1:2" ht="12.5" x14ac:dyDescent="0.25">
      <c r="A4261" t="str">
        <f ca="1">IFERROR(__xludf.DUMMYFUNCTION("""COMPUTED_VALUE"""),"OXA-21")</f>
        <v>OXA-21</v>
      </c>
      <c r="B4261" t="str">
        <f ca="1">IFERROR(__xludf.DUMMYFUNCTION("""COMPUTED_VALUE"""),"RF-00000993-PAR")</f>
        <v>RF-00000993-PAR</v>
      </c>
    </row>
    <row r="4262" spans="1:2" ht="12.5" x14ac:dyDescent="0.25">
      <c r="A4262" t="str">
        <f ca="1">IFERROR(__xludf.DUMMYFUNCTION("""COMPUTED_VALUE"""),"OXA-210")</f>
        <v>OXA-210</v>
      </c>
      <c r="B4262" t="str">
        <f ca="1">IFERROR(__xludf.DUMMYFUNCTION("""COMPUTED_VALUE"""),"RF-00001182-PAR")</f>
        <v>RF-00001182-PAR</v>
      </c>
    </row>
    <row r="4263" spans="1:2" ht="12.5" x14ac:dyDescent="0.25">
      <c r="A4263" t="str">
        <f ca="1">IFERROR(__xludf.DUMMYFUNCTION("""COMPUTED_VALUE"""),"OXA-211")</f>
        <v>OXA-211</v>
      </c>
      <c r="B4263" t="str">
        <f ca="1">IFERROR(__xludf.DUMMYFUNCTION("""COMPUTED_VALUE"""),"RF-00001183-PAR")</f>
        <v>RF-00001183-PAR</v>
      </c>
    </row>
    <row r="4264" spans="1:2" ht="12.5" x14ac:dyDescent="0.25">
      <c r="A4264" t="str">
        <f ca="1">IFERROR(__xludf.DUMMYFUNCTION("""COMPUTED_VALUE"""),"OXA-212")</f>
        <v>OXA-212</v>
      </c>
      <c r="B4264" t="str">
        <f ca="1">IFERROR(__xludf.DUMMYFUNCTION("""COMPUTED_VALUE"""),"RF-00001184-PAR")</f>
        <v>RF-00001184-PAR</v>
      </c>
    </row>
    <row r="4265" spans="1:2" ht="12.5" x14ac:dyDescent="0.25">
      <c r="A4265" t="str">
        <f ca="1">IFERROR(__xludf.DUMMYFUNCTION("""COMPUTED_VALUE"""),"OXA-213")</f>
        <v>OXA-213</v>
      </c>
      <c r="B4265" t="str">
        <f ca="1">IFERROR(__xludf.DUMMYFUNCTION("""COMPUTED_VALUE"""),"RF-00001185-PAR")</f>
        <v>RF-00001185-PAR</v>
      </c>
    </row>
    <row r="4266" spans="1:2" ht="12.5" x14ac:dyDescent="0.25">
      <c r="A4266" t="str">
        <f ca="1">IFERROR(__xludf.DUMMYFUNCTION("""COMPUTED_VALUE"""),"OXA-214")</f>
        <v>OXA-214</v>
      </c>
      <c r="B4266" t="str">
        <f ca="1">IFERROR(__xludf.DUMMYFUNCTION("""COMPUTED_VALUE"""),"RF-00001186-PAR")</f>
        <v>RF-00001186-PAR</v>
      </c>
    </row>
    <row r="4267" spans="1:2" ht="12.5" x14ac:dyDescent="0.25">
      <c r="A4267" t="str">
        <f ca="1">IFERROR(__xludf.DUMMYFUNCTION("""COMPUTED_VALUE"""),"OXA-215")</f>
        <v>OXA-215</v>
      </c>
      <c r="B4267" t="str">
        <f ca="1">IFERROR(__xludf.DUMMYFUNCTION("""COMPUTED_VALUE"""),"RF-00001187-PAR")</f>
        <v>RF-00001187-PAR</v>
      </c>
    </row>
    <row r="4268" spans="1:2" ht="12.5" x14ac:dyDescent="0.25">
      <c r="A4268" t="str">
        <f ca="1">IFERROR(__xludf.DUMMYFUNCTION("""COMPUTED_VALUE"""),"OXA-216")</f>
        <v>OXA-216</v>
      </c>
      <c r="B4268" t="str">
        <f ca="1">IFERROR(__xludf.DUMMYFUNCTION("""COMPUTED_VALUE"""),"RF-00001188-PAR")</f>
        <v>RF-00001188-PAR</v>
      </c>
    </row>
    <row r="4269" spans="1:2" ht="12.5" x14ac:dyDescent="0.25">
      <c r="A4269" t="str">
        <f ca="1">IFERROR(__xludf.DUMMYFUNCTION("""COMPUTED_VALUE"""),"OXA-217")</f>
        <v>OXA-217</v>
      </c>
      <c r="B4269" t="str">
        <f ca="1">IFERROR(__xludf.DUMMYFUNCTION("""COMPUTED_VALUE"""),"RF-00001189-PAR")</f>
        <v>RF-00001189-PAR</v>
      </c>
    </row>
    <row r="4270" spans="1:2" ht="12.5" x14ac:dyDescent="0.25">
      <c r="A4270" t="str">
        <f ca="1">IFERROR(__xludf.DUMMYFUNCTION("""COMPUTED_VALUE"""),"OXA-218")</f>
        <v>OXA-218</v>
      </c>
      <c r="B4270" t="str">
        <f ca="1">IFERROR(__xludf.DUMMYFUNCTION("""COMPUTED_VALUE"""),"RF-00001190-PAR")</f>
        <v>RF-00001190-PAR</v>
      </c>
    </row>
    <row r="4271" spans="1:2" ht="12.5" x14ac:dyDescent="0.25">
      <c r="A4271" t="str">
        <f ca="1">IFERROR(__xludf.DUMMYFUNCTION("""COMPUTED_VALUE"""),"OXA-219")</f>
        <v>OXA-219</v>
      </c>
      <c r="B4271" t="str">
        <f ca="1">IFERROR(__xludf.DUMMYFUNCTION("""COMPUTED_VALUE"""),"RF-00001191-PAR")</f>
        <v>RF-00001191-PAR</v>
      </c>
    </row>
    <row r="4272" spans="1:2" ht="12.5" x14ac:dyDescent="0.25">
      <c r="A4272" t="str">
        <f ca="1">IFERROR(__xludf.DUMMYFUNCTION("""COMPUTED_VALUE"""),"OXA-22")</f>
        <v>OXA-22</v>
      </c>
      <c r="B4272" t="str">
        <f ca="1">IFERROR(__xludf.DUMMYFUNCTION("""COMPUTED_VALUE"""),"RF-00000994-PAR")</f>
        <v>RF-00000994-PAR</v>
      </c>
    </row>
    <row r="4273" spans="1:2" ht="12.5" x14ac:dyDescent="0.25">
      <c r="A4273" t="str">
        <f ca="1">IFERROR(__xludf.DUMMYFUNCTION("""COMPUTED_VALUE"""),"OXA-220")</f>
        <v>OXA-220</v>
      </c>
      <c r="B4273" t="str">
        <f ca="1">IFERROR(__xludf.DUMMYFUNCTION("""COMPUTED_VALUE"""),"RF-00001192-PAR")</f>
        <v>RF-00001192-PAR</v>
      </c>
    </row>
    <row r="4274" spans="1:2" ht="12.5" x14ac:dyDescent="0.25">
      <c r="A4274" t="str">
        <f ca="1">IFERROR(__xludf.DUMMYFUNCTION("""COMPUTED_VALUE"""),"OXA-221")</f>
        <v>OXA-221</v>
      </c>
      <c r="B4274" t="str">
        <f ca="1">IFERROR(__xludf.DUMMYFUNCTION("""COMPUTED_VALUE"""),"RF-00001193-PAR")</f>
        <v>RF-00001193-PAR</v>
      </c>
    </row>
    <row r="4275" spans="1:2" ht="12.5" x14ac:dyDescent="0.25">
      <c r="A4275" t="str">
        <f ca="1">IFERROR(__xludf.DUMMYFUNCTION("""COMPUTED_VALUE"""),"OXA-222")</f>
        <v>OXA-222</v>
      </c>
      <c r="B4275" t="str">
        <f ca="1">IFERROR(__xludf.DUMMYFUNCTION("""COMPUTED_VALUE"""),"RF-00001194-PAR")</f>
        <v>RF-00001194-PAR</v>
      </c>
    </row>
    <row r="4276" spans="1:2" ht="12.5" x14ac:dyDescent="0.25">
      <c r="A4276" t="str">
        <f ca="1">IFERROR(__xludf.DUMMYFUNCTION("""COMPUTED_VALUE"""),"OXA-223")</f>
        <v>OXA-223</v>
      </c>
      <c r="B4276" t="str">
        <f ca="1">IFERROR(__xludf.DUMMYFUNCTION("""COMPUTED_VALUE"""),"RF-00001195-PAR")</f>
        <v>RF-00001195-PAR</v>
      </c>
    </row>
    <row r="4277" spans="1:2" ht="12.5" x14ac:dyDescent="0.25">
      <c r="A4277" t="str">
        <f ca="1">IFERROR(__xludf.DUMMYFUNCTION("""COMPUTED_VALUE"""),"OXA-224")</f>
        <v>OXA-224</v>
      </c>
      <c r="B4277" t="str">
        <f ca="1">IFERROR(__xludf.DUMMYFUNCTION("""COMPUTED_VALUE"""),"RF-00001196-PAR")</f>
        <v>RF-00001196-PAR</v>
      </c>
    </row>
    <row r="4278" spans="1:2" ht="12.5" x14ac:dyDescent="0.25">
      <c r="A4278" t="str">
        <f ca="1">IFERROR(__xludf.DUMMYFUNCTION("""COMPUTED_VALUE"""),"OXA-225")</f>
        <v>OXA-225</v>
      </c>
      <c r="B4278" t="str">
        <f ca="1">IFERROR(__xludf.DUMMYFUNCTION("""COMPUTED_VALUE"""),"RF-00001197-PAR")</f>
        <v>RF-00001197-PAR</v>
      </c>
    </row>
    <row r="4279" spans="1:2" ht="12.5" x14ac:dyDescent="0.25">
      <c r="A4279" t="str">
        <f ca="1">IFERROR(__xludf.DUMMYFUNCTION("""COMPUTED_VALUE"""),"OXA-226")</f>
        <v>OXA-226</v>
      </c>
      <c r="B4279" t="str">
        <f ca="1">IFERROR(__xludf.DUMMYFUNCTION("""COMPUTED_VALUE"""),"RF-00001198-PAR")</f>
        <v>RF-00001198-PAR</v>
      </c>
    </row>
    <row r="4280" spans="1:2" ht="12.5" x14ac:dyDescent="0.25">
      <c r="A4280" t="str">
        <f ca="1">IFERROR(__xludf.DUMMYFUNCTION("""COMPUTED_VALUE"""),"OXA-227")</f>
        <v>OXA-227</v>
      </c>
      <c r="B4280" t="str">
        <f ca="1">IFERROR(__xludf.DUMMYFUNCTION("""COMPUTED_VALUE"""),"RF-00001199-PAR")</f>
        <v>RF-00001199-PAR</v>
      </c>
    </row>
    <row r="4281" spans="1:2" ht="12.5" x14ac:dyDescent="0.25">
      <c r="A4281" t="str">
        <f ca="1">IFERROR(__xludf.DUMMYFUNCTION("""COMPUTED_VALUE"""),"OXA-228")</f>
        <v>OXA-228</v>
      </c>
      <c r="B4281" t="str">
        <f ca="1">IFERROR(__xludf.DUMMYFUNCTION("""COMPUTED_VALUE"""),"RF-00001200-PAR")</f>
        <v>RF-00001200-PAR</v>
      </c>
    </row>
    <row r="4282" spans="1:2" ht="12.5" x14ac:dyDescent="0.25">
      <c r="A4282" t="str">
        <f ca="1">IFERROR(__xludf.DUMMYFUNCTION("""COMPUTED_VALUE"""),"OXA-229")</f>
        <v>OXA-229</v>
      </c>
      <c r="B4282" t="str">
        <f ca="1">IFERROR(__xludf.DUMMYFUNCTION("""COMPUTED_VALUE"""),"RF-00001201-PAR")</f>
        <v>RF-00001201-PAR</v>
      </c>
    </row>
    <row r="4283" spans="1:2" ht="12.5" x14ac:dyDescent="0.25">
      <c r="A4283" t="str">
        <f ca="1">IFERROR(__xludf.DUMMYFUNCTION("""COMPUTED_VALUE"""),"OXA-23")</f>
        <v>OXA-23</v>
      </c>
      <c r="B4283" t="str">
        <f ca="1">IFERROR(__xludf.DUMMYFUNCTION("""COMPUTED_VALUE"""),"RF-00000995-PAR")</f>
        <v>RF-00000995-PAR</v>
      </c>
    </row>
    <row r="4284" spans="1:2" ht="12.5" x14ac:dyDescent="0.25">
      <c r="A4284" t="str">
        <f ca="1">IFERROR(__xludf.DUMMYFUNCTION("""COMPUTED_VALUE"""),"OXA-230")</f>
        <v>OXA-230</v>
      </c>
      <c r="B4284" t="str">
        <f ca="1">IFERROR(__xludf.DUMMYFUNCTION("""COMPUTED_VALUE"""),"RF-00001202-PAR")</f>
        <v>RF-00001202-PAR</v>
      </c>
    </row>
    <row r="4285" spans="1:2" ht="12.5" x14ac:dyDescent="0.25">
      <c r="A4285" t="str">
        <f ca="1">IFERROR(__xludf.DUMMYFUNCTION("""COMPUTED_VALUE"""),"OXA-231")</f>
        <v>OXA-231</v>
      </c>
      <c r="B4285" t="str">
        <f ca="1">IFERROR(__xludf.DUMMYFUNCTION("""COMPUTED_VALUE"""),"RF-00001203-PAR")</f>
        <v>RF-00001203-PAR</v>
      </c>
    </row>
    <row r="4286" spans="1:2" ht="12.5" x14ac:dyDescent="0.25">
      <c r="A4286" t="str">
        <f ca="1">IFERROR(__xludf.DUMMYFUNCTION("""COMPUTED_VALUE"""),"OXA-232")</f>
        <v>OXA-232</v>
      </c>
      <c r="B4286" t="str">
        <f ca="1">IFERROR(__xludf.DUMMYFUNCTION("""COMPUTED_VALUE"""),"RF-00001204-PAR")</f>
        <v>RF-00001204-PAR</v>
      </c>
    </row>
    <row r="4287" spans="1:2" ht="12.5" x14ac:dyDescent="0.25">
      <c r="A4287" t="str">
        <f ca="1">IFERROR(__xludf.DUMMYFUNCTION("""COMPUTED_VALUE"""),"OXA-233")</f>
        <v>OXA-233</v>
      </c>
      <c r="B4287" t="str">
        <f ca="1">IFERROR(__xludf.DUMMYFUNCTION("""COMPUTED_VALUE"""),"RF-00001205-PAR")</f>
        <v>RF-00001205-PAR</v>
      </c>
    </row>
    <row r="4288" spans="1:2" ht="12.5" x14ac:dyDescent="0.25">
      <c r="A4288" t="str">
        <f ca="1">IFERROR(__xludf.DUMMYFUNCTION("""COMPUTED_VALUE"""),"OXA-234")</f>
        <v>OXA-234</v>
      </c>
      <c r="B4288" t="str">
        <f ca="1">IFERROR(__xludf.DUMMYFUNCTION("""COMPUTED_VALUE"""),"RF-00001206-PAR")</f>
        <v>RF-00001206-PAR</v>
      </c>
    </row>
    <row r="4289" spans="1:2" ht="12.5" x14ac:dyDescent="0.25">
      <c r="A4289" t="str">
        <f ca="1">IFERROR(__xludf.DUMMYFUNCTION("""COMPUTED_VALUE"""),"OXA-235")</f>
        <v>OXA-235</v>
      </c>
      <c r="B4289" t="str">
        <f ca="1">IFERROR(__xludf.DUMMYFUNCTION("""COMPUTED_VALUE"""),"RF-00001207-PAR")</f>
        <v>RF-00001207-PAR</v>
      </c>
    </row>
    <row r="4290" spans="1:2" ht="12.5" x14ac:dyDescent="0.25">
      <c r="A4290" t="str">
        <f ca="1">IFERROR(__xludf.DUMMYFUNCTION("""COMPUTED_VALUE"""),"OXA-236")</f>
        <v>OXA-236</v>
      </c>
      <c r="B4290" t="str">
        <f ca="1">IFERROR(__xludf.DUMMYFUNCTION("""COMPUTED_VALUE"""),"RF-00001208-PAR")</f>
        <v>RF-00001208-PAR</v>
      </c>
    </row>
    <row r="4291" spans="1:2" ht="12.5" x14ac:dyDescent="0.25">
      <c r="A4291" t="str">
        <f ca="1">IFERROR(__xludf.DUMMYFUNCTION("""COMPUTED_VALUE"""),"OXA-237")</f>
        <v>OXA-237</v>
      </c>
      <c r="B4291" t="str">
        <f ca="1">IFERROR(__xludf.DUMMYFUNCTION("""COMPUTED_VALUE"""),"RF-00001209-PAR")</f>
        <v>RF-00001209-PAR</v>
      </c>
    </row>
    <row r="4292" spans="1:2" ht="12.5" x14ac:dyDescent="0.25">
      <c r="A4292" t="str">
        <f ca="1">IFERROR(__xludf.DUMMYFUNCTION("""COMPUTED_VALUE"""),"OXA-238")</f>
        <v>OXA-238</v>
      </c>
      <c r="B4292" t="str">
        <f ca="1">IFERROR(__xludf.DUMMYFUNCTION("""COMPUTED_VALUE"""),"RF-00001210-PAR")</f>
        <v>RF-00001210-PAR</v>
      </c>
    </row>
    <row r="4293" spans="1:2" ht="12.5" x14ac:dyDescent="0.25">
      <c r="A4293" t="str">
        <f ca="1">IFERROR(__xludf.DUMMYFUNCTION("""COMPUTED_VALUE"""),"OXA-239")</f>
        <v>OXA-239</v>
      </c>
      <c r="B4293" t="str">
        <f ca="1">IFERROR(__xludf.DUMMYFUNCTION("""COMPUTED_VALUE"""),"RF-00001211-PAR")</f>
        <v>RF-00001211-PAR</v>
      </c>
    </row>
    <row r="4294" spans="1:2" ht="12.5" x14ac:dyDescent="0.25">
      <c r="A4294" t="str">
        <f ca="1">IFERROR(__xludf.DUMMYFUNCTION("""COMPUTED_VALUE"""),"OXA-24")</f>
        <v>OXA-24</v>
      </c>
      <c r="B4294" t="str">
        <f ca="1">IFERROR(__xludf.DUMMYFUNCTION("""COMPUTED_VALUE"""),"RF-00000996-PAR")</f>
        <v>RF-00000996-PAR</v>
      </c>
    </row>
    <row r="4295" spans="1:2" ht="12.5" x14ac:dyDescent="0.25">
      <c r="A4295" t="str">
        <f ca="1">IFERROR(__xludf.DUMMYFUNCTION("""COMPUTED_VALUE"""),"OXA-240")</f>
        <v>OXA-240</v>
      </c>
      <c r="B4295" t="str">
        <f ca="1">IFERROR(__xludf.DUMMYFUNCTION("""COMPUTED_VALUE"""),"RF-00001212-PAR")</f>
        <v>RF-00001212-PAR</v>
      </c>
    </row>
    <row r="4296" spans="1:2" ht="12.5" x14ac:dyDescent="0.25">
      <c r="A4296" t="str">
        <f ca="1">IFERROR(__xludf.DUMMYFUNCTION("""COMPUTED_VALUE"""),"OXA-241")</f>
        <v>OXA-241</v>
      </c>
      <c r="B4296" t="str">
        <f ca="1">IFERROR(__xludf.DUMMYFUNCTION("""COMPUTED_VALUE"""),"RF-00001213-PAR")</f>
        <v>RF-00001213-PAR</v>
      </c>
    </row>
    <row r="4297" spans="1:2" ht="12.5" x14ac:dyDescent="0.25">
      <c r="A4297" t="str">
        <f ca="1">IFERROR(__xludf.DUMMYFUNCTION("""COMPUTED_VALUE"""),"OXA-242")</f>
        <v>OXA-242</v>
      </c>
      <c r="B4297" t="str">
        <f ca="1">IFERROR(__xludf.DUMMYFUNCTION("""COMPUTED_VALUE"""),"RF-00001214-PAR")</f>
        <v>RF-00001214-PAR</v>
      </c>
    </row>
    <row r="4298" spans="1:2" ht="12.5" x14ac:dyDescent="0.25">
      <c r="A4298" t="str">
        <f ca="1">IFERROR(__xludf.DUMMYFUNCTION("""COMPUTED_VALUE"""),"OXA-243")</f>
        <v>OXA-243</v>
      </c>
      <c r="B4298" t="str">
        <f ca="1">IFERROR(__xludf.DUMMYFUNCTION("""COMPUTED_VALUE"""),"RF-00001215-PAR")</f>
        <v>RF-00001215-PAR</v>
      </c>
    </row>
    <row r="4299" spans="1:2" ht="12.5" x14ac:dyDescent="0.25">
      <c r="A4299" t="str">
        <f ca="1">IFERROR(__xludf.DUMMYFUNCTION("""COMPUTED_VALUE"""),"OXA-244")</f>
        <v>OXA-244</v>
      </c>
      <c r="B4299" t="str">
        <f ca="1">IFERROR(__xludf.DUMMYFUNCTION("""COMPUTED_VALUE"""),"RF-00001216-PAR")</f>
        <v>RF-00001216-PAR</v>
      </c>
    </row>
    <row r="4300" spans="1:2" ht="12.5" x14ac:dyDescent="0.25">
      <c r="A4300" t="str">
        <f ca="1">IFERROR(__xludf.DUMMYFUNCTION("""COMPUTED_VALUE"""),"OXA-245")</f>
        <v>OXA-245</v>
      </c>
      <c r="B4300" t="str">
        <f ca="1">IFERROR(__xludf.DUMMYFUNCTION("""COMPUTED_VALUE"""),"RF-00001217-PAR")</f>
        <v>RF-00001217-PAR</v>
      </c>
    </row>
    <row r="4301" spans="1:2" ht="12.5" x14ac:dyDescent="0.25">
      <c r="A4301" t="str">
        <f ca="1">IFERROR(__xludf.DUMMYFUNCTION("""COMPUTED_VALUE"""),"OXA-246")</f>
        <v>OXA-246</v>
      </c>
      <c r="B4301" t="str">
        <f ca="1">IFERROR(__xludf.DUMMYFUNCTION("""COMPUTED_VALUE"""),"RF-00001218-PAR")</f>
        <v>RF-00001218-PAR</v>
      </c>
    </row>
    <row r="4302" spans="1:2" ht="12.5" x14ac:dyDescent="0.25">
      <c r="A4302" t="str">
        <f ca="1">IFERROR(__xludf.DUMMYFUNCTION("""COMPUTED_VALUE"""),"OXA-247")</f>
        <v>OXA-247</v>
      </c>
      <c r="B4302" t="str">
        <f ca="1">IFERROR(__xludf.DUMMYFUNCTION("""COMPUTED_VALUE"""),"RF-00001219-PAR")</f>
        <v>RF-00001219-PAR</v>
      </c>
    </row>
    <row r="4303" spans="1:2" ht="12.5" x14ac:dyDescent="0.25">
      <c r="A4303" t="str">
        <f ca="1">IFERROR(__xludf.DUMMYFUNCTION("""COMPUTED_VALUE"""),"OXA-248")</f>
        <v>OXA-248</v>
      </c>
      <c r="B4303" t="str">
        <f ca="1">IFERROR(__xludf.DUMMYFUNCTION("""COMPUTED_VALUE"""),"RF-00001220-PAR")</f>
        <v>RF-00001220-PAR</v>
      </c>
    </row>
    <row r="4304" spans="1:2" ht="12.5" x14ac:dyDescent="0.25">
      <c r="A4304" t="str">
        <f ca="1">IFERROR(__xludf.DUMMYFUNCTION("""COMPUTED_VALUE"""),"OXA-249")</f>
        <v>OXA-249</v>
      </c>
      <c r="B4304" t="str">
        <f ca="1">IFERROR(__xludf.DUMMYFUNCTION("""COMPUTED_VALUE"""),"RF-00001221-PAR")</f>
        <v>RF-00001221-PAR</v>
      </c>
    </row>
    <row r="4305" spans="1:2" ht="12.5" x14ac:dyDescent="0.25">
      <c r="A4305" t="str">
        <f ca="1">IFERROR(__xludf.DUMMYFUNCTION("""COMPUTED_VALUE"""),"OXA-25")</f>
        <v>OXA-25</v>
      </c>
      <c r="B4305" t="str">
        <f ca="1">IFERROR(__xludf.DUMMYFUNCTION("""COMPUTED_VALUE"""),"RF-00000997-PAR")</f>
        <v>RF-00000997-PAR</v>
      </c>
    </row>
    <row r="4306" spans="1:2" ht="12.5" x14ac:dyDescent="0.25">
      <c r="A4306" t="str">
        <f ca="1">IFERROR(__xludf.DUMMYFUNCTION("""COMPUTED_VALUE"""),"OXA-250")</f>
        <v>OXA-250</v>
      </c>
      <c r="B4306" t="str">
        <f ca="1">IFERROR(__xludf.DUMMYFUNCTION("""COMPUTED_VALUE"""),"RF-00001222-PAR")</f>
        <v>RF-00001222-PAR</v>
      </c>
    </row>
    <row r="4307" spans="1:2" ht="12.5" x14ac:dyDescent="0.25">
      <c r="A4307" t="str">
        <f ca="1">IFERROR(__xludf.DUMMYFUNCTION("""COMPUTED_VALUE"""),"OXA-251")</f>
        <v>OXA-251</v>
      </c>
      <c r="B4307" t="str">
        <f ca="1">IFERROR(__xludf.DUMMYFUNCTION("""COMPUTED_VALUE"""),"RF-00001223-PAR")</f>
        <v>RF-00001223-PAR</v>
      </c>
    </row>
    <row r="4308" spans="1:2" ht="12.5" x14ac:dyDescent="0.25">
      <c r="A4308" t="str">
        <f ca="1">IFERROR(__xludf.DUMMYFUNCTION("""COMPUTED_VALUE"""),"OXA-252")</f>
        <v>OXA-252</v>
      </c>
      <c r="B4308" t="str">
        <f ca="1">IFERROR(__xludf.DUMMYFUNCTION("""COMPUTED_VALUE"""),"RF-00001224-PAR")</f>
        <v>RF-00001224-PAR</v>
      </c>
    </row>
    <row r="4309" spans="1:2" ht="12.5" x14ac:dyDescent="0.25">
      <c r="A4309" t="str">
        <f ca="1">IFERROR(__xludf.DUMMYFUNCTION("""COMPUTED_VALUE"""),"OXA-253")</f>
        <v>OXA-253</v>
      </c>
      <c r="B4309" t="str">
        <f ca="1">IFERROR(__xludf.DUMMYFUNCTION("""COMPUTED_VALUE"""),"RF-00001225-PAR")</f>
        <v>RF-00001225-PAR</v>
      </c>
    </row>
    <row r="4310" spans="1:2" ht="12.5" x14ac:dyDescent="0.25">
      <c r="A4310" t="str">
        <f ca="1">IFERROR(__xludf.DUMMYFUNCTION("""COMPUTED_VALUE"""),"OXA-254")</f>
        <v>OXA-254</v>
      </c>
      <c r="B4310" t="str">
        <f ca="1">IFERROR(__xludf.DUMMYFUNCTION("""COMPUTED_VALUE"""),"RF-00001226-PAR")</f>
        <v>RF-00001226-PAR</v>
      </c>
    </row>
    <row r="4311" spans="1:2" ht="12.5" x14ac:dyDescent="0.25">
      <c r="A4311" t="str">
        <f ca="1">IFERROR(__xludf.DUMMYFUNCTION("""COMPUTED_VALUE"""),"OXA-255")</f>
        <v>OXA-255</v>
      </c>
      <c r="B4311" t="str">
        <f ca="1">IFERROR(__xludf.DUMMYFUNCTION("""COMPUTED_VALUE"""),"RF-00001227-PAR")</f>
        <v>RF-00001227-PAR</v>
      </c>
    </row>
    <row r="4312" spans="1:2" ht="12.5" x14ac:dyDescent="0.25">
      <c r="A4312" t="str">
        <f ca="1">IFERROR(__xludf.DUMMYFUNCTION("""COMPUTED_VALUE"""),"OXA-256")</f>
        <v>OXA-256</v>
      </c>
      <c r="B4312" t="str">
        <f ca="1">IFERROR(__xludf.DUMMYFUNCTION("""COMPUTED_VALUE"""),"RF-00001228-PAR")</f>
        <v>RF-00001228-PAR</v>
      </c>
    </row>
    <row r="4313" spans="1:2" ht="12.5" x14ac:dyDescent="0.25">
      <c r="A4313" t="str">
        <f ca="1">IFERROR(__xludf.DUMMYFUNCTION("""COMPUTED_VALUE"""),"OXA-257")</f>
        <v>OXA-257</v>
      </c>
      <c r="B4313" t="str">
        <f ca="1">IFERROR(__xludf.DUMMYFUNCTION("""COMPUTED_VALUE"""),"RF-00001229-PAR")</f>
        <v>RF-00001229-PAR</v>
      </c>
    </row>
    <row r="4314" spans="1:2" ht="12.5" x14ac:dyDescent="0.25">
      <c r="A4314" t="str">
        <f ca="1">IFERROR(__xludf.DUMMYFUNCTION("""COMPUTED_VALUE"""),"OXA-26")</f>
        <v>OXA-26</v>
      </c>
      <c r="B4314" t="str">
        <f ca="1">IFERROR(__xludf.DUMMYFUNCTION("""COMPUTED_VALUE"""),"RF-00000998-PAR")</f>
        <v>RF-00000998-PAR</v>
      </c>
    </row>
    <row r="4315" spans="1:2" ht="12.5" x14ac:dyDescent="0.25">
      <c r="A4315" t="str">
        <f ca="1">IFERROR(__xludf.DUMMYFUNCTION("""COMPUTED_VALUE"""),"OXA-27")</f>
        <v>OXA-27</v>
      </c>
      <c r="B4315" t="str">
        <f ca="1">IFERROR(__xludf.DUMMYFUNCTION("""COMPUTED_VALUE"""),"RF-00000999-PAR")</f>
        <v>RF-00000999-PAR</v>
      </c>
    </row>
    <row r="4316" spans="1:2" ht="12.5" x14ac:dyDescent="0.25">
      <c r="A4316" t="str">
        <f ca="1">IFERROR(__xludf.DUMMYFUNCTION("""COMPUTED_VALUE"""),"OXA-28")</f>
        <v>OXA-28</v>
      </c>
      <c r="B4316" t="str">
        <f ca="1">IFERROR(__xludf.DUMMYFUNCTION("""COMPUTED_VALUE"""),"RF-00001000-PAR")</f>
        <v>RF-00001000-PAR</v>
      </c>
    </row>
    <row r="4317" spans="1:2" ht="12.5" x14ac:dyDescent="0.25">
      <c r="A4317" t="str">
        <f ca="1">IFERROR(__xludf.DUMMYFUNCTION("""COMPUTED_VALUE"""),"OXA-29")</f>
        <v>OXA-29</v>
      </c>
      <c r="B4317" t="str">
        <f ca="1">IFERROR(__xludf.DUMMYFUNCTION("""COMPUTED_VALUE"""),"RF-00001001-PAR")</f>
        <v>RF-00001001-PAR</v>
      </c>
    </row>
    <row r="4318" spans="1:2" ht="12.5" x14ac:dyDescent="0.25">
      <c r="A4318" t="str">
        <f ca="1">IFERROR(__xludf.DUMMYFUNCTION("""COMPUTED_VALUE"""),"OXA-3")</f>
        <v>OXA-3</v>
      </c>
      <c r="B4318" t="str">
        <f ca="1">IFERROR(__xludf.DUMMYFUNCTION("""COMPUTED_VALUE"""),"RF-00000975-PAR")</f>
        <v>RF-00000975-PAR</v>
      </c>
    </row>
    <row r="4319" spans="1:2" ht="12.5" x14ac:dyDescent="0.25">
      <c r="A4319" t="str">
        <f ca="1">IFERROR(__xludf.DUMMYFUNCTION("""COMPUTED_VALUE"""),"OXA-30")</f>
        <v>OXA-30</v>
      </c>
      <c r="B4319" t="str">
        <f ca="1">IFERROR(__xludf.DUMMYFUNCTION("""COMPUTED_VALUE"""),"RF-00001002-PAR")</f>
        <v>RF-00001002-PAR</v>
      </c>
    </row>
    <row r="4320" spans="1:2" ht="12.5" x14ac:dyDescent="0.25">
      <c r="A4320" t="str">
        <f ca="1">IFERROR(__xludf.DUMMYFUNCTION("""COMPUTED_VALUE"""),"OXA-31")</f>
        <v>OXA-31</v>
      </c>
      <c r="B4320" t="str">
        <f ca="1">IFERROR(__xludf.DUMMYFUNCTION("""COMPUTED_VALUE"""),"RF-00001003-PAR")</f>
        <v>RF-00001003-PAR</v>
      </c>
    </row>
    <row r="4321" spans="1:2" ht="12.5" x14ac:dyDescent="0.25">
      <c r="A4321" t="str">
        <f ca="1">IFERROR(__xludf.DUMMYFUNCTION("""COMPUTED_VALUE"""),"OXA-32")</f>
        <v>OXA-32</v>
      </c>
      <c r="B4321" t="str">
        <f ca="1">IFERROR(__xludf.DUMMYFUNCTION("""COMPUTED_VALUE"""),"RF-00001004-PAR")</f>
        <v>RF-00001004-PAR</v>
      </c>
    </row>
    <row r="4322" spans="1:2" ht="12.5" x14ac:dyDescent="0.25">
      <c r="A4322" t="str">
        <f ca="1">IFERROR(__xludf.DUMMYFUNCTION("""COMPUTED_VALUE"""),"OXA-33")</f>
        <v>OXA-33</v>
      </c>
      <c r="B4322" t="str">
        <f ca="1">IFERROR(__xludf.DUMMYFUNCTION("""COMPUTED_VALUE"""),"RF-00001005-PAR")</f>
        <v>RF-00001005-PAR</v>
      </c>
    </row>
    <row r="4323" spans="1:2" ht="12.5" x14ac:dyDescent="0.25">
      <c r="A4323" t="str">
        <f ca="1">IFERROR(__xludf.DUMMYFUNCTION("""COMPUTED_VALUE"""),"OXA-34")</f>
        <v>OXA-34</v>
      </c>
      <c r="B4323" t="str">
        <f ca="1">IFERROR(__xludf.DUMMYFUNCTION("""COMPUTED_VALUE"""),"RF-00001006-PAR")</f>
        <v>RF-00001006-PAR</v>
      </c>
    </row>
    <row r="4324" spans="1:2" ht="12.5" x14ac:dyDescent="0.25">
      <c r="A4324" t="str">
        <f ca="1">IFERROR(__xludf.DUMMYFUNCTION("""COMPUTED_VALUE"""),"OXA-35")</f>
        <v>OXA-35</v>
      </c>
      <c r="B4324" t="str">
        <f ca="1">IFERROR(__xludf.DUMMYFUNCTION("""COMPUTED_VALUE"""),"RF-00001007-PAR")</f>
        <v>RF-00001007-PAR</v>
      </c>
    </row>
    <row r="4325" spans="1:2" ht="12.5" x14ac:dyDescent="0.25">
      <c r="A4325" t="str">
        <f ca="1">IFERROR(__xludf.DUMMYFUNCTION("""COMPUTED_VALUE"""),"OXA-36")</f>
        <v>OXA-36</v>
      </c>
      <c r="B4325" t="str">
        <f ca="1">IFERROR(__xludf.DUMMYFUNCTION("""COMPUTED_VALUE"""),"RF-00001008-PAR")</f>
        <v>RF-00001008-PAR</v>
      </c>
    </row>
    <row r="4326" spans="1:2" ht="12.5" x14ac:dyDescent="0.25">
      <c r="A4326" t="str">
        <f ca="1">IFERROR(__xludf.DUMMYFUNCTION("""COMPUTED_VALUE"""),"OXA-37")</f>
        <v>OXA-37</v>
      </c>
      <c r="B4326" t="str">
        <f ca="1">IFERROR(__xludf.DUMMYFUNCTION("""COMPUTED_VALUE"""),"RF-00001009-PAR")</f>
        <v>RF-00001009-PAR</v>
      </c>
    </row>
    <row r="4327" spans="1:2" ht="12.5" x14ac:dyDescent="0.25">
      <c r="A4327" t="str">
        <f ca="1">IFERROR(__xludf.DUMMYFUNCTION("""COMPUTED_VALUE"""),"OXA-38")</f>
        <v>OXA-38</v>
      </c>
      <c r="B4327" t="str">
        <f ca="1">IFERROR(__xludf.DUMMYFUNCTION("""COMPUTED_VALUE"""),"RF-00001010-PAR")</f>
        <v>RF-00001010-PAR</v>
      </c>
    </row>
    <row r="4328" spans="1:2" ht="12.5" x14ac:dyDescent="0.25">
      <c r="A4328" t="str">
        <f ca="1">IFERROR(__xludf.DUMMYFUNCTION("""COMPUTED_VALUE"""),"OXA-39")</f>
        <v>OXA-39</v>
      </c>
      <c r="B4328" t="str">
        <f ca="1">IFERROR(__xludf.DUMMYFUNCTION("""COMPUTED_VALUE"""),"RF-00001011-PAR")</f>
        <v>RF-00001011-PAR</v>
      </c>
    </row>
    <row r="4329" spans="1:2" ht="12.5" x14ac:dyDescent="0.25">
      <c r="A4329" t="str">
        <f ca="1">IFERROR(__xludf.DUMMYFUNCTION("""COMPUTED_VALUE"""),"OXA-4")</f>
        <v>OXA-4</v>
      </c>
      <c r="B4329" t="str">
        <f ca="1">IFERROR(__xludf.DUMMYFUNCTION("""COMPUTED_VALUE"""),"RF-00000976-PAR")</f>
        <v>RF-00000976-PAR</v>
      </c>
    </row>
    <row r="4330" spans="1:2" ht="12.5" x14ac:dyDescent="0.25">
      <c r="A4330" t="str">
        <f ca="1">IFERROR(__xludf.DUMMYFUNCTION("""COMPUTED_VALUE"""),"OXA-40")</f>
        <v>OXA-40</v>
      </c>
      <c r="B4330" t="str">
        <f ca="1">IFERROR(__xludf.DUMMYFUNCTION("""COMPUTED_VALUE"""),"RF-00001012-PAR")</f>
        <v>RF-00001012-PAR</v>
      </c>
    </row>
    <row r="4331" spans="1:2" ht="12.5" x14ac:dyDescent="0.25">
      <c r="A4331" t="str">
        <f ca="1">IFERROR(__xludf.DUMMYFUNCTION("""COMPUTED_VALUE"""),"OXA-41")</f>
        <v>OXA-41</v>
      </c>
      <c r="B4331" t="str">
        <f ca="1">IFERROR(__xludf.DUMMYFUNCTION("""COMPUTED_VALUE"""),"RF-00001013-PAR")</f>
        <v>RF-00001013-PAR</v>
      </c>
    </row>
    <row r="4332" spans="1:2" ht="12.5" x14ac:dyDescent="0.25">
      <c r="A4332" t="str">
        <f ca="1">IFERROR(__xludf.DUMMYFUNCTION("""COMPUTED_VALUE"""),"OXA-42")</f>
        <v>OXA-42</v>
      </c>
      <c r="B4332" t="str">
        <f ca="1">IFERROR(__xludf.DUMMYFUNCTION("""COMPUTED_VALUE"""),"RF-00001014-PAR")</f>
        <v>RF-00001014-PAR</v>
      </c>
    </row>
    <row r="4333" spans="1:2" ht="12.5" x14ac:dyDescent="0.25">
      <c r="A4333" t="str">
        <f ca="1">IFERROR(__xludf.DUMMYFUNCTION("""COMPUTED_VALUE"""),"OXA-43")</f>
        <v>OXA-43</v>
      </c>
      <c r="B4333" t="str">
        <f ca="1">IFERROR(__xludf.DUMMYFUNCTION("""COMPUTED_VALUE"""),"RF-00001015-PAR")</f>
        <v>RF-00001015-PAR</v>
      </c>
    </row>
    <row r="4334" spans="1:2" ht="12.5" x14ac:dyDescent="0.25">
      <c r="A4334" t="str">
        <f ca="1">IFERROR(__xludf.DUMMYFUNCTION("""COMPUTED_VALUE"""),"OXA-44")</f>
        <v>OXA-44</v>
      </c>
      <c r="B4334" t="str">
        <f ca="1">IFERROR(__xludf.DUMMYFUNCTION("""COMPUTED_VALUE"""),"RF-00001016-PAR")</f>
        <v>RF-00001016-PAR</v>
      </c>
    </row>
    <row r="4335" spans="1:2" ht="12.5" x14ac:dyDescent="0.25">
      <c r="A4335" t="str">
        <f ca="1">IFERROR(__xludf.DUMMYFUNCTION("""COMPUTED_VALUE"""),"OXA-45")</f>
        <v>OXA-45</v>
      </c>
      <c r="B4335" t="str">
        <f ca="1">IFERROR(__xludf.DUMMYFUNCTION("""COMPUTED_VALUE"""),"RF-00001017-PAR")</f>
        <v>RF-00001017-PAR</v>
      </c>
    </row>
    <row r="4336" spans="1:2" ht="12.5" x14ac:dyDescent="0.25">
      <c r="A4336" t="str">
        <f ca="1">IFERROR(__xludf.DUMMYFUNCTION("""COMPUTED_VALUE"""),"OXA-46")</f>
        <v>OXA-46</v>
      </c>
      <c r="B4336" t="str">
        <f ca="1">IFERROR(__xludf.DUMMYFUNCTION("""COMPUTED_VALUE"""),"RF-00001018-PAR")</f>
        <v>RF-00001018-PAR</v>
      </c>
    </row>
    <row r="4337" spans="1:2" ht="12.5" x14ac:dyDescent="0.25">
      <c r="A4337" t="str">
        <f ca="1">IFERROR(__xludf.DUMMYFUNCTION("""COMPUTED_VALUE"""),"OXA-47")</f>
        <v>OXA-47</v>
      </c>
      <c r="B4337" t="str">
        <f ca="1">IFERROR(__xludf.DUMMYFUNCTION("""COMPUTED_VALUE"""),"RF-00001019-PAR")</f>
        <v>RF-00001019-PAR</v>
      </c>
    </row>
    <row r="4338" spans="1:2" ht="12.5" x14ac:dyDescent="0.25">
      <c r="A4338" t="str">
        <f ca="1">IFERROR(__xludf.DUMMYFUNCTION("""COMPUTED_VALUE"""),"OXA-48")</f>
        <v>OXA-48</v>
      </c>
      <c r="B4338" t="str">
        <f ca="1">IFERROR(__xludf.DUMMYFUNCTION("""COMPUTED_VALUE"""),"RF-00001020-PAR")</f>
        <v>RF-00001020-PAR</v>
      </c>
    </row>
    <row r="4339" spans="1:2" ht="12.5" x14ac:dyDescent="0.25">
      <c r="A4339" t="str">
        <f ca="1">IFERROR(__xludf.DUMMYFUNCTION("""COMPUTED_VALUE"""),"OXA-49")</f>
        <v>OXA-49</v>
      </c>
      <c r="B4339" t="str">
        <f ca="1">IFERROR(__xludf.DUMMYFUNCTION("""COMPUTED_VALUE"""),"RF-00001021-PAR")</f>
        <v>RF-00001021-PAR</v>
      </c>
    </row>
    <row r="4340" spans="1:2" ht="12.5" x14ac:dyDescent="0.25">
      <c r="A4340" t="str">
        <f ca="1">IFERROR(__xludf.DUMMYFUNCTION("""COMPUTED_VALUE"""),"OXA-5")</f>
        <v>OXA-5</v>
      </c>
      <c r="B4340" t="str">
        <f ca="1">IFERROR(__xludf.DUMMYFUNCTION("""COMPUTED_VALUE"""),"RF-00000977-PAR")</f>
        <v>RF-00000977-PAR</v>
      </c>
    </row>
    <row r="4341" spans="1:2" ht="12.5" x14ac:dyDescent="0.25">
      <c r="A4341" t="str">
        <f ca="1">IFERROR(__xludf.DUMMYFUNCTION("""COMPUTED_VALUE"""),"OXA-50")</f>
        <v>OXA-50</v>
      </c>
      <c r="B4341" t="str">
        <f ca="1">IFERROR(__xludf.DUMMYFUNCTION("""COMPUTED_VALUE"""),"RF-00001022-PAR")</f>
        <v>RF-00001022-PAR</v>
      </c>
    </row>
    <row r="4342" spans="1:2" ht="12.5" x14ac:dyDescent="0.25">
      <c r="A4342" t="str">
        <f ca="1">IFERROR(__xludf.DUMMYFUNCTION("""COMPUTED_VALUE"""),"OXA-51")</f>
        <v>OXA-51</v>
      </c>
      <c r="B4342" t="str">
        <f ca="1">IFERROR(__xludf.DUMMYFUNCTION("""COMPUTED_VALUE"""),"RF-00001023-PAR")</f>
        <v>RF-00001023-PAR</v>
      </c>
    </row>
    <row r="4343" spans="1:2" ht="12.5" x14ac:dyDescent="0.25">
      <c r="A4343" t="str">
        <f ca="1">IFERROR(__xludf.DUMMYFUNCTION("""COMPUTED_VALUE"""),"OXA-52")</f>
        <v>OXA-52</v>
      </c>
      <c r="B4343" t="str">
        <f ca="1">IFERROR(__xludf.DUMMYFUNCTION("""COMPUTED_VALUE"""),"RF-00001024-PAR")</f>
        <v>RF-00001024-PAR</v>
      </c>
    </row>
    <row r="4344" spans="1:2" ht="12.5" x14ac:dyDescent="0.25">
      <c r="A4344" t="str">
        <f ca="1">IFERROR(__xludf.DUMMYFUNCTION("""COMPUTED_VALUE"""),"OXA-53")</f>
        <v>OXA-53</v>
      </c>
      <c r="B4344" t="str">
        <f ca="1">IFERROR(__xludf.DUMMYFUNCTION("""COMPUTED_VALUE"""),"RF-00001025-PAR")</f>
        <v>RF-00001025-PAR</v>
      </c>
    </row>
    <row r="4345" spans="1:2" ht="12.5" x14ac:dyDescent="0.25">
      <c r="A4345" t="str">
        <f ca="1">IFERROR(__xludf.DUMMYFUNCTION("""COMPUTED_VALUE"""),"OXA-54")</f>
        <v>OXA-54</v>
      </c>
      <c r="B4345" t="str">
        <f ca="1">IFERROR(__xludf.DUMMYFUNCTION("""COMPUTED_VALUE"""),"RF-00001026-PAR")</f>
        <v>RF-00001026-PAR</v>
      </c>
    </row>
    <row r="4346" spans="1:2" ht="12.5" x14ac:dyDescent="0.25">
      <c r="A4346" t="str">
        <f ca="1">IFERROR(__xludf.DUMMYFUNCTION("""COMPUTED_VALUE"""),"OXA-55")</f>
        <v>OXA-55</v>
      </c>
      <c r="B4346" t="str">
        <f ca="1">IFERROR(__xludf.DUMMYFUNCTION("""COMPUTED_VALUE"""),"RF-00001027-PAR")</f>
        <v>RF-00001027-PAR</v>
      </c>
    </row>
    <row r="4347" spans="1:2" ht="12.5" x14ac:dyDescent="0.25">
      <c r="A4347" t="str">
        <f ca="1">IFERROR(__xludf.DUMMYFUNCTION("""COMPUTED_VALUE"""),"OXA-56")</f>
        <v>OXA-56</v>
      </c>
      <c r="B4347" t="str">
        <f ca="1">IFERROR(__xludf.DUMMYFUNCTION("""COMPUTED_VALUE"""),"RF-00001028-PAR")</f>
        <v>RF-00001028-PAR</v>
      </c>
    </row>
    <row r="4348" spans="1:2" ht="12.5" x14ac:dyDescent="0.25">
      <c r="A4348" t="str">
        <f ca="1">IFERROR(__xludf.DUMMYFUNCTION("""COMPUTED_VALUE"""),"OXA-57")</f>
        <v>OXA-57</v>
      </c>
      <c r="B4348" t="str">
        <f ca="1">IFERROR(__xludf.DUMMYFUNCTION("""COMPUTED_VALUE"""),"RF-00001029-PAR")</f>
        <v>RF-00001029-PAR</v>
      </c>
    </row>
    <row r="4349" spans="1:2" ht="12.5" x14ac:dyDescent="0.25">
      <c r="A4349" t="str">
        <f ca="1">IFERROR(__xludf.DUMMYFUNCTION("""COMPUTED_VALUE"""),"OXA-58")</f>
        <v>OXA-58</v>
      </c>
      <c r="B4349" t="str">
        <f ca="1">IFERROR(__xludf.DUMMYFUNCTION("""COMPUTED_VALUE"""),"RF-00001030-PAR")</f>
        <v>RF-00001030-PAR</v>
      </c>
    </row>
    <row r="4350" spans="1:2" ht="12.5" x14ac:dyDescent="0.25">
      <c r="A4350" t="str">
        <f ca="1">IFERROR(__xludf.DUMMYFUNCTION("""COMPUTED_VALUE"""),"OXA-59")</f>
        <v>OXA-59</v>
      </c>
      <c r="B4350" t="str">
        <f ca="1">IFERROR(__xludf.DUMMYFUNCTION("""COMPUTED_VALUE"""),"RF-00001031-PAR")</f>
        <v>RF-00001031-PAR</v>
      </c>
    </row>
    <row r="4351" spans="1:2" ht="12.5" x14ac:dyDescent="0.25">
      <c r="A4351" t="str">
        <f ca="1">IFERROR(__xludf.DUMMYFUNCTION("""COMPUTED_VALUE"""),"OXA-6")</f>
        <v>OXA-6</v>
      </c>
      <c r="B4351" t="str">
        <f ca="1">IFERROR(__xludf.DUMMYFUNCTION("""COMPUTED_VALUE"""),"RF-00000978-PAR")</f>
        <v>RF-00000978-PAR</v>
      </c>
    </row>
    <row r="4352" spans="1:2" ht="12.5" x14ac:dyDescent="0.25">
      <c r="A4352" t="str">
        <f ca="1">IFERROR(__xludf.DUMMYFUNCTION("""COMPUTED_VALUE"""),"OXA-60")</f>
        <v>OXA-60</v>
      </c>
      <c r="B4352" t="str">
        <f ca="1">IFERROR(__xludf.DUMMYFUNCTION("""COMPUTED_VALUE"""),"RF-00001032-PAR")</f>
        <v>RF-00001032-PAR</v>
      </c>
    </row>
    <row r="4353" spans="1:2" ht="12.5" x14ac:dyDescent="0.25">
      <c r="A4353" t="str">
        <f ca="1">IFERROR(__xludf.DUMMYFUNCTION("""COMPUTED_VALUE"""),"OXA-61")</f>
        <v>OXA-61</v>
      </c>
      <c r="B4353" t="str">
        <f ca="1">IFERROR(__xludf.DUMMYFUNCTION("""COMPUTED_VALUE"""),"RF-00001033-PAR")</f>
        <v>RF-00001033-PAR</v>
      </c>
    </row>
    <row r="4354" spans="1:2" ht="12.5" x14ac:dyDescent="0.25">
      <c r="A4354" t="str">
        <f ca="1">IFERROR(__xludf.DUMMYFUNCTION("""COMPUTED_VALUE"""),"OXA-62")</f>
        <v>OXA-62</v>
      </c>
      <c r="B4354" t="str">
        <f ca="1">IFERROR(__xludf.DUMMYFUNCTION("""COMPUTED_VALUE"""),"RF-00001034-PAR")</f>
        <v>RF-00001034-PAR</v>
      </c>
    </row>
    <row r="4355" spans="1:2" ht="12.5" x14ac:dyDescent="0.25">
      <c r="A4355" t="str">
        <f ca="1">IFERROR(__xludf.DUMMYFUNCTION("""COMPUTED_VALUE"""),"OXA-63")</f>
        <v>OXA-63</v>
      </c>
      <c r="B4355" t="str">
        <f ca="1">IFERROR(__xludf.DUMMYFUNCTION("""COMPUTED_VALUE"""),"RF-00001035-PAR")</f>
        <v>RF-00001035-PAR</v>
      </c>
    </row>
    <row r="4356" spans="1:2" ht="12.5" x14ac:dyDescent="0.25">
      <c r="A4356" t="str">
        <f ca="1">IFERROR(__xludf.DUMMYFUNCTION("""COMPUTED_VALUE"""),"OXA-64")</f>
        <v>OXA-64</v>
      </c>
      <c r="B4356" t="str">
        <f ca="1">IFERROR(__xludf.DUMMYFUNCTION("""COMPUTED_VALUE"""),"RF-00001036-PAR")</f>
        <v>RF-00001036-PAR</v>
      </c>
    </row>
    <row r="4357" spans="1:2" ht="12.5" x14ac:dyDescent="0.25">
      <c r="A4357" t="str">
        <f ca="1">IFERROR(__xludf.DUMMYFUNCTION("""COMPUTED_VALUE"""),"OXA-65")</f>
        <v>OXA-65</v>
      </c>
      <c r="B4357" t="str">
        <f ca="1">IFERROR(__xludf.DUMMYFUNCTION("""COMPUTED_VALUE"""),"RF-00001037-PAR")</f>
        <v>RF-00001037-PAR</v>
      </c>
    </row>
    <row r="4358" spans="1:2" ht="12.5" x14ac:dyDescent="0.25">
      <c r="A4358" t="str">
        <f ca="1">IFERROR(__xludf.DUMMYFUNCTION("""COMPUTED_VALUE"""),"OXA-66")</f>
        <v>OXA-66</v>
      </c>
      <c r="B4358" t="str">
        <f ca="1">IFERROR(__xludf.DUMMYFUNCTION("""COMPUTED_VALUE"""),"RF-00001038-PAR")</f>
        <v>RF-00001038-PAR</v>
      </c>
    </row>
    <row r="4359" spans="1:2" ht="12.5" x14ac:dyDescent="0.25">
      <c r="A4359" t="str">
        <f ca="1">IFERROR(__xludf.DUMMYFUNCTION("""COMPUTED_VALUE"""),"OXA-67")</f>
        <v>OXA-67</v>
      </c>
      <c r="B4359" t="str">
        <f ca="1">IFERROR(__xludf.DUMMYFUNCTION("""COMPUTED_VALUE"""),"RF-00001039-PAR")</f>
        <v>RF-00001039-PAR</v>
      </c>
    </row>
    <row r="4360" spans="1:2" ht="12.5" x14ac:dyDescent="0.25">
      <c r="A4360" t="str">
        <f ca="1">IFERROR(__xludf.DUMMYFUNCTION("""COMPUTED_VALUE"""),"OXA-68")</f>
        <v>OXA-68</v>
      </c>
      <c r="B4360" t="str">
        <f ca="1">IFERROR(__xludf.DUMMYFUNCTION("""COMPUTED_VALUE"""),"RF-00001040-PAR")</f>
        <v>RF-00001040-PAR</v>
      </c>
    </row>
    <row r="4361" spans="1:2" ht="12.5" x14ac:dyDescent="0.25">
      <c r="A4361" t="str">
        <f ca="1">IFERROR(__xludf.DUMMYFUNCTION("""COMPUTED_VALUE"""),"OXA-69")</f>
        <v>OXA-69</v>
      </c>
      <c r="B4361" t="str">
        <f ca="1">IFERROR(__xludf.DUMMYFUNCTION("""COMPUTED_VALUE"""),"RF-00001041-PAR")</f>
        <v>RF-00001041-PAR</v>
      </c>
    </row>
    <row r="4362" spans="1:2" ht="12.5" x14ac:dyDescent="0.25">
      <c r="A4362" t="str">
        <f ca="1">IFERROR(__xludf.DUMMYFUNCTION("""COMPUTED_VALUE"""),"OXA-7")</f>
        <v>OXA-7</v>
      </c>
      <c r="B4362" t="str">
        <f ca="1">IFERROR(__xludf.DUMMYFUNCTION("""COMPUTED_VALUE"""),"RF-00000979-PAR")</f>
        <v>RF-00000979-PAR</v>
      </c>
    </row>
    <row r="4363" spans="1:2" ht="12.5" x14ac:dyDescent="0.25">
      <c r="A4363" t="str">
        <f ca="1">IFERROR(__xludf.DUMMYFUNCTION("""COMPUTED_VALUE"""),"OXA-70")</f>
        <v>OXA-70</v>
      </c>
      <c r="B4363" t="str">
        <f ca="1">IFERROR(__xludf.DUMMYFUNCTION("""COMPUTED_VALUE"""),"RF-00001042-PAR")</f>
        <v>RF-00001042-PAR</v>
      </c>
    </row>
    <row r="4364" spans="1:2" ht="12.5" x14ac:dyDescent="0.25">
      <c r="A4364" t="str">
        <f ca="1">IFERROR(__xludf.DUMMYFUNCTION("""COMPUTED_VALUE"""),"OXA-71")</f>
        <v>OXA-71</v>
      </c>
      <c r="B4364" t="str">
        <f ca="1">IFERROR(__xludf.DUMMYFUNCTION("""COMPUTED_VALUE"""),"RF-00001043-PAR")</f>
        <v>RF-00001043-PAR</v>
      </c>
    </row>
    <row r="4365" spans="1:2" ht="12.5" x14ac:dyDescent="0.25">
      <c r="A4365" t="str">
        <f ca="1">IFERROR(__xludf.DUMMYFUNCTION("""COMPUTED_VALUE"""),"OXA-72")</f>
        <v>OXA-72</v>
      </c>
      <c r="B4365" t="str">
        <f ca="1">IFERROR(__xludf.DUMMYFUNCTION("""COMPUTED_VALUE"""),"RF-00001044-PAR")</f>
        <v>RF-00001044-PAR</v>
      </c>
    </row>
    <row r="4366" spans="1:2" ht="12.5" x14ac:dyDescent="0.25">
      <c r="A4366" t="str">
        <f ca="1">IFERROR(__xludf.DUMMYFUNCTION("""COMPUTED_VALUE"""),"OXA-73")</f>
        <v>OXA-73</v>
      </c>
      <c r="B4366" t="str">
        <f ca="1">IFERROR(__xludf.DUMMYFUNCTION("""COMPUTED_VALUE"""),"RF-00001045-PAR")</f>
        <v>RF-00001045-PAR</v>
      </c>
    </row>
    <row r="4367" spans="1:2" ht="12.5" x14ac:dyDescent="0.25">
      <c r="A4367" t="str">
        <f ca="1">IFERROR(__xludf.DUMMYFUNCTION("""COMPUTED_VALUE"""),"OXA-74")</f>
        <v>OXA-74</v>
      </c>
      <c r="B4367" t="str">
        <f ca="1">IFERROR(__xludf.DUMMYFUNCTION("""COMPUTED_VALUE"""),"RF-00001046-PAR")</f>
        <v>RF-00001046-PAR</v>
      </c>
    </row>
    <row r="4368" spans="1:2" ht="12.5" x14ac:dyDescent="0.25">
      <c r="A4368" t="str">
        <f ca="1">IFERROR(__xludf.DUMMYFUNCTION("""COMPUTED_VALUE"""),"OXA-75")</f>
        <v>OXA-75</v>
      </c>
      <c r="B4368" t="str">
        <f ca="1">IFERROR(__xludf.DUMMYFUNCTION("""COMPUTED_VALUE"""),"RF-00001047-PAR")</f>
        <v>RF-00001047-PAR</v>
      </c>
    </row>
    <row r="4369" spans="1:2" ht="12.5" x14ac:dyDescent="0.25">
      <c r="A4369" t="str">
        <f ca="1">IFERROR(__xludf.DUMMYFUNCTION("""COMPUTED_VALUE"""),"OXA-76")</f>
        <v>OXA-76</v>
      </c>
      <c r="B4369" t="str">
        <f ca="1">IFERROR(__xludf.DUMMYFUNCTION("""COMPUTED_VALUE"""),"RF-00001048-PAR")</f>
        <v>RF-00001048-PAR</v>
      </c>
    </row>
    <row r="4370" spans="1:2" ht="12.5" x14ac:dyDescent="0.25">
      <c r="A4370" t="str">
        <f ca="1">IFERROR(__xludf.DUMMYFUNCTION("""COMPUTED_VALUE"""),"OXA-77")</f>
        <v>OXA-77</v>
      </c>
      <c r="B4370" t="str">
        <f ca="1">IFERROR(__xludf.DUMMYFUNCTION("""COMPUTED_VALUE"""),"RF-00001049-PAR")</f>
        <v>RF-00001049-PAR</v>
      </c>
    </row>
    <row r="4371" spans="1:2" ht="12.5" x14ac:dyDescent="0.25">
      <c r="A4371" t="str">
        <f ca="1">IFERROR(__xludf.DUMMYFUNCTION("""COMPUTED_VALUE"""),"OXA-78")</f>
        <v>OXA-78</v>
      </c>
      <c r="B4371" t="str">
        <f ca="1">IFERROR(__xludf.DUMMYFUNCTION("""COMPUTED_VALUE"""),"RF-00001050-PAR")</f>
        <v>RF-00001050-PAR</v>
      </c>
    </row>
    <row r="4372" spans="1:2" ht="12.5" x14ac:dyDescent="0.25">
      <c r="A4372" t="str">
        <f ca="1">IFERROR(__xludf.DUMMYFUNCTION("""COMPUTED_VALUE"""),"OXA-79")</f>
        <v>OXA-79</v>
      </c>
      <c r="B4372" t="str">
        <f ca="1">IFERROR(__xludf.DUMMYFUNCTION("""COMPUTED_VALUE"""),"RF-00001051-PAR")</f>
        <v>RF-00001051-PAR</v>
      </c>
    </row>
    <row r="4373" spans="1:2" ht="12.5" x14ac:dyDescent="0.25">
      <c r="A4373" t="str">
        <f ca="1">IFERROR(__xludf.DUMMYFUNCTION("""COMPUTED_VALUE"""),"OXA-8")</f>
        <v>OXA-8</v>
      </c>
      <c r="B4373" t="str">
        <f ca="1">IFERROR(__xludf.DUMMYFUNCTION("""COMPUTED_VALUE"""),"RF-00000980-PAR")</f>
        <v>RF-00000980-PAR</v>
      </c>
    </row>
    <row r="4374" spans="1:2" ht="12.5" x14ac:dyDescent="0.25">
      <c r="A4374" t="str">
        <f ca="1">IFERROR(__xludf.DUMMYFUNCTION("""COMPUTED_VALUE"""),"OXA-80")</f>
        <v>OXA-80</v>
      </c>
      <c r="B4374" t="str">
        <f ca="1">IFERROR(__xludf.DUMMYFUNCTION("""COMPUTED_VALUE"""),"RF-00001052-PAR")</f>
        <v>RF-00001052-PAR</v>
      </c>
    </row>
    <row r="4375" spans="1:2" ht="12.5" x14ac:dyDescent="0.25">
      <c r="A4375" t="str">
        <f ca="1">IFERROR(__xludf.DUMMYFUNCTION("""COMPUTED_VALUE"""),"OXA-81")</f>
        <v>OXA-81</v>
      </c>
      <c r="B4375" t="str">
        <f ca="1">IFERROR(__xludf.DUMMYFUNCTION("""COMPUTED_VALUE"""),"RF-00001053-PAR")</f>
        <v>RF-00001053-PAR</v>
      </c>
    </row>
    <row r="4376" spans="1:2" ht="12.5" x14ac:dyDescent="0.25">
      <c r="A4376" t="str">
        <f ca="1">IFERROR(__xludf.DUMMYFUNCTION("""COMPUTED_VALUE"""),"OXA-82")</f>
        <v>OXA-82</v>
      </c>
      <c r="B4376" t="str">
        <f ca="1">IFERROR(__xludf.DUMMYFUNCTION("""COMPUTED_VALUE"""),"RF-00001054-PAR")</f>
        <v>RF-00001054-PAR</v>
      </c>
    </row>
    <row r="4377" spans="1:2" ht="12.5" x14ac:dyDescent="0.25">
      <c r="A4377" t="str">
        <f ca="1">IFERROR(__xludf.DUMMYFUNCTION("""COMPUTED_VALUE"""),"OXA-83")</f>
        <v>OXA-83</v>
      </c>
      <c r="B4377" t="str">
        <f ca="1">IFERROR(__xludf.DUMMYFUNCTION("""COMPUTED_VALUE"""),"RF-00001055-PAR")</f>
        <v>RF-00001055-PAR</v>
      </c>
    </row>
    <row r="4378" spans="1:2" ht="12.5" x14ac:dyDescent="0.25">
      <c r="A4378" t="str">
        <f ca="1">IFERROR(__xludf.DUMMYFUNCTION("""COMPUTED_VALUE"""),"OXA-84")</f>
        <v>OXA-84</v>
      </c>
      <c r="B4378" t="str">
        <f ca="1">IFERROR(__xludf.DUMMYFUNCTION("""COMPUTED_VALUE"""),"RF-00001056-PAR")</f>
        <v>RF-00001056-PAR</v>
      </c>
    </row>
    <row r="4379" spans="1:2" ht="12.5" x14ac:dyDescent="0.25">
      <c r="A4379" t="str">
        <f ca="1">IFERROR(__xludf.DUMMYFUNCTION("""COMPUTED_VALUE"""),"OXA-85")</f>
        <v>OXA-85</v>
      </c>
      <c r="B4379" t="str">
        <f ca="1">IFERROR(__xludf.DUMMYFUNCTION("""COMPUTED_VALUE"""),"RF-00001057-PAR")</f>
        <v>RF-00001057-PAR</v>
      </c>
    </row>
    <row r="4380" spans="1:2" ht="12.5" x14ac:dyDescent="0.25">
      <c r="A4380" t="str">
        <f ca="1">IFERROR(__xludf.DUMMYFUNCTION("""COMPUTED_VALUE"""),"OXA-86")</f>
        <v>OXA-86</v>
      </c>
      <c r="B4380" t="str">
        <f ca="1">IFERROR(__xludf.DUMMYFUNCTION("""COMPUTED_VALUE"""),"RF-00001058-PAR")</f>
        <v>RF-00001058-PAR</v>
      </c>
    </row>
    <row r="4381" spans="1:2" ht="12.5" x14ac:dyDescent="0.25">
      <c r="A4381" t="str">
        <f ca="1">IFERROR(__xludf.DUMMYFUNCTION("""COMPUTED_VALUE"""),"OXA-87")</f>
        <v>OXA-87</v>
      </c>
      <c r="B4381" t="str">
        <f ca="1">IFERROR(__xludf.DUMMYFUNCTION("""COMPUTED_VALUE"""),"RF-00001059-PAR")</f>
        <v>RF-00001059-PAR</v>
      </c>
    </row>
    <row r="4382" spans="1:2" ht="12.5" x14ac:dyDescent="0.25">
      <c r="A4382" t="str">
        <f ca="1">IFERROR(__xludf.DUMMYFUNCTION("""COMPUTED_VALUE"""),"OXA-88")</f>
        <v>OXA-88</v>
      </c>
      <c r="B4382" t="str">
        <f ca="1">IFERROR(__xludf.DUMMYFUNCTION("""COMPUTED_VALUE"""),"RF-00001060-PAR")</f>
        <v>RF-00001060-PAR</v>
      </c>
    </row>
    <row r="4383" spans="1:2" ht="12.5" x14ac:dyDescent="0.25">
      <c r="A4383" t="str">
        <f ca="1">IFERROR(__xludf.DUMMYFUNCTION("""COMPUTED_VALUE"""),"OXA-89")</f>
        <v>OXA-89</v>
      </c>
      <c r="B4383" t="str">
        <f ca="1">IFERROR(__xludf.DUMMYFUNCTION("""COMPUTED_VALUE"""),"RF-00001061-PAR")</f>
        <v>RF-00001061-PAR</v>
      </c>
    </row>
    <row r="4384" spans="1:2" ht="12.5" x14ac:dyDescent="0.25">
      <c r="A4384" t="str">
        <f ca="1">IFERROR(__xludf.DUMMYFUNCTION("""COMPUTED_VALUE"""),"OXA-9")</f>
        <v>OXA-9</v>
      </c>
      <c r="B4384" t="str">
        <f ca="1">IFERROR(__xludf.DUMMYFUNCTION("""COMPUTED_VALUE"""),"RF-00000981-PAR")</f>
        <v>RF-00000981-PAR</v>
      </c>
    </row>
    <row r="4385" spans="1:2" ht="12.5" x14ac:dyDescent="0.25">
      <c r="A4385" t="str">
        <f ca="1">IFERROR(__xludf.DUMMYFUNCTION("""COMPUTED_VALUE"""),"OXA-90")</f>
        <v>OXA-90</v>
      </c>
      <c r="B4385" t="str">
        <f ca="1">IFERROR(__xludf.DUMMYFUNCTION("""COMPUTED_VALUE"""),"RF-00001062-PAR")</f>
        <v>RF-00001062-PAR</v>
      </c>
    </row>
    <row r="4386" spans="1:2" ht="12.5" x14ac:dyDescent="0.25">
      <c r="A4386" t="str">
        <f ca="1">IFERROR(__xludf.DUMMYFUNCTION("""COMPUTED_VALUE"""),"OXA-91")</f>
        <v>OXA-91</v>
      </c>
      <c r="B4386" t="str">
        <f ca="1">IFERROR(__xludf.DUMMYFUNCTION("""COMPUTED_VALUE"""),"RF-00001063-PAR")</f>
        <v>RF-00001063-PAR</v>
      </c>
    </row>
    <row r="4387" spans="1:2" ht="12.5" x14ac:dyDescent="0.25">
      <c r="A4387" t="str">
        <f ca="1">IFERROR(__xludf.DUMMYFUNCTION("""COMPUTED_VALUE"""),"OXA-92")</f>
        <v>OXA-92</v>
      </c>
      <c r="B4387" t="str">
        <f ca="1">IFERROR(__xludf.DUMMYFUNCTION("""COMPUTED_VALUE"""),"RF-00001064-PAR")</f>
        <v>RF-00001064-PAR</v>
      </c>
    </row>
    <row r="4388" spans="1:2" ht="12.5" x14ac:dyDescent="0.25">
      <c r="A4388" t="str">
        <f ca="1">IFERROR(__xludf.DUMMYFUNCTION("""COMPUTED_VALUE"""),"OXA-93")</f>
        <v>OXA-93</v>
      </c>
      <c r="B4388" t="str">
        <f ca="1">IFERROR(__xludf.DUMMYFUNCTION("""COMPUTED_VALUE"""),"RF-00001065-PAR")</f>
        <v>RF-00001065-PAR</v>
      </c>
    </row>
    <row r="4389" spans="1:2" ht="12.5" x14ac:dyDescent="0.25">
      <c r="A4389" t="str">
        <f ca="1">IFERROR(__xludf.DUMMYFUNCTION("""COMPUTED_VALUE"""),"OXA-94")</f>
        <v>OXA-94</v>
      </c>
      <c r="B4389" t="str">
        <f ca="1">IFERROR(__xludf.DUMMYFUNCTION("""COMPUTED_VALUE"""),"RF-00001066-PAR")</f>
        <v>RF-00001066-PAR</v>
      </c>
    </row>
    <row r="4390" spans="1:2" ht="12.5" x14ac:dyDescent="0.25">
      <c r="A4390" t="str">
        <f ca="1">IFERROR(__xludf.DUMMYFUNCTION("""COMPUTED_VALUE"""),"OXA-95")</f>
        <v>OXA-95</v>
      </c>
      <c r="B4390" t="str">
        <f ca="1">IFERROR(__xludf.DUMMYFUNCTION("""COMPUTED_VALUE"""),"RF-00001067-PAR")</f>
        <v>RF-00001067-PAR</v>
      </c>
    </row>
    <row r="4391" spans="1:2" ht="12.5" x14ac:dyDescent="0.25">
      <c r="A4391" t="str">
        <f ca="1">IFERROR(__xludf.DUMMYFUNCTION("""COMPUTED_VALUE"""),"OXA-96")</f>
        <v>OXA-96</v>
      </c>
      <c r="B4391" t="str">
        <f ca="1">IFERROR(__xludf.DUMMYFUNCTION("""COMPUTED_VALUE"""),"RF-00001068-PAR")</f>
        <v>RF-00001068-PAR</v>
      </c>
    </row>
    <row r="4392" spans="1:2" ht="12.5" x14ac:dyDescent="0.25">
      <c r="A4392" t="str">
        <f ca="1">IFERROR(__xludf.DUMMYFUNCTION("""COMPUTED_VALUE"""),"OXA-97")</f>
        <v>OXA-97</v>
      </c>
      <c r="B4392" t="str">
        <f ca="1">IFERROR(__xludf.DUMMYFUNCTION("""COMPUTED_VALUE"""),"RF-00001069-PAR")</f>
        <v>RF-00001069-PAR</v>
      </c>
    </row>
    <row r="4393" spans="1:2" ht="12.5" x14ac:dyDescent="0.25">
      <c r="A4393" t="str">
        <f ca="1">IFERROR(__xludf.DUMMYFUNCTION("""COMPUTED_VALUE"""),"OXA-98")</f>
        <v>OXA-98</v>
      </c>
      <c r="B4393" t="str">
        <f ca="1">IFERROR(__xludf.DUMMYFUNCTION("""COMPUTED_VALUE"""),"RF-00001070-PAR")</f>
        <v>RF-00001070-PAR</v>
      </c>
    </row>
    <row r="4394" spans="1:2" ht="12.5" x14ac:dyDescent="0.25">
      <c r="A4394" t="str">
        <f ca="1">IFERROR(__xludf.DUMMYFUNCTION("""COMPUTED_VALUE"""),"OXA-99")</f>
        <v>OXA-99</v>
      </c>
      <c r="B4394" t="str">
        <f ca="1">IFERROR(__xludf.DUMMYFUNCTION("""COMPUTED_VALUE"""),"RF-00001071-PAR")</f>
        <v>RF-00001071-PAR</v>
      </c>
    </row>
    <row r="4395" spans="1:2" ht="12.5" x14ac:dyDescent="0.25">
      <c r="A4395" t="str">
        <f ca="1">IFERROR(__xludf.DUMMYFUNCTION("""COMPUTED_VALUE"""),"Oxabetrinil")</f>
        <v>Oxabetrinil</v>
      </c>
      <c r="B4395" t="str">
        <f ca="1">IFERROR(__xludf.DUMMYFUNCTION("""COMPUTED_VALUE"""),"RF-1037-001-PPP")</f>
        <v>RF-1037-001-PPP</v>
      </c>
    </row>
    <row r="4396" spans="1:2" ht="12.5" x14ac:dyDescent="0.25">
      <c r="A4396" t="str">
        <f ca="1">IFERROR(__xludf.DUMMYFUNCTION("""COMPUTED_VALUE"""),"Oxacillin")</f>
        <v>Oxacillin</v>
      </c>
      <c r="B4396" t="str">
        <f ca="1">IFERROR(__xludf.DUMMYFUNCTION("""COMPUTED_VALUE"""),"RF-00000534-VET")</f>
        <v>RF-00000534-VET</v>
      </c>
    </row>
    <row r="4397" spans="1:2" ht="12.5" x14ac:dyDescent="0.25">
      <c r="A4397" t="str">
        <f ca="1">IFERROR(__xludf.DUMMYFUNCTION("""COMPUTED_VALUE"""),"Oxadiargyl")</f>
        <v>Oxadiargyl</v>
      </c>
      <c r="B4397" t="str">
        <f ca="1">IFERROR(__xludf.DUMMYFUNCTION("""COMPUTED_VALUE"""),"RF-0317-001-PPP")</f>
        <v>RF-0317-001-PPP</v>
      </c>
    </row>
    <row r="4398" spans="1:2" ht="12.5" x14ac:dyDescent="0.25">
      <c r="A4398" t="str">
        <f ca="1">IFERROR(__xludf.DUMMYFUNCTION("""COMPUTED_VALUE"""),"Oxadiazon")</f>
        <v>Oxadiazon</v>
      </c>
      <c r="B4398" t="str">
        <f ca="1">IFERROR(__xludf.DUMMYFUNCTION("""COMPUTED_VALUE"""),"RF-0318-001-PPP")</f>
        <v>RF-0318-001-PPP</v>
      </c>
    </row>
    <row r="4399" spans="1:2" ht="12.5" x14ac:dyDescent="0.25">
      <c r="A4399" t="str">
        <f ca="1">IFERROR(__xludf.DUMMYFUNCTION("""COMPUTED_VALUE"""),"Oxadixyl")</f>
        <v>Oxadixyl</v>
      </c>
      <c r="B4399" t="str">
        <f ca="1">IFERROR(__xludf.DUMMYFUNCTION("""COMPUTED_VALUE"""),"RF-0319-001-PPP")</f>
        <v>RF-0319-001-PPP</v>
      </c>
    </row>
    <row r="4400" spans="1:2" ht="12.5" x14ac:dyDescent="0.25">
      <c r="A4400" t="str">
        <f ca="1">IFERROR(__xludf.DUMMYFUNCTION("""COMPUTED_VALUE"""),"oxalic acid")</f>
        <v>oxalic acid</v>
      </c>
      <c r="B4400" t="str">
        <f ca="1">IFERROR(__xludf.DUMMYFUNCTION("""COMPUTED_VALUE"""),"RF-00000356-NTR")</f>
        <v>RF-00000356-NTR</v>
      </c>
    </row>
    <row r="4401" spans="1:2" ht="12.5" x14ac:dyDescent="0.25">
      <c r="A4401" t="str">
        <f ca="1">IFERROR(__xludf.DUMMYFUNCTION("""COMPUTED_VALUE"""),"Oxamyl")</f>
        <v>Oxamyl</v>
      </c>
      <c r="B4401" t="str">
        <f ca="1">IFERROR(__xludf.DUMMYFUNCTION("""COMPUTED_VALUE"""),"RF-00000113-VET")</f>
        <v>RF-00000113-VET</v>
      </c>
    </row>
    <row r="4402" spans="1:2" ht="12.5" x14ac:dyDescent="0.25">
      <c r="A4402" t="str">
        <f ca="1">IFERROR(__xludf.DUMMYFUNCTION("""COMPUTED_VALUE"""),"Oxamyl")</f>
        <v>Oxamyl</v>
      </c>
      <c r="B4402" t="str">
        <f ca="1">IFERROR(__xludf.DUMMYFUNCTION("""COMPUTED_VALUE"""),"RF-0320-001-PPP")</f>
        <v>RF-0320-001-PPP</v>
      </c>
    </row>
    <row r="4403" spans="1:2" ht="12.5" x14ac:dyDescent="0.25">
      <c r="A4403" t="str">
        <f ca="1">IFERROR(__xludf.DUMMYFUNCTION("""COMPUTED_VALUE"""),"Oxamyl-Oxime")</f>
        <v>Oxamyl-Oxime</v>
      </c>
      <c r="B4403" t="str">
        <f ca="1">IFERROR(__xludf.DUMMYFUNCTION("""COMPUTED_VALUE"""),"RF-0824-001-PPP")</f>
        <v>RF-0824-001-PPP</v>
      </c>
    </row>
    <row r="4404" spans="1:2" ht="12.5" x14ac:dyDescent="0.25">
      <c r="A4404" t="str">
        <f ca="1">IFERROR(__xludf.DUMMYFUNCTION("""COMPUTED_VALUE"""),"Oxandrolone")</f>
        <v>Oxandrolone</v>
      </c>
      <c r="B4404" t="str">
        <f ca="1">IFERROR(__xludf.DUMMYFUNCTION("""COMPUTED_VALUE"""),"RF-00000443-VET")</f>
        <v>RF-00000443-VET</v>
      </c>
    </row>
    <row r="4405" spans="1:2" ht="12.5" x14ac:dyDescent="0.25">
      <c r="A4405" t="str">
        <f ca="1">IFERROR(__xludf.DUMMYFUNCTION("""COMPUTED_VALUE"""),"Oxasulfuron")</f>
        <v>Oxasulfuron</v>
      </c>
      <c r="B4405" t="str">
        <f ca="1">IFERROR(__xludf.DUMMYFUNCTION("""COMPUTED_VALUE"""),"RF-0321-001-PPP")</f>
        <v>RF-0321-001-PPP</v>
      </c>
    </row>
    <row r="4406" spans="1:2" ht="12.5" x14ac:dyDescent="0.25">
      <c r="A4406" t="str">
        <f ca="1">IFERROR(__xludf.DUMMYFUNCTION("""COMPUTED_VALUE"""),"Oxazepam")</f>
        <v>Oxazepam</v>
      </c>
      <c r="B4406" t="str">
        <f ca="1">IFERROR(__xludf.DUMMYFUNCTION("""COMPUTED_VALUE"""),"RF-00000167-VET")</f>
        <v>RF-00000167-VET</v>
      </c>
    </row>
    <row r="4407" spans="1:2" ht="12.5" x14ac:dyDescent="0.25">
      <c r="A4407" t="str">
        <f ca="1">IFERROR(__xludf.DUMMYFUNCTION("""COMPUTED_VALUE"""),"Oxaziclomefone")</f>
        <v>Oxaziclomefone</v>
      </c>
      <c r="B4407" t="str">
        <f ca="1">IFERROR(__xludf.DUMMYFUNCTION("""COMPUTED_VALUE"""),"RF-0825-001-PPP")</f>
        <v>RF-0825-001-PPP</v>
      </c>
    </row>
    <row r="4408" spans="1:2" ht="12.5" x14ac:dyDescent="0.25">
      <c r="A4408" t="str">
        <f ca="1">IFERROR(__xludf.DUMMYFUNCTION("""COMPUTED_VALUE"""),"Oxazolidines")</f>
        <v>Oxazolidines</v>
      </c>
      <c r="B4408" t="str">
        <f ca="1">IFERROR(__xludf.DUMMYFUNCTION("""COMPUTED_VALUE"""),"RF-00000757-VET")</f>
        <v>RF-00000757-VET</v>
      </c>
    </row>
    <row r="4409" spans="1:2" ht="12.5" x14ac:dyDescent="0.25">
      <c r="A4409" t="str">
        <f ca="1">IFERROR(__xludf.DUMMYFUNCTION("""COMPUTED_VALUE"""),"Oxfendazole")</f>
        <v>Oxfendazole</v>
      </c>
      <c r="B4409" t="str">
        <f ca="1">IFERROR(__xludf.DUMMYFUNCTION("""COMPUTED_VALUE"""),"RF-00000047-VET")</f>
        <v>RF-00000047-VET</v>
      </c>
    </row>
    <row r="4410" spans="1:2" ht="12.5" x14ac:dyDescent="0.25">
      <c r="A4410" t="str">
        <f ca="1">IFERROR(__xludf.DUMMYFUNCTION("""COMPUTED_VALUE"""),"Oxfendazole sulfon")</f>
        <v>Oxfendazole sulfon</v>
      </c>
      <c r="B4410" t="str">
        <f ca="1">IFERROR(__xludf.DUMMYFUNCTION("""COMPUTED_VALUE"""),"RF-00000046-VET")</f>
        <v>RF-00000046-VET</v>
      </c>
    </row>
    <row r="4411" spans="1:2" ht="12.5" x14ac:dyDescent="0.25">
      <c r="A4411" t="str">
        <f ca="1">IFERROR(__xludf.DUMMYFUNCTION("""COMPUTED_VALUE"""),"Oxibendazole")</f>
        <v>Oxibendazole</v>
      </c>
      <c r="B4411" t="str">
        <f ca="1">IFERROR(__xludf.DUMMYFUNCTION("""COMPUTED_VALUE"""),"RF-00000035-VET")</f>
        <v>RF-00000035-VET</v>
      </c>
    </row>
    <row r="4412" spans="1:2" ht="12.5" x14ac:dyDescent="0.25">
      <c r="A4412" t="str">
        <f ca="1">IFERROR(__xludf.DUMMYFUNCTION("""COMPUTED_VALUE"""),"Oxidised polyethylene wax")</f>
        <v>Oxidised polyethylene wax</v>
      </c>
      <c r="B4412" t="str">
        <f ca="1">IFERROR(__xludf.DUMMYFUNCTION("""COMPUTED_VALUE"""),"RF-00000205-ADD")</f>
        <v>RF-00000205-ADD</v>
      </c>
    </row>
    <row r="4413" spans="1:2" ht="12.5" x14ac:dyDescent="0.25">
      <c r="A4413" t="str">
        <f ca="1">IFERROR(__xludf.DUMMYFUNCTION("""COMPUTED_VALUE"""),"Oxidised starch")</f>
        <v>Oxidised starch</v>
      </c>
      <c r="B4413" t="str">
        <f ca="1">IFERROR(__xludf.DUMMYFUNCTION("""COMPUTED_VALUE"""),"RF-00000206-ADD")</f>
        <v>RF-00000206-ADD</v>
      </c>
    </row>
    <row r="4414" spans="1:2" ht="12.5" x14ac:dyDescent="0.25">
      <c r="A4414" t="str">
        <f ca="1">IFERROR(__xludf.DUMMYFUNCTION("""COMPUTED_VALUE"""),"Oxolinic Acid")</f>
        <v>Oxolinic Acid</v>
      </c>
      <c r="B4414" t="str">
        <f ca="1">IFERROR(__xludf.DUMMYFUNCTION("""COMPUTED_VALUE"""),"RF-0826-001-PPP")</f>
        <v>RF-0826-001-PPP</v>
      </c>
    </row>
    <row r="4415" spans="1:2" ht="12.5" x14ac:dyDescent="0.25">
      <c r="A4415" t="str">
        <f ca="1">IFERROR(__xludf.DUMMYFUNCTION("""COMPUTED_VALUE"""),"Oxolinic acid")</f>
        <v>Oxolinic acid</v>
      </c>
      <c r="B4415" t="str">
        <f ca="1">IFERROR(__xludf.DUMMYFUNCTION("""COMPUTED_VALUE"""),"RF-00000550-VET")</f>
        <v>RF-00000550-VET</v>
      </c>
    </row>
    <row r="4416" spans="1:2" ht="12.5" x14ac:dyDescent="0.25">
      <c r="A4416" t="str">
        <f ca="1">IFERROR(__xludf.DUMMYFUNCTION("""COMPUTED_VALUE"""),"Oxycarboxin")</f>
        <v>Oxycarboxin</v>
      </c>
      <c r="B4416" t="str">
        <f ca="1">IFERROR(__xludf.DUMMYFUNCTION("""COMPUTED_VALUE"""),"RF-0322-001-PPP")</f>
        <v>RF-0322-001-PPP</v>
      </c>
    </row>
    <row r="4417" spans="1:2" ht="12.5" x14ac:dyDescent="0.25">
      <c r="A4417" t="str">
        <f ca="1">IFERROR(__xludf.DUMMYFUNCTION("""COMPUTED_VALUE"""),"Oxychlordane")</f>
        <v>Oxychlordane</v>
      </c>
      <c r="B4417" t="str">
        <f ca="1">IFERROR(__xludf.DUMMYFUNCTION("""COMPUTED_VALUE"""),"RF-0827-001-PPP")</f>
        <v>RF-0827-001-PPP</v>
      </c>
    </row>
    <row r="4418" spans="1:2" ht="12.5" x14ac:dyDescent="0.25">
      <c r="A4418" t="str">
        <f ca="1">IFERROR(__xludf.DUMMYFUNCTION("""COMPUTED_VALUE"""),"Oxyclozanide")</f>
        <v>Oxyclozanide</v>
      </c>
      <c r="B4418" t="str">
        <f ca="1">IFERROR(__xludf.DUMMYFUNCTION("""COMPUTED_VALUE"""),"RF-00000052-VET")</f>
        <v>RF-00000052-VET</v>
      </c>
    </row>
    <row r="4419" spans="1:2" ht="12.5" x14ac:dyDescent="0.25">
      <c r="A4419" t="str">
        <f ca="1">IFERROR(__xludf.DUMMYFUNCTION("""COMPUTED_VALUE"""),"Oxydemeton-methyl")</f>
        <v>Oxydemeton-methyl</v>
      </c>
      <c r="B4419" t="str">
        <f ca="1">IFERROR(__xludf.DUMMYFUNCTION("""COMPUTED_VALUE"""),"RF-0323-004-PPP")</f>
        <v>RF-0323-004-PPP</v>
      </c>
    </row>
    <row r="4420" spans="1:2" ht="12.5" x14ac:dyDescent="0.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x14ac:dyDescent="0.25">
      <c r="A4421" t="str">
        <f ca="1">IFERROR(__xludf.DUMMYFUNCTION("""COMPUTED_VALUE"""),"Oxyfluorfen")</f>
        <v>Oxyfluorfen</v>
      </c>
      <c r="B4421" t="str">
        <f ca="1">IFERROR(__xludf.DUMMYFUNCTION("""COMPUTED_VALUE"""),"RF-0324-001-PPP")</f>
        <v>RF-0324-001-PPP</v>
      </c>
    </row>
    <row r="4422" spans="1:2" ht="12.5" x14ac:dyDescent="0.25">
      <c r="A4422" t="str">
        <f ca="1">IFERROR(__xludf.DUMMYFUNCTION("""COMPUTED_VALUE"""),"Oxygen")</f>
        <v>Oxygen</v>
      </c>
      <c r="B4422" t="str">
        <f ca="1">IFERROR(__xludf.DUMMYFUNCTION("""COMPUTED_VALUE"""),"RF-00000207-ADD")</f>
        <v>RF-00000207-ADD</v>
      </c>
    </row>
    <row r="4423" spans="1:2" ht="12.5" x14ac:dyDescent="0.25">
      <c r="A4423" t="str">
        <f ca="1">IFERROR(__xludf.DUMMYFUNCTION("""COMPUTED_VALUE"""),"Oxymetholone")</f>
        <v>Oxymetholone</v>
      </c>
      <c r="B4423" t="str">
        <f ca="1">IFERROR(__xludf.DUMMYFUNCTION("""COMPUTED_VALUE"""),"RF-00000319-VET")</f>
        <v>RF-00000319-VET</v>
      </c>
    </row>
    <row r="4424" spans="1:2" ht="12.5" x14ac:dyDescent="0.25">
      <c r="A4424" t="str">
        <f ca="1">IFERROR(__xludf.DUMMYFUNCTION("""COMPUTED_VALUE"""),"Oxyphenbutazone Anhydrate")</f>
        <v>Oxyphenbutazone Anhydrate</v>
      </c>
      <c r="B4424" t="str">
        <f ca="1">IFERROR(__xludf.DUMMYFUNCTION("""COMPUTED_VALUE"""),"RF-00000230-VET")</f>
        <v>RF-00000230-VET</v>
      </c>
    </row>
    <row r="4425" spans="1:2" ht="12.5" x14ac:dyDescent="0.25">
      <c r="A4425" t="str">
        <f ca="1">IFERROR(__xludf.DUMMYFUNCTION("""COMPUTED_VALUE"""),"Oxyphenbutazone Monohydrate")</f>
        <v>Oxyphenbutazone Monohydrate</v>
      </c>
      <c r="B4425" t="str">
        <f ca="1">IFERROR(__xludf.DUMMYFUNCTION("""COMPUTED_VALUE"""),"RF-00000226-VET")</f>
        <v>RF-00000226-VET</v>
      </c>
    </row>
    <row r="4426" spans="1:2" ht="12.5" x14ac:dyDescent="0.25">
      <c r="A4426" t="str">
        <f ca="1">IFERROR(__xludf.DUMMYFUNCTION("""COMPUTED_VALUE"""),"Oxytetracycline")</f>
        <v>Oxytetracycline</v>
      </c>
      <c r="B4426" t="str">
        <f ca="1">IFERROR(__xludf.DUMMYFUNCTION("""COMPUTED_VALUE"""),"RF-00000543-VET")</f>
        <v>RF-00000543-VET</v>
      </c>
    </row>
    <row r="4427" spans="1:2" ht="12.5" x14ac:dyDescent="0.25">
      <c r="A4427" t="str">
        <f ca="1">IFERROR(__xludf.DUMMYFUNCTION("""COMPUTED_VALUE"""),"P-CTX1")</f>
        <v>P-CTX1</v>
      </c>
      <c r="B4427" t="str">
        <f ca="1">IFERROR(__xludf.DUMMYFUNCTION("""COMPUTED_VALUE"""),"RF-00000049-TOX")</f>
        <v>RF-00000049-TOX</v>
      </c>
    </row>
    <row r="4428" spans="1:2" ht="12.5" x14ac:dyDescent="0.25">
      <c r="A4428" t="str">
        <f ca="1">IFERROR(__xludf.DUMMYFUNCTION("""COMPUTED_VALUE"""),"P-CTX2")</f>
        <v>P-CTX2</v>
      </c>
      <c r="B4428" t="str">
        <f ca="1">IFERROR(__xludf.DUMMYFUNCTION("""COMPUTED_VALUE"""),"RF-00000050-TOX")</f>
        <v>RF-00000050-TOX</v>
      </c>
    </row>
    <row r="4429" spans="1:2" ht="12.5" x14ac:dyDescent="0.25">
      <c r="A4429" t="str">
        <f ca="1">IFERROR(__xludf.DUMMYFUNCTION("""COMPUTED_VALUE"""),"P-CTX3")</f>
        <v>P-CTX3</v>
      </c>
      <c r="B4429" t="str">
        <f ca="1">IFERROR(__xludf.DUMMYFUNCTION("""COMPUTED_VALUE"""),"RF-00000051-TOX")</f>
        <v>RF-00000051-TOX</v>
      </c>
    </row>
    <row r="4430" spans="1:2" ht="12.5" x14ac:dyDescent="0.25">
      <c r="A4430" t="str">
        <f ca="1">IFERROR(__xludf.DUMMYFUNCTION("""COMPUTED_VALUE"""),"P-Nitroaniline")</f>
        <v>P-Nitroaniline</v>
      </c>
      <c r="B4430" t="str">
        <f ca="1">IFERROR(__xludf.DUMMYFUNCTION("""COMPUTED_VALUE"""),"RF-00000251-VET")</f>
        <v>RF-00000251-VET</v>
      </c>
    </row>
    <row r="4431" spans="1:2" ht="12.5" x14ac:dyDescent="0.25">
      <c r="A4431" t="str">
        <f ca="1">IFERROR(__xludf.DUMMYFUNCTION("""COMPUTED_VALUE"""),"Pacific ciguatoxins")</f>
        <v>Pacific ciguatoxins</v>
      </c>
      <c r="B4431" t="str">
        <f ca="1">IFERROR(__xludf.DUMMYFUNCTION("""COMPUTED_VALUE"""),"RF-00000048-TOX")</f>
        <v>RF-00000048-TOX</v>
      </c>
    </row>
    <row r="4432" spans="1:2" ht="12.5" x14ac:dyDescent="0.25">
      <c r="A4432" t="str">
        <f ca="1">IFERROR(__xludf.DUMMYFUNCTION("""COMPUTED_VALUE"""),"Paclobutrazol")</f>
        <v>Paclobutrazol</v>
      </c>
      <c r="B4432" t="str">
        <f ca="1">IFERROR(__xludf.DUMMYFUNCTION("""COMPUTED_VALUE"""),"RF-0325-001-PPP")</f>
        <v>RF-0325-001-PPP</v>
      </c>
    </row>
    <row r="4433" spans="1:2" ht="12.5" x14ac:dyDescent="0.25">
      <c r="A4433" t="str">
        <f ca="1">IFERROR(__xludf.DUMMYFUNCTION("""COMPUTED_VALUE"""),"Palytoxin")</f>
        <v>Palytoxin</v>
      </c>
      <c r="B4433" t="str">
        <f ca="1">IFERROR(__xludf.DUMMYFUNCTION("""COMPUTED_VALUE"""),"RF-00000070-TOX")</f>
        <v>RF-00000070-TOX</v>
      </c>
    </row>
    <row r="4434" spans="1:2" ht="12.5" x14ac:dyDescent="0.25">
      <c r="A4434" t="str">
        <f ca="1">IFERROR(__xludf.DUMMYFUNCTION("""COMPUTED_VALUE"""),"Palytoxin group toxins")</f>
        <v>Palytoxin group toxins</v>
      </c>
      <c r="B4434" t="str">
        <f ca="1">IFERROR(__xludf.DUMMYFUNCTION("""COMPUTED_VALUE"""),"RF-00000069-TOX")</f>
        <v>RF-00000069-TOX</v>
      </c>
    </row>
    <row r="4435" spans="1:2" ht="12.5" x14ac:dyDescent="0.25">
      <c r="A4435" t="str">
        <f ca="1">IFERROR(__xludf.DUMMYFUNCTION("""COMPUTED_VALUE"""),"pantothenic acid (vitamin B5)")</f>
        <v>pantothenic acid (vitamin B5)</v>
      </c>
      <c r="B4435" t="str">
        <f ca="1">IFERROR(__xludf.DUMMYFUNCTION("""COMPUTED_VALUE"""),"RF-00000357-NTR")</f>
        <v>RF-00000357-NTR</v>
      </c>
    </row>
    <row r="4436" spans="1:2" ht="12.5" x14ac:dyDescent="0.25">
      <c r="A4436" t="str">
        <f ca="1">IFERROR(__xludf.DUMMYFUNCTION("""COMPUTED_VALUE"""),"Papaverine")</f>
        <v>Papaverine</v>
      </c>
      <c r="B4436" t="str">
        <f ca="1">IFERROR(__xludf.DUMMYFUNCTION("""COMPUTED_VALUE"""),"RF-00000252-TOX")</f>
        <v>RF-00000252-TOX</v>
      </c>
    </row>
    <row r="4437" spans="1:2" ht="12.5" x14ac:dyDescent="0.25">
      <c r="A4437" t="str">
        <f ca="1">IFERROR(__xludf.DUMMYFUNCTION("""COMPUTED_VALUE"""),"Paprika extract, capsanthin, capsorubin")</f>
        <v>Paprika extract, capsanthin, capsorubin</v>
      </c>
      <c r="B4437" t="str">
        <f ca="1">IFERROR(__xludf.DUMMYFUNCTION("""COMPUTED_VALUE"""),"RF-00000208-ADD")</f>
        <v>RF-00000208-ADD</v>
      </c>
    </row>
    <row r="4438" spans="1:2" ht="12.5" x14ac:dyDescent="0.25">
      <c r="A4438" t="str">
        <f ca="1">IFERROR(__xludf.DUMMYFUNCTION("""COMPUTED_VALUE"""),"Para-Cresol")</f>
        <v>Para-Cresol</v>
      </c>
      <c r="B4438" t="str">
        <f ca="1">IFERROR(__xludf.DUMMYFUNCTION("""COMPUTED_VALUE"""),"RF-00000029-ORG")</f>
        <v>RF-00000029-ORG</v>
      </c>
    </row>
    <row r="4439" spans="1:2" ht="12.5" x14ac:dyDescent="0.25">
      <c r="A4439" t="str">
        <f ca="1">IFERROR(__xludf.DUMMYFUNCTION("""COMPUTED_VALUE"""),"Parameter facets")</f>
        <v>Parameter facets</v>
      </c>
      <c r="B4439" t="str">
        <f ca="1">IFERROR(__xludf.DUMMYFUNCTION("""COMPUTED_VALUE"""),"RF-00000155-PAR")</f>
        <v>RF-00000155-PAR</v>
      </c>
    </row>
    <row r="4440" spans="1:2" ht="12.5" x14ac:dyDescent="0.25">
      <c r="A4440" t="str">
        <f ca="1">IFERROR(__xludf.DUMMYFUNCTION("""COMPUTED_VALUE"""),"Paraoxon")</f>
        <v>Paraoxon</v>
      </c>
      <c r="B4440" t="str">
        <f ca="1">IFERROR(__xludf.DUMMYFUNCTION("""COMPUTED_VALUE"""),"RF-0828-001-PPP")</f>
        <v>RF-0828-001-PPP</v>
      </c>
    </row>
    <row r="4441" spans="1:2" ht="12.5" x14ac:dyDescent="0.25">
      <c r="A4441" t="str">
        <f ca="1">IFERROR(__xludf.DUMMYFUNCTION("""COMPUTED_VALUE"""),"Paraoxon-Methyl")</f>
        <v>Paraoxon-Methyl</v>
      </c>
      <c r="B4441" t="str">
        <f ca="1">IFERROR(__xludf.DUMMYFUNCTION("""COMPUTED_VALUE"""),"RF-0328-002-PPP")</f>
        <v>RF-0328-002-PPP</v>
      </c>
    </row>
    <row r="4442" spans="1:2" ht="12.5" x14ac:dyDescent="0.25">
      <c r="A4442" t="str">
        <f ca="1">IFERROR(__xludf.DUMMYFUNCTION("""COMPUTED_VALUE"""),"Paraquat")</f>
        <v>Paraquat</v>
      </c>
      <c r="B4442" t="str">
        <f ca="1">IFERROR(__xludf.DUMMYFUNCTION("""COMPUTED_VALUE"""),"RF-0326-001-PPP")</f>
        <v>RF-0326-001-PPP</v>
      </c>
    </row>
    <row r="4443" spans="1:2" ht="12.5" x14ac:dyDescent="0.25">
      <c r="A4443" t="str">
        <f ca="1">IFERROR(__xludf.DUMMYFUNCTION("""COMPUTED_VALUE"""),"Parasites")</f>
        <v>Parasites</v>
      </c>
      <c r="B4443" t="str">
        <f ca="1">IFERROR(__xludf.DUMMYFUNCTION("""COMPUTED_VALUE"""),"RF-00003916-MCG")</f>
        <v>RF-00003916-MCG</v>
      </c>
    </row>
    <row r="4444" spans="1:2" ht="12.5" x14ac:dyDescent="0.25">
      <c r="A4444" t="str">
        <f ca="1">IFERROR(__xludf.DUMMYFUNCTION("""COMPUTED_VALUE"""),"Parathion")</f>
        <v>Parathion</v>
      </c>
      <c r="B4444" t="str">
        <f ca="1">IFERROR(__xludf.DUMMYFUNCTION("""COMPUTED_VALUE"""),"RF-0327-001-PPP")</f>
        <v>RF-0327-001-PPP</v>
      </c>
    </row>
    <row r="4445" spans="1:2" ht="12.5" x14ac:dyDescent="0.25">
      <c r="A4445" t="str">
        <f ca="1">IFERROR(__xludf.DUMMYFUNCTION("""COMPUTED_VALUE"""),"Parathion ethyl")</f>
        <v>Parathion ethyl</v>
      </c>
      <c r="B4445" t="str">
        <f ca="1">IFERROR(__xludf.DUMMYFUNCTION("""COMPUTED_VALUE"""),"RF-1014-001-PPP")</f>
        <v>RF-1014-001-PPP</v>
      </c>
    </row>
    <row r="4446" spans="1:2" ht="12.5" x14ac:dyDescent="0.25">
      <c r="A4446" t="str">
        <f ca="1">IFERROR(__xludf.DUMMYFUNCTION("""COMPUTED_VALUE"""),"Parathion-methyl")</f>
        <v>Parathion-methyl</v>
      </c>
      <c r="B4446" t="str">
        <f ca="1">IFERROR(__xludf.DUMMYFUNCTION("""COMPUTED_VALUE"""),"RF-0328-003-PPP")</f>
        <v>RF-0328-003-PPP</v>
      </c>
    </row>
    <row r="4447" spans="1:2" ht="12.5" x14ac:dyDescent="0.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x14ac:dyDescent="0.25">
      <c r="A4448" t="str">
        <f ca="1">IFERROR(__xludf.DUMMYFUNCTION("""COMPUTED_VALUE"""),"Parbendazol")</f>
        <v>Parbendazol</v>
      </c>
      <c r="B4448" t="str">
        <f ca="1">IFERROR(__xludf.DUMMYFUNCTION("""COMPUTED_VALUE"""),"RF-00000023-VET")</f>
        <v>RF-00000023-VET</v>
      </c>
    </row>
    <row r="4449" spans="1:2" ht="12.5" x14ac:dyDescent="0.25">
      <c r="A4449" t="str">
        <f ca="1">IFERROR(__xludf.DUMMYFUNCTION("""COMPUTED_VALUE"""),"Parlar No 26")</f>
        <v>Parlar No 26</v>
      </c>
      <c r="B4449" t="str">
        <f ca="1">IFERROR(__xludf.DUMMYFUNCTION("""COMPUTED_VALUE"""),"RF-0059-004-PPP")</f>
        <v>RF-0059-004-PPP</v>
      </c>
    </row>
    <row r="4450" spans="1:2" ht="12.5" x14ac:dyDescent="0.25">
      <c r="A4450" t="str">
        <f ca="1">IFERROR(__xludf.DUMMYFUNCTION("""COMPUTED_VALUE"""),"Parlar No 50")</f>
        <v>Parlar No 50</v>
      </c>
      <c r="B4450" t="str">
        <f ca="1">IFERROR(__xludf.DUMMYFUNCTION("""COMPUTED_VALUE"""),"RF-0059-006-PPP")</f>
        <v>RF-0059-006-PPP</v>
      </c>
    </row>
    <row r="4451" spans="1:2" ht="12.5" x14ac:dyDescent="0.25">
      <c r="A4451" t="str">
        <f ca="1">IFERROR(__xludf.DUMMYFUNCTION("""COMPUTED_VALUE"""),"Parlar No 62")</f>
        <v>Parlar No 62</v>
      </c>
      <c r="B4451" t="str">
        <f ca="1">IFERROR(__xludf.DUMMYFUNCTION("""COMPUTED_VALUE"""),"RF-0059-005-PPP")</f>
        <v>RF-0059-005-PPP</v>
      </c>
    </row>
    <row r="4452" spans="1:2" ht="12.5" x14ac:dyDescent="0.25">
      <c r="A4452" t="str">
        <f ca="1">IFERROR(__xludf.DUMMYFUNCTION("""COMPUTED_VALUE"""),"Paromomycin")</f>
        <v>Paromomycin</v>
      </c>
      <c r="B4452" t="str">
        <f ca="1">IFERROR(__xludf.DUMMYFUNCTION("""COMPUTED_VALUE"""),"RF-00000703-VET")</f>
        <v>RF-00000703-VET</v>
      </c>
    </row>
    <row r="4453" spans="1:2" ht="12.5" x14ac:dyDescent="0.25">
      <c r="A4453" t="str">
        <f ca="1">IFERROR(__xludf.DUMMYFUNCTION("""COMPUTED_VALUE"""),"Patent Blue V")</f>
        <v>Patent Blue V</v>
      </c>
      <c r="B4453" t="str">
        <f ca="1">IFERROR(__xludf.DUMMYFUNCTION("""COMPUTED_VALUE"""),"RF-00000209-ADD")</f>
        <v>RF-00000209-ADD</v>
      </c>
    </row>
    <row r="4454" spans="1:2" ht="12.5" x14ac:dyDescent="0.25">
      <c r="A4454" t="str">
        <f ca="1">IFERROR(__xludf.DUMMYFUNCTION("""COMPUTED_VALUE"""),"Patulin")</f>
        <v>Patulin</v>
      </c>
      <c r="B4454" t="str">
        <f ca="1">IFERROR(__xludf.DUMMYFUNCTION("""COMPUTED_VALUE"""),"RF-00000157-TOX")</f>
        <v>RF-00000157-TOX</v>
      </c>
    </row>
    <row r="4455" spans="1:2" ht="12.5" x14ac:dyDescent="0.25">
      <c r="A4455" t="str">
        <f ca="1">IFERROR(__xludf.DUMMYFUNCTION("""COMPUTED_VALUE"""),"PBDD-F TEQ LB")</f>
        <v>PBDD-F TEQ LB</v>
      </c>
      <c r="B4455" t="str">
        <f ca="1">IFERROR(__xludf.DUMMYFUNCTION("""COMPUTED_VALUE"""),"RF-00000431-ORG")</f>
        <v>RF-00000431-ORG</v>
      </c>
    </row>
    <row r="4456" spans="1:2" ht="12.5" x14ac:dyDescent="0.25">
      <c r="A4456" t="str">
        <f ca="1">IFERROR(__xludf.DUMMYFUNCTION("""COMPUTED_VALUE"""),"PBDD-F TEQ UB")</f>
        <v>PBDD-F TEQ UB</v>
      </c>
      <c r="B4456" t="str">
        <f ca="1">IFERROR(__xludf.DUMMYFUNCTION("""COMPUTED_VALUE"""),"RF-00000432-ORG")</f>
        <v>RF-00000432-ORG</v>
      </c>
    </row>
    <row r="4457" spans="1:2" ht="12.5" x14ac:dyDescent="0.25">
      <c r="A4457" t="str">
        <f ca="1">IFERROR(__xludf.DUMMYFUNCTION("""COMPUTED_VALUE"""),"PBDD-F+PBB TEQ LB")</f>
        <v>PBDD-F+PBB TEQ LB</v>
      </c>
      <c r="B4457" t="str">
        <f ca="1">IFERROR(__xludf.DUMMYFUNCTION("""COMPUTED_VALUE"""),"RF-00000458-ORG")</f>
        <v>RF-00000458-ORG</v>
      </c>
    </row>
    <row r="4458" spans="1:2" ht="12.5" x14ac:dyDescent="0.25">
      <c r="A4458" t="str">
        <f ca="1">IFERROR(__xludf.DUMMYFUNCTION("""COMPUTED_VALUE"""),"PBDD-F+PBB TEQ UB")</f>
        <v>PBDD-F+PBB TEQ UB</v>
      </c>
      <c r="B4458" t="str">
        <f ca="1">IFERROR(__xludf.DUMMYFUNCTION("""COMPUTED_VALUE"""),"RF-00000459-ORG")</f>
        <v>RF-00000459-ORG</v>
      </c>
    </row>
    <row r="4459" spans="1:2" ht="12.5" x14ac:dyDescent="0.25">
      <c r="A4459" t="str">
        <f ca="1">IFERROR(__xludf.DUMMYFUNCTION("""COMPUTED_VALUE"""),"PCB-1")</f>
        <v>PCB-1</v>
      </c>
      <c r="B4459" t="str">
        <f ca="1">IFERROR(__xludf.DUMMYFUNCTION("""COMPUTED_VALUE"""),"RF-00000131-ORG")</f>
        <v>RF-00000131-ORG</v>
      </c>
    </row>
    <row r="4460" spans="1:2" ht="12.5" x14ac:dyDescent="0.25">
      <c r="A4460" t="str">
        <f ca="1">IFERROR(__xludf.DUMMYFUNCTION("""COMPUTED_VALUE"""),"PCB-10")</f>
        <v>PCB-10</v>
      </c>
      <c r="B4460" t="str">
        <f ca="1">IFERROR(__xludf.DUMMYFUNCTION("""COMPUTED_VALUE"""),"RF-00000132-ORG")</f>
        <v>RF-00000132-ORG</v>
      </c>
    </row>
    <row r="4461" spans="1:2" ht="12.5" x14ac:dyDescent="0.25">
      <c r="A4461" t="str">
        <f ca="1">IFERROR(__xludf.DUMMYFUNCTION("""COMPUTED_VALUE"""),"PCB-100")</f>
        <v>PCB-100</v>
      </c>
      <c r="B4461" t="str">
        <f ca="1">IFERROR(__xludf.DUMMYFUNCTION("""COMPUTED_VALUE"""),"RF-00000133-ORG")</f>
        <v>RF-00000133-ORG</v>
      </c>
    </row>
    <row r="4462" spans="1:2" ht="12.5" x14ac:dyDescent="0.25">
      <c r="A4462" t="str">
        <f ca="1">IFERROR(__xludf.DUMMYFUNCTION("""COMPUTED_VALUE"""),"PCB-101")</f>
        <v>PCB-101</v>
      </c>
      <c r="B4462" t="str">
        <f ca="1">IFERROR(__xludf.DUMMYFUNCTION("""COMPUTED_VALUE"""),"RF-00000134-ORG")</f>
        <v>RF-00000134-ORG</v>
      </c>
    </row>
    <row r="4463" spans="1:2" ht="12.5" x14ac:dyDescent="0.25">
      <c r="A4463" t="str">
        <f ca="1">IFERROR(__xludf.DUMMYFUNCTION("""COMPUTED_VALUE"""),"PCB-102")</f>
        <v>PCB-102</v>
      </c>
      <c r="B4463" t="str">
        <f ca="1">IFERROR(__xludf.DUMMYFUNCTION("""COMPUTED_VALUE"""),"RF-00000135-ORG")</f>
        <v>RF-00000135-ORG</v>
      </c>
    </row>
    <row r="4464" spans="1:2" ht="12.5" x14ac:dyDescent="0.25">
      <c r="A4464" t="str">
        <f ca="1">IFERROR(__xludf.DUMMYFUNCTION("""COMPUTED_VALUE"""),"PCB-103")</f>
        <v>PCB-103</v>
      </c>
      <c r="B4464" t="str">
        <f ca="1">IFERROR(__xludf.DUMMYFUNCTION("""COMPUTED_VALUE"""),"RF-00000136-ORG")</f>
        <v>RF-00000136-ORG</v>
      </c>
    </row>
    <row r="4465" spans="1:2" ht="12.5" x14ac:dyDescent="0.25">
      <c r="A4465" t="str">
        <f ca="1">IFERROR(__xludf.DUMMYFUNCTION("""COMPUTED_VALUE"""),"PCB-104")</f>
        <v>PCB-104</v>
      </c>
      <c r="B4465" t="str">
        <f ca="1">IFERROR(__xludf.DUMMYFUNCTION("""COMPUTED_VALUE"""),"RF-00000137-ORG")</f>
        <v>RF-00000137-ORG</v>
      </c>
    </row>
    <row r="4466" spans="1:2" ht="12.5" x14ac:dyDescent="0.25">
      <c r="A4466" t="str">
        <f ca="1">IFERROR(__xludf.DUMMYFUNCTION("""COMPUTED_VALUE"""),"PCB-105")</f>
        <v>PCB-105</v>
      </c>
      <c r="B4466" t="str">
        <f ca="1">IFERROR(__xludf.DUMMYFUNCTION("""COMPUTED_VALUE"""),"RF-00000117-ORG")</f>
        <v>RF-00000117-ORG</v>
      </c>
    </row>
    <row r="4467" spans="1:2" ht="12.5" x14ac:dyDescent="0.25">
      <c r="A4467" t="str">
        <f ca="1">IFERROR(__xludf.DUMMYFUNCTION("""COMPUTED_VALUE"""),"PCB-106")</f>
        <v>PCB-106</v>
      </c>
      <c r="B4467" t="str">
        <f ca="1">IFERROR(__xludf.DUMMYFUNCTION("""COMPUTED_VALUE"""),"RF-00000138-ORG")</f>
        <v>RF-00000138-ORG</v>
      </c>
    </row>
    <row r="4468" spans="1:2" ht="12.5" x14ac:dyDescent="0.25">
      <c r="A4468" t="str">
        <f ca="1">IFERROR(__xludf.DUMMYFUNCTION("""COMPUTED_VALUE"""),"PCB-107")</f>
        <v>PCB-107</v>
      </c>
      <c r="B4468" t="str">
        <f ca="1">IFERROR(__xludf.DUMMYFUNCTION("""COMPUTED_VALUE"""),"RF-00000139-ORG")</f>
        <v>RF-00000139-ORG</v>
      </c>
    </row>
    <row r="4469" spans="1:2" ht="12.5" x14ac:dyDescent="0.25">
      <c r="A4469" t="str">
        <f ca="1">IFERROR(__xludf.DUMMYFUNCTION("""COMPUTED_VALUE"""),"PCB-108")</f>
        <v>PCB-108</v>
      </c>
      <c r="B4469" t="str">
        <f ca="1">IFERROR(__xludf.DUMMYFUNCTION("""COMPUTED_VALUE"""),"RF-00000140-ORG")</f>
        <v>RF-00000140-ORG</v>
      </c>
    </row>
    <row r="4470" spans="1:2" ht="12.5" x14ac:dyDescent="0.25">
      <c r="A4470" t="str">
        <f ca="1">IFERROR(__xludf.DUMMYFUNCTION("""COMPUTED_VALUE"""),"PCB-109")</f>
        <v>PCB-109</v>
      </c>
      <c r="B4470" t="str">
        <f ca="1">IFERROR(__xludf.DUMMYFUNCTION("""COMPUTED_VALUE"""),"RF-00000141-ORG")</f>
        <v>RF-00000141-ORG</v>
      </c>
    </row>
    <row r="4471" spans="1:2" ht="12.5" x14ac:dyDescent="0.25">
      <c r="A4471" t="str">
        <f ca="1">IFERROR(__xludf.DUMMYFUNCTION("""COMPUTED_VALUE"""),"PCB-11")</f>
        <v>PCB-11</v>
      </c>
      <c r="B4471" t="str">
        <f ca="1">IFERROR(__xludf.DUMMYFUNCTION("""COMPUTED_VALUE"""),"RF-00000142-ORG")</f>
        <v>RF-00000142-ORG</v>
      </c>
    </row>
    <row r="4472" spans="1:2" ht="12.5" x14ac:dyDescent="0.25">
      <c r="A4472" t="str">
        <f ca="1">IFERROR(__xludf.DUMMYFUNCTION("""COMPUTED_VALUE"""),"PCB-110")</f>
        <v>PCB-110</v>
      </c>
      <c r="B4472" t="str">
        <f ca="1">IFERROR(__xludf.DUMMYFUNCTION("""COMPUTED_VALUE"""),"RF-00000143-ORG")</f>
        <v>RF-00000143-ORG</v>
      </c>
    </row>
    <row r="4473" spans="1:2" ht="12.5" x14ac:dyDescent="0.25">
      <c r="A4473" t="str">
        <f ca="1">IFERROR(__xludf.DUMMYFUNCTION("""COMPUTED_VALUE"""),"PCB-111")</f>
        <v>PCB-111</v>
      </c>
      <c r="B4473" t="str">
        <f ca="1">IFERROR(__xludf.DUMMYFUNCTION("""COMPUTED_VALUE"""),"RF-00000144-ORG")</f>
        <v>RF-00000144-ORG</v>
      </c>
    </row>
    <row r="4474" spans="1:2" ht="12.5" x14ac:dyDescent="0.25">
      <c r="A4474" t="str">
        <f ca="1">IFERROR(__xludf.DUMMYFUNCTION("""COMPUTED_VALUE"""),"PCB-112")</f>
        <v>PCB-112</v>
      </c>
      <c r="B4474" t="str">
        <f ca="1">IFERROR(__xludf.DUMMYFUNCTION("""COMPUTED_VALUE"""),"RF-00000145-ORG")</f>
        <v>RF-00000145-ORG</v>
      </c>
    </row>
    <row r="4475" spans="1:2" ht="12.5" x14ac:dyDescent="0.25">
      <c r="A4475" t="str">
        <f ca="1">IFERROR(__xludf.DUMMYFUNCTION("""COMPUTED_VALUE"""),"PCB-113")</f>
        <v>PCB-113</v>
      </c>
      <c r="B4475" t="str">
        <f ca="1">IFERROR(__xludf.DUMMYFUNCTION("""COMPUTED_VALUE"""),"RF-00000146-ORG")</f>
        <v>RF-00000146-ORG</v>
      </c>
    </row>
    <row r="4476" spans="1:2" ht="12.5" x14ac:dyDescent="0.25">
      <c r="A4476" t="str">
        <f ca="1">IFERROR(__xludf.DUMMYFUNCTION("""COMPUTED_VALUE"""),"PCB-114")</f>
        <v>PCB-114</v>
      </c>
      <c r="B4476" t="str">
        <f ca="1">IFERROR(__xludf.DUMMYFUNCTION("""COMPUTED_VALUE"""),"RF-00000118-ORG")</f>
        <v>RF-00000118-ORG</v>
      </c>
    </row>
    <row r="4477" spans="1:2" ht="12.5" x14ac:dyDescent="0.25">
      <c r="A4477" t="str">
        <f ca="1">IFERROR(__xludf.DUMMYFUNCTION("""COMPUTED_VALUE"""),"PCB-115")</f>
        <v>PCB-115</v>
      </c>
      <c r="B4477" t="str">
        <f ca="1">IFERROR(__xludf.DUMMYFUNCTION("""COMPUTED_VALUE"""),"RF-00000147-ORG")</f>
        <v>RF-00000147-ORG</v>
      </c>
    </row>
    <row r="4478" spans="1:2" ht="12.5" x14ac:dyDescent="0.25">
      <c r="A4478" t="str">
        <f ca="1">IFERROR(__xludf.DUMMYFUNCTION("""COMPUTED_VALUE"""),"PCB-116")</f>
        <v>PCB-116</v>
      </c>
      <c r="B4478" t="str">
        <f ca="1">IFERROR(__xludf.DUMMYFUNCTION("""COMPUTED_VALUE"""),"RF-00000148-ORG")</f>
        <v>RF-00000148-ORG</v>
      </c>
    </row>
    <row r="4479" spans="1:2" ht="12.5" x14ac:dyDescent="0.25">
      <c r="A4479" t="str">
        <f ca="1">IFERROR(__xludf.DUMMYFUNCTION("""COMPUTED_VALUE"""),"PCB-117")</f>
        <v>PCB-117</v>
      </c>
      <c r="B4479" t="str">
        <f ca="1">IFERROR(__xludf.DUMMYFUNCTION("""COMPUTED_VALUE"""),"RF-00000149-ORG")</f>
        <v>RF-00000149-ORG</v>
      </c>
    </row>
    <row r="4480" spans="1:2" ht="12.5" x14ac:dyDescent="0.25">
      <c r="A4480" t="str">
        <f ca="1">IFERROR(__xludf.DUMMYFUNCTION("""COMPUTED_VALUE"""),"PCB-118")</f>
        <v>PCB-118</v>
      </c>
      <c r="B4480" t="str">
        <f ca="1">IFERROR(__xludf.DUMMYFUNCTION("""COMPUTED_VALUE"""),"RF-00000119-ORG")</f>
        <v>RF-00000119-ORG</v>
      </c>
    </row>
    <row r="4481" spans="1:2" ht="12.5" x14ac:dyDescent="0.25">
      <c r="A4481" t="str">
        <f ca="1">IFERROR(__xludf.DUMMYFUNCTION("""COMPUTED_VALUE"""),"PCB-119")</f>
        <v>PCB-119</v>
      </c>
      <c r="B4481" t="str">
        <f ca="1">IFERROR(__xludf.DUMMYFUNCTION("""COMPUTED_VALUE"""),"RF-00000150-ORG")</f>
        <v>RF-00000150-ORG</v>
      </c>
    </row>
    <row r="4482" spans="1:2" ht="12.5" x14ac:dyDescent="0.25">
      <c r="A4482" t="str">
        <f ca="1">IFERROR(__xludf.DUMMYFUNCTION("""COMPUTED_VALUE"""),"PCB-12")</f>
        <v>PCB-12</v>
      </c>
      <c r="B4482" t="str">
        <f ca="1">IFERROR(__xludf.DUMMYFUNCTION("""COMPUTED_VALUE"""),"RF-00000151-ORG")</f>
        <v>RF-00000151-ORG</v>
      </c>
    </row>
    <row r="4483" spans="1:2" ht="12.5" x14ac:dyDescent="0.25">
      <c r="A4483" t="str">
        <f ca="1">IFERROR(__xludf.DUMMYFUNCTION("""COMPUTED_VALUE"""),"PCB-120")</f>
        <v>PCB-120</v>
      </c>
      <c r="B4483" t="str">
        <f ca="1">IFERROR(__xludf.DUMMYFUNCTION("""COMPUTED_VALUE"""),"RF-00000152-ORG")</f>
        <v>RF-00000152-ORG</v>
      </c>
    </row>
    <row r="4484" spans="1:2" ht="12.5" x14ac:dyDescent="0.25">
      <c r="A4484" t="str">
        <f ca="1">IFERROR(__xludf.DUMMYFUNCTION("""COMPUTED_VALUE"""),"PCB-121")</f>
        <v>PCB-121</v>
      </c>
      <c r="B4484" t="str">
        <f ca="1">IFERROR(__xludf.DUMMYFUNCTION("""COMPUTED_VALUE"""),"RF-00000153-ORG")</f>
        <v>RF-00000153-ORG</v>
      </c>
    </row>
    <row r="4485" spans="1:2" ht="12.5" x14ac:dyDescent="0.25">
      <c r="A4485" t="str">
        <f ca="1">IFERROR(__xludf.DUMMYFUNCTION("""COMPUTED_VALUE"""),"PCB-122")</f>
        <v>PCB-122</v>
      </c>
      <c r="B4485" t="str">
        <f ca="1">IFERROR(__xludf.DUMMYFUNCTION("""COMPUTED_VALUE"""),"RF-00000154-ORG")</f>
        <v>RF-00000154-ORG</v>
      </c>
    </row>
    <row r="4486" spans="1:2" ht="12.5" x14ac:dyDescent="0.25">
      <c r="A4486" t="str">
        <f ca="1">IFERROR(__xludf.DUMMYFUNCTION("""COMPUTED_VALUE"""),"PCB-123")</f>
        <v>PCB-123</v>
      </c>
      <c r="B4486" t="str">
        <f ca="1">IFERROR(__xludf.DUMMYFUNCTION("""COMPUTED_VALUE"""),"RF-00000120-ORG")</f>
        <v>RF-00000120-ORG</v>
      </c>
    </row>
    <row r="4487" spans="1:2" ht="12.5" x14ac:dyDescent="0.25">
      <c r="A4487" t="str">
        <f ca="1">IFERROR(__xludf.DUMMYFUNCTION("""COMPUTED_VALUE"""),"PCB-124")</f>
        <v>PCB-124</v>
      </c>
      <c r="B4487" t="str">
        <f ca="1">IFERROR(__xludf.DUMMYFUNCTION("""COMPUTED_VALUE"""),"RF-00000155-ORG")</f>
        <v>RF-00000155-ORG</v>
      </c>
    </row>
    <row r="4488" spans="1:2" ht="12.5" x14ac:dyDescent="0.25">
      <c r="A4488" t="str">
        <f ca="1">IFERROR(__xludf.DUMMYFUNCTION("""COMPUTED_VALUE"""),"PCB-125")</f>
        <v>PCB-125</v>
      </c>
      <c r="B4488" t="str">
        <f ca="1">IFERROR(__xludf.DUMMYFUNCTION("""COMPUTED_VALUE"""),"RF-00000156-ORG")</f>
        <v>RF-00000156-ORG</v>
      </c>
    </row>
    <row r="4489" spans="1:2" ht="12.5" x14ac:dyDescent="0.25">
      <c r="A4489" t="str">
        <f ca="1">IFERROR(__xludf.DUMMYFUNCTION("""COMPUTED_VALUE"""),"PCB-126")</f>
        <v>PCB-126</v>
      </c>
      <c r="B4489" t="str">
        <f ca="1">IFERROR(__xludf.DUMMYFUNCTION("""COMPUTED_VALUE"""),"RF-00000126-ORG")</f>
        <v>RF-00000126-ORG</v>
      </c>
    </row>
    <row r="4490" spans="1:2" ht="12.5" x14ac:dyDescent="0.25">
      <c r="A4490" t="str">
        <f ca="1">IFERROR(__xludf.DUMMYFUNCTION("""COMPUTED_VALUE"""),"PCB-127")</f>
        <v>PCB-127</v>
      </c>
      <c r="B4490" t="str">
        <f ca="1">IFERROR(__xludf.DUMMYFUNCTION("""COMPUTED_VALUE"""),"RF-00000157-ORG")</f>
        <v>RF-00000157-ORG</v>
      </c>
    </row>
    <row r="4491" spans="1:2" ht="12.5" x14ac:dyDescent="0.25">
      <c r="A4491" t="str">
        <f ca="1">IFERROR(__xludf.DUMMYFUNCTION("""COMPUTED_VALUE"""),"PCB-128")</f>
        <v>PCB-128</v>
      </c>
      <c r="B4491" t="str">
        <f ca="1">IFERROR(__xludf.DUMMYFUNCTION("""COMPUTED_VALUE"""),"RF-00000158-ORG")</f>
        <v>RF-00000158-ORG</v>
      </c>
    </row>
    <row r="4492" spans="1:2" ht="12.5" x14ac:dyDescent="0.25">
      <c r="A4492" t="str">
        <f ca="1">IFERROR(__xludf.DUMMYFUNCTION("""COMPUTED_VALUE"""),"PCB-129")</f>
        <v>PCB-129</v>
      </c>
      <c r="B4492" t="str">
        <f ca="1">IFERROR(__xludf.DUMMYFUNCTION("""COMPUTED_VALUE"""),"RF-00000159-ORG")</f>
        <v>RF-00000159-ORG</v>
      </c>
    </row>
    <row r="4493" spans="1:2" ht="12.5" x14ac:dyDescent="0.25">
      <c r="A4493" t="str">
        <f ca="1">IFERROR(__xludf.DUMMYFUNCTION("""COMPUTED_VALUE"""),"PCB-13")</f>
        <v>PCB-13</v>
      </c>
      <c r="B4493" t="str">
        <f ca="1">IFERROR(__xludf.DUMMYFUNCTION("""COMPUTED_VALUE"""),"RF-00000160-ORG")</f>
        <v>RF-00000160-ORG</v>
      </c>
    </row>
    <row r="4494" spans="1:2" ht="12.5" x14ac:dyDescent="0.25">
      <c r="A4494" t="str">
        <f ca="1">IFERROR(__xludf.DUMMYFUNCTION("""COMPUTED_VALUE"""),"PCB-130")</f>
        <v>PCB-130</v>
      </c>
      <c r="B4494" t="str">
        <f ca="1">IFERROR(__xludf.DUMMYFUNCTION("""COMPUTED_VALUE"""),"RF-00000161-ORG")</f>
        <v>RF-00000161-ORG</v>
      </c>
    </row>
    <row r="4495" spans="1:2" ht="12.5" x14ac:dyDescent="0.25">
      <c r="A4495" t="str">
        <f ca="1">IFERROR(__xludf.DUMMYFUNCTION("""COMPUTED_VALUE"""),"PCB-131")</f>
        <v>PCB-131</v>
      </c>
      <c r="B4495" t="str">
        <f ca="1">IFERROR(__xludf.DUMMYFUNCTION("""COMPUTED_VALUE"""),"RF-00000162-ORG")</f>
        <v>RF-00000162-ORG</v>
      </c>
    </row>
    <row r="4496" spans="1:2" ht="12.5" x14ac:dyDescent="0.25">
      <c r="A4496" t="str">
        <f ca="1">IFERROR(__xludf.DUMMYFUNCTION("""COMPUTED_VALUE"""),"PCB-132")</f>
        <v>PCB-132</v>
      </c>
      <c r="B4496" t="str">
        <f ca="1">IFERROR(__xludf.DUMMYFUNCTION("""COMPUTED_VALUE"""),"RF-00000163-ORG")</f>
        <v>RF-00000163-ORG</v>
      </c>
    </row>
    <row r="4497" spans="1:2" ht="12.5" x14ac:dyDescent="0.25">
      <c r="A4497" t="str">
        <f ca="1">IFERROR(__xludf.DUMMYFUNCTION("""COMPUTED_VALUE"""),"PCB-133")</f>
        <v>PCB-133</v>
      </c>
      <c r="B4497" t="str">
        <f ca="1">IFERROR(__xludf.DUMMYFUNCTION("""COMPUTED_VALUE"""),"RF-00000164-ORG")</f>
        <v>RF-00000164-ORG</v>
      </c>
    </row>
    <row r="4498" spans="1:2" ht="12.5" x14ac:dyDescent="0.25">
      <c r="A4498" t="str">
        <f ca="1">IFERROR(__xludf.DUMMYFUNCTION("""COMPUTED_VALUE"""),"PCB-134")</f>
        <v>PCB-134</v>
      </c>
      <c r="B4498" t="str">
        <f ca="1">IFERROR(__xludf.DUMMYFUNCTION("""COMPUTED_VALUE"""),"RF-00000165-ORG")</f>
        <v>RF-00000165-ORG</v>
      </c>
    </row>
    <row r="4499" spans="1:2" ht="12.5" x14ac:dyDescent="0.25">
      <c r="A4499" t="str">
        <f ca="1">IFERROR(__xludf.DUMMYFUNCTION("""COMPUTED_VALUE"""),"PCB-135")</f>
        <v>PCB-135</v>
      </c>
      <c r="B4499" t="str">
        <f ca="1">IFERROR(__xludf.DUMMYFUNCTION("""COMPUTED_VALUE"""),"RF-00000166-ORG")</f>
        <v>RF-00000166-ORG</v>
      </c>
    </row>
    <row r="4500" spans="1:2" ht="12.5" x14ac:dyDescent="0.25">
      <c r="A4500" t="str">
        <f ca="1">IFERROR(__xludf.DUMMYFUNCTION("""COMPUTED_VALUE"""),"PCB-136")</f>
        <v>PCB-136</v>
      </c>
      <c r="B4500" t="str">
        <f ca="1">IFERROR(__xludf.DUMMYFUNCTION("""COMPUTED_VALUE"""),"RF-00000167-ORG")</f>
        <v>RF-00000167-ORG</v>
      </c>
    </row>
    <row r="4501" spans="1:2" ht="12.5" x14ac:dyDescent="0.25">
      <c r="A4501" t="str">
        <f ca="1">IFERROR(__xludf.DUMMYFUNCTION("""COMPUTED_VALUE"""),"PCB-137")</f>
        <v>PCB-137</v>
      </c>
      <c r="B4501" t="str">
        <f ca="1">IFERROR(__xludf.DUMMYFUNCTION("""COMPUTED_VALUE"""),"RF-00000168-ORG")</f>
        <v>RF-00000168-ORG</v>
      </c>
    </row>
    <row r="4502" spans="1:2" ht="12.5" x14ac:dyDescent="0.25">
      <c r="A4502" t="str">
        <f ca="1">IFERROR(__xludf.DUMMYFUNCTION("""COMPUTED_VALUE"""),"PCB-138")</f>
        <v>PCB-138</v>
      </c>
      <c r="B4502" t="str">
        <f ca="1">IFERROR(__xludf.DUMMYFUNCTION("""COMPUTED_VALUE"""),"RF-00000169-ORG")</f>
        <v>RF-00000169-ORG</v>
      </c>
    </row>
    <row r="4503" spans="1:2" ht="12.5" x14ac:dyDescent="0.25">
      <c r="A4503" t="str">
        <f ca="1">IFERROR(__xludf.DUMMYFUNCTION("""COMPUTED_VALUE"""),"PCB-139")</f>
        <v>PCB-139</v>
      </c>
      <c r="B4503" t="str">
        <f ca="1">IFERROR(__xludf.DUMMYFUNCTION("""COMPUTED_VALUE"""),"RF-00000170-ORG")</f>
        <v>RF-00000170-ORG</v>
      </c>
    </row>
    <row r="4504" spans="1:2" ht="12.5" x14ac:dyDescent="0.25">
      <c r="A4504" t="str">
        <f ca="1">IFERROR(__xludf.DUMMYFUNCTION("""COMPUTED_VALUE"""),"PCB-14")</f>
        <v>PCB-14</v>
      </c>
      <c r="B4504" t="str">
        <f ca="1">IFERROR(__xludf.DUMMYFUNCTION("""COMPUTED_VALUE"""),"RF-00000171-ORG")</f>
        <v>RF-00000171-ORG</v>
      </c>
    </row>
    <row r="4505" spans="1:2" ht="12.5" x14ac:dyDescent="0.25">
      <c r="A4505" t="str">
        <f ca="1">IFERROR(__xludf.DUMMYFUNCTION("""COMPUTED_VALUE"""),"PCB-140")</f>
        <v>PCB-140</v>
      </c>
      <c r="B4505" t="str">
        <f ca="1">IFERROR(__xludf.DUMMYFUNCTION("""COMPUTED_VALUE"""),"RF-00000172-ORG")</f>
        <v>RF-00000172-ORG</v>
      </c>
    </row>
    <row r="4506" spans="1:2" ht="12.5" x14ac:dyDescent="0.25">
      <c r="A4506" t="str">
        <f ca="1">IFERROR(__xludf.DUMMYFUNCTION("""COMPUTED_VALUE"""),"PCB-141")</f>
        <v>PCB-141</v>
      </c>
      <c r="B4506" t="str">
        <f ca="1">IFERROR(__xludf.DUMMYFUNCTION("""COMPUTED_VALUE"""),"RF-00000173-ORG")</f>
        <v>RF-00000173-ORG</v>
      </c>
    </row>
    <row r="4507" spans="1:2" ht="12.5" x14ac:dyDescent="0.25">
      <c r="A4507" t="str">
        <f ca="1">IFERROR(__xludf.DUMMYFUNCTION("""COMPUTED_VALUE"""),"PCB-142")</f>
        <v>PCB-142</v>
      </c>
      <c r="B4507" t="str">
        <f ca="1">IFERROR(__xludf.DUMMYFUNCTION("""COMPUTED_VALUE"""),"RF-00000174-ORG")</f>
        <v>RF-00000174-ORG</v>
      </c>
    </row>
    <row r="4508" spans="1:2" ht="12.5" x14ac:dyDescent="0.25">
      <c r="A4508" t="str">
        <f ca="1">IFERROR(__xludf.DUMMYFUNCTION("""COMPUTED_VALUE"""),"PCB-143")</f>
        <v>PCB-143</v>
      </c>
      <c r="B4508" t="str">
        <f ca="1">IFERROR(__xludf.DUMMYFUNCTION("""COMPUTED_VALUE"""),"RF-00000175-ORG")</f>
        <v>RF-00000175-ORG</v>
      </c>
    </row>
    <row r="4509" spans="1:2" ht="12.5" x14ac:dyDescent="0.25">
      <c r="A4509" t="str">
        <f ca="1">IFERROR(__xludf.DUMMYFUNCTION("""COMPUTED_VALUE"""),"PCB-144")</f>
        <v>PCB-144</v>
      </c>
      <c r="B4509" t="str">
        <f ca="1">IFERROR(__xludf.DUMMYFUNCTION("""COMPUTED_VALUE"""),"RF-00000176-ORG")</f>
        <v>RF-00000176-ORG</v>
      </c>
    </row>
    <row r="4510" spans="1:2" ht="12.5" x14ac:dyDescent="0.25">
      <c r="A4510" t="str">
        <f ca="1">IFERROR(__xludf.DUMMYFUNCTION("""COMPUTED_VALUE"""),"PCB-145")</f>
        <v>PCB-145</v>
      </c>
      <c r="B4510" t="str">
        <f ca="1">IFERROR(__xludf.DUMMYFUNCTION("""COMPUTED_VALUE"""),"RF-00000177-ORG")</f>
        <v>RF-00000177-ORG</v>
      </c>
    </row>
    <row r="4511" spans="1:2" ht="12.5" x14ac:dyDescent="0.25">
      <c r="A4511" t="str">
        <f ca="1">IFERROR(__xludf.DUMMYFUNCTION("""COMPUTED_VALUE"""),"PCB-146")</f>
        <v>PCB-146</v>
      </c>
      <c r="B4511" t="str">
        <f ca="1">IFERROR(__xludf.DUMMYFUNCTION("""COMPUTED_VALUE"""),"RF-00000178-ORG")</f>
        <v>RF-00000178-ORG</v>
      </c>
    </row>
    <row r="4512" spans="1:2" ht="12.5" x14ac:dyDescent="0.25">
      <c r="A4512" t="str">
        <f ca="1">IFERROR(__xludf.DUMMYFUNCTION("""COMPUTED_VALUE"""),"PCB-147")</f>
        <v>PCB-147</v>
      </c>
      <c r="B4512" t="str">
        <f ca="1">IFERROR(__xludf.DUMMYFUNCTION("""COMPUTED_VALUE"""),"RF-00000179-ORG")</f>
        <v>RF-00000179-ORG</v>
      </c>
    </row>
    <row r="4513" spans="1:2" ht="12.5" x14ac:dyDescent="0.25">
      <c r="A4513" t="str">
        <f ca="1">IFERROR(__xludf.DUMMYFUNCTION("""COMPUTED_VALUE"""),"PCB-148")</f>
        <v>PCB-148</v>
      </c>
      <c r="B4513" t="str">
        <f ca="1">IFERROR(__xludf.DUMMYFUNCTION("""COMPUTED_VALUE"""),"RF-00000180-ORG")</f>
        <v>RF-00000180-ORG</v>
      </c>
    </row>
    <row r="4514" spans="1:2" ht="12.5" x14ac:dyDescent="0.25">
      <c r="A4514" t="str">
        <f ca="1">IFERROR(__xludf.DUMMYFUNCTION("""COMPUTED_VALUE"""),"PCB-149")</f>
        <v>PCB-149</v>
      </c>
      <c r="B4514" t="str">
        <f ca="1">IFERROR(__xludf.DUMMYFUNCTION("""COMPUTED_VALUE"""),"RF-00000181-ORG")</f>
        <v>RF-00000181-ORG</v>
      </c>
    </row>
    <row r="4515" spans="1:2" ht="12.5" x14ac:dyDescent="0.25">
      <c r="A4515" t="str">
        <f ca="1">IFERROR(__xludf.DUMMYFUNCTION("""COMPUTED_VALUE"""),"PCB-15")</f>
        <v>PCB-15</v>
      </c>
      <c r="B4515" t="str">
        <f ca="1">IFERROR(__xludf.DUMMYFUNCTION("""COMPUTED_VALUE"""),"RF-00000182-ORG")</f>
        <v>RF-00000182-ORG</v>
      </c>
    </row>
    <row r="4516" spans="1:2" ht="12.5" x14ac:dyDescent="0.25">
      <c r="A4516" t="str">
        <f ca="1">IFERROR(__xludf.DUMMYFUNCTION("""COMPUTED_VALUE"""),"PCB-150")</f>
        <v>PCB-150</v>
      </c>
      <c r="B4516" t="str">
        <f ca="1">IFERROR(__xludf.DUMMYFUNCTION("""COMPUTED_VALUE"""),"RF-00000183-ORG")</f>
        <v>RF-00000183-ORG</v>
      </c>
    </row>
    <row r="4517" spans="1:2" ht="12.5" x14ac:dyDescent="0.25">
      <c r="A4517" t="str">
        <f ca="1">IFERROR(__xludf.DUMMYFUNCTION("""COMPUTED_VALUE"""),"PCB-151")</f>
        <v>PCB-151</v>
      </c>
      <c r="B4517" t="str">
        <f ca="1">IFERROR(__xludf.DUMMYFUNCTION("""COMPUTED_VALUE"""),"RF-00000184-ORG")</f>
        <v>RF-00000184-ORG</v>
      </c>
    </row>
    <row r="4518" spans="1:2" ht="12.5" x14ac:dyDescent="0.25">
      <c r="A4518" t="str">
        <f ca="1">IFERROR(__xludf.DUMMYFUNCTION("""COMPUTED_VALUE"""),"PCB-152")</f>
        <v>PCB-152</v>
      </c>
      <c r="B4518" t="str">
        <f ca="1">IFERROR(__xludf.DUMMYFUNCTION("""COMPUTED_VALUE"""),"RF-00000185-ORG")</f>
        <v>RF-00000185-ORG</v>
      </c>
    </row>
    <row r="4519" spans="1:2" ht="12.5" x14ac:dyDescent="0.25">
      <c r="A4519" t="str">
        <f ca="1">IFERROR(__xludf.DUMMYFUNCTION("""COMPUTED_VALUE"""),"PCB-153")</f>
        <v>PCB-153</v>
      </c>
      <c r="B4519" t="str">
        <f ca="1">IFERROR(__xludf.DUMMYFUNCTION("""COMPUTED_VALUE"""),"RF-00000186-ORG")</f>
        <v>RF-00000186-ORG</v>
      </c>
    </row>
    <row r="4520" spans="1:2" ht="12.5" x14ac:dyDescent="0.25">
      <c r="A4520" t="str">
        <f ca="1">IFERROR(__xludf.DUMMYFUNCTION("""COMPUTED_VALUE"""),"PCB-154")</f>
        <v>PCB-154</v>
      </c>
      <c r="B4520" t="str">
        <f ca="1">IFERROR(__xludf.DUMMYFUNCTION("""COMPUTED_VALUE"""),"RF-00000187-ORG")</f>
        <v>RF-00000187-ORG</v>
      </c>
    </row>
    <row r="4521" spans="1:2" ht="12.5" x14ac:dyDescent="0.25">
      <c r="A4521" t="str">
        <f ca="1">IFERROR(__xludf.DUMMYFUNCTION("""COMPUTED_VALUE"""),"PCB-155")</f>
        <v>PCB-155</v>
      </c>
      <c r="B4521" t="str">
        <f ca="1">IFERROR(__xludf.DUMMYFUNCTION("""COMPUTED_VALUE"""),"RF-00000188-ORG")</f>
        <v>RF-00000188-ORG</v>
      </c>
    </row>
    <row r="4522" spans="1:2" ht="12.5" x14ac:dyDescent="0.25">
      <c r="A4522" t="str">
        <f ca="1">IFERROR(__xludf.DUMMYFUNCTION("""COMPUTED_VALUE"""),"PCB-156")</f>
        <v>PCB-156</v>
      </c>
      <c r="B4522" t="str">
        <f ca="1">IFERROR(__xludf.DUMMYFUNCTION("""COMPUTED_VALUE"""),"RF-00000121-ORG")</f>
        <v>RF-00000121-ORG</v>
      </c>
    </row>
    <row r="4523" spans="1:2" ht="12.5" x14ac:dyDescent="0.25">
      <c r="A4523" t="str">
        <f ca="1">IFERROR(__xludf.DUMMYFUNCTION("""COMPUTED_VALUE"""),"PCB-157")</f>
        <v>PCB-157</v>
      </c>
      <c r="B4523" t="str">
        <f ca="1">IFERROR(__xludf.DUMMYFUNCTION("""COMPUTED_VALUE"""),"RF-00000122-ORG")</f>
        <v>RF-00000122-ORG</v>
      </c>
    </row>
    <row r="4524" spans="1:2" ht="12.5" x14ac:dyDescent="0.25">
      <c r="A4524" t="str">
        <f ca="1">IFERROR(__xludf.DUMMYFUNCTION("""COMPUTED_VALUE"""),"PCB-158")</f>
        <v>PCB-158</v>
      </c>
      <c r="B4524" t="str">
        <f ca="1">IFERROR(__xludf.DUMMYFUNCTION("""COMPUTED_VALUE"""),"RF-00000189-ORG")</f>
        <v>RF-00000189-ORG</v>
      </c>
    </row>
    <row r="4525" spans="1:2" ht="12.5" x14ac:dyDescent="0.25">
      <c r="A4525" t="str">
        <f ca="1">IFERROR(__xludf.DUMMYFUNCTION("""COMPUTED_VALUE"""),"PCB-159")</f>
        <v>PCB-159</v>
      </c>
      <c r="B4525" t="str">
        <f ca="1">IFERROR(__xludf.DUMMYFUNCTION("""COMPUTED_VALUE"""),"RF-00000190-ORG")</f>
        <v>RF-00000190-ORG</v>
      </c>
    </row>
    <row r="4526" spans="1:2" ht="12.5" x14ac:dyDescent="0.25">
      <c r="A4526" t="str">
        <f ca="1">IFERROR(__xludf.DUMMYFUNCTION("""COMPUTED_VALUE"""),"PCB-16")</f>
        <v>PCB-16</v>
      </c>
      <c r="B4526" t="str">
        <f ca="1">IFERROR(__xludf.DUMMYFUNCTION("""COMPUTED_VALUE"""),"RF-00000191-ORG")</f>
        <v>RF-00000191-ORG</v>
      </c>
    </row>
    <row r="4527" spans="1:2" ht="12.5" x14ac:dyDescent="0.25">
      <c r="A4527" t="str">
        <f ca="1">IFERROR(__xludf.DUMMYFUNCTION("""COMPUTED_VALUE"""),"PCB-160")</f>
        <v>PCB-160</v>
      </c>
      <c r="B4527" t="str">
        <f ca="1">IFERROR(__xludf.DUMMYFUNCTION("""COMPUTED_VALUE"""),"RF-00000192-ORG")</f>
        <v>RF-00000192-ORG</v>
      </c>
    </row>
    <row r="4528" spans="1:2" ht="12.5" x14ac:dyDescent="0.25">
      <c r="A4528" t="str">
        <f ca="1">IFERROR(__xludf.DUMMYFUNCTION("""COMPUTED_VALUE"""),"PCB-161")</f>
        <v>PCB-161</v>
      </c>
      <c r="B4528" t="str">
        <f ca="1">IFERROR(__xludf.DUMMYFUNCTION("""COMPUTED_VALUE"""),"RF-00000193-ORG")</f>
        <v>RF-00000193-ORG</v>
      </c>
    </row>
    <row r="4529" spans="1:2" ht="12.5" x14ac:dyDescent="0.25">
      <c r="A4529" t="str">
        <f ca="1">IFERROR(__xludf.DUMMYFUNCTION("""COMPUTED_VALUE"""),"PCB-162")</f>
        <v>PCB-162</v>
      </c>
      <c r="B4529" t="str">
        <f ca="1">IFERROR(__xludf.DUMMYFUNCTION("""COMPUTED_VALUE"""),"RF-00000194-ORG")</f>
        <v>RF-00000194-ORG</v>
      </c>
    </row>
    <row r="4530" spans="1:2" ht="12.5" x14ac:dyDescent="0.25">
      <c r="A4530" t="str">
        <f ca="1">IFERROR(__xludf.DUMMYFUNCTION("""COMPUTED_VALUE"""),"PCB-163")</f>
        <v>PCB-163</v>
      </c>
      <c r="B4530" t="str">
        <f ca="1">IFERROR(__xludf.DUMMYFUNCTION("""COMPUTED_VALUE"""),"RF-00000195-ORG")</f>
        <v>RF-00000195-ORG</v>
      </c>
    </row>
    <row r="4531" spans="1:2" ht="12.5" x14ac:dyDescent="0.25">
      <c r="A4531" t="str">
        <f ca="1">IFERROR(__xludf.DUMMYFUNCTION("""COMPUTED_VALUE"""),"PCB-164")</f>
        <v>PCB-164</v>
      </c>
      <c r="B4531" t="str">
        <f ca="1">IFERROR(__xludf.DUMMYFUNCTION("""COMPUTED_VALUE"""),"RF-00000196-ORG")</f>
        <v>RF-00000196-ORG</v>
      </c>
    </row>
    <row r="4532" spans="1:2" ht="12.5" x14ac:dyDescent="0.25">
      <c r="A4532" t="str">
        <f ca="1">IFERROR(__xludf.DUMMYFUNCTION("""COMPUTED_VALUE"""),"PCB-165")</f>
        <v>PCB-165</v>
      </c>
      <c r="B4532" t="str">
        <f ca="1">IFERROR(__xludf.DUMMYFUNCTION("""COMPUTED_VALUE"""),"RF-00000197-ORG")</f>
        <v>RF-00000197-ORG</v>
      </c>
    </row>
    <row r="4533" spans="1:2" ht="12.5" x14ac:dyDescent="0.25">
      <c r="A4533" t="str">
        <f ca="1">IFERROR(__xludf.DUMMYFUNCTION("""COMPUTED_VALUE"""),"PCB-166")</f>
        <v>PCB-166</v>
      </c>
      <c r="B4533" t="str">
        <f ca="1">IFERROR(__xludf.DUMMYFUNCTION("""COMPUTED_VALUE"""),"RF-00000198-ORG")</f>
        <v>RF-00000198-ORG</v>
      </c>
    </row>
    <row r="4534" spans="1:2" ht="12.5" x14ac:dyDescent="0.25">
      <c r="A4534" t="str">
        <f ca="1">IFERROR(__xludf.DUMMYFUNCTION("""COMPUTED_VALUE"""),"PCB-167")</f>
        <v>PCB-167</v>
      </c>
      <c r="B4534" t="str">
        <f ca="1">IFERROR(__xludf.DUMMYFUNCTION("""COMPUTED_VALUE"""),"RF-00000123-ORG")</f>
        <v>RF-00000123-ORG</v>
      </c>
    </row>
    <row r="4535" spans="1:2" ht="12.5" x14ac:dyDescent="0.25">
      <c r="A4535" t="str">
        <f ca="1">IFERROR(__xludf.DUMMYFUNCTION("""COMPUTED_VALUE"""),"PCB-168")</f>
        <v>PCB-168</v>
      </c>
      <c r="B4535" t="str">
        <f ca="1">IFERROR(__xludf.DUMMYFUNCTION("""COMPUTED_VALUE"""),"RF-00000199-ORG")</f>
        <v>RF-00000199-ORG</v>
      </c>
    </row>
    <row r="4536" spans="1:2" ht="12.5" x14ac:dyDescent="0.25">
      <c r="A4536" t="str">
        <f ca="1">IFERROR(__xludf.DUMMYFUNCTION("""COMPUTED_VALUE"""),"PCB-169")</f>
        <v>PCB-169</v>
      </c>
      <c r="B4536" t="str">
        <f ca="1">IFERROR(__xludf.DUMMYFUNCTION("""COMPUTED_VALUE"""),"RF-00000127-ORG")</f>
        <v>RF-00000127-ORG</v>
      </c>
    </row>
    <row r="4537" spans="1:2" ht="12.5" x14ac:dyDescent="0.25">
      <c r="A4537" t="str">
        <f ca="1">IFERROR(__xludf.DUMMYFUNCTION("""COMPUTED_VALUE"""),"PCB-17")</f>
        <v>PCB-17</v>
      </c>
      <c r="B4537" t="str">
        <f ca="1">IFERROR(__xludf.DUMMYFUNCTION("""COMPUTED_VALUE"""),"RF-00000200-ORG")</f>
        <v>RF-00000200-ORG</v>
      </c>
    </row>
    <row r="4538" spans="1:2" ht="12.5" x14ac:dyDescent="0.25">
      <c r="A4538" t="str">
        <f ca="1">IFERROR(__xludf.DUMMYFUNCTION("""COMPUTED_VALUE"""),"PCB-170")</f>
        <v>PCB-170</v>
      </c>
      <c r="B4538" t="str">
        <f ca="1">IFERROR(__xludf.DUMMYFUNCTION("""COMPUTED_VALUE"""),"RF-00000201-ORG")</f>
        <v>RF-00000201-ORG</v>
      </c>
    </row>
    <row r="4539" spans="1:2" ht="12.5" x14ac:dyDescent="0.25">
      <c r="A4539" t="str">
        <f ca="1">IFERROR(__xludf.DUMMYFUNCTION("""COMPUTED_VALUE"""),"PCB-171")</f>
        <v>PCB-171</v>
      </c>
      <c r="B4539" t="str">
        <f ca="1">IFERROR(__xludf.DUMMYFUNCTION("""COMPUTED_VALUE"""),"RF-00000202-ORG")</f>
        <v>RF-00000202-ORG</v>
      </c>
    </row>
    <row r="4540" spans="1:2" ht="12.5" x14ac:dyDescent="0.25">
      <c r="A4540" t="str">
        <f ca="1">IFERROR(__xludf.DUMMYFUNCTION("""COMPUTED_VALUE"""),"PCB-172")</f>
        <v>PCB-172</v>
      </c>
      <c r="B4540" t="str">
        <f ca="1">IFERROR(__xludf.DUMMYFUNCTION("""COMPUTED_VALUE"""),"RF-00000203-ORG")</f>
        <v>RF-00000203-ORG</v>
      </c>
    </row>
    <row r="4541" spans="1:2" ht="12.5" x14ac:dyDescent="0.25">
      <c r="A4541" t="str">
        <f ca="1">IFERROR(__xludf.DUMMYFUNCTION("""COMPUTED_VALUE"""),"PCB-173")</f>
        <v>PCB-173</v>
      </c>
      <c r="B4541" t="str">
        <f ca="1">IFERROR(__xludf.DUMMYFUNCTION("""COMPUTED_VALUE"""),"RF-00000204-ORG")</f>
        <v>RF-00000204-ORG</v>
      </c>
    </row>
    <row r="4542" spans="1:2" ht="12.5" x14ac:dyDescent="0.25">
      <c r="A4542" t="str">
        <f ca="1">IFERROR(__xludf.DUMMYFUNCTION("""COMPUTED_VALUE"""),"PCB-174")</f>
        <v>PCB-174</v>
      </c>
      <c r="B4542" t="str">
        <f ca="1">IFERROR(__xludf.DUMMYFUNCTION("""COMPUTED_VALUE"""),"RF-00000205-ORG")</f>
        <v>RF-00000205-ORG</v>
      </c>
    </row>
    <row r="4543" spans="1:2" ht="12.5" x14ac:dyDescent="0.25">
      <c r="A4543" t="str">
        <f ca="1">IFERROR(__xludf.DUMMYFUNCTION("""COMPUTED_VALUE"""),"PCB-175")</f>
        <v>PCB-175</v>
      </c>
      <c r="B4543" t="str">
        <f ca="1">IFERROR(__xludf.DUMMYFUNCTION("""COMPUTED_VALUE"""),"RF-00000206-ORG")</f>
        <v>RF-00000206-ORG</v>
      </c>
    </row>
    <row r="4544" spans="1:2" ht="12.5" x14ac:dyDescent="0.25">
      <c r="A4544" t="str">
        <f ca="1">IFERROR(__xludf.DUMMYFUNCTION("""COMPUTED_VALUE"""),"PCB-176")</f>
        <v>PCB-176</v>
      </c>
      <c r="B4544" t="str">
        <f ca="1">IFERROR(__xludf.DUMMYFUNCTION("""COMPUTED_VALUE"""),"RF-00000207-ORG")</f>
        <v>RF-00000207-ORG</v>
      </c>
    </row>
    <row r="4545" spans="1:2" ht="12.5" x14ac:dyDescent="0.25">
      <c r="A4545" t="str">
        <f ca="1">IFERROR(__xludf.DUMMYFUNCTION("""COMPUTED_VALUE"""),"PCB-177")</f>
        <v>PCB-177</v>
      </c>
      <c r="B4545" t="str">
        <f ca="1">IFERROR(__xludf.DUMMYFUNCTION("""COMPUTED_VALUE"""),"RF-00000208-ORG")</f>
        <v>RF-00000208-ORG</v>
      </c>
    </row>
    <row r="4546" spans="1:2" ht="12.5" x14ac:dyDescent="0.25">
      <c r="A4546" t="str">
        <f ca="1">IFERROR(__xludf.DUMMYFUNCTION("""COMPUTED_VALUE"""),"PCB-178")</f>
        <v>PCB-178</v>
      </c>
      <c r="B4546" t="str">
        <f ca="1">IFERROR(__xludf.DUMMYFUNCTION("""COMPUTED_VALUE"""),"RF-00000209-ORG")</f>
        <v>RF-00000209-ORG</v>
      </c>
    </row>
    <row r="4547" spans="1:2" ht="12.5" x14ac:dyDescent="0.25">
      <c r="A4547" t="str">
        <f ca="1">IFERROR(__xludf.DUMMYFUNCTION("""COMPUTED_VALUE"""),"PCB-179")</f>
        <v>PCB-179</v>
      </c>
      <c r="B4547" t="str">
        <f ca="1">IFERROR(__xludf.DUMMYFUNCTION("""COMPUTED_VALUE"""),"RF-00000210-ORG")</f>
        <v>RF-00000210-ORG</v>
      </c>
    </row>
    <row r="4548" spans="1:2" ht="12.5" x14ac:dyDescent="0.25">
      <c r="A4548" t="str">
        <f ca="1">IFERROR(__xludf.DUMMYFUNCTION("""COMPUTED_VALUE"""),"PCB-18")</f>
        <v>PCB-18</v>
      </c>
      <c r="B4548" t="str">
        <f ca="1">IFERROR(__xludf.DUMMYFUNCTION("""COMPUTED_VALUE"""),"RF-00000211-ORG")</f>
        <v>RF-00000211-ORG</v>
      </c>
    </row>
    <row r="4549" spans="1:2" ht="12.5" x14ac:dyDescent="0.25">
      <c r="A4549" t="str">
        <f ca="1">IFERROR(__xludf.DUMMYFUNCTION("""COMPUTED_VALUE"""),"PCB-180")</f>
        <v>PCB-180</v>
      </c>
      <c r="B4549" t="str">
        <f ca="1">IFERROR(__xludf.DUMMYFUNCTION("""COMPUTED_VALUE"""),"RF-00000212-ORG")</f>
        <v>RF-00000212-ORG</v>
      </c>
    </row>
    <row r="4550" spans="1:2" ht="12.5" x14ac:dyDescent="0.25">
      <c r="A4550" t="str">
        <f ca="1">IFERROR(__xludf.DUMMYFUNCTION("""COMPUTED_VALUE"""),"PCB-181")</f>
        <v>PCB-181</v>
      </c>
      <c r="B4550" t="str">
        <f ca="1">IFERROR(__xludf.DUMMYFUNCTION("""COMPUTED_VALUE"""),"RF-00000213-ORG")</f>
        <v>RF-00000213-ORG</v>
      </c>
    </row>
    <row r="4551" spans="1:2" ht="12.5" x14ac:dyDescent="0.25">
      <c r="A4551" t="str">
        <f ca="1">IFERROR(__xludf.DUMMYFUNCTION("""COMPUTED_VALUE"""),"PCB-182")</f>
        <v>PCB-182</v>
      </c>
      <c r="B4551" t="str">
        <f ca="1">IFERROR(__xludf.DUMMYFUNCTION("""COMPUTED_VALUE"""),"RF-00000214-ORG")</f>
        <v>RF-00000214-ORG</v>
      </c>
    </row>
    <row r="4552" spans="1:2" ht="12.5" x14ac:dyDescent="0.25">
      <c r="A4552" t="str">
        <f ca="1">IFERROR(__xludf.DUMMYFUNCTION("""COMPUTED_VALUE"""),"PCB-183")</f>
        <v>PCB-183</v>
      </c>
      <c r="B4552" t="str">
        <f ca="1">IFERROR(__xludf.DUMMYFUNCTION("""COMPUTED_VALUE"""),"RF-00000215-ORG")</f>
        <v>RF-00000215-ORG</v>
      </c>
    </row>
    <row r="4553" spans="1:2" ht="12.5" x14ac:dyDescent="0.25">
      <c r="A4553" t="str">
        <f ca="1">IFERROR(__xludf.DUMMYFUNCTION("""COMPUTED_VALUE"""),"PCB-184")</f>
        <v>PCB-184</v>
      </c>
      <c r="B4553" t="str">
        <f ca="1">IFERROR(__xludf.DUMMYFUNCTION("""COMPUTED_VALUE"""),"RF-00000216-ORG")</f>
        <v>RF-00000216-ORG</v>
      </c>
    </row>
    <row r="4554" spans="1:2" ht="12.5" x14ac:dyDescent="0.25">
      <c r="A4554" t="str">
        <f ca="1">IFERROR(__xludf.DUMMYFUNCTION("""COMPUTED_VALUE"""),"PCB-185")</f>
        <v>PCB-185</v>
      </c>
      <c r="B4554" t="str">
        <f ca="1">IFERROR(__xludf.DUMMYFUNCTION("""COMPUTED_VALUE"""),"RF-00000217-ORG")</f>
        <v>RF-00000217-ORG</v>
      </c>
    </row>
    <row r="4555" spans="1:2" ht="12.5" x14ac:dyDescent="0.25">
      <c r="A4555" t="str">
        <f ca="1">IFERROR(__xludf.DUMMYFUNCTION("""COMPUTED_VALUE"""),"PCB-186")</f>
        <v>PCB-186</v>
      </c>
      <c r="B4555" t="str">
        <f ca="1">IFERROR(__xludf.DUMMYFUNCTION("""COMPUTED_VALUE"""),"RF-00000218-ORG")</f>
        <v>RF-00000218-ORG</v>
      </c>
    </row>
    <row r="4556" spans="1:2" ht="12.5" x14ac:dyDescent="0.25">
      <c r="A4556" t="str">
        <f ca="1">IFERROR(__xludf.DUMMYFUNCTION("""COMPUTED_VALUE"""),"PCB-187")</f>
        <v>PCB-187</v>
      </c>
      <c r="B4556" t="str">
        <f ca="1">IFERROR(__xludf.DUMMYFUNCTION("""COMPUTED_VALUE"""),"RF-00000219-ORG")</f>
        <v>RF-00000219-ORG</v>
      </c>
    </row>
    <row r="4557" spans="1:2" ht="12.5" x14ac:dyDescent="0.25">
      <c r="A4557" t="str">
        <f ca="1">IFERROR(__xludf.DUMMYFUNCTION("""COMPUTED_VALUE"""),"PCB-188")</f>
        <v>PCB-188</v>
      </c>
      <c r="B4557" t="str">
        <f ca="1">IFERROR(__xludf.DUMMYFUNCTION("""COMPUTED_VALUE"""),"RF-00000220-ORG")</f>
        <v>RF-00000220-ORG</v>
      </c>
    </row>
    <row r="4558" spans="1:2" ht="12.5" x14ac:dyDescent="0.25">
      <c r="A4558" t="str">
        <f ca="1">IFERROR(__xludf.DUMMYFUNCTION("""COMPUTED_VALUE"""),"PCB-189")</f>
        <v>PCB-189</v>
      </c>
      <c r="B4558" t="str">
        <f ca="1">IFERROR(__xludf.DUMMYFUNCTION("""COMPUTED_VALUE"""),"RF-00000124-ORG")</f>
        <v>RF-00000124-ORG</v>
      </c>
    </row>
    <row r="4559" spans="1:2" ht="12.5" x14ac:dyDescent="0.25">
      <c r="A4559" t="str">
        <f ca="1">IFERROR(__xludf.DUMMYFUNCTION("""COMPUTED_VALUE"""),"PCB-19")</f>
        <v>PCB-19</v>
      </c>
      <c r="B4559" t="str">
        <f ca="1">IFERROR(__xludf.DUMMYFUNCTION("""COMPUTED_VALUE"""),"RF-00000221-ORG")</f>
        <v>RF-00000221-ORG</v>
      </c>
    </row>
    <row r="4560" spans="1:2" ht="12.5" x14ac:dyDescent="0.25">
      <c r="A4560" t="str">
        <f ca="1">IFERROR(__xludf.DUMMYFUNCTION("""COMPUTED_VALUE"""),"PCB-190")</f>
        <v>PCB-190</v>
      </c>
      <c r="B4560" t="str">
        <f ca="1">IFERROR(__xludf.DUMMYFUNCTION("""COMPUTED_VALUE"""),"RF-00000222-ORG")</f>
        <v>RF-00000222-ORG</v>
      </c>
    </row>
    <row r="4561" spans="1:2" ht="12.5" x14ac:dyDescent="0.25">
      <c r="A4561" t="str">
        <f ca="1">IFERROR(__xludf.DUMMYFUNCTION("""COMPUTED_VALUE"""),"PCB-191")</f>
        <v>PCB-191</v>
      </c>
      <c r="B4561" t="str">
        <f ca="1">IFERROR(__xludf.DUMMYFUNCTION("""COMPUTED_VALUE"""),"RF-00000223-ORG")</f>
        <v>RF-00000223-ORG</v>
      </c>
    </row>
    <row r="4562" spans="1:2" ht="12.5" x14ac:dyDescent="0.25">
      <c r="A4562" t="str">
        <f ca="1">IFERROR(__xludf.DUMMYFUNCTION("""COMPUTED_VALUE"""),"PCB-192")</f>
        <v>PCB-192</v>
      </c>
      <c r="B4562" t="str">
        <f ca="1">IFERROR(__xludf.DUMMYFUNCTION("""COMPUTED_VALUE"""),"RF-00000224-ORG")</f>
        <v>RF-00000224-ORG</v>
      </c>
    </row>
    <row r="4563" spans="1:2" ht="12.5" x14ac:dyDescent="0.25">
      <c r="A4563" t="str">
        <f ca="1">IFERROR(__xludf.DUMMYFUNCTION("""COMPUTED_VALUE"""),"PCB-193")</f>
        <v>PCB-193</v>
      </c>
      <c r="B4563" t="str">
        <f ca="1">IFERROR(__xludf.DUMMYFUNCTION("""COMPUTED_VALUE"""),"RF-00000225-ORG")</f>
        <v>RF-00000225-ORG</v>
      </c>
    </row>
    <row r="4564" spans="1:2" ht="12.5" x14ac:dyDescent="0.25">
      <c r="A4564" t="str">
        <f ca="1">IFERROR(__xludf.DUMMYFUNCTION("""COMPUTED_VALUE"""),"PCB-194")</f>
        <v>PCB-194</v>
      </c>
      <c r="B4564" t="str">
        <f ca="1">IFERROR(__xludf.DUMMYFUNCTION("""COMPUTED_VALUE"""),"RF-00000226-ORG")</f>
        <v>RF-00000226-ORG</v>
      </c>
    </row>
    <row r="4565" spans="1:2" ht="12.5" x14ac:dyDescent="0.25">
      <c r="A4565" t="str">
        <f ca="1">IFERROR(__xludf.DUMMYFUNCTION("""COMPUTED_VALUE"""),"PCB-195")</f>
        <v>PCB-195</v>
      </c>
      <c r="B4565" t="str">
        <f ca="1">IFERROR(__xludf.DUMMYFUNCTION("""COMPUTED_VALUE"""),"RF-00000227-ORG")</f>
        <v>RF-00000227-ORG</v>
      </c>
    </row>
    <row r="4566" spans="1:2" ht="12.5" x14ac:dyDescent="0.25">
      <c r="A4566" t="str">
        <f ca="1">IFERROR(__xludf.DUMMYFUNCTION("""COMPUTED_VALUE"""),"PCB-196")</f>
        <v>PCB-196</v>
      </c>
      <c r="B4566" t="str">
        <f ca="1">IFERROR(__xludf.DUMMYFUNCTION("""COMPUTED_VALUE"""),"RF-00000228-ORG")</f>
        <v>RF-00000228-ORG</v>
      </c>
    </row>
    <row r="4567" spans="1:2" ht="12.5" x14ac:dyDescent="0.25">
      <c r="A4567" t="str">
        <f ca="1">IFERROR(__xludf.DUMMYFUNCTION("""COMPUTED_VALUE"""),"PCB-197")</f>
        <v>PCB-197</v>
      </c>
      <c r="B4567" t="str">
        <f ca="1">IFERROR(__xludf.DUMMYFUNCTION("""COMPUTED_VALUE"""),"RF-00000229-ORG")</f>
        <v>RF-00000229-ORG</v>
      </c>
    </row>
    <row r="4568" spans="1:2" ht="12.5" x14ac:dyDescent="0.25">
      <c r="A4568" t="str">
        <f ca="1">IFERROR(__xludf.DUMMYFUNCTION("""COMPUTED_VALUE"""),"PCB-198")</f>
        <v>PCB-198</v>
      </c>
      <c r="B4568" t="str">
        <f ca="1">IFERROR(__xludf.DUMMYFUNCTION("""COMPUTED_VALUE"""),"RF-00000230-ORG")</f>
        <v>RF-00000230-ORG</v>
      </c>
    </row>
    <row r="4569" spans="1:2" ht="12.5" x14ac:dyDescent="0.25">
      <c r="A4569" t="str">
        <f ca="1">IFERROR(__xludf.DUMMYFUNCTION("""COMPUTED_VALUE"""),"PCB-199")</f>
        <v>PCB-199</v>
      </c>
      <c r="B4569" t="str">
        <f ca="1">IFERROR(__xludf.DUMMYFUNCTION("""COMPUTED_VALUE"""),"RF-00000231-ORG")</f>
        <v>RF-00000231-ORG</v>
      </c>
    </row>
    <row r="4570" spans="1:2" ht="12.5" x14ac:dyDescent="0.25">
      <c r="A4570" t="str">
        <f ca="1">IFERROR(__xludf.DUMMYFUNCTION("""COMPUTED_VALUE"""),"PCB-2")</f>
        <v>PCB-2</v>
      </c>
      <c r="B4570" t="str">
        <f ca="1">IFERROR(__xludf.DUMMYFUNCTION("""COMPUTED_VALUE"""),"RF-00000232-ORG")</f>
        <v>RF-00000232-ORG</v>
      </c>
    </row>
    <row r="4571" spans="1:2" ht="12.5" x14ac:dyDescent="0.25">
      <c r="A4571" t="str">
        <f ca="1">IFERROR(__xludf.DUMMYFUNCTION("""COMPUTED_VALUE"""),"PCB-20")</f>
        <v>PCB-20</v>
      </c>
      <c r="B4571" t="str">
        <f ca="1">IFERROR(__xludf.DUMMYFUNCTION("""COMPUTED_VALUE"""),"RF-00000233-ORG")</f>
        <v>RF-00000233-ORG</v>
      </c>
    </row>
    <row r="4572" spans="1:2" ht="12.5" x14ac:dyDescent="0.25">
      <c r="A4572" t="str">
        <f ca="1">IFERROR(__xludf.DUMMYFUNCTION("""COMPUTED_VALUE"""),"PCB-200")</f>
        <v>PCB-200</v>
      </c>
      <c r="B4572" t="str">
        <f ca="1">IFERROR(__xludf.DUMMYFUNCTION("""COMPUTED_VALUE"""),"RF-00000234-ORG")</f>
        <v>RF-00000234-ORG</v>
      </c>
    </row>
    <row r="4573" spans="1:2" ht="12.5" x14ac:dyDescent="0.25">
      <c r="A4573" t="str">
        <f ca="1">IFERROR(__xludf.DUMMYFUNCTION("""COMPUTED_VALUE"""),"PCB-201")</f>
        <v>PCB-201</v>
      </c>
      <c r="B4573" t="str">
        <f ca="1">IFERROR(__xludf.DUMMYFUNCTION("""COMPUTED_VALUE"""),"RF-00000235-ORG")</f>
        <v>RF-00000235-ORG</v>
      </c>
    </row>
    <row r="4574" spans="1:2" ht="12.5" x14ac:dyDescent="0.25">
      <c r="A4574" t="str">
        <f ca="1">IFERROR(__xludf.DUMMYFUNCTION("""COMPUTED_VALUE"""),"PCB-202")</f>
        <v>PCB-202</v>
      </c>
      <c r="B4574" t="str">
        <f ca="1">IFERROR(__xludf.DUMMYFUNCTION("""COMPUTED_VALUE"""),"RF-00000236-ORG")</f>
        <v>RF-00000236-ORG</v>
      </c>
    </row>
    <row r="4575" spans="1:2" ht="12.5" x14ac:dyDescent="0.25">
      <c r="A4575" t="str">
        <f ca="1">IFERROR(__xludf.DUMMYFUNCTION("""COMPUTED_VALUE"""),"PCB-203")</f>
        <v>PCB-203</v>
      </c>
      <c r="B4575" t="str">
        <f ca="1">IFERROR(__xludf.DUMMYFUNCTION("""COMPUTED_VALUE"""),"RF-00000237-ORG")</f>
        <v>RF-00000237-ORG</v>
      </c>
    </row>
    <row r="4576" spans="1:2" ht="12.5" x14ac:dyDescent="0.25">
      <c r="A4576" t="str">
        <f ca="1">IFERROR(__xludf.DUMMYFUNCTION("""COMPUTED_VALUE"""),"PCB-204")</f>
        <v>PCB-204</v>
      </c>
      <c r="B4576" t="str">
        <f ca="1">IFERROR(__xludf.DUMMYFUNCTION("""COMPUTED_VALUE"""),"RF-00000238-ORG")</f>
        <v>RF-00000238-ORG</v>
      </c>
    </row>
    <row r="4577" spans="1:2" ht="12.5" x14ac:dyDescent="0.25">
      <c r="A4577" t="str">
        <f ca="1">IFERROR(__xludf.DUMMYFUNCTION("""COMPUTED_VALUE"""),"PCB-205")</f>
        <v>PCB-205</v>
      </c>
      <c r="B4577" t="str">
        <f ca="1">IFERROR(__xludf.DUMMYFUNCTION("""COMPUTED_VALUE"""),"RF-00000239-ORG")</f>
        <v>RF-00000239-ORG</v>
      </c>
    </row>
    <row r="4578" spans="1:2" ht="12.5" x14ac:dyDescent="0.25">
      <c r="A4578" t="str">
        <f ca="1">IFERROR(__xludf.DUMMYFUNCTION("""COMPUTED_VALUE"""),"PCB-206")</f>
        <v>PCB-206</v>
      </c>
      <c r="B4578" t="str">
        <f ca="1">IFERROR(__xludf.DUMMYFUNCTION("""COMPUTED_VALUE"""),"RF-00000240-ORG")</f>
        <v>RF-00000240-ORG</v>
      </c>
    </row>
    <row r="4579" spans="1:2" ht="12.5" x14ac:dyDescent="0.25">
      <c r="A4579" t="str">
        <f ca="1">IFERROR(__xludf.DUMMYFUNCTION("""COMPUTED_VALUE"""),"PCB-207")</f>
        <v>PCB-207</v>
      </c>
      <c r="B4579" t="str">
        <f ca="1">IFERROR(__xludf.DUMMYFUNCTION("""COMPUTED_VALUE"""),"RF-00000241-ORG")</f>
        <v>RF-00000241-ORG</v>
      </c>
    </row>
    <row r="4580" spans="1:2" ht="12.5" x14ac:dyDescent="0.25">
      <c r="A4580" t="str">
        <f ca="1">IFERROR(__xludf.DUMMYFUNCTION("""COMPUTED_VALUE"""),"PCB-208")</f>
        <v>PCB-208</v>
      </c>
      <c r="B4580" t="str">
        <f ca="1">IFERROR(__xludf.DUMMYFUNCTION("""COMPUTED_VALUE"""),"RF-00000242-ORG")</f>
        <v>RF-00000242-ORG</v>
      </c>
    </row>
    <row r="4581" spans="1:2" ht="12.5" x14ac:dyDescent="0.25">
      <c r="A4581" t="str">
        <f ca="1">IFERROR(__xludf.DUMMYFUNCTION("""COMPUTED_VALUE"""),"PCB-209")</f>
        <v>PCB-209</v>
      </c>
      <c r="B4581" t="str">
        <f ca="1">IFERROR(__xludf.DUMMYFUNCTION("""COMPUTED_VALUE"""),"RF-00000243-ORG")</f>
        <v>RF-00000243-ORG</v>
      </c>
    </row>
    <row r="4582" spans="1:2" ht="12.5" x14ac:dyDescent="0.25">
      <c r="A4582" t="str">
        <f ca="1">IFERROR(__xludf.DUMMYFUNCTION("""COMPUTED_VALUE"""),"PCB-21")</f>
        <v>PCB-21</v>
      </c>
      <c r="B4582" t="str">
        <f ca="1">IFERROR(__xludf.DUMMYFUNCTION("""COMPUTED_VALUE"""),"RF-00000244-ORG")</f>
        <v>RF-00000244-ORG</v>
      </c>
    </row>
    <row r="4583" spans="1:2" ht="12.5" x14ac:dyDescent="0.25">
      <c r="A4583" t="str">
        <f ca="1">IFERROR(__xludf.DUMMYFUNCTION("""COMPUTED_VALUE"""),"PCB-22")</f>
        <v>PCB-22</v>
      </c>
      <c r="B4583" t="str">
        <f ca="1">IFERROR(__xludf.DUMMYFUNCTION("""COMPUTED_VALUE"""),"RF-00000245-ORG")</f>
        <v>RF-00000245-ORG</v>
      </c>
    </row>
    <row r="4584" spans="1:2" ht="12.5" x14ac:dyDescent="0.25">
      <c r="A4584" t="str">
        <f ca="1">IFERROR(__xludf.DUMMYFUNCTION("""COMPUTED_VALUE"""),"PCB-23")</f>
        <v>PCB-23</v>
      </c>
      <c r="B4584" t="str">
        <f ca="1">IFERROR(__xludf.DUMMYFUNCTION("""COMPUTED_VALUE"""),"RF-00000246-ORG")</f>
        <v>RF-00000246-ORG</v>
      </c>
    </row>
    <row r="4585" spans="1:2" ht="12.5" x14ac:dyDescent="0.25">
      <c r="A4585" t="str">
        <f ca="1">IFERROR(__xludf.DUMMYFUNCTION("""COMPUTED_VALUE"""),"PCB-24")</f>
        <v>PCB-24</v>
      </c>
      <c r="B4585" t="str">
        <f ca="1">IFERROR(__xludf.DUMMYFUNCTION("""COMPUTED_VALUE"""),"RF-00000247-ORG")</f>
        <v>RF-00000247-ORG</v>
      </c>
    </row>
    <row r="4586" spans="1:2" ht="12.5" x14ac:dyDescent="0.25">
      <c r="A4586" t="str">
        <f ca="1">IFERROR(__xludf.DUMMYFUNCTION("""COMPUTED_VALUE"""),"PCB-25")</f>
        <v>PCB-25</v>
      </c>
      <c r="B4586" t="str">
        <f ca="1">IFERROR(__xludf.DUMMYFUNCTION("""COMPUTED_VALUE"""),"RF-00000248-ORG")</f>
        <v>RF-00000248-ORG</v>
      </c>
    </row>
    <row r="4587" spans="1:2" ht="12.5" x14ac:dyDescent="0.25">
      <c r="A4587" t="str">
        <f ca="1">IFERROR(__xludf.DUMMYFUNCTION("""COMPUTED_VALUE"""),"PCB-26")</f>
        <v>PCB-26</v>
      </c>
      <c r="B4587" t="str">
        <f ca="1">IFERROR(__xludf.DUMMYFUNCTION("""COMPUTED_VALUE"""),"RF-00000249-ORG")</f>
        <v>RF-00000249-ORG</v>
      </c>
    </row>
    <row r="4588" spans="1:2" ht="12.5" x14ac:dyDescent="0.25">
      <c r="A4588" t="str">
        <f ca="1">IFERROR(__xludf.DUMMYFUNCTION("""COMPUTED_VALUE"""),"PCB-27")</f>
        <v>PCB-27</v>
      </c>
      <c r="B4588" t="str">
        <f ca="1">IFERROR(__xludf.DUMMYFUNCTION("""COMPUTED_VALUE"""),"RF-00000250-ORG")</f>
        <v>RF-00000250-ORG</v>
      </c>
    </row>
    <row r="4589" spans="1:2" ht="12.5" x14ac:dyDescent="0.25">
      <c r="A4589" t="str">
        <f ca="1">IFERROR(__xludf.DUMMYFUNCTION("""COMPUTED_VALUE"""),"PCB-28")</f>
        <v>PCB-28</v>
      </c>
      <c r="B4589" t="str">
        <f ca="1">IFERROR(__xludf.DUMMYFUNCTION("""COMPUTED_VALUE"""),"RF-00000251-ORG")</f>
        <v>RF-00000251-ORG</v>
      </c>
    </row>
    <row r="4590" spans="1:2" ht="12.5" x14ac:dyDescent="0.25">
      <c r="A4590" t="str">
        <f ca="1">IFERROR(__xludf.DUMMYFUNCTION("""COMPUTED_VALUE"""),"PCB-29")</f>
        <v>PCB-29</v>
      </c>
      <c r="B4590" t="str">
        <f ca="1">IFERROR(__xludf.DUMMYFUNCTION("""COMPUTED_VALUE"""),"RF-00000252-ORG")</f>
        <v>RF-00000252-ORG</v>
      </c>
    </row>
    <row r="4591" spans="1:2" ht="12.5" x14ac:dyDescent="0.25">
      <c r="A4591" t="str">
        <f ca="1">IFERROR(__xludf.DUMMYFUNCTION("""COMPUTED_VALUE"""),"PCB-3")</f>
        <v>PCB-3</v>
      </c>
      <c r="B4591" t="str">
        <f ca="1">IFERROR(__xludf.DUMMYFUNCTION("""COMPUTED_VALUE"""),"RF-00000253-ORG")</f>
        <v>RF-00000253-ORG</v>
      </c>
    </row>
    <row r="4592" spans="1:2" ht="12.5" x14ac:dyDescent="0.25">
      <c r="A4592" t="str">
        <f ca="1">IFERROR(__xludf.DUMMYFUNCTION("""COMPUTED_VALUE"""),"PCB-30")</f>
        <v>PCB-30</v>
      </c>
      <c r="B4592" t="str">
        <f ca="1">IFERROR(__xludf.DUMMYFUNCTION("""COMPUTED_VALUE"""),"RF-00000254-ORG")</f>
        <v>RF-00000254-ORG</v>
      </c>
    </row>
    <row r="4593" spans="1:2" ht="12.5" x14ac:dyDescent="0.25">
      <c r="A4593" t="str">
        <f ca="1">IFERROR(__xludf.DUMMYFUNCTION("""COMPUTED_VALUE"""),"PCB-31")</f>
        <v>PCB-31</v>
      </c>
      <c r="B4593" t="str">
        <f ca="1">IFERROR(__xludf.DUMMYFUNCTION("""COMPUTED_VALUE"""),"RF-00000255-ORG")</f>
        <v>RF-00000255-ORG</v>
      </c>
    </row>
    <row r="4594" spans="1:2" ht="12.5" x14ac:dyDescent="0.25">
      <c r="A4594" t="str">
        <f ca="1">IFERROR(__xludf.DUMMYFUNCTION("""COMPUTED_VALUE"""),"PCB-32")</f>
        <v>PCB-32</v>
      </c>
      <c r="B4594" t="str">
        <f ca="1">IFERROR(__xludf.DUMMYFUNCTION("""COMPUTED_VALUE"""),"RF-00000256-ORG")</f>
        <v>RF-00000256-ORG</v>
      </c>
    </row>
    <row r="4595" spans="1:2" ht="12.5" x14ac:dyDescent="0.25">
      <c r="A4595" t="str">
        <f ca="1">IFERROR(__xludf.DUMMYFUNCTION("""COMPUTED_VALUE"""),"PCB-33")</f>
        <v>PCB-33</v>
      </c>
      <c r="B4595" t="str">
        <f ca="1">IFERROR(__xludf.DUMMYFUNCTION("""COMPUTED_VALUE"""),"RF-00000257-ORG")</f>
        <v>RF-00000257-ORG</v>
      </c>
    </row>
    <row r="4596" spans="1:2" ht="12.5" x14ac:dyDescent="0.25">
      <c r="A4596" t="str">
        <f ca="1">IFERROR(__xludf.DUMMYFUNCTION("""COMPUTED_VALUE"""),"PCB-34")</f>
        <v>PCB-34</v>
      </c>
      <c r="B4596" t="str">
        <f ca="1">IFERROR(__xludf.DUMMYFUNCTION("""COMPUTED_VALUE"""),"RF-00000258-ORG")</f>
        <v>RF-00000258-ORG</v>
      </c>
    </row>
    <row r="4597" spans="1:2" ht="12.5" x14ac:dyDescent="0.25">
      <c r="A4597" t="str">
        <f ca="1">IFERROR(__xludf.DUMMYFUNCTION("""COMPUTED_VALUE"""),"PCB-35")</f>
        <v>PCB-35</v>
      </c>
      <c r="B4597" t="str">
        <f ca="1">IFERROR(__xludf.DUMMYFUNCTION("""COMPUTED_VALUE"""),"RF-00000259-ORG")</f>
        <v>RF-00000259-ORG</v>
      </c>
    </row>
    <row r="4598" spans="1:2" ht="12.5" x14ac:dyDescent="0.25">
      <c r="A4598" t="str">
        <f ca="1">IFERROR(__xludf.DUMMYFUNCTION("""COMPUTED_VALUE"""),"PCB-36")</f>
        <v>PCB-36</v>
      </c>
      <c r="B4598" t="str">
        <f ca="1">IFERROR(__xludf.DUMMYFUNCTION("""COMPUTED_VALUE"""),"RF-00000260-ORG")</f>
        <v>RF-00000260-ORG</v>
      </c>
    </row>
    <row r="4599" spans="1:2" ht="12.5" x14ac:dyDescent="0.25">
      <c r="A4599" t="str">
        <f ca="1">IFERROR(__xludf.DUMMYFUNCTION("""COMPUTED_VALUE"""),"PCB-37")</f>
        <v>PCB-37</v>
      </c>
      <c r="B4599" t="str">
        <f ca="1">IFERROR(__xludf.DUMMYFUNCTION("""COMPUTED_VALUE"""),"RF-00000261-ORG")</f>
        <v>RF-00000261-ORG</v>
      </c>
    </row>
    <row r="4600" spans="1:2" ht="12.5" x14ac:dyDescent="0.25">
      <c r="A4600" t="str">
        <f ca="1">IFERROR(__xludf.DUMMYFUNCTION("""COMPUTED_VALUE"""),"PCB-38")</f>
        <v>PCB-38</v>
      </c>
      <c r="B4600" t="str">
        <f ca="1">IFERROR(__xludf.DUMMYFUNCTION("""COMPUTED_VALUE"""),"RF-00000262-ORG")</f>
        <v>RF-00000262-ORG</v>
      </c>
    </row>
    <row r="4601" spans="1:2" ht="12.5" x14ac:dyDescent="0.25">
      <c r="A4601" t="str">
        <f ca="1">IFERROR(__xludf.DUMMYFUNCTION("""COMPUTED_VALUE"""),"PCB-39")</f>
        <v>PCB-39</v>
      </c>
      <c r="B4601" t="str">
        <f ca="1">IFERROR(__xludf.DUMMYFUNCTION("""COMPUTED_VALUE"""),"RF-00000263-ORG")</f>
        <v>RF-00000263-ORG</v>
      </c>
    </row>
    <row r="4602" spans="1:2" ht="12.5" x14ac:dyDescent="0.25">
      <c r="A4602" t="str">
        <f ca="1">IFERROR(__xludf.DUMMYFUNCTION("""COMPUTED_VALUE"""),"PCB-4")</f>
        <v>PCB-4</v>
      </c>
      <c r="B4602" t="str">
        <f ca="1">IFERROR(__xludf.DUMMYFUNCTION("""COMPUTED_VALUE"""),"RF-00000264-ORG")</f>
        <v>RF-00000264-ORG</v>
      </c>
    </row>
    <row r="4603" spans="1:2" ht="12.5" x14ac:dyDescent="0.25">
      <c r="A4603" t="str">
        <f ca="1">IFERROR(__xludf.DUMMYFUNCTION("""COMPUTED_VALUE"""),"PCB-40")</f>
        <v>PCB-40</v>
      </c>
      <c r="B4603" t="str">
        <f ca="1">IFERROR(__xludf.DUMMYFUNCTION("""COMPUTED_VALUE"""),"RF-00000265-ORG")</f>
        <v>RF-00000265-ORG</v>
      </c>
    </row>
    <row r="4604" spans="1:2" ht="12.5" x14ac:dyDescent="0.25">
      <c r="A4604" t="str">
        <f ca="1">IFERROR(__xludf.DUMMYFUNCTION("""COMPUTED_VALUE"""),"PCB-41")</f>
        <v>PCB-41</v>
      </c>
      <c r="B4604" t="str">
        <f ca="1">IFERROR(__xludf.DUMMYFUNCTION("""COMPUTED_VALUE"""),"RF-00000266-ORG")</f>
        <v>RF-00000266-ORG</v>
      </c>
    </row>
    <row r="4605" spans="1:2" ht="12.5" x14ac:dyDescent="0.25">
      <c r="A4605" t="str">
        <f ca="1">IFERROR(__xludf.DUMMYFUNCTION("""COMPUTED_VALUE"""),"PCB-42")</f>
        <v>PCB-42</v>
      </c>
      <c r="B4605" t="str">
        <f ca="1">IFERROR(__xludf.DUMMYFUNCTION("""COMPUTED_VALUE"""),"RF-00000267-ORG")</f>
        <v>RF-00000267-ORG</v>
      </c>
    </row>
    <row r="4606" spans="1:2" ht="12.5" x14ac:dyDescent="0.25">
      <c r="A4606" t="str">
        <f ca="1">IFERROR(__xludf.DUMMYFUNCTION("""COMPUTED_VALUE"""),"PCB-43")</f>
        <v>PCB-43</v>
      </c>
      <c r="B4606" t="str">
        <f ca="1">IFERROR(__xludf.DUMMYFUNCTION("""COMPUTED_VALUE"""),"RF-00000268-ORG")</f>
        <v>RF-00000268-ORG</v>
      </c>
    </row>
    <row r="4607" spans="1:2" ht="12.5" x14ac:dyDescent="0.25">
      <c r="A4607" t="str">
        <f ca="1">IFERROR(__xludf.DUMMYFUNCTION("""COMPUTED_VALUE"""),"PCB-44")</f>
        <v>PCB-44</v>
      </c>
      <c r="B4607" t="str">
        <f ca="1">IFERROR(__xludf.DUMMYFUNCTION("""COMPUTED_VALUE"""),"RF-00000269-ORG")</f>
        <v>RF-00000269-ORG</v>
      </c>
    </row>
    <row r="4608" spans="1:2" ht="12.5" x14ac:dyDescent="0.25">
      <c r="A4608" t="str">
        <f ca="1">IFERROR(__xludf.DUMMYFUNCTION("""COMPUTED_VALUE"""),"PCB-45")</f>
        <v>PCB-45</v>
      </c>
      <c r="B4608" t="str">
        <f ca="1">IFERROR(__xludf.DUMMYFUNCTION("""COMPUTED_VALUE"""),"RF-00000270-ORG")</f>
        <v>RF-00000270-ORG</v>
      </c>
    </row>
    <row r="4609" spans="1:2" ht="12.5" x14ac:dyDescent="0.25">
      <c r="A4609" t="str">
        <f ca="1">IFERROR(__xludf.DUMMYFUNCTION("""COMPUTED_VALUE"""),"PCB-46")</f>
        <v>PCB-46</v>
      </c>
      <c r="B4609" t="str">
        <f ca="1">IFERROR(__xludf.DUMMYFUNCTION("""COMPUTED_VALUE"""),"RF-00000271-ORG")</f>
        <v>RF-00000271-ORG</v>
      </c>
    </row>
    <row r="4610" spans="1:2" ht="12.5" x14ac:dyDescent="0.25">
      <c r="A4610" t="str">
        <f ca="1">IFERROR(__xludf.DUMMYFUNCTION("""COMPUTED_VALUE"""),"PCB-47")</f>
        <v>PCB-47</v>
      </c>
      <c r="B4610" t="str">
        <f ca="1">IFERROR(__xludf.DUMMYFUNCTION("""COMPUTED_VALUE"""),"RF-00000272-ORG")</f>
        <v>RF-00000272-ORG</v>
      </c>
    </row>
    <row r="4611" spans="1:2" ht="12.5" x14ac:dyDescent="0.25">
      <c r="A4611" t="str">
        <f ca="1">IFERROR(__xludf.DUMMYFUNCTION("""COMPUTED_VALUE"""),"PCB-48")</f>
        <v>PCB-48</v>
      </c>
      <c r="B4611" t="str">
        <f ca="1">IFERROR(__xludf.DUMMYFUNCTION("""COMPUTED_VALUE"""),"RF-00000273-ORG")</f>
        <v>RF-00000273-ORG</v>
      </c>
    </row>
    <row r="4612" spans="1:2" ht="12.5" x14ac:dyDescent="0.25">
      <c r="A4612" t="str">
        <f ca="1">IFERROR(__xludf.DUMMYFUNCTION("""COMPUTED_VALUE"""),"PCB-49")</f>
        <v>PCB-49</v>
      </c>
      <c r="B4612" t="str">
        <f ca="1">IFERROR(__xludf.DUMMYFUNCTION("""COMPUTED_VALUE"""),"RF-00000274-ORG")</f>
        <v>RF-00000274-ORG</v>
      </c>
    </row>
    <row r="4613" spans="1:2" ht="12.5" x14ac:dyDescent="0.25">
      <c r="A4613" t="str">
        <f ca="1">IFERROR(__xludf.DUMMYFUNCTION("""COMPUTED_VALUE"""),"PCB-5")</f>
        <v>PCB-5</v>
      </c>
      <c r="B4613" t="str">
        <f ca="1">IFERROR(__xludf.DUMMYFUNCTION("""COMPUTED_VALUE"""),"RF-00000275-ORG")</f>
        <v>RF-00000275-ORG</v>
      </c>
    </row>
    <row r="4614" spans="1:2" ht="12.5" x14ac:dyDescent="0.25">
      <c r="A4614" t="str">
        <f ca="1">IFERROR(__xludf.DUMMYFUNCTION("""COMPUTED_VALUE"""),"PCB-50")</f>
        <v>PCB-50</v>
      </c>
      <c r="B4614" t="str">
        <f ca="1">IFERROR(__xludf.DUMMYFUNCTION("""COMPUTED_VALUE"""),"RF-00000276-ORG")</f>
        <v>RF-00000276-ORG</v>
      </c>
    </row>
    <row r="4615" spans="1:2" ht="12.5" x14ac:dyDescent="0.25">
      <c r="A4615" t="str">
        <f ca="1">IFERROR(__xludf.DUMMYFUNCTION("""COMPUTED_VALUE"""),"PCB-51")</f>
        <v>PCB-51</v>
      </c>
      <c r="B4615" t="str">
        <f ca="1">IFERROR(__xludf.DUMMYFUNCTION("""COMPUTED_VALUE"""),"RF-00000277-ORG")</f>
        <v>RF-00000277-ORG</v>
      </c>
    </row>
    <row r="4616" spans="1:2" ht="12.5" x14ac:dyDescent="0.25">
      <c r="A4616" t="str">
        <f ca="1">IFERROR(__xludf.DUMMYFUNCTION("""COMPUTED_VALUE"""),"PCB-52")</f>
        <v>PCB-52</v>
      </c>
      <c r="B4616" t="str">
        <f ca="1">IFERROR(__xludf.DUMMYFUNCTION("""COMPUTED_VALUE"""),"RF-00000278-ORG")</f>
        <v>RF-00000278-ORG</v>
      </c>
    </row>
    <row r="4617" spans="1:2" ht="12.5" x14ac:dyDescent="0.25">
      <c r="A4617" t="str">
        <f ca="1">IFERROR(__xludf.DUMMYFUNCTION("""COMPUTED_VALUE"""),"PCB-53")</f>
        <v>PCB-53</v>
      </c>
      <c r="B4617" t="str">
        <f ca="1">IFERROR(__xludf.DUMMYFUNCTION("""COMPUTED_VALUE"""),"RF-00000279-ORG")</f>
        <v>RF-00000279-ORG</v>
      </c>
    </row>
    <row r="4618" spans="1:2" ht="12.5" x14ac:dyDescent="0.25">
      <c r="A4618" t="str">
        <f ca="1">IFERROR(__xludf.DUMMYFUNCTION("""COMPUTED_VALUE"""),"PCB-54")</f>
        <v>PCB-54</v>
      </c>
      <c r="B4618" t="str">
        <f ca="1">IFERROR(__xludf.DUMMYFUNCTION("""COMPUTED_VALUE"""),"RF-00000280-ORG")</f>
        <v>RF-00000280-ORG</v>
      </c>
    </row>
    <row r="4619" spans="1:2" ht="12.5" x14ac:dyDescent="0.25">
      <c r="A4619" t="str">
        <f ca="1">IFERROR(__xludf.DUMMYFUNCTION("""COMPUTED_VALUE"""),"PCB-55")</f>
        <v>PCB-55</v>
      </c>
      <c r="B4619" t="str">
        <f ca="1">IFERROR(__xludf.DUMMYFUNCTION("""COMPUTED_VALUE"""),"RF-00000281-ORG")</f>
        <v>RF-00000281-ORG</v>
      </c>
    </row>
    <row r="4620" spans="1:2" ht="12.5" x14ac:dyDescent="0.25">
      <c r="A4620" t="str">
        <f ca="1">IFERROR(__xludf.DUMMYFUNCTION("""COMPUTED_VALUE"""),"PCB-56")</f>
        <v>PCB-56</v>
      </c>
      <c r="B4620" t="str">
        <f ca="1">IFERROR(__xludf.DUMMYFUNCTION("""COMPUTED_VALUE"""),"RF-00000282-ORG")</f>
        <v>RF-00000282-ORG</v>
      </c>
    </row>
    <row r="4621" spans="1:2" ht="12.5" x14ac:dyDescent="0.25">
      <c r="A4621" t="str">
        <f ca="1">IFERROR(__xludf.DUMMYFUNCTION("""COMPUTED_VALUE"""),"PCB-57")</f>
        <v>PCB-57</v>
      </c>
      <c r="B4621" t="str">
        <f ca="1">IFERROR(__xludf.DUMMYFUNCTION("""COMPUTED_VALUE"""),"RF-00000283-ORG")</f>
        <v>RF-00000283-ORG</v>
      </c>
    </row>
    <row r="4622" spans="1:2" ht="12.5" x14ac:dyDescent="0.25">
      <c r="A4622" t="str">
        <f ca="1">IFERROR(__xludf.DUMMYFUNCTION("""COMPUTED_VALUE"""),"PCB-58")</f>
        <v>PCB-58</v>
      </c>
      <c r="B4622" t="str">
        <f ca="1">IFERROR(__xludf.DUMMYFUNCTION("""COMPUTED_VALUE"""),"RF-00000284-ORG")</f>
        <v>RF-00000284-ORG</v>
      </c>
    </row>
    <row r="4623" spans="1:2" ht="12.5" x14ac:dyDescent="0.25">
      <c r="A4623" t="str">
        <f ca="1">IFERROR(__xludf.DUMMYFUNCTION("""COMPUTED_VALUE"""),"PCB-59")</f>
        <v>PCB-59</v>
      </c>
      <c r="B4623" t="str">
        <f ca="1">IFERROR(__xludf.DUMMYFUNCTION("""COMPUTED_VALUE"""),"RF-00000285-ORG")</f>
        <v>RF-00000285-ORG</v>
      </c>
    </row>
    <row r="4624" spans="1:2" ht="12.5" x14ac:dyDescent="0.25">
      <c r="A4624" t="str">
        <f ca="1">IFERROR(__xludf.DUMMYFUNCTION("""COMPUTED_VALUE"""),"PCB-6")</f>
        <v>PCB-6</v>
      </c>
      <c r="B4624" t="str">
        <f ca="1">IFERROR(__xludf.DUMMYFUNCTION("""COMPUTED_VALUE"""),"RF-00000286-ORG")</f>
        <v>RF-00000286-ORG</v>
      </c>
    </row>
    <row r="4625" spans="1:2" ht="12.5" x14ac:dyDescent="0.25">
      <c r="A4625" t="str">
        <f ca="1">IFERROR(__xludf.DUMMYFUNCTION("""COMPUTED_VALUE"""),"PCB-60")</f>
        <v>PCB-60</v>
      </c>
      <c r="B4625" t="str">
        <f ca="1">IFERROR(__xludf.DUMMYFUNCTION("""COMPUTED_VALUE"""),"RF-00000287-ORG")</f>
        <v>RF-00000287-ORG</v>
      </c>
    </row>
    <row r="4626" spans="1:2" ht="12.5" x14ac:dyDescent="0.25">
      <c r="A4626" t="str">
        <f ca="1">IFERROR(__xludf.DUMMYFUNCTION("""COMPUTED_VALUE"""),"PCB-61")</f>
        <v>PCB-61</v>
      </c>
      <c r="B4626" t="str">
        <f ca="1">IFERROR(__xludf.DUMMYFUNCTION("""COMPUTED_VALUE"""),"RF-00000288-ORG")</f>
        <v>RF-00000288-ORG</v>
      </c>
    </row>
    <row r="4627" spans="1:2" ht="12.5" x14ac:dyDescent="0.25">
      <c r="A4627" t="str">
        <f ca="1">IFERROR(__xludf.DUMMYFUNCTION("""COMPUTED_VALUE"""),"PCB-62")</f>
        <v>PCB-62</v>
      </c>
      <c r="B4627" t="str">
        <f ca="1">IFERROR(__xludf.DUMMYFUNCTION("""COMPUTED_VALUE"""),"RF-00000289-ORG")</f>
        <v>RF-00000289-ORG</v>
      </c>
    </row>
    <row r="4628" spans="1:2" ht="12.5" x14ac:dyDescent="0.25">
      <c r="A4628" t="str">
        <f ca="1">IFERROR(__xludf.DUMMYFUNCTION("""COMPUTED_VALUE"""),"PCB-63")</f>
        <v>PCB-63</v>
      </c>
      <c r="B4628" t="str">
        <f ca="1">IFERROR(__xludf.DUMMYFUNCTION("""COMPUTED_VALUE"""),"RF-00000290-ORG")</f>
        <v>RF-00000290-ORG</v>
      </c>
    </row>
    <row r="4629" spans="1:2" ht="12.5" x14ac:dyDescent="0.25">
      <c r="A4629" t="str">
        <f ca="1">IFERROR(__xludf.DUMMYFUNCTION("""COMPUTED_VALUE"""),"PCB-64")</f>
        <v>PCB-64</v>
      </c>
      <c r="B4629" t="str">
        <f ca="1">IFERROR(__xludf.DUMMYFUNCTION("""COMPUTED_VALUE"""),"RF-00000291-ORG")</f>
        <v>RF-00000291-ORG</v>
      </c>
    </row>
    <row r="4630" spans="1:2" ht="12.5" x14ac:dyDescent="0.25">
      <c r="A4630" t="str">
        <f ca="1">IFERROR(__xludf.DUMMYFUNCTION("""COMPUTED_VALUE"""),"PCB-65")</f>
        <v>PCB-65</v>
      </c>
      <c r="B4630" t="str">
        <f ca="1">IFERROR(__xludf.DUMMYFUNCTION("""COMPUTED_VALUE"""),"RF-00000292-ORG")</f>
        <v>RF-00000292-ORG</v>
      </c>
    </row>
    <row r="4631" spans="1:2" ht="12.5" x14ac:dyDescent="0.25">
      <c r="A4631" t="str">
        <f ca="1">IFERROR(__xludf.DUMMYFUNCTION("""COMPUTED_VALUE"""),"PCB-66")</f>
        <v>PCB-66</v>
      </c>
      <c r="B4631" t="str">
        <f ca="1">IFERROR(__xludf.DUMMYFUNCTION("""COMPUTED_VALUE"""),"RF-00000293-ORG")</f>
        <v>RF-00000293-ORG</v>
      </c>
    </row>
    <row r="4632" spans="1:2" ht="12.5" x14ac:dyDescent="0.25">
      <c r="A4632" t="str">
        <f ca="1">IFERROR(__xludf.DUMMYFUNCTION("""COMPUTED_VALUE"""),"PCB-67")</f>
        <v>PCB-67</v>
      </c>
      <c r="B4632" t="str">
        <f ca="1">IFERROR(__xludf.DUMMYFUNCTION("""COMPUTED_VALUE"""),"RF-00000294-ORG")</f>
        <v>RF-00000294-ORG</v>
      </c>
    </row>
    <row r="4633" spans="1:2" ht="12.5" x14ac:dyDescent="0.25">
      <c r="A4633" t="str">
        <f ca="1">IFERROR(__xludf.DUMMYFUNCTION("""COMPUTED_VALUE"""),"PCB-68")</f>
        <v>PCB-68</v>
      </c>
      <c r="B4633" t="str">
        <f ca="1">IFERROR(__xludf.DUMMYFUNCTION("""COMPUTED_VALUE"""),"RF-00000295-ORG")</f>
        <v>RF-00000295-ORG</v>
      </c>
    </row>
    <row r="4634" spans="1:2" ht="12.5" x14ac:dyDescent="0.25">
      <c r="A4634" t="str">
        <f ca="1">IFERROR(__xludf.DUMMYFUNCTION("""COMPUTED_VALUE"""),"PCB-69")</f>
        <v>PCB-69</v>
      </c>
      <c r="B4634" t="str">
        <f ca="1">IFERROR(__xludf.DUMMYFUNCTION("""COMPUTED_VALUE"""),"RF-00000296-ORG")</f>
        <v>RF-00000296-ORG</v>
      </c>
    </row>
    <row r="4635" spans="1:2" ht="12.5" x14ac:dyDescent="0.25">
      <c r="A4635" t="str">
        <f ca="1">IFERROR(__xludf.DUMMYFUNCTION("""COMPUTED_VALUE"""),"PCB-7")</f>
        <v>PCB-7</v>
      </c>
      <c r="B4635" t="str">
        <f ca="1">IFERROR(__xludf.DUMMYFUNCTION("""COMPUTED_VALUE"""),"RF-00000297-ORG")</f>
        <v>RF-00000297-ORG</v>
      </c>
    </row>
    <row r="4636" spans="1:2" ht="12.5" x14ac:dyDescent="0.25">
      <c r="A4636" t="str">
        <f ca="1">IFERROR(__xludf.DUMMYFUNCTION("""COMPUTED_VALUE"""),"PCB-70")</f>
        <v>PCB-70</v>
      </c>
      <c r="B4636" t="str">
        <f ca="1">IFERROR(__xludf.DUMMYFUNCTION("""COMPUTED_VALUE"""),"RF-00000298-ORG")</f>
        <v>RF-00000298-ORG</v>
      </c>
    </row>
    <row r="4637" spans="1:2" ht="12.5" x14ac:dyDescent="0.25">
      <c r="A4637" t="str">
        <f ca="1">IFERROR(__xludf.DUMMYFUNCTION("""COMPUTED_VALUE"""),"PCB-71")</f>
        <v>PCB-71</v>
      </c>
      <c r="B4637" t="str">
        <f ca="1">IFERROR(__xludf.DUMMYFUNCTION("""COMPUTED_VALUE"""),"RF-00000299-ORG")</f>
        <v>RF-00000299-ORG</v>
      </c>
    </row>
    <row r="4638" spans="1:2" ht="12.5" x14ac:dyDescent="0.25">
      <c r="A4638" t="str">
        <f ca="1">IFERROR(__xludf.DUMMYFUNCTION("""COMPUTED_VALUE"""),"PCB-72")</f>
        <v>PCB-72</v>
      </c>
      <c r="B4638" t="str">
        <f ca="1">IFERROR(__xludf.DUMMYFUNCTION("""COMPUTED_VALUE"""),"RF-00000300-ORG")</f>
        <v>RF-00000300-ORG</v>
      </c>
    </row>
    <row r="4639" spans="1:2" ht="12.5" x14ac:dyDescent="0.25">
      <c r="A4639" t="str">
        <f ca="1">IFERROR(__xludf.DUMMYFUNCTION("""COMPUTED_VALUE"""),"PCB-73")</f>
        <v>PCB-73</v>
      </c>
      <c r="B4639" t="str">
        <f ca="1">IFERROR(__xludf.DUMMYFUNCTION("""COMPUTED_VALUE"""),"RF-00000301-ORG")</f>
        <v>RF-00000301-ORG</v>
      </c>
    </row>
    <row r="4640" spans="1:2" ht="12.5" x14ac:dyDescent="0.25">
      <c r="A4640" t="str">
        <f ca="1">IFERROR(__xludf.DUMMYFUNCTION("""COMPUTED_VALUE"""),"PCB-74")</f>
        <v>PCB-74</v>
      </c>
      <c r="B4640" t="str">
        <f ca="1">IFERROR(__xludf.DUMMYFUNCTION("""COMPUTED_VALUE"""),"RF-00000302-ORG")</f>
        <v>RF-00000302-ORG</v>
      </c>
    </row>
    <row r="4641" spans="1:2" ht="12.5" x14ac:dyDescent="0.25">
      <c r="A4641" t="str">
        <f ca="1">IFERROR(__xludf.DUMMYFUNCTION("""COMPUTED_VALUE"""),"PCB-75")</f>
        <v>PCB-75</v>
      </c>
      <c r="B4641" t="str">
        <f ca="1">IFERROR(__xludf.DUMMYFUNCTION("""COMPUTED_VALUE"""),"RF-00000303-ORG")</f>
        <v>RF-00000303-ORG</v>
      </c>
    </row>
    <row r="4642" spans="1:2" ht="12.5" x14ac:dyDescent="0.25">
      <c r="A4642" t="str">
        <f ca="1">IFERROR(__xludf.DUMMYFUNCTION("""COMPUTED_VALUE"""),"PCB-76")</f>
        <v>PCB-76</v>
      </c>
      <c r="B4642" t="str">
        <f ca="1">IFERROR(__xludf.DUMMYFUNCTION("""COMPUTED_VALUE"""),"RF-00000304-ORG")</f>
        <v>RF-00000304-ORG</v>
      </c>
    </row>
    <row r="4643" spans="1:2" ht="12.5" x14ac:dyDescent="0.25">
      <c r="A4643" t="str">
        <f ca="1">IFERROR(__xludf.DUMMYFUNCTION("""COMPUTED_VALUE"""),"PCB-77")</f>
        <v>PCB-77</v>
      </c>
      <c r="B4643" t="str">
        <f ca="1">IFERROR(__xludf.DUMMYFUNCTION("""COMPUTED_VALUE"""),"RF-00000128-ORG")</f>
        <v>RF-00000128-ORG</v>
      </c>
    </row>
    <row r="4644" spans="1:2" ht="12.5" x14ac:dyDescent="0.25">
      <c r="A4644" t="str">
        <f ca="1">IFERROR(__xludf.DUMMYFUNCTION("""COMPUTED_VALUE"""),"PCB-78")</f>
        <v>PCB-78</v>
      </c>
      <c r="B4644" t="str">
        <f ca="1">IFERROR(__xludf.DUMMYFUNCTION("""COMPUTED_VALUE"""),"RF-00000305-ORG")</f>
        <v>RF-00000305-ORG</v>
      </c>
    </row>
    <row r="4645" spans="1:2" ht="12.5" x14ac:dyDescent="0.25">
      <c r="A4645" t="str">
        <f ca="1">IFERROR(__xludf.DUMMYFUNCTION("""COMPUTED_VALUE"""),"PCB-79")</f>
        <v>PCB-79</v>
      </c>
      <c r="B4645" t="str">
        <f ca="1">IFERROR(__xludf.DUMMYFUNCTION("""COMPUTED_VALUE"""),"RF-00000306-ORG")</f>
        <v>RF-00000306-ORG</v>
      </c>
    </row>
    <row r="4646" spans="1:2" ht="12.5" x14ac:dyDescent="0.25">
      <c r="A4646" t="str">
        <f ca="1">IFERROR(__xludf.DUMMYFUNCTION("""COMPUTED_VALUE"""),"PCB-8")</f>
        <v>PCB-8</v>
      </c>
      <c r="B4646" t="str">
        <f ca="1">IFERROR(__xludf.DUMMYFUNCTION("""COMPUTED_VALUE"""),"RF-00000307-ORG")</f>
        <v>RF-00000307-ORG</v>
      </c>
    </row>
    <row r="4647" spans="1:2" ht="12.5" x14ac:dyDescent="0.25">
      <c r="A4647" t="str">
        <f ca="1">IFERROR(__xludf.DUMMYFUNCTION("""COMPUTED_VALUE"""),"PCB-80")</f>
        <v>PCB-80</v>
      </c>
      <c r="B4647" t="str">
        <f ca="1">IFERROR(__xludf.DUMMYFUNCTION("""COMPUTED_VALUE"""),"RF-00000308-ORG")</f>
        <v>RF-00000308-ORG</v>
      </c>
    </row>
    <row r="4648" spans="1:2" ht="12.5" x14ac:dyDescent="0.25">
      <c r="A4648" t="str">
        <f ca="1">IFERROR(__xludf.DUMMYFUNCTION("""COMPUTED_VALUE"""),"PCB-81")</f>
        <v>PCB-81</v>
      </c>
      <c r="B4648" t="str">
        <f ca="1">IFERROR(__xludf.DUMMYFUNCTION("""COMPUTED_VALUE"""),"RF-00000129-ORG")</f>
        <v>RF-00000129-ORG</v>
      </c>
    </row>
    <row r="4649" spans="1:2" ht="12.5" x14ac:dyDescent="0.25">
      <c r="A4649" t="str">
        <f ca="1">IFERROR(__xludf.DUMMYFUNCTION("""COMPUTED_VALUE"""),"PCB-82")</f>
        <v>PCB-82</v>
      </c>
      <c r="B4649" t="str">
        <f ca="1">IFERROR(__xludf.DUMMYFUNCTION("""COMPUTED_VALUE"""),"RF-00000309-ORG")</f>
        <v>RF-00000309-ORG</v>
      </c>
    </row>
    <row r="4650" spans="1:2" ht="12.5" x14ac:dyDescent="0.25">
      <c r="A4650" t="str">
        <f ca="1">IFERROR(__xludf.DUMMYFUNCTION("""COMPUTED_VALUE"""),"PCB-83")</f>
        <v>PCB-83</v>
      </c>
      <c r="B4650" t="str">
        <f ca="1">IFERROR(__xludf.DUMMYFUNCTION("""COMPUTED_VALUE"""),"RF-00000310-ORG")</f>
        <v>RF-00000310-ORG</v>
      </c>
    </row>
    <row r="4651" spans="1:2" ht="12.5" x14ac:dyDescent="0.25">
      <c r="A4651" t="str">
        <f ca="1">IFERROR(__xludf.DUMMYFUNCTION("""COMPUTED_VALUE"""),"PCB-84")</f>
        <v>PCB-84</v>
      </c>
      <c r="B4651" t="str">
        <f ca="1">IFERROR(__xludf.DUMMYFUNCTION("""COMPUTED_VALUE"""),"RF-00000311-ORG")</f>
        <v>RF-00000311-ORG</v>
      </c>
    </row>
    <row r="4652" spans="1:2" ht="12.5" x14ac:dyDescent="0.25">
      <c r="A4652" t="str">
        <f ca="1">IFERROR(__xludf.DUMMYFUNCTION("""COMPUTED_VALUE"""),"PCB-85")</f>
        <v>PCB-85</v>
      </c>
      <c r="B4652" t="str">
        <f ca="1">IFERROR(__xludf.DUMMYFUNCTION("""COMPUTED_VALUE"""),"RF-00000312-ORG")</f>
        <v>RF-00000312-ORG</v>
      </c>
    </row>
    <row r="4653" spans="1:2" ht="12.5" x14ac:dyDescent="0.25">
      <c r="A4653" t="str">
        <f ca="1">IFERROR(__xludf.DUMMYFUNCTION("""COMPUTED_VALUE"""),"PCB-86")</f>
        <v>PCB-86</v>
      </c>
      <c r="B4653" t="str">
        <f ca="1">IFERROR(__xludf.DUMMYFUNCTION("""COMPUTED_VALUE"""),"RF-00000313-ORG")</f>
        <v>RF-00000313-ORG</v>
      </c>
    </row>
    <row r="4654" spans="1:2" ht="12.5" x14ac:dyDescent="0.25">
      <c r="A4654" t="str">
        <f ca="1">IFERROR(__xludf.DUMMYFUNCTION("""COMPUTED_VALUE"""),"PCB-87")</f>
        <v>PCB-87</v>
      </c>
      <c r="B4654" t="str">
        <f ca="1">IFERROR(__xludf.DUMMYFUNCTION("""COMPUTED_VALUE"""),"RF-00000314-ORG")</f>
        <v>RF-00000314-ORG</v>
      </c>
    </row>
    <row r="4655" spans="1:2" ht="12.5" x14ac:dyDescent="0.25">
      <c r="A4655" t="str">
        <f ca="1">IFERROR(__xludf.DUMMYFUNCTION("""COMPUTED_VALUE"""),"PCB-88")</f>
        <v>PCB-88</v>
      </c>
      <c r="B4655" t="str">
        <f ca="1">IFERROR(__xludf.DUMMYFUNCTION("""COMPUTED_VALUE"""),"RF-00000315-ORG")</f>
        <v>RF-00000315-ORG</v>
      </c>
    </row>
    <row r="4656" spans="1:2" ht="12.5" x14ac:dyDescent="0.25">
      <c r="A4656" t="str">
        <f ca="1">IFERROR(__xludf.DUMMYFUNCTION("""COMPUTED_VALUE"""),"PCB-89")</f>
        <v>PCB-89</v>
      </c>
      <c r="B4656" t="str">
        <f ca="1">IFERROR(__xludf.DUMMYFUNCTION("""COMPUTED_VALUE"""),"RF-00000316-ORG")</f>
        <v>RF-00000316-ORG</v>
      </c>
    </row>
    <row r="4657" spans="1:2" ht="12.5" x14ac:dyDescent="0.25">
      <c r="A4657" t="str">
        <f ca="1">IFERROR(__xludf.DUMMYFUNCTION("""COMPUTED_VALUE"""),"PCB-9")</f>
        <v>PCB-9</v>
      </c>
      <c r="B4657" t="str">
        <f ca="1">IFERROR(__xludf.DUMMYFUNCTION("""COMPUTED_VALUE"""),"RF-00000317-ORG")</f>
        <v>RF-00000317-ORG</v>
      </c>
    </row>
    <row r="4658" spans="1:2" ht="12.5" x14ac:dyDescent="0.25">
      <c r="A4658" t="str">
        <f ca="1">IFERROR(__xludf.DUMMYFUNCTION("""COMPUTED_VALUE"""),"PCB-90")</f>
        <v>PCB-90</v>
      </c>
      <c r="B4658" t="str">
        <f ca="1">IFERROR(__xludf.DUMMYFUNCTION("""COMPUTED_VALUE"""),"RF-00000318-ORG")</f>
        <v>RF-00000318-ORG</v>
      </c>
    </row>
    <row r="4659" spans="1:2" ht="12.5" x14ac:dyDescent="0.25">
      <c r="A4659" t="str">
        <f ca="1">IFERROR(__xludf.DUMMYFUNCTION("""COMPUTED_VALUE"""),"PCB-91")</f>
        <v>PCB-91</v>
      </c>
      <c r="B4659" t="str">
        <f ca="1">IFERROR(__xludf.DUMMYFUNCTION("""COMPUTED_VALUE"""),"RF-00000319-ORG")</f>
        <v>RF-00000319-ORG</v>
      </c>
    </row>
    <row r="4660" spans="1:2" ht="12.5" x14ac:dyDescent="0.25">
      <c r="A4660" t="str">
        <f ca="1">IFERROR(__xludf.DUMMYFUNCTION("""COMPUTED_VALUE"""),"PCB-92")</f>
        <v>PCB-92</v>
      </c>
      <c r="B4660" t="str">
        <f ca="1">IFERROR(__xludf.DUMMYFUNCTION("""COMPUTED_VALUE"""),"RF-00000320-ORG")</f>
        <v>RF-00000320-ORG</v>
      </c>
    </row>
    <row r="4661" spans="1:2" ht="12.5" x14ac:dyDescent="0.25">
      <c r="A4661" t="str">
        <f ca="1">IFERROR(__xludf.DUMMYFUNCTION("""COMPUTED_VALUE"""),"PCB-93")</f>
        <v>PCB-93</v>
      </c>
      <c r="B4661" t="str">
        <f ca="1">IFERROR(__xludf.DUMMYFUNCTION("""COMPUTED_VALUE"""),"RF-00000321-ORG")</f>
        <v>RF-00000321-ORG</v>
      </c>
    </row>
    <row r="4662" spans="1:2" ht="12.5" x14ac:dyDescent="0.25">
      <c r="A4662" t="str">
        <f ca="1">IFERROR(__xludf.DUMMYFUNCTION("""COMPUTED_VALUE"""),"PCB-94")</f>
        <v>PCB-94</v>
      </c>
      <c r="B4662" t="str">
        <f ca="1">IFERROR(__xludf.DUMMYFUNCTION("""COMPUTED_VALUE"""),"RF-00000322-ORG")</f>
        <v>RF-00000322-ORG</v>
      </c>
    </row>
    <row r="4663" spans="1:2" ht="12.5" x14ac:dyDescent="0.25">
      <c r="A4663" t="str">
        <f ca="1">IFERROR(__xludf.DUMMYFUNCTION("""COMPUTED_VALUE"""),"PCB-95")</f>
        <v>PCB-95</v>
      </c>
      <c r="B4663" t="str">
        <f ca="1">IFERROR(__xludf.DUMMYFUNCTION("""COMPUTED_VALUE"""),"RF-00000323-ORG")</f>
        <v>RF-00000323-ORG</v>
      </c>
    </row>
    <row r="4664" spans="1:2" ht="12.5" x14ac:dyDescent="0.25">
      <c r="A4664" t="str">
        <f ca="1">IFERROR(__xludf.DUMMYFUNCTION("""COMPUTED_VALUE"""),"PCB-96")</f>
        <v>PCB-96</v>
      </c>
      <c r="B4664" t="str">
        <f ca="1">IFERROR(__xludf.DUMMYFUNCTION("""COMPUTED_VALUE"""),"RF-00000324-ORG")</f>
        <v>RF-00000324-ORG</v>
      </c>
    </row>
    <row r="4665" spans="1:2" ht="12.5" x14ac:dyDescent="0.25">
      <c r="A4665" t="str">
        <f ca="1">IFERROR(__xludf.DUMMYFUNCTION("""COMPUTED_VALUE"""),"PCB-97")</f>
        <v>PCB-97</v>
      </c>
      <c r="B4665" t="str">
        <f ca="1">IFERROR(__xludf.DUMMYFUNCTION("""COMPUTED_VALUE"""),"RF-00000325-ORG")</f>
        <v>RF-00000325-ORG</v>
      </c>
    </row>
    <row r="4666" spans="1:2" ht="12.5" x14ac:dyDescent="0.25">
      <c r="A4666" t="str">
        <f ca="1">IFERROR(__xludf.DUMMYFUNCTION("""COMPUTED_VALUE"""),"PCB-98")</f>
        <v>PCB-98</v>
      </c>
      <c r="B4666" t="str">
        <f ca="1">IFERROR(__xludf.DUMMYFUNCTION("""COMPUTED_VALUE"""),"RF-00000326-ORG")</f>
        <v>RF-00000326-ORG</v>
      </c>
    </row>
    <row r="4667" spans="1:2" ht="12.5" x14ac:dyDescent="0.25">
      <c r="A4667" t="str">
        <f ca="1">IFERROR(__xludf.DUMMYFUNCTION("""COMPUTED_VALUE"""),"PCB-99")</f>
        <v>PCB-99</v>
      </c>
      <c r="B4667" t="str">
        <f ca="1">IFERROR(__xludf.DUMMYFUNCTION("""COMPUTED_VALUE"""),"RF-00000327-ORG")</f>
        <v>RF-00000327-ORG</v>
      </c>
    </row>
    <row r="4668" spans="1:2" ht="12.5" x14ac:dyDescent="0.25">
      <c r="A4668" t="str">
        <f ca="1">IFERROR(__xludf.DUMMYFUNCTION("""COMPUTED_VALUE"""),"Pebulate")</f>
        <v>Pebulate</v>
      </c>
      <c r="B4668" t="str">
        <f ca="1">IFERROR(__xludf.DUMMYFUNCTION("""COMPUTED_VALUE"""),"RF-0835-001-PPP")</f>
        <v>RF-0835-001-PPP</v>
      </c>
    </row>
    <row r="4669" spans="1:2" ht="12.5" x14ac:dyDescent="0.25">
      <c r="A4669" t="str">
        <f ca="1">IFERROR(__xludf.DUMMYFUNCTION("""COMPUTED_VALUE"""),"Pectenotoxin group toxins")</f>
        <v>Pectenotoxin group toxins</v>
      </c>
      <c r="B4669" t="str">
        <f ca="1">IFERROR(__xludf.DUMMYFUNCTION("""COMPUTED_VALUE"""),"RF-00000080-TOX")</f>
        <v>RF-00000080-TOX</v>
      </c>
    </row>
    <row r="4670" spans="1:2" ht="12.5" x14ac:dyDescent="0.25">
      <c r="A4670" t="str">
        <f ca="1">IFERROR(__xludf.DUMMYFUNCTION("""COMPUTED_VALUE"""),"pectin")</f>
        <v>pectin</v>
      </c>
      <c r="B4670" t="str">
        <f ca="1">IFERROR(__xludf.DUMMYFUNCTION("""COMPUTED_VALUE"""),"RF-00000358-NTR")</f>
        <v>RF-00000358-NTR</v>
      </c>
    </row>
    <row r="4671" spans="1:2" ht="12.5" x14ac:dyDescent="0.25">
      <c r="A4671" t="str">
        <f ca="1">IFERROR(__xludf.DUMMYFUNCTION("""COMPUTED_VALUE"""),"Pefloxacin")</f>
        <v>Pefloxacin</v>
      </c>
      <c r="B4671" t="str">
        <f ca="1">IFERROR(__xludf.DUMMYFUNCTION("""COMPUTED_VALUE"""),"RF-00000552-VET")</f>
        <v>RF-00000552-VET</v>
      </c>
    </row>
    <row r="4672" spans="1:2" ht="12.5" x14ac:dyDescent="0.25">
      <c r="A4672" t="str">
        <f ca="1">IFERROR(__xludf.DUMMYFUNCTION("""COMPUTED_VALUE"""),"Penconazole")</f>
        <v>Penconazole</v>
      </c>
      <c r="B4672" t="str">
        <f ca="1">IFERROR(__xludf.DUMMYFUNCTION("""COMPUTED_VALUE"""),"RF-0329-001-PPP")</f>
        <v>RF-0329-001-PPP</v>
      </c>
    </row>
    <row r="4673" spans="1:2" ht="12.5" x14ac:dyDescent="0.25">
      <c r="A4673" t="str">
        <f ca="1">IFERROR(__xludf.DUMMYFUNCTION("""COMPUTED_VALUE"""),"Pencycuron")</f>
        <v>Pencycuron</v>
      </c>
      <c r="B4673" t="str">
        <f ca="1">IFERROR(__xludf.DUMMYFUNCTION("""COMPUTED_VALUE"""),"RF-0330-001-PPP")</f>
        <v>RF-0330-001-PPP</v>
      </c>
    </row>
    <row r="4674" spans="1:2" ht="12.5" x14ac:dyDescent="0.25">
      <c r="A4674" t="str">
        <f ca="1">IFERROR(__xludf.DUMMYFUNCTION("""COMPUTED_VALUE"""),"Pendimethalin")</f>
        <v>Pendimethalin</v>
      </c>
      <c r="B4674" t="str">
        <f ca="1">IFERROR(__xludf.DUMMYFUNCTION("""COMPUTED_VALUE"""),"RF-0331-001-PPP")</f>
        <v>RF-0331-001-PPP</v>
      </c>
    </row>
    <row r="4675" spans="1:2" ht="12.5" x14ac:dyDescent="0.25">
      <c r="A4675" t="str">
        <f ca="1">IFERROR(__xludf.DUMMYFUNCTION("""COMPUTED_VALUE"""),"Penethacillin (Penethamate)")</f>
        <v>Penethacillin (Penethamate)</v>
      </c>
      <c r="B4675" t="str">
        <f ca="1">IFERROR(__xludf.DUMMYFUNCTION("""COMPUTED_VALUE"""),"RF-00000549-VET")</f>
        <v>RF-00000549-VET</v>
      </c>
    </row>
    <row r="4676" spans="1:2" ht="12.5" x14ac:dyDescent="0.25">
      <c r="A4676" t="str">
        <f ca="1">IFERROR(__xludf.DUMMYFUNCTION("""COMPUTED_VALUE"""),"Penfluron")</f>
        <v>Penfluron</v>
      </c>
      <c r="B4676" t="str">
        <f ca="1">IFERROR(__xludf.DUMMYFUNCTION("""COMPUTED_VALUE"""),"RF-0836-001-PPP")</f>
        <v>RF-0836-001-PPP</v>
      </c>
    </row>
    <row r="4677" spans="1:2" ht="12.5" x14ac:dyDescent="0.25">
      <c r="A4677" t="str">
        <f ca="1">IFERROR(__xludf.DUMMYFUNCTION("""COMPUTED_VALUE"""),"Penicillin")</f>
        <v>Penicillin</v>
      </c>
      <c r="B4677" t="str">
        <f ca="1">IFERROR(__xludf.DUMMYFUNCTION("""COMPUTED_VALUE"""),"RF-00000556-VET")</f>
        <v>RF-00000556-VET</v>
      </c>
    </row>
    <row r="4678" spans="1:2" ht="12.5" x14ac:dyDescent="0.25">
      <c r="A4678" t="str">
        <f ca="1">IFERROR(__xludf.DUMMYFUNCTION("""COMPUTED_VALUE"""),"Penicillin combinations")</f>
        <v>Penicillin combinations</v>
      </c>
      <c r="B4678" t="str">
        <f ca="1">IFERROR(__xludf.DUMMYFUNCTION("""COMPUTED_VALUE"""),"RF-00000804-VET")</f>
        <v>RF-00000804-VET</v>
      </c>
    </row>
    <row r="4679" spans="1:2" ht="12.5" x14ac:dyDescent="0.25">
      <c r="A4679" t="str">
        <f ca="1">IFERROR(__xludf.DUMMYFUNCTION("""COMPUTED_VALUE"""),"Penicillin V (Phenoxymethylpenicillin)")</f>
        <v>Penicillin V (Phenoxymethylpenicillin)</v>
      </c>
      <c r="B4679" t="str">
        <f ca="1">IFERROR(__xludf.DUMMYFUNCTION("""COMPUTED_VALUE"""),"RF-00000544-VET")</f>
        <v>RF-00000544-VET</v>
      </c>
    </row>
    <row r="4680" spans="1:2" ht="12.5" x14ac:dyDescent="0.25">
      <c r="A4680" t="str">
        <f ca="1">IFERROR(__xludf.DUMMYFUNCTION("""COMPUTED_VALUE"""),"Penicillins (group)")</f>
        <v>Penicillins (group)</v>
      </c>
      <c r="B4680" t="str">
        <f ca="1">IFERROR(__xludf.DUMMYFUNCTION("""COMPUTED_VALUE"""),"RF-00000553-VET")</f>
        <v>RF-00000553-VET</v>
      </c>
    </row>
    <row r="4681" spans="1:2" ht="12.5" x14ac:dyDescent="0.25">
      <c r="A4681" t="str">
        <f ca="1">IFERROR(__xludf.DUMMYFUNCTION("""COMPUTED_VALUE"""),"Penoxsulam")</f>
        <v>Penoxsulam</v>
      </c>
      <c r="B4681" t="str">
        <f ca="1">IFERROR(__xludf.DUMMYFUNCTION("""COMPUTED_VALUE"""),"RF-0332-001-PPP")</f>
        <v>RF-0332-001-PPP</v>
      </c>
    </row>
    <row r="4682" spans="1:2" ht="12.5" x14ac:dyDescent="0.25">
      <c r="A4682" t="str">
        <f ca="1">IFERROR(__xludf.DUMMYFUNCTION("""COMPUTED_VALUE"""),"Pentachloorphenol")</f>
        <v>Pentachloorphenol</v>
      </c>
      <c r="B4682" t="str">
        <f ca="1">IFERROR(__xludf.DUMMYFUNCTION("""COMPUTED_VALUE"""),"RF-00000030-ORG")</f>
        <v>RF-00000030-ORG</v>
      </c>
    </row>
    <row r="4683" spans="1:2" ht="12.5" x14ac:dyDescent="0.25">
      <c r="A4683" t="str">
        <f ca="1">IFERROR(__xludf.DUMMYFUNCTION("""COMPUTED_VALUE"""),"Pentachloroaniline")</f>
        <v>Pentachloroaniline</v>
      </c>
      <c r="B4683" t="str">
        <f ca="1">IFERROR(__xludf.DUMMYFUNCTION("""COMPUTED_VALUE"""),"RF-0383-003-PPP")</f>
        <v>RF-0383-003-PPP</v>
      </c>
    </row>
    <row r="4684" spans="1:2" ht="12.5" x14ac:dyDescent="0.25">
      <c r="A4684" t="str">
        <f ca="1">IFERROR(__xludf.DUMMYFUNCTION("""COMPUTED_VALUE"""),"Pentachloroanisole")</f>
        <v>Pentachloroanisole</v>
      </c>
      <c r="B4684" t="str">
        <f ca="1">IFERROR(__xludf.DUMMYFUNCTION("""COMPUTED_VALUE"""),"RF-0837-001-PPP")</f>
        <v>RF-0837-001-PPP</v>
      </c>
    </row>
    <row r="4685" spans="1:2" ht="12.5" x14ac:dyDescent="0.25">
      <c r="A4685" t="str">
        <f ca="1">IFERROR(__xludf.DUMMYFUNCTION("""COMPUTED_VALUE"""),"Pentachlorobenzene")</f>
        <v>Pentachlorobenzene</v>
      </c>
      <c r="B4685" t="str">
        <f ca="1">IFERROR(__xludf.DUMMYFUNCTION("""COMPUTED_VALUE"""),"RF-0838-001-PPP")</f>
        <v>RF-0838-001-PPP</v>
      </c>
    </row>
    <row r="4686" spans="1:2" ht="12.5" x14ac:dyDescent="0.25">
      <c r="A4686" t="str">
        <f ca="1">IFERROR(__xludf.DUMMYFUNCTION("""COMPUTED_VALUE"""),"Pentachloromethylthiobenzene")</f>
        <v>Pentachloromethylthiobenzene</v>
      </c>
      <c r="B4686" t="str">
        <f ca="1">IFERROR(__xludf.DUMMYFUNCTION("""COMPUTED_VALUE"""),"RF-1038-001-PPP")</f>
        <v>RF-1038-001-PPP</v>
      </c>
    </row>
    <row r="4687" spans="1:2" ht="12.5" x14ac:dyDescent="0.25">
      <c r="A4687" t="str">
        <f ca="1">IFERROR(__xludf.DUMMYFUNCTION("""COMPUTED_VALUE"""),"Pentachlorophenol")</f>
        <v>Pentachlorophenol</v>
      </c>
      <c r="B4687" t="str">
        <f ca="1">IFERROR(__xludf.DUMMYFUNCTION("""COMPUTED_VALUE"""),"RF-0839-001-PPP")</f>
        <v>RF-0839-001-PPP</v>
      </c>
    </row>
    <row r="4688" spans="1:2" ht="12.5" x14ac:dyDescent="0.25">
      <c r="A4688" t="str">
        <f ca="1">IFERROR(__xludf.DUMMYFUNCTION("""COMPUTED_VALUE"""),"Pentagestrone")</f>
        <v>Pentagestrone</v>
      </c>
      <c r="B4688" t="str">
        <f ca="1">IFERROR(__xludf.DUMMYFUNCTION("""COMPUTED_VALUE"""),"RF-00000408-VET")</f>
        <v>RF-00000408-VET</v>
      </c>
    </row>
    <row r="4689" spans="1:2" ht="12.5" x14ac:dyDescent="0.25">
      <c r="A4689" t="str">
        <f ca="1">IFERROR(__xludf.DUMMYFUNCTION("""COMPUTED_VALUE"""),"Pentanochlor")</f>
        <v>Pentanochlor</v>
      </c>
      <c r="B4689" t="str">
        <f ca="1">IFERROR(__xludf.DUMMYFUNCTION("""COMPUTED_VALUE"""),"RF-0840-001-PPP")</f>
        <v>RF-0840-001-PPP</v>
      </c>
    </row>
    <row r="4690" spans="1:2" ht="12.5" x14ac:dyDescent="0.25">
      <c r="A4690" t="str">
        <f ca="1">IFERROR(__xludf.DUMMYFUNCTION("""COMPUTED_VALUE"""),"pentoses in dietary fibre")</f>
        <v>pentoses in dietary fibre</v>
      </c>
      <c r="B4690" t="str">
        <f ca="1">IFERROR(__xludf.DUMMYFUNCTION("""COMPUTED_VALUE"""),"RF-00000359-NTR")</f>
        <v>RF-00000359-NTR</v>
      </c>
    </row>
    <row r="4691" spans="1:2" ht="12.5" x14ac:dyDescent="0.25">
      <c r="A4691" t="str">
        <f ca="1">IFERROR(__xludf.DUMMYFUNCTION("""COMPUTED_VALUE"""),"PER")</f>
        <v>PER</v>
      </c>
      <c r="B4691" t="str">
        <f ca="1">IFERROR(__xludf.DUMMYFUNCTION("""COMPUTED_VALUE"""),"RF-00000159-PAR")</f>
        <v>RF-00000159-PAR</v>
      </c>
    </row>
    <row r="4692" spans="1:2" ht="12.5" x14ac:dyDescent="0.25">
      <c r="A4692" t="str">
        <f ca="1">IFERROR(__xludf.DUMMYFUNCTION("""COMPUTED_VALUE"""),"PER-1")</f>
        <v>PER-1</v>
      </c>
      <c r="B4692" t="str">
        <f ca="1">IFERROR(__xludf.DUMMYFUNCTION("""COMPUTED_VALUE"""),"RF-00000160-PAR")</f>
        <v>RF-00000160-PAR</v>
      </c>
    </row>
    <row r="4693" spans="1:2" ht="12.5" x14ac:dyDescent="0.25">
      <c r="A4693" t="str">
        <f ca="1">IFERROR(__xludf.DUMMYFUNCTION("""COMPUTED_VALUE"""),"PER-2")</f>
        <v>PER-2</v>
      </c>
      <c r="B4693" t="str">
        <f ca="1">IFERROR(__xludf.DUMMYFUNCTION("""COMPUTED_VALUE"""),"RF-00000161-PAR")</f>
        <v>RF-00000161-PAR</v>
      </c>
    </row>
    <row r="4694" spans="1:2" ht="12.5" x14ac:dyDescent="0.25">
      <c r="A4694" t="str">
        <f ca="1">IFERROR(__xludf.DUMMYFUNCTION("""COMPUTED_VALUE"""),"PER-3")</f>
        <v>PER-3</v>
      </c>
      <c r="B4694" t="str">
        <f ca="1">IFERROR(__xludf.DUMMYFUNCTION("""COMPUTED_VALUE"""),"RF-00000162-PAR")</f>
        <v>RF-00000162-PAR</v>
      </c>
    </row>
    <row r="4695" spans="1:2" ht="12.5" x14ac:dyDescent="0.25">
      <c r="A4695" t="str">
        <f ca="1">IFERROR(__xludf.DUMMYFUNCTION("""COMPUTED_VALUE"""),"PER-4")</f>
        <v>PER-4</v>
      </c>
      <c r="B4695" t="str">
        <f ca="1">IFERROR(__xludf.DUMMYFUNCTION("""COMPUTED_VALUE"""),"RF-00000163-PAR")</f>
        <v>RF-00000163-PAR</v>
      </c>
    </row>
    <row r="4696" spans="1:2" ht="12.5" x14ac:dyDescent="0.25">
      <c r="A4696" t="str">
        <f ca="1">IFERROR(__xludf.DUMMYFUNCTION("""COMPUTED_VALUE"""),"PER-5")</f>
        <v>PER-5</v>
      </c>
      <c r="B4696" t="str">
        <f ca="1">IFERROR(__xludf.DUMMYFUNCTION("""COMPUTED_VALUE"""),"RF-00000164-PAR")</f>
        <v>RF-00000164-PAR</v>
      </c>
    </row>
    <row r="4697" spans="1:2" ht="12.5" x14ac:dyDescent="0.25">
      <c r="A4697" t="str">
        <f ca="1">IFERROR(__xludf.DUMMYFUNCTION("""COMPUTED_VALUE"""),"PER-6")</f>
        <v>PER-6</v>
      </c>
      <c r="B4697" t="str">
        <f ca="1">IFERROR(__xludf.DUMMYFUNCTION("""COMPUTED_VALUE"""),"RF-00000165-PAR")</f>
        <v>RF-00000165-PAR</v>
      </c>
    </row>
    <row r="4698" spans="1:2" ht="12.5" x14ac:dyDescent="0.25">
      <c r="A4698" t="str">
        <f ca="1">IFERROR(__xludf.DUMMYFUNCTION("""COMPUTED_VALUE"""),"PER-7")</f>
        <v>PER-7</v>
      </c>
      <c r="B4698" t="str">
        <f ca="1">IFERROR(__xludf.DUMMYFUNCTION("""COMPUTED_VALUE"""),"RF-00000166-PAR")</f>
        <v>RF-00000166-PAR</v>
      </c>
    </row>
    <row r="4699" spans="1:2" ht="12.5" x14ac:dyDescent="0.25">
      <c r="A4699" t="str">
        <f ca="1">IFERROR(__xludf.DUMMYFUNCTION("""COMPUTED_VALUE"""),"Perfluidone")</f>
        <v>Perfluidone</v>
      </c>
      <c r="B4699" t="str">
        <f ca="1">IFERROR(__xludf.DUMMYFUNCTION("""COMPUTED_VALUE"""),"RF-0841-001-PPP")</f>
        <v>RF-0841-001-PPP</v>
      </c>
    </row>
    <row r="4700" spans="1:2" ht="12.5" x14ac:dyDescent="0.25">
      <c r="A4700" t="str">
        <f ca="1">IFERROR(__xludf.DUMMYFUNCTION("""COMPUTED_VALUE"""),"Perfluorinated acid compounds")</f>
        <v>Perfluorinated acid compounds</v>
      </c>
      <c r="B4700" t="str">
        <f ca="1">IFERROR(__xludf.DUMMYFUNCTION("""COMPUTED_VALUE"""),"RF-00000356-ORG")</f>
        <v>RF-00000356-ORG</v>
      </c>
    </row>
    <row r="4701" spans="1:2" ht="12.5" x14ac:dyDescent="0.25">
      <c r="A4701" t="str">
        <f ca="1">IFERROR(__xludf.DUMMYFUNCTION("""COMPUTED_VALUE"""),"Perfluorinated amide compounds")</f>
        <v>Perfluorinated amide compounds</v>
      </c>
      <c r="B4701" t="str">
        <f ca="1">IFERROR(__xludf.DUMMYFUNCTION("""COMPUTED_VALUE"""),"RF-00000349-ORG")</f>
        <v>RF-00000349-ORG</v>
      </c>
    </row>
    <row r="4702" spans="1:2" ht="12.5" x14ac:dyDescent="0.25">
      <c r="A4702" t="str">
        <f ca="1">IFERROR(__xludf.DUMMYFUNCTION("""COMPUTED_VALUE"""),"Perfluorinated compounds")</f>
        <v>Perfluorinated compounds</v>
      </c>
      <c r="B4702" t="str">
        <f ca="1">IFERROR(__xludf.DUMMYFUNCTION("""COMPUTED_VALUE"""),"RF-00000348-ORG")</f>
        <v>RF-00000348-ORG</v>
      </c>
    </row>
    <row r="4703" spans="1:2" ht="12.5" x14ac:dyDescent="0.25">
      <c r="A4703" t="str">
        <f ca="1">IFERROR(__xludf.DUMMYFUNCTION("""COMPUTED_VALUE"""),"Perfluorinated sulfonate compounds")</f>
        <v>Perfluorinated sulfonate compounds</v>
      </c>
      <c r="B4703" t="str">
        <f ca="1">IFERROR(__xludf.DUMMYFUNCTION("""COMPUTED_VALUE"""),"RF-00000351-ORG")</f>
        <v>RF-00000351-ORG</v>
      </c>
    </row>
    <row r="4704" spans="1:2" ht="12.5" x14ac:dyDescent="0.25">
      <c r="A4704" t="str">
        <f ca="1">IFERROR(__xludf.DUMMYFUNCTION("""COMPUTED_VALUE"""),"Perfluoroalkyl phosphate")</f>
        <v>Perfluoroalkyl phosphate</v>
      </c>
      <c r="B4704" t="str">
        <f ca="1">IFERROR(__xludf.DUMMYFUNCTION("""COMPUTED_VALUE"""),"RF-00000369-ORG")</f>
        <v>RF-00000369-ORG</v>
      </c>
    </row>
    <row r="4705" spans="1:2" ht="12.5" x14ac:dyDescent="0.25">
      <c r="A4705" t="str">
        <f ca="1">IFERROR(__xludf.DUMMYFUNCTION("""COMPUTED_VALUE"""),"Perfluorobutane sulfonate")</f>
        <v>Perfluorobutane sulfonate</v>
      </c>
      <c r="B4705" t="str">
        <f ca="1">IFERROR(__xludf.DUMMYFUNCTION("""COMPUTED_VALUE"""),"RF-00000352-ORG")</f>
        <v>RF-00000352-ORG</v>
      </c>
    </row>
    <row r="4706" spans="1:2" ht="12.5" x14ac:dyDescent="0.25">
      <c r="A4706" t="str">
        <f ca="1">IFERROR(__xludf.DUMMYFUNCTION("""COMPUTED_VALUE"""),"Perfluorobutanoic acid")</f>
        <v>Perfluorobutanoic acid</v>
      </c>
      <c r="B4706" t="str">
        <f ca="1">IFERROR(__xludf.DUMMYFUNCTION("""COMPUTED_VALUE"""),"RF-00000400-ORG")</f>
        <v>RF-00000400-ORG</v>
      </c>
    </row>
    <row r="4707" spans="1:2" ht="12.5" x14ac:dyDescent="0.25">
      <c r="A4707" t="str">
        <f ca="1">IFERROR(__xludf.DUMMYFUNCTION("""COMPUTED_VALUE"""),"Perfluorodecane sulfonate")</f>
        <v>Perfluorodecane sulfonate</v>
      </c>
      <c r="B4707" t="str">
        <f ca="1">IFERROR(__xludf.DUMMYFUNCTION("""COMPUTED_VALUE"""),"RF-00000355-ORG")</f>
        <v>RF-00000355-ORG</v>
      </c>
    </row>
    <row r="4708" spans="1:2" ht="12.5" x14ac:dyDescent="0.25">
      <c r="A4708" t="str">
        <f ca="1">IFERROR(__xludf.DUMMYFUNCTION("""COMPUTED_VALUE"""),"Perfluorodecanoic acid")</f>
        <v>Perfluorodecanoic acid</v>
      </c>
      <c r="B4708" t="str">
        <f ca="1">IFERROR(__xludf.DUMMYFUNCTION("""COMPUTED_VALUE"""),"RF-00000361-ORG")</f>
        <v>RF-00000361-ORG</v>
      </c>
    </row>
    <row r="4709" spans="1:2" ht="12.5" x14ac:dyDescent="0.25">
      <c r="A4709" t="str">
        <f ca="1">IFERROR(__xludf.DUMMYFUNCTION("""COMPUTED_VALUE"""),"Perfluorododecanoic acid")</f>
        <v>Perfluorododecanoic acid</v>
      </c>
      <c r="B4709" t="str">
        <f ca="1">IFERROR(__xludf.DUMMYFUNCTION("""COMPUTED_VALUE"""),"RF-00000363-ORG")</f>
        <v>RF-00000363-ORG</v>
      </c>
    </row>
    <row r="4710" spans="1:2" ht="12.5" x14ac:dyDescent="0.25">
      <c r="A4710" t="str">
        <f ca="1">IFERROR(__xludf.DUMMYFUNCTION("""COMPUTED_VALUE"""),"Perfluoroheptane sulfonate")</f>
        <v>Perfluoroheptane sulfonate</v>
      </c>
      <c r="B4710" t="str">
        <f ca="1">IFERROR(__xludf.DUMMYFUNCTION("""COMPUTED_VALUE"""),"RF-00000399-ORG")</f>
        <v>RF-00000399-ORG</v>
      </c>
    </row>
    <row r="4711" spans="1:2" ht="12.5" x14ac:dyDescent="0.25">
      <c r="A4711" t="str">
        <f ca="1">IFERROR(__xludf.DUMMYFUNCTION("""COMPUTED_VALUE"""),"Perfluoroheptanoic acid")</f>
        <v>Perfluoroheptanoic acid</v>
      </c>
      <c r="B4711" t="str">
        <f ca="1">IFERROR(__xludf.DUMMYFUNCTION("""COMPUTED_VALUE"""),"RF-00000358-ORG")</f>
        <v>RF-00000358-ORG</v>
      </c>
    </row>
    <row r="4712" spans="1:2" ht="12.5" x14ac:dyDescent="0.25">
      <c r="A4712" t="str">
        <f ca="1">IFERROR(__xludf.DUMMYFUNCTION("""COMPUTED_VALUE"""),"Perfluorohexadecanoic acid")</f>
        <v>Perfluorohexadecanoic acid</v>
      </c>
      <c r="B4712" t="str">
        <f ca="1">IFERROR(__xludf.DUMMYFUNCTION("""COMPUTED_VALUE"""),"RF-00000441-ORG")</f>
        <v>RF-00000441-ORG</v>
      </c>
    </row>
    <row r="4713" spans="1:2" ht="12.5" x14ac:dyDescent="0.25">
      <c r="A4713" t="str">
        <f ca="1">IFERROR(__xludf.DUMMYFUNCTION("""COMPUTED_VALUE"""),"Perfluorohexane sulfonate")</f>
        <v>Perfluorohexane sulfonate</v>
      </c>
      <c r="B4713" t="str">
        <f ca="1">IFERROR(__xludf.DUMMYFUNCTION("""COMPUTED_VALUE"""),"RF-00000353-ORG")</f>
        <v>RF-00000353-ORG</v>
      </c>
    </row>
    <row r="4714" spans="1:2" ht="12.5" x14ac:dyDescent="0.25">
      <c r="A4714" t="str">
        <f ca="1">IFERROR(__xludf.DUMMYFUNCTION("""COMPUTED_VALUE"""),"Perfluorohexanoic acid")</f>
        <v>Perfluorohexanoic acid</v>
      </c>
      <c r="B4714" t="str">
        <f ca="1">IFERROR(__xludf.DUMMYFUNCTION("""COMPUTED_VALUE"""),"RF-00000357-ORG")</f>
        <v>RF-00000357-ORG</v>
      </c>
    </row>
    <row r="4715" spans="1:2" ht="12.5" x14ac:dyDescent="0.25">
      <c r="A4715" t="str">
        <f ca="1">IFERROR(__xludf.DUMMYFUNCTION("""COMPUTED_VALUE"""),"Perfluorononanoic acid")</f>
        <v>Perfluorononanoic acid</v>
      </c>
      <c r="B4715" t="str">
        <f ca="1">IFERROR(__xludf.DUMMYFUNCTION("""COMPUTED_VALUE"""),"RF-00000360-ORG")</f>
        <v>RF-00000360-ORG</v>
      </c>
    </row>
    <row r="4716" spans="1:2" ht="12.5" x14ac:dyDescent="0.25">
      <c r="A4716" t="str">
        <f ca="1">IFERROR(__xludf.DUMMYFUNCTION("""COMPUTED_VALUE"""),"Perfluorooctadecanoic acid")</f>
        <v>Perfluorooctadecanoic acid</v>
      </c>
      <c r="B4716" t="str">
        <f ca="1">IFERROR(__xludf.DUMMYFUNCTION("""COMPUTED_VALUE"""),"RF-00000442-ORG")</f>
        <v>RF-00000442-ORG</v>
      </c>
    </row>
    <row r="4717" spans="1:2" ht="12.5" x14ac:dyDescent="0.25">
      <c r="A4717" t="str">
        <f ca="1">IFERROR(__xludf.DUMMYFUNCTION("""COMPUTED_VALUE"""),"Perfluorooctane sulfinic acid")</f>
        <v>Perfluorooctane sulfinic acid</v>
      </c>
      <c r="B4717" t="str">
        <f ca="1">IFERROR(__xludf.DUMMYFUNCTION("""COMPUTED_VALUE"""),"RF-00000481-ORG")</f>
        <v>RF-00000481-ORG</v>
      </c>
    </row>
    <row r="4718" spans="1:2" ht="12.5" x14ac:dyDescent="0.25">
      <c r="A4718" t="str">
        <f ca="1">IFERROR(__xludf.DUMMYFUNCTION("""COMPUTED_VALUE"""),"Perfluorooctane sulfonate")</f>
        <v>Perfluorooctane sulfonate</v>
      </c>
      <c r="B4718" t="str">
        <f ca="1">IFERROR(__xludf.DUMMYFUNCTION("""COMPUTED_VALUE"""),"RF-00000354-ORG")</f>
        <v>RF-00000354-ORG</v>
      </c>
    </row>
    <row r="4719" spans="1:2" ht="12.5" x14ac:dyDescent="0.25">
      <c r="A4719" t="str">
        <f ca="1">IFERROR(__xludf.DUMMYFUNCTION("""COMPUTED_VALUE"""),"Perfluorooctane sulfonate (PFOS) - branched")</f>
        <v>Perfluorooctane sulfonate (PFOS) - branched</v>
      </c>
      <c r="B4719" t="str">
        <f ca="1">IFERROR(__xludf.DUMMYFUNCTION("""COMPUTED_VALUE"""),"RF-00000445-ORG")</f>
        <v>RF-00000445-ORG</v>
      </c>
    </row>
    <row r="4720" spans="1:2" ht="12.5" x14ac:dyDescent="0.25">
      <c r="A4720" t="str">
        <f ca="1">IFERROR(__xludf.DUMMYFUNCTION("""COMPUTED_VALUE"""),"Perfluorooctane sulfonate (PFOS) - linear")</f>
        <v>Perfluorooctane sulfonate (PFOS) - linear</v>
      </c>
      <c r="B4720" t="str">
        <f ca="1">IFERROR(__xludf.DUMMYFUNCTION("""COMPUTED_VALUE"""),"RF-00000444-ORG")</f>
        <v>RF-00000444-ORG</v>
      </c>
    </row>
    <row r="4721" spans="1:2" ht="12.5" x14ac:dyDescent="0.25">
      <c r="A4721" t="str">
        <f ca="1">IFERROR(__xludf.DUMMYFUNCTION("""COMPUTED_VALUE"""),"Perfluorooctane sulfonylamide")</f>
        <v>Perfluorooctane sulfonylamide</v>
      </c>
      <c r="B4721" t="str">
        <f ca="1">IFERROR(__xludf.DUMMYFUNCTION("""COMPUTED_VALUE"""),"RF-00000350-ORG")</f>
        <v>RF-00000350-ORG</v>
      </c>
    </row>
    <row r="4722" spans="1:2" ht="12.5" x14ac:dyDescent="0.25">
      <c r="A4722" t="str">
        <f ca="1">IFERROR(__xludf.DUMMYFUNCTION("""COMPUTED_VALUE"""),"Perfluorooctanesulfonamide")</f>
        <v>Perfluorooctanesulfonamide</v>
      </c>
      <c r="B4722" t="str">
        <f ca="1">IFERROR(__xludf.DUMMYFUNCTION("""COMPUTED_VALUE"""),"RF-00000461-ORG")</f>
        <v>RF-00000461-ORG</v>
      </c>
    </row>
    <row r="4723" spans="1:2" ht="12.5" x14ac:dyDescent="0.25">
      <c r="A4723" t="str">
        <f ca="1">IFERROR(__xludf.DUMMYFUNCTION("""COMPUTED_VALUE"""),"Perfluorooctanoic acid")</f>
        <v>Perfluorooctanoic acid</v>
      </c>
      <c r="B4723" t="str">
        <f ca="1">IFERROR(__xludf.DUMMYFUNCTION("""COMPUTED_VALUE"""),"RF-00000359-ORG")</f>
        <v>RF-00000359-ORG</v>
      </c>
    </row>
    <row r="4724" spans="1:2" ht="12.5" x14ac:dyDescent="0.25">
      <c r="A4724" t="str">
        <f ca="1">IFERROR(__xludf.DUMMYFUNCTION("""COMPUTED_VALUE"""),"Perfluoropentadecanoic acid")</f>
        <v>Perfluoropentadecanoic acid</v>
      </c>
      <c r="B4724" t="str">
        <f ca="1">IFERROR(__xludf.DUMMYFUNCTION("""COMPUTED_VALUE"""),"RF-00000365-ORG")</f>
        <v>RF-00000365-ORG</v>
      </c>
    </row>
    <row r="4725" spans="1:2" ht="12.5" x14ac:dyDescent="0.25">
      <c r="A4725" t="str">
        <f ca="1">IFERROR(__xludf.DUMMYFUNCTION("""COMPUTED_VALUE"""),"Perfluoropentanoic acid")</f>
        <v>Perfluoropentanoic acid</v>
      </c>
      <c r="B4725" t="str">
        <f ca="1">IFERROR(__xludf.DUMMYFUNCTION("""COMPUTED_VALUE"""),"RF-00000401-ORG")</f>
        <v>RF-00000401-ORG</v>
      </c>
    </row>
    <row r="4726" spans="1:2" ht="12.5" x14ac:dyDescent="0.25">
      <c r="A4726" t="str">
        <f ca="1">IFERROR(__xludf.DUMMYFUNCTION("""COMPUTED_VALUE"""),"Perfluorotetradecanoic acid")</f>
        <v>Perfluorotetradecanoic acid</v>
      </c>
      <c r="B4726" t="str">
        <f ca="1">IFERROR(__xludf.DUMMYFUNCTION("""COMPUTED_VALUE"""),"RF-00000402-ORG")</f>
        <v>RF-00000402-ORG</v>
      </c>
    </row>
    <row r="4727" spans="1:2" ht="12.5" x14ac:dyDescent="0.25">
      <c r="A4727" t="str">
        <f ca="1">IFERROR(__xludf.DUMMYFUNCTION("""COMPUTED_VALUE"""),"Perfluorotridecanoic acid")</f>
        <v>Perfluorotridecanoic acid</v>
      </c>
      <c r="B4727" t="str">
        <f ca="1">IFERROR(__xludf.DUMMYFUNCTION("""COMPUTED_VALUE"""),"RF-00000364-ORG")</f>
        <v>RF-00000364-ORG</v>
      </c>
    </row>
    <row r="4728" spans="1:2" ht="12.5" x14ac:dyDescent="0.25">
      <c r="A4728" t="str">
        <f ca="1">IFERROR(__xludf.DUMMYFUNCTION("""COMPUTED_VALUE"""),"Perfluoroundecanoic acid")</f>
        <v>Perfluoroundecanoic acid</v>
      </c>
      <c r="B4728" t="str">
        <f ca="1">IFERROR(__xludf.DUMMYFUNCTION("""COMPUTED_VALUE"""),"RF-00000362-ORG")</f>
        <v>RF-00000362-ORG</v>
      </c>
    </row>
    <row r="4729" spans="1:2" ht="12.5" x14ac:dyDescent="0.25">
      <c r="A4729" t="str">
        <f ca="1">IFERROR(__xludf.DUMMYFUNCTION("""COMPUTED_VALUE"""),"Permethrin")</f>
        <v>Permethrin</v>
      </c>
      <c r="B4729" t="str">
        <f ca="1">IFERROR(__xludf.DUMMYFUNCTION("""COMPUTED_VALUE"""),"RF-00000112-VET")</f>
        <v>RF-00000112-VET</v>
      </c>
    </row>
    <row r="4730" spans="1:2" ht="12.5" x14ac:dyDescent="0.25">
      <c r="A4730" t="str">
        <f ca="1">IFERROR(__xludf.DUMMYFUNCTION("""COMPUTED_VALUE"""),"Permethrin (sum of isomers)")</f>
        <v>Permethrin (sum of isomers)</v>
      </c>
      <c r="B4730" t="str">
        <f ca="1">IFERROR(__xludf.DUMMYFUNCTION("""COMPUTED_VALUE"""),"RF-0842-001-PPP")</f>
        <v>RF-0842-001-PPP</v>
      </c>
    </row>
    <row r="4731" spans="1:2" ht="12.5" x14ac:dyDescent="0.25">
      <c r="A4731" t="str">
        <f ca="1">IFERROR(__xludf.DUMMYFUNCTION("""COMPUTED_VALUE"""),"Perylene")</f>
        <v>Perylene</v>
      </c>
      <c r="B4731" t="str">
        <f ca="1">IFERROR(__xludf.DUMMYFUNCTION("""COMPUTED_VALUE"""),"RF-00000069-ORG")</f>
        <v>RF-00000069-ORG</v>
      </c>
    </row>
    <row r="4732" spans="1:2" ht="12.5" x14ac:dyDescent="0.25">
      <c r="A4732" t="str">
        <f ca="1">IFERROR(__xludf.DUMMYFUNCTION("""COMPUTED_VALUE"""),"Pesticides")</f>
        <v>Pesticides</v>
      </c>
      <c r="B4732" t="str">
        <f ca="1">IFERROR(__xludf.DUMMYFUNCTION("""COMPUTED_VALUE"""),"RF-00000001-PPP")</f>
        <v>RF-00000001-PPP</v>
      </c>
    </row>
    <row r="4733" spans="1:2" ht="12.5" x14ac:dyDescent="0.25">
      <c r="A4733" t="str">
        <f ca="1">IFERROR(__xludf.DUMMYFUNCTION("""COMPUTED_VALUE"""),"Petasitenine")</f>
        <v>Petasitenine</v>
      </c>
      <c r="B4733" t="str">
        <f ca="1">IFERROR(__xludf.DUMMYFUNCTION("""COMPUTED_VALUE"""),"RF-00000293-TOX")</f>
        <v>RF-00000293-TOX</v>
      </c>
    </row>
    <row r="4734" spans="1:2" ht="12.5" x14ac:dyDescent="0.25">
      <c r="A4734" t="str">
        <f ca="1">IFERROR(__xludf.DUMMYFUNCTION("""COMPUTED_VALUE"""),"Pethoxamid")</f>
        <v>Pethoxamid</v>
      </c>
      <c r="B4734" t="str">
        <f ca="1">IFERROR(__xludf.DUMMYFUNCTION("""COMPUTED_VALUE"""),"RF-0333-001-PPP")</f>
        <v>RF-0333-001-PPP</v>
      </c>
    </row>
    <row r="4735" spans="1:2" ht="12.5" x14ac:dyDescent="0.25">
      <c r="A4735" t="str">
        <f ca="1">IFERROR(__xludf.DUMMYFUNCTION("""COMPUTED_VALUE"""),"PFAS-like (C4-C15)")</f>
        <v>PFAS-like (C4-C15)</v>
      </c>
      <c r="B4735" t="str">
        <f ca="1">IFERROR(__xludf.DUMMYFUNCTION("""COMPUTED_VALUE"""),"RF-00000370-ORG")</f>
        <v>RF-00000370-ORG</v>
      </c>
    </row>
    <row r="4736" spans="1:2" ht="12.5" x14ac:dyDescent="0.25">
      <c r="A4736" t="str">
        <f ca="1">IFERROR(__xludf.DUMMYFUNCTION("""COMPUTED_VALUE"""),"Phenanthrene")</f>
        <v>Phenanthrene</v>
      </c>
      <c r="B4736" t="str">
        <f ca="1">IFERROR(__xludf.DUMMYFUNCTION("""COMPUTED_VALUE"""),"RF-00000063-ORG")</f>
        <v>RF-00000063-ORG</v>
      </c>
    </row>
    <row r="4737" spans="1:2" ht="12.5" x14ac:dyDescent="0.25">
      <c r="A4737" t="str">
        <f ca="1">IFERROR(__xludf.DUMMYFUNCTION("""COMPUTED_VALUE"""),"Phenazone")</f>
        <v>Phenazone</v>
      </c>
      <c r="B4737" t="str">
        <f ca="1">IFERROR(__xludf.DUMMYFUNCTION("""COMPUTED_VALUE"""),"RF-00000195-VET")</f>
        <v>RF-00000195-VET</v>
      </c>
    </row>
    <row r="4738" spans="1:2" ht="12.5" x14ac:dyDescent="0.25">
      <c r="A4738" t="str">
        <f ca="1">IFERROR(__xludf.DUMMYFUNCTION("""COMPUTED_VALUE"""),"Phenkapton")</f>
        <v>Phenkapton</v>
      </c>
      <c r="B4738" t="str">
        <f ca="1">IFERROR(__xludf.DUMMYFUNCTION("""COMPUTED_VALUE"""),"RF-0844-001-PPP")</f>
        <v>RF-0844-001-PPP</v>
      </c>
    </row>
    <row r="4739" spans="1:2" ht="12.5" x14ac:dyDescent="0.25">
      <c r="A4739" t="str">
        <f ca="1">IFERROR(__xludf.DUMMYFUNCTION("""COMPUTED_VALUE"""),"Phenmedipham")</f>
        <v>Phenmedipham</v>
      </c>
      <c r="B4739" t="str">
        <f ca="1">IFERROR(__xludf.DUMMYFUNCTION("""COMPUTED_VALUE"""),"RF-00000101-VET")</f>
        <v>RF-00000101-VET</v>
      </c>
    </row>
    <row r="4740" spans="1:2" ht="12.5" x14ac:dyDescent="0.25">
      <c r="A4740" t="str">
        <f ca="1">IFERROR(__xludf.DUMMYFUNCTION("""COMPUTED_VALUE"""),"Phenmedipham")</f>
        <v>Phenmedipham</v>
      </c>
      <c r="B4740" t="str">
        <f ca="1">IFERROR(__xludf.DUMMYFUNCTION("""COMPUTED_VALUE"""),"RF-0334-001-PPP")</f>
        <v>RF-0334-001-PPP</v>
      </c>
    </row>
    <row r="4741" spans="1:2" ht="12.5" x14ac:dyDescent="0.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x14ac:dyDescent="0.25">
      <c r="A4742" t="str">
        <f ca="1">IFERROR(__xludf.DUMMYFUNCTION("""COMPUTED_VALUE"""),"Phenol")</f>
        <v>Phenol</v>
      </c>
      <c r="B4742" t="str">
        <f ca="1">IFERROR(__xludf.DUMMYFUNCTION("""COMPUTED_VALUE"""),"RF-00000031-ORG")</f>
        <v>RF-00000031-ORG</v>
      </c>
    </row>
    <row r="4743" spans="1:2" ht="12.5" x14ac:dyDescent="0.25">
      <c r="A4743" t="str">
        <f ca="1">IFERROR(__xludf.DUMMYFUNCTION("""COMPUTED_VALUE"""),"Phenol")</f>
        <v>Phenol</v>
      </c>
      <c r="B4743" t="str">
        <f ca="1">IFERROR(__xludf.DUMMYFUNCTION("""COMPUTED_VALUE"""),"RF-0845-001-PPP")</f>
        <v>RF-0845-001-PPP</v>
      </c>
    </row>
    <row r="4744" spans="1:2" ht="12.5" x14ac:dyDescent="0.25">
      <c r="A4744" t="str">
        <f ca="1">IFERROR(__xludf.DUMMYFUNCTION("""COMPUTED_VALUE"""),"Phenolic compounds")</f>
        <v>Phenolic compounds</v>
      </c>
      <c r="B4744" t="str">
        <f ca="1">IFERROR(__xludf.DUMMYFUNCTION("""COMPUTED_VALUE"""),"RF-00000010-ORG")</f>
        <v>RF-00000010-ORG</v>
      </c>
    </row>
    <row r="4745" spans="1:2" ht="12.5" x14ac:dyDescent="0.25">
      <c r="A4745" t="str">
        <f ca="1">IFERROR(__xludf.DUMMYFUNCTION("""COMPUTED_VALUE"""),"Phenothrin")</f>
        <v>Phenothrin</v>
      </c>
      <c r="B4745" t="str">
        <f ca="1">IFERROR(__xludf.DUMMYFUNCTION("""COMPUTED_VALUE"""),"RF-00000107-VET")</f>
        <v>RF-00000107-VET</v>
      </c>
    </row>
    <row r="4746" spans="1:2" ht="12.5" x14ac:dyDescent="0.25">
      <c r="A4746" t="str">
        <f ca="1">IFERROR(__xludf.DUMMYFUNCTION("""COMPUTED_VALUE"""),"Phenothrin")</f>
        <v>Phenothrin</v>
      </c>
      <c r="B4746" t="str">
        <f ca="1">IFERROR(__xludf.DUMMYFUNCTION("""COMPUTED_VALUE"""),"RF-0335-001-PPP")</f>
        <v>RF-0335-001-PPP</v>
      </c>
    </row>
    <row r="4747" spans="1:2" ht="12.5" x14ac:dyDescent="0.25">
      <c r="A4747" t="str">
        <f ca="1">IFERROR(__xludf.DUMMYFUNCTION("""COMPUTED_VALUE"""),"Phenthoate")</f>
        <v>Phenthoate</v>
      </c>
      <c r="B4747" t="str">
        <f ca="1">IFERROR(__xludf.DUMMYFUNCTION("""COMPUTED_VALUE"""),"RF-0846-001-PPP")</f>
        <v>RF-0846-001-PPP</v>
      </c>
    </row>
    <row r="4748" spans="1:2" ht="12.5" x14ac:dyDescent="0.25">
      <c r="A4748" t="str">
        <f ca="1">IFERROR(__xludf.DUMMYFUNCTION("""COMPUTED_VALUE"""),"phenylalanine")</f>
        <v>phenylalanine</v>
      </c>
      <c r="B4748" t="str">
        <f ca="1">IFERROR(__xludf.DUMMYFUNCTION("""COMPUTED_VALUE"""),"RF-00000360-NTR")</f>
        <v>RF-00000360-NTR</v>
      </c>
    </row>
    <row r="4749" spans="1:2" ht="12.5" x14ac:dyDescent="0.25">
      <c r="A4749" t="str">
        <f ca="1">IFERROR(__xludf.DUMMYFUNCTION("""COMPUTED_VALUE"""),"Phenylbutazone")</f>
        <v>Phenylbutazone</v>
      </c>
      <c r="B4749" t="str">
        <f ca="1">IFERROR(__xludf.DUMMYFUNCTION("""COMPUTED_VALUE"""),"RF-00000216-VET")</f>
        <v>RF-00000216-VET</v>
      </c>
    </row>
    <row r="4750" spans="1:2" ht="12.5" x14ac:dyDescent="0.25">
      <c r="A4750" t="str">
        <f ca="1">IFERROR(__xludf.DUMMYFUNCTION("""COMPUTED_VALUE"""),"Phenylethylamine")</f>
        <v>Phenylethylamine</v>
      </c>
      <c r="B4750" t="str">
        <f ca="1">IFERROR(__xludf.DUMMYFUNCTION("""COMPUTED_VALUE"""),"RF-00000008-BGA")</f>
        <v>RF-00000008-BGA</v>
      </c>
    </row>
    <row r="4751" spans="1:2" ht="12.5" x14ac:dyDescent="0.25">
      <c r="A4751" t="str">
        <f ca="1">IFERROR(__xludf.DUMMYFUNCTION("""COMPUTED_VALUE"""),"Phenylthiouracil")</f>
        <v>Phenylthiouracil</v>
      </c>
      <c r="B4751" t="str">
        <f ca="1">IFERROR(__xludf.DUMMYFUNCTION("""COMPUTED_VALUE"""),"RF-00000295-VET")</f>
        <v>RF-00000295-VET</v>
      </c>
    </row>
    <row r="4752" spans="1:2" ht="12.5" x14ac:dyDescent="0.25">
      <c r="A4752" t="str">
        <f ca="1">IFERROR(__xludf.DUMMYFUNCTION("""COMPUTED_VALUE"""),"Phlebovirus")</f>
        <v>Phlebovirus</v>
      </c>
      <c r="B4752" t="str">
        <f ca="1">IFERROR(__xludf.DUMMYFUNCTION("""COMPUTED_VALUE"""),"RF-00002612-MCG")</f>
        <v>RF-00002612-MCG</v>
      </c>
    </row>
    <row r="4753" spans="1:2" ht="12.5" x14ac:dyDescent="0.25">
      <c r="A4753" t="str">
        <f ca="1">IFERROR(__xludf.DUMMYFUNCTION("""COMPUTED_VALUE"""),"Phlebovirus Bujaru virus")</f>
        <v>Phlebovirus Bujaru virus</v>
      </c>
      <c r="B4753" t="str">
        <f ca="1">IFERROR(__xludf.DUMMYFUNCTION("""COMPUTED_VALUE"""),"RF-00002617-MCG")</f>
        <v>RF-00002617-MCG</v>
      </c>
    </row>
    <row r="4754" spans="1:2" ht="12.5" x14ac:dyDescent="0.25">
      <c r="A4754" t="str">
        <f ca="1">IFERROR(__xludf.DUMMYFUNCTION("""COMPUTED_VALUE"""),"Phlebovirus Chandiru virus")</f>
        <v>Phlebovirus Chandiru virus</v>
      </c>
      <c r="B4754" t="str">
        <f ca="1">IFERROR(__xludf.DUMMYFUNCTION("""COMPUTED_VALUE"""),"RF-00002618-MCG")</f>
        <v>RF-00002618-MCG</v>
      </c>
    </row>
    <row r="4755" spans="1:2" ht="12.5" x14ac:dyDescent="0.25">
      <c r="A4755" t="str">
        <f ca="1">IFERROR(__xludf.DUMMYFUNCTION("""COMPUTED_VALUE"""),"Phlebovirus Chilibre virus")</f>
        <v>Phlebovirus Chilibre virus</v>
      </c>
      <c r="B4755" t="str">
        <f ca="1">IFERROR(__xludf.DUMMYFUNCTION("""COMPUTED_VALUE"""),"RF-00002619-MCG")</f>
        <v>RF-00002619-MCG</v>
      </c>
    </row>
    <row r="4756" spans="1:2" ht="12.5" x14ac:dyDescent="0.25">
      <c r="A4756" t="str">
        <f ca="1">IFERROR(__xludf.DUMMYFUNCTION("""COMPUTED_VALUE"""),"Phlebovirus Frijoles virus")</f>
        <v>Phlebovirus Frijoles virus</v>
      </c>
      <c r="B4756" t="str">
        <f ca="1">IFERROR(__xludf.DUMMYFUNCTION("""COMPUTED_VALUE"""),"RF-00002620-MCG")</f>
        <v>RF-00002620-MCG</v>
      </c>
    </row>
    <row r="4757" spans="1:2" ht="12.5" x14ac:dyDescent="0.25">
      <c r="A4757" t="str">
        <f ca="1">IFERROR(__xludf.DUMMYFUNCTION("""COMPUTED_VALUE"""),"Phlebovirus Massilia virus")</f>
        <v>Phlebovirus Massilia virus</v>
      </c>
      <c r="B4757" t="str">
        <f ca="1">IFERROR(__xludf.DUMMYFUNCTION("""COMPUTED_VALUE"""),"RF-00002626-MCG")</f>
        <v>RF-00002626-MCG</v>
      </c>
    </row>
    <row r="4758" spans="1:2" ht="12.5" x14ac:dyDescent="0.25">
      <c r="A4758" t="str">
        <f ca="1">IFERROR(__xludf.DUMMYFUNCTION("""COMPUTED_VALUE"""),"Phlebovirus Punta Toro virus")</f>
        <v>Phlebovirus Punta Toro virus</v>
      </c>
      <c r="B4758" t="str">
        <f ca="1">IFERROR(__xludf.DUMMYFUNCTION("""COMPUTED_VALUE"""),"RF-00002621-MCG")</f>
        <v>RF-00002621-MCG</v>
      </c>
    </row>
    <row r="4759" spans="1:2" ht="12.5" x14ac:dyDescent="0.25">
      <c r="A4759" t="str">
        <f ca="1">IFERROR(__xludf.DUMMYFUNCTION("""COMPUTED_VALUE"""),"Phlebovirus Rift Valley fever virus")</f>
        <v>Phlebovirus Rift Valley fever virus</v>
      </c>
      <c r="B4759" t="str">
        <f ca="1">IFERROR(__xludf.DUMMYFUNCTION("""COMPUTED_VALUE"""),"RF-00002622-MCG")</f>
        <v>RF-00002622-MCG</v>
      </c>
    </row>
    <row r="4760" spans="1:2" ht="12.5" x14ac:dyDescent="0.25">
      <c r="A4760" t="str">
        <f ca="1">IFERROR(__xludf.DUMMYFUNCTION("""COMPUTED_VALUE"""),"Phlebovirus Salehebad virus")</f>
        <v>Phlebovirus Salehebad virus</v>
      </c>
      <c r="B4760" t="str">
        <f ca="1">IFERROR(__xludf.DUMMYFUNCTION("""COMPUTED_VALUE"""),"RF-00002623-MCG")</f>
        <v>RF-00002623-MCG</v>
      </c>
    </row>
    <row r="4761" spans="1:2" ht="12.5" x14ac:dyDescent="0.25">
      <c r="A4761" t="str">
        <f ca="1">IFERROR(__xludf.DUMMYFUNCTION("""COMPUTED_VALUE"""),"Phlebovirus Sandfly fever Gabek Forest virus")</f>
        <v>Phlebovirus Sandfly fever Gabek Forest virus</v>
      </c>
      <c r="B4761" t="str">
        <f ca="1">IFERROR(__xludf.DUMMYFUNCTION("""COMPUTED_VALUE"""),"RF-00002625-MCG")</f>
        <v>RF-00002625-MCG</v>
      </c>
    </row>
    <row r="4762" spans="1:2" ht="12.5" x14ac:dyDescent="0.25">
      <c r="A4762" t="str">
        <f ca="1">IFERROR(__xludf.DUMMYFUNCTION("""COMPUTED_VALUE"""),"Phlebovirus Sandfly fever Naples virus")</f>
        <v>Phlebovirus Sandfly fever Naples virus</v>
      </c>
      <c r="B4762" t="str">
        <f ca="1">IFERROR(__xludf.DUMMYFUNCTION("""COMPUTED_VALUE"""),"RF-00002614-MCG")</f>
        <v>RF-00002614-MCG</v>
      </c>
    </row>
    <row r="4763" spans="1:2" ht="12.5" x14ac:dyDescent="0.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x14ac:dyDescent="0.25">
      <c r="A4764" t="str">
        <f ca="1">IFERROR(__xludf.DUMMYFUNCTION("""COMPUTED_VALUE"""),"Phlebovirus Sandfly fever Sicilian virus")</f>
        <v>Phlebovirus Sandfly fever Sicilian virus</v>
      </c>
      <c r="B4764" t="str">
        <f ca="1">IFERROR(__xludf.DUMMYFUNCTION("""COMPUTED_VALUE"""),"RF-00002616-MCG")</f>
        <v>RF-00002616-MCG</v>
      </c>
    </row>
    <row r="4765" spans="1:2" ht="12.5" x14ac:dyDescent="0.25">
      <c r="A4765" t="str">
        <f ca="1">IFERROR(__xludf.DUMMYFUNCTION("""COMPUTED_VALUE"""),"Phlebovirus spp. Unidentified")</f>
        <v>Phlebovirus spp. Unidentified</v>
      </c>
      <c r="B4765" t="str">
        <f ca="1">IFERROR(__xludf.DUMMYFUNCTION("""COMPUTED_VALUE"""),"RF-00002613-MCG")</f>
        <v>RF-00002613-MCG</v>
      </c>
    </row>
    <row r="4766" spans="1:2" ht="12.5" x14ac:dyDescent="0.25">
      <c r="A4766" t="str">
        <f ca="1">IFERROR(__xludf.DUMMYFUNCTION("""COMPUTED_VALUE"""),"Phlebovirus Uukuniemi virus")</f>
        <v>Phlebovirus Uukuniemi virus</v>
      </c>
      <c r="B4766" t="str">
        <f ca="1">IFERROR(__xludf.DUMMYFUNCTION("""COMPUTED_VALUE"""),"RF-00002624-MCG")</f>
        <v>RF-00002624-MCG</v>
      </c>
    </row>
    <row r="4767" spans="1:2" ht="12.5" x14ac:dyDescent="0.25">
      <c r="A4767" t="str">
        <f ca="1">IFERROR(__xludf.DUMMYFUNCTION("""COMPUTED_VALUE"""),"Phomopsin A")</f>
        <v>Phomopsin A</v>
      </c>
      <c r="B4767" t="str">
        <f ca="1">IFERROR(__xludf.DUMMYFUNCTION("""COMPUTED_VALUE"""),"RF-00000219-TOX")</f>
        <v>RF-00000219-TOX</v>
      </c>
    </row>
    <row r="4768" spans="1:2" ht="12.5" x14ac:dyDescent="0.25">
      <c r="A4768" t="str">
        <f ca="1">IFERROR(__xludf.DUMMYFUNCTION("""COMPUTED_VALUE"""),"Phomopsin B")</f>
        <v>Phomopsin B</v>
      </c>
      <c r="B4768" t="str">
        <f ca="1">IFERROR(__xludf.DUMMYFUNCTION("""COMPUTED_VALUE"""),"RF-00000220-TOX")</f>
        <v>RF-00000220-TOX</v>
      </c>
    </row>
    <row r="4769" spans="1:2" ht="12.5" x14ac:dyDescent="0.25">
      <c r="A4769" t="str">
        <f ca="1">IFERROR(__xludf.DUMMYFUNCTION("""COMPUTED_VALUE"""),"Phomopsin C")</f>
        <v>Phomopsin C</v>
      </c>
      <c r="B4769" t="str">
        <f ca="1">IFERROR(__xludf.DUMMYFUNCTION("""COMPUTED_VALUE"""),"RF-00000221-TOX")</f>
        <v>RF-00000221-TOX</v>
      </c>
    </row>
    <row r="4770" spans="1:2" ht="12.5" x14ac:dyDescent="0.25">
      <c r="A4770" t="str">
        <f ca="1">IFERROR(__xludf.DUMMYFUNCTION("""COMPUTED_VALUE"""),"Phomopsin D")</f>
        <v>Phomopsin D</v>
      </c>
      <c r="B4770" t="str">
        <f ca="1">IFERROR(__xludf.DUMMYFUNCTION("""COMPUTED_VALUE"""),"RF-00000222-TOX")</f>
        <v>RF-00000222-TOX</v>
      </c>
    </row>
    <row r="4771" spans="1:2" ht="12.5" x14ac:dyDescent="0.25">
      <c r="A4771" t="str">
        <f ca="1">IFERROR(__xludf.DUMMYFUNCTION("""COMPUTED_VALUE"""),"Phomopsins")</f>
        <v>Phomopsins</v>
      </c>
      <c r="B4771" t="str">
        <f ca="1">IFERROR(__xludf.DUMMYFUNCTION("""COMPUTED_VALUE"""),"RF-00000210-TOX")</f>
        <v>RF-00000210-TOX</v>
      </c>
    </row>
    <row r="4772" spans="1:2" ht="12.5" x14ac:dyDescent="0.25">
      <c r="A4772" t="str">
        <f ca="1">IFERROR(__xludf.DUMMYFUNCTION("""COMPUTED_VALUE"""),"Phorate")</f>
        <v>Phorate</v>
      </c>
      <c r="B4772" t="str">
        <f ca="1">IFERROR(__xludf.DUMMYFUNCTION("""COMPUTED_VALUE"""),"RF-0336-003-PPP")</f>
        <v>RF-0336-003-PPP</v>
      </c>
    </row>
    <row r="4773" spans="1:2" ht="12.5" x14ac:dyDescent="0.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x14ac:dyDescent="0.25">
      <c r="A4774" t="str">
        <f ca="1">IFERROR(__xludf.DUMMYFUNCTION("""COMPUTED_VALUE"""),"Phorate-O-analogue")</f>
        <v>Phorate-O-analogue</v>
      </c>
      <c r="B4774" t="str">
        <f ca="1">IFERROR(__xludf.DUMMYFUNCTION("""COMPUTED_VALUE"""),"RF-0336-005-PPP")</f>
        <v>RF-0336-005-PPP</v>
      </c>
    </row>
    <row r="4775" spans="1:2" ht="12.5" x14ac:dyDescent="0.25">
      <c r="A4775" t="str">
        <f ca="1">IFERROR(__xludf.DUMMYFUNCTION("""COMPUTED_VALUE"""),"Phorate-oxonsulfone")</f>
        <v>Phorate-oxonsulfone</v>
      </c>
      <c r="B4775" t="str">
        <f ca="1">IFERROR(__xludf.DUMMYFUNCTION("""COMPUTED_VALUE"""),"RF-0336-006-PPP")</f>
        <v>RF-0336-006-PPP</v>
      </c>
    </row>
    <row r="4776" spans="1:2" ht="12.5" x14ac:dyDescent="0.25">
      <c r="A4776" t="str">
        <f ca="1">IFERROR(__xludf.DUMMYFUNCTION("""COMPUTED_VALUE"""),"Phorate-oxonsulfoxid")</f>
        <v>Phorate-oxonsulfoxid</v>
      </c>
      <c r="B4776" t="str">
        <f ca="1">IFERROR(__xludf.DUMMYFUNCTION("""COMPUTED_VALUE"""),"RF-0336-007-PPP")</f>
        <v>RF-0336-007-PPP</v>
      </c>
    </row>
    <row r="4777" spans="1:2" ht="12.5" x14ac:dyDescent="0.25">
      <c r="A4777" t="str">
        <f ca="1">IFERROR(__xludf.DUMMYFUNCTION("""COMPUTED_VALUE"""),"Phorate-Sulfon")</f>
        <v>Phorate-Sulfon</v>
      </c>
      <c r="B4777" t="str">
        <f ca="1">IFERROR(__xludf.DUMMYFUNCTION("""COMPUTED_VALUE"""),"RF-0336-002-PPP")</f>
        <v>RF-0336-002-PPP</v>
      </c>
    </row>
    <row r="4778" spans="1:2" ht="12.5" x14ac:dyDescent="0.25">
      <c r="A4778" t="str">
        <f ca="1">IFERROR(__xludf.DUMMYFUNCTION("""COMPUTED_VALUE"""),"Phorate-Sulfoxid")</f>
        <v>Phorate-Sulfoxid</v>
      </c>
      <c r="B4778" t="str">
        <f ca="1">IFERROR(__xludf.DUMMYFUNCTION("""COMPUTED_VALUE"""),"RF-0336-004-PPP")</f>
        <v>RF-0336-004-PPP</v>
      </c>
    </row>
    <row r="4779" spans="1:2" ht="12.5" x14ac:dyDescent="0.25">
      <c r="A4779" t="str">
        <f ca="1">IFERROR(__xludf.DUMMYFUNCTION("""COMPUTED_VALUE"""),"Phosalone")</f>
        <v>Phosalone</v>
      </c>
      <c r="B4779" t="str">
        <f ca="1">IFERROR(__xludf.DUMMYFUNCTION("""COMPUTED_VALUE"""),"RF-0337-001-PPP")</f>
        <v>RF-0337-001-PPP</v>
      </c>
    </row>
    <row r="4780" spans="1:2" ht="12.5" x14ac:dyDescent="0.25">
      <c r="A4780" t="str">
        <f ca="1">IFERROR(__xludf.DUMMYFUNCTION("""COMPUTED_VALUE"""),"Phosfolan")</f>
        <v>Phosfolan</v>
      </c>
      <c r="B4780" t="str">
        <f ca="1">IFERROR(__xludf.DUMMYFUNCTION("""COMPUTED_VALUE"""),"RF-1017-001-PPP")</f>
        <v>RF-1017-001-PPP</v>
      </c>
    </row>
    <row r="4781" spans="1:2" ht="12.5" x14ac:dyDescent="0.25">
      <c r="A4781" t="str">
        <f ca="1">IFERROR(__xludf.DUMMYFUNCTION("""COMPUTED_VALUE"""),"Phosmet")</f>
        <v>Phosmet</v>
      </c>
      <c r="B4781" t="str">
        <f ca="1">IFERROR(__xludf.DUMMYFUNCTION("""COMPUTED_VALUE"""),"RF-0338-002-PPP")</f>
        <v>RF-0338-002-PPP</v>
      </c>
    </row>
    <row r="4782" spans="1:2" ht="12.5" x14ac:dyDescent="0.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x14ac:dyDescent="0.25">
      <c r="A4783" t="str">
        <f ca="1">IFERROR(__xludf.DUMMYFUNCTION("""COMPUTED_VALUE"""),"Phosmet oxon")</f>
        <v>Phosmet oxon</v>
      </c>
      <c r="B4783" t="str">
        <f ca="1">IFERROR(__xludf.DUMMYFUNCTION("""COMPUTED_VALUE"""),"RF-0338-003-PPP")</f>
        <v>RF-0338-003-PPP</v>
      </c>
    </row>
    <row r="4784" spans="1:2" ht="12.5" x14ac:dyDescent="0.25">
      <c r="A4784" t="str">
        <f ca="1">IFERROR(__xludf.DUMMYFUNCTION("""COMPUTED_VALUE"""),"Phosphamidon")</f>
        <v>Phosphamidon</v>
      </c>
      <c r="B4784" t="str">
        <f ca="1">IFERROR(__xludf.DUMMYFUNCTION("""COMPUTED_VALUE"""),"RF-0339-001-PPP")</f>
        <v>RF-0339-001-PPP</v>
      </c>
    </row>
    <row r="4785" spans="1:2" ht="12.5" x14ac:dyDescent="0.25">
      <c r="A4785" t="str">
        <f ca="1">IFERROR(__xludf.DUMMYFUNCTION("""COMPUTED_VALUE"""),"Phosphated distarch phosphate")</f>
        <v>Phosphated distarch phosphate</v>
      </c>
      <c r="B4785" t="str">
        <f ca="1">IFERROR(__xludf.DUMMYFUNCTION("""COMPUTED_VALUE"""),"RF-00000211-ADD")</f>
        <v>RF-00000211-ADD</v>
      </c>
    </row>
    <row r="4786" spans="1:2" ht="12.5" x14ac:dyDescent="0.25">
      <c r="A4786" t="str">
        <f ca="1">IFERROR(__xludf.DUMMYFUNCTION("""COMPUTED_VALUE"""),"phosphates")</f>
        <v>phosphates</v>
      </c>
      <c r="B4786" t="str">
        <f ca="1">IFERROR(__xludf.DUMMYFUNCTION("""COMPUTED_VALUE"""),"RF-00000030-CHE")</f>
        <v>RF-00000030-CHE</v>
      </c>
    </row>
    <row r="4787" spans="1:2" ht="12.5" x14ac:dyDescent="0.25">
      <c r="A4787" t="str">
        <f ca="1">IFERROR(__xludf.DUMMYFUNCTION("""COMPUTED_VALUE"""),"phosphatidyl choline (lecithin)")</f>
        <v>phosphatidyl choline (lecithin)</v>
      </c>
      <c r="B4787" t="str">
        <f ca="1">IFERROR(__xludf.DUMMYFUNCTION("""COMPUTED_VALUE"""),"RF-00000361-NTR")</f>
        <v>RF-00000361-NTR</v>
      </c>
    </row>
    <row r="4788" spans="1:2" ht="12.5" x14ac:dyDescent="0.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x14ac:dyDescent="0.25">
      <c r="A4789" t="str">
        <f ca="1">IFERROR(__xludf.DUMMYFUNCTION("""COMPUTED_VALUE"""),"phospholipids, total")</f>
        <v>phospholipids, total</v>
      </c>
      <c r="B4789" t="str">
        <f ca="1">IFERROR(__xludf.DUMMYFUNCTION("""COMPUTED_VALUE"""),"RF-00000362-NTR")</f>
        <v>RF-00000362-NTR</v>
      </c>
    </row>
    <row r="4790" spans="1:2" ht="12.5" x14ac:dyDescent="0.25">
      <c r="A4790" t="str">
        <f ca="1">IFERROR(__xludf.DUMMYFUNCTION("""COMPUTED_VALUE"""),"Phosphoric acid")</f>
        <v>Phosphoric acid</v>
      </c>
      <c r="B4790" t="str">
        <f ca="1">IFERROR(__xludf.DUMMYFUNCTION("""COMPUTED_VALUE"""),"RF-00000212-ADD")</f>
        <v>RF-00000212-ADD</v>
      </c>
    </row>
    <row r="4791" spans="1:2" ht="12.5" x14ac:dyDescent="0.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x14ac:dyDescent="0.25">
      <c r="A4792" t="str">
        <f ca="1">IFERROR(__xludf.DUMMYFUNCTION("""COMPUTED_VALUE"""),"Phosphorus (P)")</f>
        <v>Phosphorus (P)</v>
      </c>
      <c r="B4792" t="str">
        <f ca="1">IFERROR(__xludf.DUMMYFUNCTION("""COMPUTED_VALUE"""),"RF-00000031-CHE")</f>
        <v>RF-00000031-CHE</v>
      </c>
    </row>
    <row r="4793" spans="1:2" ht="12.5" x14ac:dyDescent="0.25">
      <c r="A4793" t="str">
        <f ca="1">IFERROR(__xludf.DUMMYFUNCTION("""COMPUTED_VALUE"""),"Phosphorus (P2O5)")</f>
        <v>Phosphorus (P2O5)</v>
      </c>
      <c r="B4793" t="str">
        <f ca="1">IFERROR(__xludf.DUMMYFUNCTION("""COMPUTED_VALUE"""),"RF-00000033-CHE")</f>
        <v>RF-00000033-CHE</v>
      </c>
    </row>
    <row r="4794" spans="1:2" ht="12.5" x14ac:dyDescent="0.25">
      <c r="A4794" t="str">
        <f ca="1">IFERROR(__xludf.DUMMYFUNCTION("""COMPUTED_VALUE"""),"Phosphorus and derivatives")</f>
        <v>Phosphorus and derivatives</v>
      </c>
      <c r="B4794" t="str">
        <f ca="1">IFERROR(__xludf.DUMMYFUNCTION("""COMPUTED_VALUE"""),"RF-00000029-CHE")</f>
        <v>RF-00000029-CHE</v>
      </c>
    </row>
    <row r="4795" spans="1:2" ht="12.5" x14ac:dyDescent="0.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x14ac:dyDescent="0.25">
      <c r="A4796" t="str">
        <f ca="1">IFERROR(__xludf.DUMMYFUNCTION("""COMPUTED_VALUE"""),"Phosphorus soluble in 2% citric acid")</f>
        <v>Phosphorus soluble in 2% citric acid</v>
      </c>
      <c r="B4796" t="str">
        <f ca="1">IFERROR(__xludf.DUMMYFUNCTION("""COMPUTED_VALUE"""),"RF-00000035-CHE")</f>
        <v>RF-00000035-CHE</v>
      </c>
    </row>
    <row r="4797" spans="1:2" ht="12.5" x14ac:dyDescent="0.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x14ac:dyDescent="0.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x14ac:dyDescent="0.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x14ac:dyDescent="0.25">
      <c r="A4800" t="str">
        <f ca="1">IFERROR(__xludf.DUMMYFUNCTION("""COMPUTED_VALUE"""),"Phosphorus soluble in formic acid 2%")</f>
        <v>Phosphorus soluble in formic acid 2%</v>
      </c>
      <c r="B4800" t="str">
        <f ca="1">IFERROR(__xludf.DUMMYFUNCTION("""COMPUTED_VALUE"""),"RF-00000036-CHE")</f>
        <v>RF-00000036-CHE</v>
      </c>
    </row>
    <row r="4801" spans="1:2" ht="12.5" x14ac:dyDescent="0.25">
      <c r="A4801" t="str">
        <f ca="1">IFERROR(__xludf.DUMMYFUNCTION("""COMPUTED_VALUE"""),"Phosphorus soluble in mineral acids")</f>
        <v>Phosphorus soluble in mineral acids</v>
      </c>
      <c r="B4801" t="str">
        <f ca="1">IFERROR(__xludf.DUMMYFUNCTION("""COMPUTED_VALUE"""),"RF-00000043-CHE")</f>
        <v>RF-00000043-CHE</v>
      </c>
    </row>
    <row r="4802" spans="1:2" ht="12.5" x14ac:dyDescent="0.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x14ac:dyDescent="0.25">
      <c r="A4803" t="str">
        <f ca="1">IFERROR(__xludf.DUMMYFUNCTION("""COMPUTED_VALUE"""),"Phosphorus soluble in water")</f>
        <v>Phosphorus soluble in water</v>
      </c>
      <c r="B4803" t="str">
        <f ca="1">IFERROR(__xludf.DUMMYFUNCTION("""COMPUTED_VALUE"""),"RF-00000042-CHE")</f>
        <v>RF-00000042-CHE</v>
      </c>
    </row>
    <row r="4804" spans="1:2" ht="12.5" x14ac:dyDescent="0.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x14ac:dyDescent="0.25">
      <c r="A4805" t="str">
        <f ca="1">IFERROR(__xludf.DUMMYFUNCTION("""COMPUTED_VALUE"""),"Phoxim")</f>
        <v>Phoxim</v>
      </c>
      <c r="B4805" t="str">
        <f ca="1">IFERROR(__xludf.DUMMYFUNCTION("""COMPUTED_VALUE"""),"RF-0342-001-PPP")</f>
        <v>RF-0342-001-PPP</v>
      </c>
    </row>
    <row r="4806" spans="1:2" ht="12.5" x14ac:dyDescent="0.25">
      <c r="A4806" t="str">
        <f ca="1">IFERROR(__xludf.DUMMYFUNCTION("""COMPUTED_VALUE"""),"Phthalimide")</f>
        <v>Phthalimide</v>
      </c>
      <c r="B4806" t="str">
        <f ca="1">IFERROR(__xludf.DUMMYFUNCTION("""COMPUTED_VALUE"""),"RF-0991-001-PPP")</f>
        <v>RF-0991-001-PPP</v>
      </c>
    </row>
    <row r="4807" spans="1:2" ht="12.5" x14ac:dyDescent="0.25">
      <c r="A4807" t="str">
        <f ca="1">IFERROR(__xludf.DUMMYFUNCTION("""COMPUTED_VALUE"""),"Phthalylsulfathiazol")</f>
        <v>Phthalylsulfathiazol</v>
      </c>
      <c r="B4807" t="str">
        <f ca="1">IFERROR(__xludf.DUMMYFUNCTION("""COMPUTED_VALUE"""),"RF-00000578-VET")</f>
        <v>RF-00000578-VET</v>
      </c>
    </row>
    <row r="4808" spans="1:2" ht="12.5" x14ac:dyDescent="0.25">
      <c r="A4808" t="str">
        <f ca="1">IFERROR(__xludf.DUMMYFUNCTION("""COMPUTED_VALUE"""),"Phyrimethamine")</f>
        <v>Phyrimethamine</v>
      </c>
      <c r="B4808" t="str">
        <f ca="1">IFERROR(__xludf.DUMMYFUNCTION("""COMPUTED_VALUE"""),"RF-00000076-VET")</f>
        <v>RF-00000076-VET</v>
      </c>
    </row>
    <row r="4809" spans="1:2" ht="12.5" x14ac:dyDescent="0.25">
      <c r="A4809" t="str">
        <f ca="1">IFERROR(__xludf.DUMMYFUNCTION("""COMPUTED_VALUE"""),"phytic acid")</f>
        <v>phytic acid</v>
      </c>
      <c r="B4809" t="str">
        <f ca="1">IFERROR(__xludf.DUMMYFUNCTION("""COMPUTED_VALUE"""),"RF-00000363-NTR")</f>
        <v>RF-00000363-NTR</v>
      </c>
    </row>
    <row r="4810" spans="1:2" ht="12.5" x14ac:dyDescent="0.25">
      <c r="A4810" t="str">
        <f ca="1">IFERROR(__xludf.DUMMYFUNCTION("""COMPUTED_VALUE"""),"phytosterols, total (total plant sterols)")</f>
        <v>phytosterols, total (total plant sterols)</v>
      </c>
      <c r="B4810" t="str">
        <f ca="1">IFERROR(__xludf.DUMMYFUNCTION("""COMPUTED_VALUE"""),"RF-00000364-NTR")</f>
        <v>RF-00000364-NTR</v>
      </c>
    </row>
    <row r="4811" spans="1:2" ht="12.5" x14ac:dyDescent="0.25">
      <c r="A4811" t="str">
        <f ca="1">IFERROR(__xludf.DUMMYFUNCTION("""COMPUTED_VALUE"""),"Phytotoxins")</f>
        <v>Phytotoxins</v>
      </c>
      <c r="B4811" t="str">
        <f ca="1">IFERROR(__xludf.DUMMYFUNCTION("""COMPUTED_VALUE"""),"RF-00000223-TOX")</f>
        <v>RF-00000223-TOX</v>
      </c>
    </row>
    <row r="4812" spans="1:2" ht="12.5" x14ac:dyDescent="0.25">
      <c r="A4812" t="str">
        <f ca="1">IFERROR(__xludf.DUMMYFUNCTION("""COMPUTED_VALUE"""),"Picloram")</f>
        <v>Picloram</v>
      </c>
      <c r="B4812" t="str">
        <f ca="1">IFERROR(__xludf.DUMMYFUNCTION("""COMPUTED_VALUE"""),"RF-0343-001-PPP")</f>
        <v>RF-0343-001-PPP</v>
      </c>
    </row>
    <row r="4813" spans="1:2" ht="12.5" x14ac:dyDescent="0.25">
      <c r="A4813" t="str">
        <f ca="1">IFERROR(__xludf.DUMMYFUNCTION("""COMPUTED_VALUE"""),"Picolinafen")</f>
        <v>Picolinafen</v>
      </c>
      <c r="B4813" t="str">
        <f ca="1">IFERROR(__xludf.DUMMYFUNCTION("""COMPUTED_VALUE"""),"RF-0344-001-PPP")</f>
        <v>RF-0344-001-PPP</v>
      </c>
    </row>
    <row r="4814" spans="1:2" ht="12.5" x14ac:dyDescent="0.25">
      <c r="A4814" t="str">
        <f ca="1">IFERROR(__xludf.DUMMYFUNCTION("""COMPUTED_VALUE"""),"Picoxystrobin")</f>
        <v>Picoxystrobin</v>
      </c>
      <c r="B4814" t="str">
        <f ca="1">IFERROR(__xludf.DUMMYFUNCTION("""COMPUTED_VALUE"""),"RF-0345-001-PPP")</f>
        <v>RF-0345-001-PPP</v>
      </c>
    </row>
    <row r="4815" spans="1:2" ht="12.5" x14ac:dyDescent="0.25">
      <c r="A4815" t="str">
        <f ca="1">IFERROR(__xludf.DUMMYFUNCTION("""COMPUTED_VALUE"""),"Pinoxaden")</f>
        <v>Pinoxaden</v>
      </c>
      <c r="B4815" t="str">
        <f ca="1">IFERROR(__xludf.DUMMYFUNCTION("""COMPUTED_VALUE"""),"RF-0346-001-PPP")</f>
        <v>RF-0346-001-PPP</v>
      </c>
    </row>
    <row r="4816" spans="1:2" ht="12.5" x14ac:dyDescent="0.25">
      <c r="A4816" t="str">
        <f ca="1">IFERROR(__xludf.DUMMYFUNCTION("""COMPUTED_VALUE"""),"Pipedemic acid")</f>
        <v>Pipedemic acid</v>
      </c>
      <c r="B4816" t="str">
        <f ca="1">IFERROR(__xludf.DUMMYFUNCTION("""COMPUTED_VALUE"""),"RF-00000620-VET")</f>
        <v>RF-00000620-VET</v>
      </c>
    </row>
    <row r="4817" spans="1:2" ht="12.5" x14ac:dyDescent="0.25">
      <c r="A4817" t="str">
        <f ca="1">IFERROR(__xludf.DUMMYFUNCTION("""COMPUTED_VALUE"""),"Piperacillin")</f>
        <v>Piperacillin</v>
      </c>
      <c r="B4817" t="str">
        <f ca="1">IFERROR(__xludf.DUMMYFUNCTION("""COMPUTED_VALUE"""),"RF-00000762-VET")</f>
        <v>RF-00000762-VET</v>
      </c>
    </row>
    <row r="4818" spans="1:2" ht="12.5" x14ac:dyDescent="0.25">
      <c r="A4818" t="str">
        <f ca="1">IFERROR(__xludf.DUMMYFUNCTION("""COMPUTED_VALUE"""),"Piperalin")</f>
        <v>Piperalin</v>
      </c>
      <c r="B4818" t="str">
        <f ca="1">IFERROR(__xludf.DUMMYFUNCTION("""COMPUTED_VALUE"""),"RF-0847-001-PPP")</f>
        <v>RF-0847-001-PPP</v>
      </c>
    </row>
    <row r="4819" spans="1:2" ht="12.5" x14ac:dyDescent="0.25">
      <c r="A4819" t="str">
        <f ca="1">IFERROR(__xludf.DUMMYFUNCTION("""COMPUTED_VALUE"""),"Piperazine")</f>
        <v>Piperazine</v>
      </c>
      <c r="B4819" t="str">
        <f ca="1">IFERROR(__xludf.DUMMYFUNCTION("""COMPUTED_VALUE"""),"RF-00000018-VET")</f>
        <v>RF-00000018-VET</v>
      </c>
    </row>
    <row r="4820" spans="1:2" ht="12.5" x14ac:dyDescent="0.25">
      <c r="A4820" t="str">
        <f ca="1">IFERROR(__xludf.DUMMYFUNCTION("""COMPUTED_VALUE"""),"piperine")</f>
        <v>piperine</v>
      </c>
      <c r="B4820" t="str">
        <f ca="1">IFERROR(__xludf.DUMMYFUNCTION("""COMPUTED_VALUE"""),"RF-00000365-NTR")</f>
        <v>RF-00000365-NTR</v>
      </c>
    </row>
    <row r="4821" spans="1:2" ht="12.5" x14ac:dyDescent="0.25">
      <c r="A4821" t="str">
        <f ca="1">IFERROR(__xludf.DUMMYFUNCTION("""COMPUTED_VALUE"""),"Piperonyl Butoxide")</f>
        <v>Piperonyl Butoxide</v>
      </c>
      <c r="B4821" t="str">
        <f ca="1">IFERROR(__xludf.DUMMYFUNCTION("""COMPUTED_VALUE"""),"RF-0848-001-PPP")</f>
        <v>RF-0848-001-PPP</v>
      </c>
    </row>
    <row r="4822" spans="1:2" ht="12.5" x14ac:dyDescent="0.25">
      <c r="A4822" t="str">
        <f ca="1">IFERROR(__xludf.DUMMYFUNCTION("""COMPUTED_VALUE"""),"Piperophos")</f>
        <v>Piperophos</v>
      </c>
      <c r="B4822" t="str">
        <f ca="1">IFERROR(__xludf.DUMMYFUNCTION("""COMPUTED_VALUE"""),"RF-0849-001-PPP")</f>
        <v>RF-0849-001-PPP</v>
      </c>
    </row>
    <row r="4823" spans="1:2" ht="12.5" x14ac:dyDescent="0.25">
      <c r="A4823" t="str">
        <f ca="1">IFERROR(__xludf.DUMMYFUNCTION("""COMPUTED_VALUE"""),"Pirbuterol")</f>
        <v>Pirbuterol</v>
      </c>
      <c r="B4823" t="str">
        <f ca="1">IFERROR(__xludf.DUMMYFUNCTION("""COMPUTED_VALUE"""),"RF-00000494-VET")</f>
        <v>RF-00000494-VET</v>
      </c>
    </row>
    <row r="4824" spans="1:2" ht="12.5" x14ac:dyDescent="0.25">
      <c r="A4824" t="str">
        <f ca="1">IFERROR(__xludf.DUMMYFUNCTION("""COMPUTED_VALUE"""),"Pirimicarb")</f>
        <v>Pirimicarb</v>
      </c>
      <c r="B4824" t="str">
        <f ca="1">IFERROR(__xludf.DUMMYFUNCTION("""COMPUTED_VALUE"""),"RF-0347-002-PPP")</f>
        <v>RF-0347-002-PPP</v>
      </c>
    </row>
    <row r="4825" spans="1:2" ht="12.5" x14ac:dyDescent="0.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x14ac:dyDescent="0.25">
      <c r="A4826" t="str">
        <f ca="1">IFERROR(__xludf.DUMMYFUNCTION("""COMPUTED_VALUE"""),"Pirimicarb, Desmethylformamido-")</f>
        <v>Pirimicarb, Desmethylformamido-</v>
      </c>
      <c r="B4826" t="str">
        <f ca="1">IFERROR(__xludf.DUMMYFUNCTION("""COMPUTED_VALUE"""),"RF-0850-001-PPP")</f>
        <v>RF-0850-001-PPP</v>
      </c>
    </row>
    <row r="4827" spans="1:2" ht="12.5" x14ac:dyDescent="0.25">
      <c r="A4827" t="str">
        <f ca="1">IFERROR(__xludf.DUMMYFUNCTION("""COMPUTED_VALUE"""),"Pirimiphos-Ethyl")</f>
        <v>Pirimiphos-Ethyl</v>
      </c>
      <c r="B4827" t="str">
        <f ca="1">IFERROR(__xludf.DUMMYFUNCTION("""COMPUTED_VALUE"""),"RF-0851-001-PPP")</f>
        <v>RF-0851-001-PPP</v>
      </c>
    </row>
    <row r="4828" spans="1:2" ht="12.5" x14ac:dyDescent="0.25">
      <c r="A4828" t="str">
        <f ca="1">IFERROR(__xludf.DUMMYFUNCTION("""COMPUTED_VALUE"""),"Pirimiphos-methyl")</f>
        <v>Pirimiphos-methyl</v>
      </c>
      <c r="B4828" t="str">
        <f ca="1">IFERROR(__xludf.DUMMYFUNCTION("""COMPUTED_VALUE"""),"RF-0348-001-PPP")</f>
        <v>RF-0348-001-PPP</v>
      </c>
    </row>
    <row r="4829" spans="1:2" ht="12.5" x14ac:dyDescent="0.25">
      <c r="A4829" t="str">
        <f ca="1">IFERROR(__xludf.DUMMYFUNCTION("""COMPUTED_VALUE"""),"Pirlimycin")</f>
        <v>Pirlimycin</v>
      </c>
      <c r="B4829" t="str">
        <f ca="1">IFERROR(__xludf.DUMMYFUNCTION("""COMPUTED_VALUE"""),"RF-00000666-VET")</f>
        <v>RF-00000666-VET</v>
      </c>
    </row>
    <row r="4830" spans="1:2" ht="12.5" x14ac:dyDescent="0.25">
      <c r="A4830" t="str">
        <f ca="1">IFERROR(__xludf.DUMMYFUNCTION("""COMPUTED_VALUE"""),"Piromidinacid")</f>
        <v>Piromidinacid</v>
      </c>
      <c r="B4830" t="str">
        <f ca="1">IFERROR(__xludf.DUMMYFUNCTION("""COMPUTED_VALUE"""),"RF-00000651-VET")</f>
        <v>RF-00000651-VET</v>
      </c>
    </row>
    <row r="4831" spans="1:2" ht="12.5" x14ac:dyDescent="0.25">
      <c r="A4831" t="str">
        <f ca="1">IFERROR(__xludf.DUMMYFUNCTION("""COMPUTED_VALUE"""),"Plain caramel")</f>
        <v>Plain caramel</v>
      </c>
      <c r="B4831" t="str">
        <f ca="1">IFERROR(__xludf.DUMMYFUNCTION("""COMPUTED_VALUE"""),"RF-00000213-ADD")</f>
        <v>RF-00000213-ADD</v>
      </c>
    </row>
    <row r="4832" spans="1:2" ht="12.5" x14ac:dyDescent="0.25">
      <c r="A4832" t="str">
        <f ca="1">IFERROR(__xludf.DUMMYFUNCTION("""COMPUTED_VALUE"""),"Platyphylline")</f>
        <v>Platyphylline</v>
      </c>
      <c r="B4832" t="str">
        <f ca="1">IFERROR(__xludf.DUMMYFUNCTION("""COMPUTED_VALUE"""),"RF-00000243-TOX")</f>
        <v>RF-00000243-TOX</v>
      </c>
    </row>
    <row r="4833" spans="1:2" ht="12.5" x14ac:dyDescent="0.25">
      <c r="A4833" t="str">
        <f ca="1">IFERROR(__xludf.DUMMYFUNCTION("""COMPUTED_VALUE"""),"Plesiomonas")</f>
        <v>Plesiomonas</v>
      </c>
      <c r="B4833" t="str">
        <f ca="1">IFERROR(__xludf.DUMMYFUNCTION("""COMPUTED_VALUE"""),"RF-00000291-MCG")</f>
        <v>RF-00000291-MCG</v>
      </c>
    </row>
    <row r="4834" spans="1:2" ht="12.5" x14ac:dyDescent="0.25">
      <c r="A4834" t="str">
        <f ca="1">IFERROR(__xludf.DUMMYFUNCTION("""COMPUTED_VALUE"""),"Plesiomonas shigelloides")</f>
        <v>Plesiomonas shigelloides</v>
      </c>
      <c r="B4834" t="str">
        <f ca="1">IFERROR(__xludf.DUMMYFUNCTION("""COMPUTED_VALUE"""),"RF-00000292-MCG")</f>
        <v>RF-00000292-MCG</v>
      </c>
    </row>
    <row r="4835" spans="1:2" ht="12.5" x14ac:dyDescent="0.25">
      <c r="A4835" t="str">
        <f ca="1">IFERROR(__xludf.DUMMYFUNCTION("""COMPUTED_VALUE"""),"Plesiomonas spp., unspecified")</f>
        <v>Plesiomonas spp., unspecified</v>
      </c>
      <c r="B4835" t="str">
        <f ca="1">IFERROR(__xludf.DUMMYFUNCTION("""COMPUTED_VALUE"""),"RF-00000293-MCG")</f>
        <v>RF-00000293-MCG</v>
      </c>
    </row>
    <row r="4836" spans="1:2" ht="12.5" x14ac:dyDescent="0.25">
      <c r="A4836" t="str">
        <f ca="1">IFERROR(__xludf.DUMMYFUNCTION("""COMPUTED_VALUE"""),"Pleuromutilins")</f>
        <v>Pleuromutilins</v>
      </c>
      <c r="B4836" t="str">
        <f ca="1">IFERROR(__xludf.DUMMYFUNCTION("""COMPUTED_VALUE"""),"RF-00000763-VET")</f>
        <v>RF-00000763-VET</v>
      </c>
    </row>
    <row r="4837" spans="1:2" ht="12.5" x14ac:dyDescent="0.25">
      <c r="A4837" t="str">
        <f ca="1">IFERROR(__xludf.DUMMYFUNCTION("""COMPUTED_VALUE"""),"Plifenate")</f>
        <v>Plifenate</v>
      </c>
      <c r="B4837" t="str">
        <f ca="1">IFERROR(__xludf.DUMMYFUNCTION("""COMPUTED_VALUE"""),"RF-1018-001-PPP")</f>
        <v>RF-1018-001-PPP</v>
      </c>
    </row>
    <row r="4838" spans="1:2" ht="12.5" x14ac:dyDescent="0.25">
      <c r="A4838" t="str">
        <f ca="1">IFERROR(__xludf.DUMMYFUNCTION("""COMPUTED_VALUE"""),"Polybrominated biphenyl")</f>
        <v>Polybrominated biphenyl</v>
      </c>
      <c r="B4838" t="str">
        <f ca="1">IFERROR(__xludf.DUMMYFUNCTION("""COMPUTED_VALUE"""),"RF-00000085-ORG")</f>
        <v>RF-00000085-ORG</v>
      </c>
    </row>
    <row r="4839" spans="1:2" ht="12.5" x14ac:dyDescent="0.25">
      <c r="A4839" t="str">
        <f ca="1">IFERROR(__xludf.DUMMYFUNCTION("""COMPUTED_VALUE"""),"Polybrominated diphenyl ether")</f>
        <v>Polybrominated diphenyl ether</v>
      </c>
      <c r="B4839" t="str">
        <f ca="1">IFERROR(__xludf.DUMMYFUNCTION("""COMPUTED_VALUE"""),"RF-00000096-ORG")</f>
        <v>RF-00000096-ORG</v>
      </c>
    </row>
    <row r="4840" spans="1:2" ht="12.5" x14ac:dyDescent="0.25">
      <c r="A4840" t="str">
        <f ca="1">IFERROR(__xludf.DUMMYFUNCTION("""COMPUTED_VALUE"""),"Polychlorinated Biphenyls")</f>
        <v>Polychlorinated Biphenyls</v>
      </c>
      <c r="B4840" t="str">
        <f ca="1">IFERROR(__xludf.DUMMYFUNCTION("""COMPUTED_VALUE"""),"RF-00000115-ORG")</f>
        <v>RF-00000115-ORG</v>
      </c>
    </row>
    <row r="4841" spans="1:2" ht="12.5" x14ac:dyDescent="0.25">
      <c r="A4841" t="str">
        <f ca="1">IFERROR(__xludf.DUMMYFUNCTION("""COMPUTED_VALUE"""),"Polychloroterpenes")</f>
        <v>Polychloroterpenes</v>
      </c>
      <c r="B4841" t="str">
        <f ca="1">IFERROR(__xludf.DUMMYFUNCTION("""COMPUTED_VALUE"""),"RF-0977-001-PPP")</f>
        <v>RF-0977-001-PPP</v>
      </c>
    </row>
    <row r="4842" spans="1:2" ht="12.5" x14ac:dyDescent="0.25">
      <c r="A4842" t="str">
        <f ca="1">IFERROR(__xludf.DUMMYFUNCTION("""COMPUTED_VALUE"""),"Polycyclic aromatic hydrocarbons")</f>
        <v>Polycyclic aromatic hydrocarbons</v>
      </c>
      <c r="B4842" t="str">
        <f ca="1">IFERROR(__xludf.DUMMYFUNCTION("""COMPUTED_VALUE"""),"RF-00000040-ORG")</f>
        <v>RF-00000040-ORG</v>
      </c>
    </row>
    <row r="4843" spans="1:2" ht="12.5" x14ac:dyDescent="0.25">
      <c r="A4843" t="str">
        <f ca="1">IFERROR(__xludf.DUMMYFUNCTION("""COMPUTED_VALUE"""),"Polydextrose")</f>
        <v>Polydextrose</v>
      </c>
      <c r="B4843" t="str">
        <f ca="1">IFERROR(__xludf.DUMMYFUNCTION("""COMPUTED_VALUE"""),"RF-00000214-ADD")</f>
        <v>RF-00000214-ADD</v>
      </c>
    </row>
    <row r="4844" spans="1:2" ht="12.5" x14ac:dyDescent="0.25">
      <c r="A4844" t="str">
        <f ca="1">IFERROR(__xludf.DUMMYFUNCTION("""COMPUTED_VALUE"""),"Polyestradiolphosphate")</f>
        <v>Polyestradiolphosphate</v>
      </c>
      <c r="B4844" t="str">
        <f ca="1">IFERROR(__xludf.DUMMYFUNCTION("""COMPUTED_VALUE"""),"RF-00000422-VET")</f>
        <v>RF-00000422-VET</v>
      </c>
    </row>
    <row r="4845" spans="1:2" ht="12.5" x14ac:dyDescent="0.25">
      <c r="A4845" t="str">
        <f ca="1">IFERROR(__xludf.DUMMYFUNCTION("""COMPUTED_VALUE"""),"Polyethylene glycol")</f>
        <v>Polyethylene glycol</v>
      </c>
      <c r="B4845" t="str">
        <f ca="1">IFERROR(__xludf.DUMMYFUNCTION("""COMPUTED_VALUE"""),"RF-00000215-ADD")</f>
        <v>RF-00000215-ADD</v>
      </c>
    </row>
    <row r="4846" spans="1:2" ht="12.5" x14ac:dyDescent="0.25">
      <c r="A4846" t="str">
        <f ca="1">IFERROR(__xludf.DUMMYFUNCTION("""COMPUTED_VALUE"""),"Polyfluoroalkyl phosphate surfactants")</f>
        <v>Polyfluoroalkyl phosphate surfactants</v>
      </c>
      <c r="B4846" t="str">
        <f ca="1">IFERROR(__xludf.DUMMYFUNCTION("""COMPUTED_VALUE"""),"RF-00000366-ORG")</f>
        <v>RF-00000366-ORG</v>
      </c>
    </row>
    <row r="4847" spans="1:2" ht="12.5" x14ac:dyDescent="0.25">
      <c r="A4847" t="str">
        <f ca="1">IFERROR(__xludf.DUMMYFUNCTION("""COMPUTED_VALUE"""),"Polyglycerol esters of fatty acids")</f>
        <v>Polyglycerol esters of fatty acids</v>
      </c>
      <c r="B4847" t="str">
        <f ca="1">IFERROR(__xludf.DUMMYFUNCTION("""COMPUTED_VALUE"""),"RF-00000216-ADD")</f>
        <v>RF-00000216-ADD</v>
      </c>
    </row>
    <row r="4848" spans="1:2" ht="12.5" x14ac:dyDescent="0.25">
      <c r="A4848" t="str">
        <f ca="1">IFERROR(__xludf.DUMMYFUNCTION("""COMPUTED_VALUE"""),"Polyglycerol polyricinoleate")</f>
        <v>Polyglycerol polyricinoleate</v>
      </c>
      <c r="B4848" t="str">
        <f ca="1">IFERROR(__xludf.DUMMYFUNCTION("""COMPUTED_VALUE"""),"RF-00000217-ADD")</f>
        <v>RF-00000217-ADD</v>
      </c>
    </row>
    <row r="4849" spans="1:2" ht="12.5" x14ac:dyDescent="0.25">
      <c r="A4849" t="str">
        <f ca="1">IFERROR(__xludf.DUMMYFUNCTION("""COMPUTED_VALUE"""),"Polymyxin B")</f>
        <v>Polymyxin B</v>
      </c>
      <c r="B4849" t="str">
        <f ca="1">IFERROR(__xludf.DUMMYFUNCTION("""COMPUTED_VALUE"""),"RF-00000664-VET")</f>
        <v>RF-00000664-VET</v>
      </c>
    </row>
    <row r="4850" spans="1:2" ht="12.5" x14ac:dyDescent="0.25">
      <c r="A4850" t="str">
        <f ca="1">IFERROR(__xludf.DUMMYFUNCTION("""COMPUTED_VALUE"""),"Polymyxins")</f>
        <v>Polymyxins</v>
      </c>
      <c r="B4850" t="str">
        <f ca="1">IFERROR(__xludf.DUMMYFUNCTION("""COMPUTED_VALUE"""),"RF-00000764-VET")</f>
        <v>RF-00000764-VET</v>
      </c>
    </row>
    <row r="4851" spans="1:2" ht="12.5" x14ac:dyDescent="0.25">
      <c r="A4851" t="str">
        <f ca="1">IFERROR(__xludf.DUMMYFUNCTION("""COMPUTED_VALUE"""),"polyols, total")</f>
        <v>polyols, total</v>
      </c>
      <c r="B4851" t="str">
        <f ca="1">IFERROR(__xludf.DUMMYFUNCTION("""COMPUTED_VALUE"""),"RF-00000366-NTR")</f>
        <v>RF-00000366-NTR</v>
      </c>
    </row>
    <row r="4852" spans="1:2" ht="12.5" x14ac:dyDescent="0.25">
      <c r="A4852" t="str">
        <f ca="1">IFERROR(__xludf.DUMMYFUNCTION("""COMPUTED_VALUE"""),"Polyoxin B")</f>
        <v>Polyoxin B</v>
      </c>
      <c r="B4852" t="str">
        <f ca="1">IFERROR(__xludf.DUMMYFUNCTION("""COMPUTED_VALUE"""),"RF-0852-001-PPP")</f>
        <v>RF-0852-001-PPP</v>
      </c>
    </row>
    <row r="4853" spans="1:2" ht="12.5" x14ac:dyDescent="0.25">
      <c r="A4853" t="str">
        <f ca="1">IFERROR(__xludf.DUMMYFUNCTION("""COMPUTED_VALUE"""),"Polyoxyethylene (40) stearate")</f>
        <v>Polyoxyethylene (40) stearate</v>
      </c>
      <c r="B4853" t="str">
        <f ca="1">IFERROR(__xludf.DUMMYFUNCTION("""COMPUTED_VALUE"""),"RF-00000218-ADD")</f>
        <v>RF-00000218-ADD</v>
      </c>
    </row>
    <row r="4854" spans="1:2" ht="12.5" x14ac:dyDescent="0.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x14ac:dyDescent="0.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x14ac:dyDescent="0.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x14ac:dyDescent="0.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x14ac:dyDescent="0.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x14ac:dyDescent="0.25">
      <c r="A4859" t="str">
        <f ca="1">IFERROR(__xludf.DUMMYFUNCTION("""COMPUTED_VALUE"""),"Polyphosphates")</f>
        <v>Polyphosphates</v>
      </c>
      <c r="B4859" t="str">
        <f ca="1">IFERROR(__xludf.DUMMYFUNCTION("""COMPUTED_VALUE"""),"RF-00000224-ADD")</f>
        <v>RF-00000224-ADD</v>
      </c>
    </row>
    <row r="4860" spans="1:2" ht="12.5" x14ac:dyDescent="0.25">
      <c r="A4860" t="str">
        <f ca="1">IFERROR(__xludf.DUMMYFUNCTION("""COMPUTED_VALUE"""),"polysaccharides, non-cellulosic")</f>
        <v>polysaccharides, non-cellulosic</v>
      </c>
      <c r="B4860" t="str">
        <f ca="1">IFERROR(__xludf.DUMMYFUNCTION("""COMPUTED_VALUE"""),"RF-00000367-NTR")</f>
        <v>RF-00000367-NTR</v>
      </c>
    </row>
    <row r="4861" spans="1:2" ht="12.5" x14ac:dyDescent="0.25">
      <c r="A4861" t="str">
        <f ca="1">IFERROR(__xludf.DUMMYFUNCTION("""COMPUTED_VALUE"""),"polysaccharides, non-cellulosic, water-insoluble")</f>
        <v>polysaccharides, non-cellulosic, water-insoluble</v>
      </c>
      <c r="B4861" t="str">
        <f ca="1">IFERROR(__xludf.DUMMYFUNCTION("""COMPUTED_VALUE"""),"RF-00000368-NTR")</f>
        <v>RF-00000368-NTR</v>
      </c>
    </row>
    <row r="4862" spans="1:2" ht="12.5" x14ac:dyDescent="0.25">
      <c r="A4862" t="str">
        <f ca="1">IFERROR(__xludf.DUMMYFUNCTION("""COMPUTED_VALUE"""),"polysaccharides, non-cellulosic, water-soluble")</f>
        <v>polysaccharides, non-cellulosic, water-soluble</v>
      </c>
      <c r="B4862" t="str">
        <f ca="1">IFERROR(__xludf.DUMMYFUNCTION("""COMPUTED_VALUE"""),"RF-00000369-NTR")</f>
        <v>RF-00000369-NTR</v>
      </c>
    </row>
    <row r="4863" spans="1:2" ht="12.5" x14ac:dyDescent="0.25">
      <c r="A4863" t="str">
        <f ca="1">IFERROR(__xludf.DUMMYFUNCTION("""COMPUTED_VALUE"""),"polyuronic acids")</f>
        <v>polyuronic acids</v>
      </c>
      <c r="B4863" t="str">
        <f ca="1">IFERROR(__xludf.DUMMYFUNCTION("""COMPUTED_VALUE"""),"RF-00000370-NTR")</f>
        <v>RF-00000370-NTR</v>
      </c>
    </row>
    <row r="4864" spans="1:2" ht="12.5" x14ac:dyDescent="0.25">
      <c r="A4864" t="str">
        <f ca="1">IFERROR(__xludf.DUMMYFUNCTION("""COMPUTED_VALUE"""),"Polyvinyl alcohol (PVA)")</f>
        <v>Polyvinyl alcohol (PVA)</v>
      </c>
      <c r="B4864" t="str">
        <f ca="1">IFERROR(__xludf.DUMMYFUNCTION("""COMPUTED_VALUE"""),"RF-00000225-ADD")</f>
        <v>RF-00000225-ADD</v>
      </c>
    </row>
    <row r="4865" spans="1:2" ht="12.5" x14ac:dyDescent="0.25">
      <c r="A4865" t="str">
        <f ca="1">IFERROR(__xludf.DUMMYFUNCTION("""COMPUTED_VALUE"""),"Polyvinylpolypyrrolidone")</f>
        <v>Polyvinylpolypyrrolidone</v>
      </c>
      <c r="B4865" t="str">
        <f ca="1">IFERROR(__xludf.DUMMYFUNCTION("""COMPUTED_VALUE"""),"RF-00000226-ADD")</f>
        <v>RF-00000226-ADD</v>
      </c>
    </row>
    <row r="4866" spans="1:2" ht="12.5" x14ac:dyDescent="0.25">
      <c r="A4866" t="str">
        <f ca="1">IFERROR(__xludf.DUMMYFUNCTION("""COMPUTED_VALUE"""),"Polyvinylpyrrolidone")</f>
        <v>Polyvinylpyrrolidone</v>
      </c>
      <c r="B4866" t="str">
        <f ca="1">IFERROR(__xludf.DUMMYFUNCTION("""COMPUTED_VALUE"""),"RF-00000227-ADD")</f>
        <v>RF-00000227-ADD</v>
      </c>
    </row>
    <row r="4867" spans="1:2" ht="12.5" x14ac:dyDescent="0.25">
      <c r="A4867" t="str">
        <f ca="1">IFERROR(__xludf.DUMMYFUNCTION("""COMPUTED_VALUE"""),"Ponceau 4R, Cochineal Red A")</f>
        <v>Ponceau 4R, Cochineal Red A</v>
      </c>
      <c r="B4867" t="str">
        <f ca="1">IFERROR(__xludf.DUMMYFUNCTION("""COMPUTED_VALUE"""),"RF-00000228-ADD")</f>
        <v>RF-00000228-ADD</v>
      </c>
    </row>
    <row r="4868" spans="1:2" ht="12.5" x14ac:dyDescent="0.25">
      <c r="A4868" t="str">
        <f ca="1">IFERROR(__xludf.DUMMYFUNCTION("""COMPUTED_VALUE"""),"Potassium (K)")</f>
        <v>Potassium (K)</v>
      </c>
      <c r="B4868" t="str">
        <f ca="1">IFERROR(__xludf.DUMMYFUNCTION("""COMPUTED_VALUE"""),"RF-00000053-CHE")</f>
        <v>RF-00000053-CHE</v>
      </c>
    </row>
    <row r="4869" spans="1:2" ht="12.5" x14ac:dyDescent="0.25">
      <c r="A4869" t="str">
        <f ca="1">IFERROR(__xludf.DUMMYFUNCTION("""COMPUTED_VALUE"""),"Potassium 40")</f>
        <v>Potassium 40</v>
      </c>
      <c r="B4869" t="str">
        <f ca="1">IFERROR(__xludf.DUMMYFUNCTION("""COMPUTED_VALUE"""),"RF-00000008-RAD")</f>
        <v>RF-00000008-RAD</v>
      </c>
    </row>
    <row r="4870" spans="1:2" ht="12.5" x14ac:dyDescent="0.25">
      <c r="A4870" t="str">
        <f ca="1">IFERROR(__xludf.DUMMYFUNCTION("""COMPUTED_VALUE"""),"Potassium acetate")</f>
        <v>Potassium acetate</v>
      </c>
      <c r="B4870" t="str">
        <f ca="1">IFERROR(__xludf.DUMMYFUNCTION("""COMPUTED_VALUE"""),"RF-00000229-ADD")</f>
        <v>RF-00000229-ADD</v>
      </c>
    </row>
    <row r="4871" spans="1:2" ht="12.5" x14ac:dyDescent="0.25">
      <c r="A4871" t="str">
        <f ca="1">IFERROR(__xludf.DUMMYFUNCTION("""COMPUTED_VALUE"""),"Potassium adipate")</f>
        <v>Potassium adipate</v>
      </c>
      <c r="B4871" t="str">
        <f ca="1">IFERROR(__xludf.DUMMYFUNCTION("""COMPUTED_VALUE"""),"RF-00000230-ADD")</f>
        <v>RF-00000230-ADD</v>
      </c>
    </row>
    <row r="4872" spans="1:2" ht="12.5" x14ac:dyDescent="0.25">
      <c r="A4872" t="str">
        <f ca="1">IFERROR(__xludf.DUMMYFUNCTION("""COMPUTED_VALUE"""),"Potassium alginate")</f>
        <v>Potassium alginate</v>
      </c>
      <c r="B4872" t="str">
        <f ca="1">IFERROR(__xludf.DUMMYFUNCTION("""COMPUTED_VALUE"""),"RF-00000231-ADD")</f>
        <v>RF-00000231-ADD</v>
      </c>
    </row>
    <row r="4873" spans="1:2" ht="12.5" x14ac:dyDescent="0.25">
      <c r="A4873" t="str">
        <f ca="1">IFERROR(__xludf.DUMMYFUNCTION("""COMPUTED_VALUE"""),"Potassium aluminium silicate")</f>
        <v>Potassium aluminium silicate</v>
      </c>
      <c r="B4873" t="str">
        <f ca="1">IFERROR(__xludf.DUMMYFUNCTION("""COMPUTED_VALUE"""),"RF-00000232-ADD")</f>
        <v>RF-00000232-ADD</v>
      </c>
    </row>
    <row r="4874" spans="1:2" ht="12.5" x14ac:dyDescent="0.25">
      <c r="A4874" t="str">
        <f ca="1">IFERROR(__xludf.DUMMYFUNCTION("""COMPUTED_VALUE"""),"Potassium and derivatives")</f>
        <v>Potassium and derivatives</v>
      </c>
      <c r="B4874" t="str">
        <f ca="1">IFERROR(__xludf.DUMMYFUNCTION("""COMPUTED_VALUE"""),"RF-00000052-CHE")</f>
        <v>RF-00000052-CHE</v>
      </c>
    </row>
    <row r="4875" spans="1:2" ht="12.5" x14ac:dyDescent="0.25">
      <c r="A4875" t="str">
        <f ca="1">IFERROR(__xludf.DUMMYFUNCTION("""COMPUTED_VALUE"""),"Potassium benzoate")</f>
        <v>Potassium benzoate</v>
      </c>
      <c r="B4875" t="str">
        <f ca="1">IFERROR(__xludf.DUMMYFUNCTION("""COMPUTED_VALUE"""),"RF-00000233-ADD")</f>
        <v>RF-00000233-ADD</v>
      </c>
    </row>
    <row r="4876" spans="1:2" ht="12.5" x14ac:dyDescent="0.25">
      <c r="A4876" t="str">
        <f ca="1">IFERROR(__xludf.DUMMYFUNCTION("""COMPUTED_VALUE"""),"Potassium bisulphite")</f>
        <v>Potassium bisulphite</v>
      </c>
      <c r="B4876" t="str">
        <f ca="1">IFERROR(__xludf.DUMMYFUNCTION("""COMPUTED_VALUE"""),"RF-00001297-PAR")</f>
        <v>RF-00001297-PAR</v>
      </c>
    </row>
    <row r="4877" spans="1:2" ht="12.5" x14ac:dyDescent="0.25">
      <c r="A4877" t="str">
        <f ca="1">IFERROR(__xludf.DUMMYFUNCTION("""COMPUTED_VALUE"""),"Potassium carbonates")</f>
        <v>Potassium carbonates</v>
      </c>
      <c r="B4877" t="str">
        <f ca="1">IFERROR(__xludf.DUMMYFUNCTION("""COMPUTED_VALUE"""),"RF-00000234-ADD")</f>
        <v>RF-00000234-ADD</v>
      </c>
    </row>
    <row r="4878" spans="1:2" ht="12.5" x14ac:dyDescent="0.25">
      <c r="A4878" t="str">
        <f ca="1">IFERROR(__xludf.DUMMYFUNCTION("""COMPUTED_VALUE"""),"Potassium chloride")</f>
        <v>Potassium chloride</v>
      </c>
      <c r="B4878" t="str">
        <f ca="1">IFERROR(__xludf.DUMMYFUNCTION("""COMPUTED_VALUE"""),"RF-00000235-ADD")</f>
        <v>RF-00000235-ADD</v>
      </c>
    </row>
    <row r="4879" spans="1:2" ht="12.5" x14ac:dyDescent="0.25">
      <c r="A4879" t="str">
        <f ca="1">IFERROR(__xludf.DUMMYFUNCTION("""COMPUTED_VALUE"""),"Potassium citrates")</f>
        <v>Potassium citrates</v>
      </c>
      <c r="B4879" t="str">
        <f ca="1">IFERROR(__xludf.DUMMYFUNCTION("""COMPUTED_VALUE"""),"RF-00000236-ADD")</f>
        <v>RF-00000236-ADD</v>
      </c>
    </row>
    <row r="4880" spans="1:2" ht="12.5" x14ac:dyDescent="0.25">
      <c r="A4880" t="str">
        <f ca="1">IFERROR(__xludf.DUMMYFUNCTION("""COMPUTED_VALUE"""),"Potassium ferrocyanide")</f>
        <v>Potassium ferrocyanide</v>
      </c>
      <c r="B4880" t="str">
        <f ca="1">IFERROR(__xludf.DUMMYFUNCTION("""COMPUTED_VALUE"""),"RF-00000237-ADD")</f>
        <v>RF-00000237-ADD</v>
      </c>
    </row>
    <row r="4881" spans="1:2" ht="12.5" x14ac:dyDescent="0.25">
      <c r="A4881" t="str">
        <f ca="1">IFERROR(__xludf.DUMMYFUNCTION("""COMPUTED_VALUE"""),"Potassium gluconate")</f>
        <v>Potassium gluconate</v>
      </c>
      <c r="B4881" t="str">
        <f ca="1">IFERROR(__xludf.DUMMYFUNCTION("""COMPUTED_VALUE"""),"RF-00000238-ADD")</f>
        <v>RF-00000238-ADD</v>
      </c>
    </row>
    <row r="4882" spans="1:2" ht="12.5" x14ac:dyDescent="0.25">
      <c r="A4882" t="str">
        <f ca="1">IFERROR(__xludf.DUMMYFUNCTION("""COMPUTED_VALUE"""),"Potassium hydrogen sulphite")</f>
        <v>Potassium hydrogen sulphite</v>
      </c>
      <c r="B4882" t="str">
        <f ca="1">IFERROR(__xludf.DUMMYFUNCTION("""COMPUTED_VALUE"""),"RF-00000239-ADD")</f>
        <v>RF-00000239-ADD</v>
      </c>
    </row>
    <row r="4883" spans="1:2" ht="12.5" x14ac:dyDescent="0.25">
      <c r="A4883" t="str">
        <f ca="1">IFERROR(__xludf.DUMMYFUNCTION("""COMPUTED_VALUE"""),"Potassium hydroxide")</f>
        <v>Potassium hydroxide</v>
      </c>
      <c r="B4883" t="str">
        <f ca="1">IFERROR(__xludf.DUMMYFUNCTION("""COMPUTED_VALUE"""),"RF-00000240-ADD")</f>
        <v>RF-00000240-ADD</v>
      </c>
    </row>
    <row r="4884" spans="1:2" ht="12.5" x14ac:dyDescent="0.25">
      <c r="A4884" t="str">
        <f ca="1">IFERROR(__xludf.DUMMYFUNCTION("""COMPUTED_VALUE"""),"Potassium lactate")</f>
        <v>Potassium lactate</v>
      </c>
      <c r="B4884" t="str">
        <f ca="1">IFERROR(__xludf.DUMMYFUNCTION("""COMPUTED_VALUE"""),"RF-00000241-ADD")</f>
        <v>RF-00000241-ADD</v>
      </c>
    </row>
    <row r="4885" spans="1:2" ht="12.5" x14ac:dyDescent="0.25">
      <c r="A4885" t="str">
        <f ca="1">IFERROR(__xludf.DUMMYFUNCTION("""COMPUTED_VALUE"""),"Potassium malate")</f>
        <v>Potassium malate</v>
      </c>
      <c r="B4885" t="str">
        <f ca="1">IFERROR(__xludf.DUMMYFUNCTION("""COMPUTED_VALUE"""),"RF-00000242-ADD")</f>
        <v>RF-00000242-ADD</v>
      </c>
    </row>
    <row r="4886" spans="1:2" ht="12.5" x14ac:dyDescent="0.25">
      <c r="A4886" t="str">
        <f ca="1">IFERROR(__xludf.DUMMYFUNCTION("""COMPUTED_VALUE"""),"Potassium metabisulphite")</f>
        <v>Potassium metabisulphite</v>
      </c>
      <c r="B4886" t="str">
        <f ca="1">IFERROR(__xludf.DUMMYFUNCTION("""COMPUTED_VALUE"""),"RF-00000243-ADD")</f>
        <v>RF-00000243-ADD</v>
      </c>
    </row>
    <row r="4887" spans="1:2" ht="12.5" x14ac:dyDescent="0.25">
      <c r="A4887" t="str">
        <f ca="1">IFERROR(__xludf.DUMMYFUNCTION("""COMPUTED_VALUE"""),"Potassium nitrate")</f>
        <v>Potassium nitrate</v>
      </c>
      <c r="B4887" t="str">
        <f ca="1">IFERROR(__xludf.DUMMYFUNCTION("""COMPUTED_VALUE"""),"RF-00000244-ADD")</f>
        <v>RF-00000244-ADD</v>
      </c>
    </row>
    <row r="4888" spans="1:2" ht="12.5" x14ac:dyDescent="0.25">
      <c r="A4888" t="str">
        <f ca="1">IFERROR(__xludf.DUMMYFUNCTION("""COMPUTED_VALUE"""),"Potassium nitrite")</f>
        <v>Potassium nitrite</v>
      </c>
      <c r="B4888" t="str">
        <f ca="1">IFERROR(__xludf.DUMMYFUNCTION("""COMPUTED_VALUE"""),"RF-00000245-ADD")</f>
        <v>RF-00000245-ADD</v>
      </c>
    </row>
    <row r="4889" spans="1:2" ht="12.5" x14ac:dyDescent="0.25">
      <c r="A4889" t="str">
        <f ca="1">IFERROR(__xludf.DUMMYFUNCTION("""COMPUTED_VALUE"""),"Potassium oxide")</f>
        <v>Potassium oxide</v>
      </c>
      <c r="B4889" t="str">
        <f ca="1">IFERROR(__xludf.DUMMYFUNCTION("""COMPUTED_VALUE"""),"RF-00000056-CHE")</f>
        <v>RF-00000056-CHE</v>
      </c>
    </row>
    <row r="4890" spans="1:2" ht="12.5" x14ac:dyDescent="0.25">
      <c r="A4890" t="str">
        <f ca="1">IFERROR(__xludf.DUMMYFUNCTION("""COMPUTED_VALUE"""),"Potassium phosphates")</f>
        <v>Potassium phosphates</v>
      </c>
      <c r="B4890" t="str">
        <f ca="1">IFERROR(__xludf.DUMMYFUNCTION("""COMPUTED_VALUE"""),"RF-00000246-ADD")</f>
        <v>RF-00000246-ADD</v>
      </c>
    </row>
    <row r="4891" spans="1:2" ht="12.5" x14ac:dyDescent="0.25">
      <c r="A4891" t="str">
        <f ca="1">IFERROR(__xludf.DUMMYFUNCTION("""COMPUTED_VALUE"""),"Potassium propionate")</f>
        <v>Potassium propionate</v>
      </c>
      <c r="B4891" t="str">
        <f ca="1">IFERROR(__xludf.DUMMYFUNCTION("""COMPUTED_VALUE"""),"RF-00000247-ADD")</f>
        <v>RF-00000247-ADD</v>
      </c>
    </row>
    <row r="4892" spans="1:2" ht="12.5" x14ac:dyDescent="0.25">
      <c r="A4892" t="str">
        <f ca="1">IFERROR(__xludf.DUMMYFUNCTION("""COMPUTED_VALUE"""),"Potassium soluble in 2% citric acid")</f>
        <v>Potassium soluble in 2% citric acid</v>
      </c>
      <c r="B4892" t="str">
        <f ca="1">IFERROR(__xludf.DUMMYFUNCTION("""COMPUTED_VALUE"""),"RF-00000054-CHE")</f>
        <v>RF-00000054-CHE</v>
      </c>
    </row>
    <row r="4893" spans="1:2" ht="12.5" x14ac:dyDescent="0.25">
      <c r="A4893" t="str">
        <f ca="1">IFERROR(__xludf.DUMMYFUNCTION("""COMPUTED_VALUE"""),"Potassium soluble in water")</f>
        <v>Potassium soluble in water</v>
      </c>
      <c r="B4893" t="str">
        <f ca="1">IFERROR(__xludf.DUMMYFUNCTION("""COMPUTED_VALUE"""),"RF-00000055-CHE")</f>
        <v>RF-00000055-CHE</v>
      </c>
    </row>
    <row r="4894" spans="1:2" ht="12.5" x14ac:dyDescent="0.25">
      <c r="A4894" t="str">
        <f ca="1">IFERROR(__xludf.DUMMYFUNCTION("""COMPUTED_VALUE"""),"Potassium sorbate")</f>
        <v>Potassium sorbate</v>
      </c>
      <c r="B4894" t="str">
        <f ca="1">IFERROR(__xludf.DUMMYFUNCTION("""COMPUTED_VALUE"""),"RF-00000248-ADD")</f>
        <v>RF-00000248-ADD</v>
      </c>
    </row>
    <row r="4895" spans="1:2" ht="12.5" x14ac:dyDescent="0.25">
      <c r="A4895" t="str">
        <f ca="1">IFERROR(__xludf.DUMMYFUNCTION("""COMPUTED_VALUE"""),"Potassium stannate trihydrate")</f>
        <v>Potassium stannate trihydrate</v>
      </c>
      <c r="B4895" t="str">
        <f ca="1">IFERROR(__xludf.DUMMYFUNCTION("""COMPUTED_VALUE"""),"RF-00000261-CHE")</f>
        <v>RF-00000261-CHE</v>
      </c>
    </row>
    <row r="4896" spans="1:2" ht="12.5" x14ac:dyDescent="0.25">
      <c r="A4896" t="str">
        <f ca="1">IFERROR(__xludf.DUMMYFUNCTION("""COMPUTED_VALUE"""),"Potassium sulphates")</f>
        <v>Potassium sulphates</v>
      </c>
      <c r="B4896" t="str">
        <f ca="1">IFERROR(__xludf.DUMMYFUNCTION("""COMPUTED_VALUE"""),"RF-00000249-ADD")</f>
        <v>RF-00000249-ADD</v>
      </c>
    </row>
    <row r="4897" spans="1:2" ht="12.5" x14ac:dyDescent="0.25">
      <c r="A4897" t="str">
        <f ca="1">IFERROR(__xludf.DUMMYFUNCTION("""COMPUTED_VALUE"""),"Potassium tartrates")</f>
        <v>Potassium tartrates</v>
      </c>
      <c r="B4897" t="str">
        <f ca="1">IFERROR(__xludf.DUMMYFUNCTION("""COMPUTED_VALUE"""),"RF-00000250-ADD")</f>
        <v>RF-00000250-ADD</v>
      </c>
    </row>
    <row r="4898" spans="1:2" ht="12.5" x14ac:dyDescent="0.25">
      <c r="A4898" t="str">
        <f ca="1">IFERROR(__xludf.DUMMYFUNCTION("""COMPUTED_VALUE"""),"Potassium, extractable (compost)")</f>
        <v>Potassium, extractable (compost)</v>
      </c>
      <c r="B4898" t="str">
        <f ca="1">IFERROR(__xludf.DUMMYFUNCTION("""COMPUTED_VALUE"""),"RF-00000058-CHE")</f>
        <v>RF-00000058-CHE</v>
      </c>
    </row>
    <row r="4899" spans="1:2" ht="12.5" x14ac:dyDescent="0.25">
      <c r="A4899" t="str">
        <f ca="1">IFERROR(__xludf.DUMMYFUNCTION("""COMPUTED_VALUE"""),"Prallethrin")</f>
        <v>Prallethrin</v>
      </c>
      <c r="B4899" t="str">
        <f ca="1">IFERROR(__xludf.DUMMYFUNCTION("""COMPUTED_VALUE"""),"RF-0853-001-PPP")</f>
        <v>RF-0853-001-PPP</v>
      </c>
    </row>
    <row r="4900" spans="1:2" ht="12.5" x14ac:dyDescent="0.25">
      <c r="A4900" t="str">
        <f ca="1">IFERROR(__xludf.DUMMYFUNCTION("""COMPUTED_VALUE"""),"Praziquantel")</f>
        <v>Praziquantel</v>
      </c>
      <c r="B4900" t="str">
        <f ca="1">IFERROR(__xludf.DUMMYFUNCTION("""COMPUTED_VALUE"""),"RF-00000021-VET")</f>
        <v>RF-00000021-VET</v>
      </c>
    </row>
    <row r="4901" spans="1:2" ht="12.5" x14ac:dyDescent="0.25">
      <c r="A4901" t="str">
        <f ca="1">IFERROR(__xludf.DUMMYFUNCTION("""COMPUTED_VALUE"""),"Prednisolone")</f>
        <v>Prednisolone</v>
      </c>
      <c r="B4901" t="str">
        <f ca="1">IFERROR(__xludf.DUMMYFUNCTION("""COMPUTED_VALUE"""),"RF-00000426-VET")</f>
        <v>RF-00000426-VET</v>
      </c>
    </row>
    <row r="4902" spans="1:2" ht="12.5" x14ac:dyDescent="0.25">
      <c r="A4902" t="str">
        <f ca="1">IFERROR(__xludf.DUMMYFUNCTION("""COMPUTED_VALUE"""),"Prednisone")</f>
        <v>Prednisone</v>
      </c>
      <c r="B4902" t="str">
        <f ca="1">IFERROR(__xludf.DUMMYFUNCTION("""COMPUTED_VALUE"""),"RF-00000370-VET")</f>
        <v>RF-00000370-VET</v>
      </c>
    </row>
    <row r="4903" spans="1:2" ht="12.5" x14ac:dyDescent="0.25">
      <c r="A4903" t="str">
        <f ca="1">IFERROR(__xludf.DUMMYFUNCTION("""COMPUTED_VALUE"""),"Pretilachlor")</f>
        <v>Pretilachlor</v>
      </c>
      <c r="B4903" t="str">
        <f ca="1">IFERROR(__xludf.DUMMYFUNCTION("""COMPUTED_VALUE"""),"RF-0854-001-PPP")</f>
        <v>RF-0854-001-PPP</v>
      </c>
    </row>
    <row r="4904" spans="1:2" ht="12.5" x14ac:dyDescent="0.25">
      <c r="A4904" t="str">
        <f ca="1">IFERROR(__xludf.DUMMYFUNCTION("""COMPUTED_VALUE"""),"Primisulfuron")</f>
        <v>Primisulfuron</v>
      </c>
      <c r="B4904" t="str">
        <f ca="1">IFERROR(__xludf.DUMMYFUNCTION("""COMPUTED_VALUE"""),"RF-0855-001-PPP")</f>
        <v>RF-0855-001-PPP</v>
      </c>
    </row>
    <row r="4905" spans="1:2" ht="12.5" x14ac:dyDescent="0.25">
      <c r="A4905" t="str">
        <f ca="1">IFERROR(__xludf.DUMMYFUNCTION("""COMPUTED_VALUE"""),"Primisulfuron-Methyl")</f>
        <v>Primisulfuron-Methyl</v>
      </c>
      <c r="B4905" t="str">
        <f ca="1">IFERROR(__xludf.DUMMYFUNCTION("""COMPUTED_VALUE"""),"RF-0856-001-PPP")</f>
        <v>RF-0856-001-PPP</v>
      </c>
    </row>
    <row r="4906" spans="1:2" ht="12.5" x14ac:dyDescent="0.25">
      <c r="A4906" t="str">
        <f ca="1">IFERROR(__xludf.DUMMYFUNCTION("""COMPUTED_VALUE"""),"Pristinamycin")</f>
        <v>Pristinamycin</v>
      </c>
      <c r="B4906" t="str">
        <f ca="1">IFERROR(__xludf.DUMMYFUNCTION("""COMPUTED_VALUE"""),"RF-00000775-VET")</f>
        <v>RF-00000775-VET</v>
      </c>
    </row>
    <row r="4907" spans="1:2" ht="12.5" x14ac:dyDescent="0.25">
      <c r="A4907" t="str">
        <f ca="1">IFERROR(__xludf.DUMMYFUNCTION("""COMPUTED_VALUE"""),"Probenazole")</f>
        <v>Probenazole</v>
      </c>
      <c r="B4907" t="str">
        <f ca="1">IFERROR(__xludf.DUMMYFUNCTION("""COMPUTED_VALUE"""),"RF-0857-001-PPP")</f>
        <v>RF-0857-001-PPP</v>
      </c>
    </row>
    <row r="4908" spans="1:2" ht="12.5" x14ac:dyDescent="0.25">
      <c r="A4908" t="str">
        <f ca="1">IFERROR(__xludf.DUMMYFUNCTION("""COMPUTED_VALUE"""),"Procain-Benzylpenicillin")</f>
        <v>Procain-Benzylpenicillin</v>
      </c>
      <c r="B4908" t="str">
        <f ca="1">IFERROR(__xludf.DUMMYFUNCTION("""COMPUTED_VALUE"""),"RF-00000677-VET")</f>
        <v>RF-00000677-VET</v>
      </c>
    </row>
    <row r="4909" spans="1:2" ht="12.5" x14ac:dyDescent="0.25">
      <c r="A4909" t="str">
        <f ca="1">IFERROR(__xludf.DUMMYFUNCTION("""COMPUTED_VALUE"""),"Procain-Penicillin")</f>
        <v>Procain-Penicillin</v>
      </c>
      <c r="B4909" t="str">
        <f ca="1">IFERROR(__xludf.DUMMYFUNCTION("""COMPUTED_VALUE"""),"RF-00000662-VET")</f>
        <v>RF-00000662-VET</v>
      </c>
    </row>
    <row r="4910" spans="1:2" ht="12.5" x14ac:dyDescent="0.25">
      <c r="A4910" t="str">
        <f ca="1">IFERROR(__xludf.DUMMYFUNCTION("""COMPUTED_VALUE"""),"Procaterol")</f>
        <v>Procaterol</v>
      </c>
      <c r="B4910" t="str">
        <f ca="1">IFERROR(__xludf.DUMMYFUNCTION("""COMPUTED_VALUE"""),"RF-00000480-VET")</f>
        <v>RF-00000480-VET</v>
      </c>
    </row>
    <row r="4911" spans="1:2" ht="12.5" x14ac:dyDescent="0.25">
      <c r="A4911" t="str">
        <f ca="1">IFERROR(__xludf.DUMMYFUNCTION("""COMPUTED_VALUE"""),"Processed euchema seaweed")</f>
        <v>Processed euchema seaweed</v>
      </c>
      <c r="B4911" t="str">
        <f ca="1">IFERROR(__xludf.DUMMYFUNCTION("""COMPUTED_VALUE"""),"RF-00000251-ADD")</f>
        <v>RF-00000251-ADD</v>
      </c>
    </row>
    <row r="4912" spans="1:2" ht="12.5" x14ac:dyDescent="0.25">
      <c r="A4912" t="str">
        <f ca="1">IFERROR(__xludf.DUMMYFUNCTION("""COMPUTED_VALUE"""),"Prochloraz")</f>
        <v>Prochloraz</v>
      </c>
      <c r="B4912" t="str">
        <f ca="1">IFERROR(__xludf.DUMMYFUNCTION("""COMPUTED_VALUE"""),"RF-0349-002-PPP")</f>
        <v>RF-0349-002-PPP</v>
      </c>
    </row>
    <row r="4913" spans="1:2" ht="12.5" x14ac:dyDescent="0.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x14ac:dyDescent="0.25">
      <c r="A4914" t="str">
        <f ca="1">IFERROR(__xludf.DUMMYFUNCTION("""COMPUTED_VALUE"""),"Procymidone")</f>
        <v>Procymidone</v>
      </c>
      <c r="B4914" t="str">
        <f ca="1">IFERROR(__xludf.DUMMYFUNCTION("""COMPUTED_VALUE"""),"RF-0350-001-PPP")</f>
        <v>RF-0350-001-PPP</v>
      </c>
    </row>
    <row r="4915" spans="1:2" ht="12.5" x14ac:dyDescent="0.25">
      <c r="A4915" t="str">
        <f ca="1">IFERROR(__xludf.DUMMYFUNCTION("""COMPUTED_VALUE"""),"Profenofos")</f>
        <v>Profenofos</v>
      </c>
      <c r="B4915" t="str">
        <f ca="1">IFERROR(__xludf.DUMMYFUNCTION("""COMPUTED_VALUE"""),"RF-0351-001-PPP")</f>
        <v>RF-0351-001-PPP</v>
      </c>
    </row>
    <row r="4916" spans="1:2" ht="12.5" x14ac:dyDescent="0.25">
      <c r="A4916" t="str">
        <f ca="1">IFERROR(__xludf.DUMMYFUNCTION("""COMPUTED_VALUE"""),"Profluralin")</f>
        <v>Profluralin</v>
      </c>
      <c r="B4916" t="str">
        <f ca="1">IFERROR(__xludf.DUMMYFUNCTION("""COMPUTED_VALUE"""),"RF-0858-001-PPP")</f>
        <v>RF-0858-001-PPP</v>
      </c>
    </row>
    <row r="4917" spans="1:2" ht="12.5" x14ac:dyDescent="0.25">
      <c r="A4917" t="str">
        <f ca="1">IFERROR(__xludf.DUMMYFUNCTION("""COMPUTED_VALUE"""),"Profoxydim")</f>
        <v>Profoxydim</v>
      </c>
      <c r="B4917" t="str">
        <f ca="1">IFERROR(__xludf.DUMMYFUNCTION("""COMPUTED_VALUE"""),"RF-0859-001-PPP")</f>
        <v>RF-0859-001-PPP</v>
      </c>
    </row>
    <row r="4918" spans="1:2" ht="12.5" x14ac:dyDescent="0.25">
      <c r="A4918" t="str">
        <f ca="1">IFERROR(__xludf.DUMMYFUNCTION("""COMPUTED_VALUE"""),"Progesteroncaproat-17-Alpha-Hydroxy")</f>
        <v>Progesteroncaproat-17-Alpha-Hydroxy</v>
      </c>
      <c r="B4918" t="str">
        <f ca="1">IFERROR(__xludf.DUMMYFUNCTION("""COMPUTED_VALUE"""),"RF-00000320-VET")</f>
        <v>RF-00000320-VET</v>
      </c>
    </row>
    <row r="4919" spans="1:2" ht="12.5" x14ac:dyDescent="0.25">
      <c r="A4919" t="str">
        <f ca="1">IFERROR(__xludf.DUMMYFUNCTION("""COMPUTED_VALUE"""),"Progesterone")</f>
        <v>Progesterone</v>
      </c>
      <c r="B4919" t="str">
        <f ca="1">IFERROR(__xludf.DUMMYFUNCTION("""COMPUTED_VALUE"""),"RF-00000323-VET")</f>
        <v>RF-00000323-VET</v>
      </c>
    </row>
    <row r="4920" spans="1:2" ht="12.5" x14ac:dyDescent="0.25">
      <c r="A4920" t="str">
        <f ca="1">IFERROR(__xludf.DUMMYFUNCTION("""COMPUTED_VALUE"""),"Progesterone-17-Alpha-Hydroxy")</f>
        <v>Progesterone-17-Alpha-Hydroxy</v>
      </c>
      <c r="B4920" t="str">
        <f ca="1">IFERROR(__xludf.DUMMYFUNCTION("""COMPUTED_VALUE"""),"RF-00000325-VET")</f>
        <v>RF-00000325-VET</v>
      </c>
    </row>
    <row r="4921" spans="1:2" ht="12.5" x14ac:dyDescent="0.25">
      <c r="A4921" t="str">
        <f ca="1">IFERROR(__xludf.DUMMYFUNCTION("""COMPUTED_VALUE"""),"Progesterone-Acetoxy")</f>
        <v>Progesterone-Acetoxy</v>
      </c>
      <c r="B4921" t="str">
        <f ca="1">IFERROR(__xludf.DUMMYFUNCTION("""COMPUTED_VALUE"""),"RF-00000315-VET")</f>
        <v>RF-00000315-VET</v>
      </c>
    </row>
    <row r="4922" spans="1:2" ht="12.5" x14ac:dyDescent="0.25">
      <c r="A4922" t="str">
        <f ca="1">IFERROR(__xludf.DUMMYFUNCTION("""COMPUTED_VALUE"""),"Progesterone-Caproxy")</f>
        <v>Progesterone-Caproxy</v>
      </c>
      <c r="B4922" t="str">
        <f ca="1">IFERROR(__xludf.DUMMYFUNCTION("""COMPUTED_VALUE"""),"RF-00000324-VET")</f>
        <v>RF-00000324-VET</v>
      </c>
    </row>
    <row r="4923" spans="1:2" ht="12.5" x14ac:dyDescent="0.25">
      <c r="A4923" t="str">
        <f ca="1">IFERROR(__xludf.DUMMYFUNCTION("""COMPUTED_VALUE"""),"Progesterone-Dihydroxy-Acetophenide")</f>
        <v>Progesterone-Dihydroxy-Acetophenide</v>
      </c>
      <c r="B4923" t="str">
        <f ca="1">IFERROR(__xludf.DUMMYFUNCTION("""COMPUTED_VALUE"""),"RF-00000322-VET")</f>
        <v>RF-00000322-VET</v>
      </c>
    </row>
    <row r="4924" spans="1:2" ht="12.5" x14ac:dyDescent="0.25">
      <c r="A4924" t="str">
        <f ca="1">IFERROR(__xludf.DUMMYFUNCTION("""COMPUTED_VALUE"""),"Prohexadione")</f>
        <v>Prohexadione</v>
      </c>
      <c r="B4924" t="str">
        <f ca="1">IFERROR(__xludf.DUMMYFUNCTION("""COMPUTED_VALUE"""),"RF-0352-002-PPP")</f>
        <v>RF-0352-002-PPP</v>
      </c>
    </row>
    <row r="4925" spans="1:2" ht="12.5" x14ac:dyDescent="0.25">
      <c r="A4925" t="str">
        <f ca="1">IFERROR(__xludf.DUMMYFUNCTION("""COMPUTED_VALUE"""),"proline")</f>
        <v>proline</v>
      </c>
      <c r="B4925" t="str">
        <f ca="1">IFERROR(__xludf.DUMMYFUNCTION("""COMPUTED_VALUE"""),"RF-00000371-NTR")</f>
        <v>RF-00000371-NTR</v>
      </c>
    </row>
    <row r="4926" spans="1:2" ht="12.5" x14ac:dyDescent="0.25">
      <c r="A4926" t="str">
        <f ca="1">IFERROR(__xludf.DUMMYFUNCTION("""COMPUTED_VALUE"""),"Promazine")</f>
        <v>Promazine</v>
      </c>
      <c r="B4926" t="str">
        <f ca="1">IFERROR(__xludf.DUMMYFUNCTION("""COMPUTED_VALUE"""),"RF-00000187-VET")</f>
        <v>RF-00000187-VET</v>
      </c>
    </row>
    <row r="4927" spans="1:2" ht="12.5" x14ac:dyDescent="0.25">
      <c r="A4927" t="str">
        <f ca="1">IFERROR(__xludf.DUMMYFUNCTION("""COMPUTED_VALUE"""),"Promecarb")</f>
        <v>Promecarb</v>
      </c>
      <c r="B4927" t="str">
        <f ca="1">IFERROR(__xludf.DUMMYFUNCTION("""COMPUTED_VALUE"""),"RF-00000142-VET")</f>
        <v>RF-00000142-VET</v>
      </c>
    </row>
    <row r="4928" spans="1:2" ht="12.5" x14ac:dyDescent="0.25">
      <c r="A4928" t="str">
        <f ca="1">IFERROR(__xludf.DUMMYFUNCTION("""COMPUTED_VALUE"""),"Promecarb")</f>
        <v>Promecarb</v>
      </c>
      <c r="B4928" t="str">
        <f ca="1">IFERROR(__xludf.DUMMYFUNCTION("""COMPUTED_VALUE"""),"RF-0860-001-PPP")</f>
        <v>RF-0860-001-PPP</v>
      </c>
    </row>
    <row r="4929" spans="1:2" ht="12.5" x14ac:dyDescent="0.25">
      <c r="A4929" t="str">
        <f ca="1">IFERROR(__xludf.DUMMYFUNCTION("""COMPUTED_VALUE"""),"Promethazine")</f>
        <v>Promethazine</v>
      </c>
      <c r="B4929" t="str">
        <f ca="1">IFERROR(__xludf.DUMMYFUNCTION("""COMPUTED_VALUE"""),"RF-00000193-VET")</f>
        <v>RF-00000193-VET</v>
      </c>
    </row>
    <row r="4930" spans="1:2" ht="12.5" x14ac:dyDescent="0.25">
      <c r="A4930" t="str">
        <f ca="1">IFERROR(__xludf.DUMMYFUNCTION("""COMPUTED_VALUE"""),"Prometon")</f>
        <v>Prometon</v>
      </c>
      <c r="B4930" t="str">
        <f ca="1">IFERROR(__xludf.DUMMYFUNCTION("""COMPUTED_VALUE"""),"RF-0861-001-PPP")</f>
        <v>RF-0861-001-PPP</v>
      </c>
    </row>
    <row r="4931" spans="1:2" ht="12.5" x14ac:dyDescent="0.25">
      <c r="A4931" t="str">
        <f ca="1">IFERROR(__xludf.DUMMYFUNCTION("""COMPUTED_VALUE"""),"Prometryn")</f>
        <v>Prometryn</v>
      </c>
      <c r="B4931" t="str">
        <f ca="1">IFERROR(__xludf.DUMMYFUNCTION("""COMPUTED_VALUE"""),"RF-0862-001-PPP")</f>
        <v>RF-0862-001-PPP</v>
      </c>
    </row>
    <row r="4932" spans="1:2" ht="12.5" x14ac:dyDescent="0.25">
      <c r="A4932" t="str">
        <f ca="1">IFERROR(__xludf.DUMMYFUNCTION("""COMPUTED_VALUE"""),"Propachlor")</f>
        <v>Propachlor</v>
      </c>
      <c r="B4932" t="str">
        <f ca="1">IFERROR(__xludf.DUMMYFUNCTION("""COMPUTED_VALUE"""),"RF-0353-002-PPP")</f>
        <v>RF-0353-002-PPP</v>
      </c>
    </row>
    <row r="4933" spans="1:2" ht="12.5" x14ac:dyDescent="0.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x14ac:dyDescent="0.25">
      <c r="A4934" t="str">
        <f ca="1">IFERROR(__xludf.DUMMYFUNCTION("""COMPUTED_VALUE"""),"Propamocarb")</f>
        <v>Propamocarb</v>
      </c>
      <c r="B4934" t="str">
        <f ca="1">IFERROR(__xludf.DUMMYFUNCTION("""COMPUTED_VALUE"""),"RF-00000144-VET")</f>
        <v>RF-00000144-VET</v>
      </c>
    </row>
    <row r="4935" spans="1:2" ht="12.5" x14ac:dyDescent="0.25">
      <c r="A4935" t="str">
        <f ca="1">IFERROR(__xludf.DUMMYFUNCTION("""COMPUTED_VALUE"""),"Propamocarb")</f>
        <v>Propamocarb</v>
      </c>
      <c r="B4935" t="str">
        <f ca="1">IFERROR(__xludf.DUMMYFUNCTION("""COMPUTED_VALUE"""),"RF-0354-002-PPP")</f>
        <v>RF-0354-002-PPP</v>
      </c>
    </row>
    <row r="4936" spans="1:2" ht="12.5" x14ac:dyDescent="0.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x14ac:dyDescent="0.25">
      <c r="A4937" t="str">
        <f ca="1">IFERROR(__xludf.DUMMYFUNCTION("""COMPUTED_VALUE"""),"Propamocarb hydrochloride")</f>
        <v>Propamocarb hydrochloride</v>
      </c>
      <c r="B4937" t="str">
        <f ca="1">IFERROR(__xludf.DUMMYFUNCTION("""COMPUTED_VALUE"""),"RF-0354-003-PPP")</f>
        <v>RF-0354-003-PPP</v>
      </c>
    </row>
    <row r="4938" spans="1:2" ht="12.5" x14ac:dyDescent="0.25">
      <c r="A4938" t="str">
        <f ca="1">IFERROR(__xludf.DUMMYFUNCTION("""COMPUTED_VALUE"""),"Propane")</f>
        <v>Propane</v>
      </c>
      <c r="B4938" t="str">
        <f ca="1">IFERROR(__xludf.DUMMYFUNCTION("""COMPUTED_VALUE"""),"RF-00000252-ADD")</f>
        <v>RF-00000252-ADD</v>
      </c>
    </row>
    <row r="4939" spans="1:2" ht="12.5" x14ac:dyDescent="0.25">
      <c r="A4939" t="str">
        <f ca="1">IFERROR(__xludf.DUMMYFUNCTION("""COMPUTED_VALUE"""),"Propane-1, 2-diol (propylene glycol)")</f>
        <v>Propane-1, 2-diol (propylene glycol)</v>
      </c>
      <c r="B4939" t="str">
        <f ca="1">IFERROR(__xludf.DUMMYFUNCTION("""COMPUTED_VALUE"""),"RF-00000253-ADD")</f>
        <v>RF-00000253-ADD</v>
      </c>
    </row>
    <row r="4940" spans="1:2" ht="12.5" x14ac:dyDescent="0.25">
      <c r="A4940" t="str">
        <f ca="1">IFERROR(__xludf.DUMMYFUNCTION("""COMPUTED_VALUE"""),"Propane-1, 2-diol alginate")</f>
        <v>Propane-1, 2-diol alginate</v>
      </c>
      <c r="B4940" t="str">
        <f ca="1">IFERROR(__xludf.DUMMYFUNCTION("""COMPUTED_VALUE"""),"RF-00000254-ADD")</f>
        <v>RF-00000254-ADD</v>
      </c>
    </row>
    <row r="4941" spans="1:2" ht="12.5" x14ac:dyDescent="0.25">
      <c r="A4941" t="str">
        <f ca="1">IFERROR(__xludf.DUMMYFUNCTION("""COMPUTED_VALUE"""),"Propane-1,2-diol esters of fatty acids")</f>
        <v>Propane-1,2-diol esters of fatty acids</v>
      </c>
      <c r="B4941" t="str">
        <f ca="1">IFERROR(__xludf.DUMMYFUNCTION("""COMPUTED_VALUE"""),"RF-00000255-ADD")</f>
        <v>RF-00000255-ADD</v>
      </c>
    </row>
    <row r="4942" spans="1:2" ht="12.5" x14ac:dyDescent="0.25">
      <c r="A4942" t="str">
        <f ca="1">IFERROR(__xludf.DUMMYFUNCTION("""COMPUTED_VALUE"""),"Propanil")</f>
        <v>Propanil</v>
      </c>
      <c r="B4942" t="str">
        <f ca="1">IFERROR(__xludf.DUMMYFUNCTION("""COMPUTED_VALUE"""),"RF-0355-001-PPP")</f>
        <v>RF-0355-001-PPP</v>
      </c>
    </row>
    <row r="4943" spans="1:2" ht="12.5" x14ac:dyDescent="0.25">
      <c r="A4943" t="str">
        <f ca="1">IFERROR(__xludf.DUMMYFUNCTION("""COMPUTED_VALUE"""),"Propanolol")</f>
        <v>Propanolol</v>
      </c>
      <c r="B4943" t="str">
        <f ca="1">IFERROR(__xludf.DUMMYFUNCTION("""COMPUTED_VALUE"""),"RF-00000483-VET")</f>
        <v>RF-00000483-VET</v>
      </c>
    </row>
    <row r="4944" spans="1:2" ht="12.5" x14ac:dyDescent="0.25">
      <c r="A4944" t="str">
        <f ca="1">IFERROR(__xludf.DUMMYFUNCTION("""COMPUTED_VALUE"""),"Propaphos")</f>
        <v>Propaphos</v>
      </c>
      <c r="B4944" t="str">
        <f ca="1">IFERROR(__xludf.DUMMYFUNCTION("""COMPUTED_VALUE"""),"RF-0863-001-PPP")</f>
        <v>RF-0863-001-PPP</v>
      </c>
    </row>
    <row r="4945" spans="1:2" ht="12.5" x14ac:dyDescent="0.25">
      <c r="A4945" t="str">
        <f ca="1">IFERROR(__xludf.DUMMYFUNCTION("""COMPUTED_VALUE"""),"Propaquizafop")</f>
        <v>Propaquizafop</v>
      </c>
      <c r="B4945" t="str">
        <f ca="1">IFERROR(__xludf.DUMMYFUNCTION("""COMPUTED_VALUE"""),"RF-0356-001-PPP")</f>
        <v>RF-0356-001-PPP</v>
      </c>
    </row>
    <row r="4946" spans="1:2" ht="12.5" x14ac:dyDescent="0.25">
      <c r="A4946" t="str">
        <f ca="1">IFERROR(__xludf.DUMMYFUNCTION("""COMPUTED_VALUE"""),"Propargite")</f>
        <v>Propargite</v>
      </c>
      <c r="B4946" t="str">
        <f ca="1">IFERROR(__xludf.DUMMYFUNCTION("""COMPUTED_VALUE"""),"RF-0357-001-PPP")</f>
        <v>RF-0357-001-PPP</v>
      </c>
    </row>
    <row r="4947" spans="1:2" ht="12.5" x14ac:dyDescent="0.25">
      <c r="A4947" t="str">
        <f ca="1">IFERROR(__xludf.DUMMYFUNCTION("""COMPUTED_VALUE"""),"Propazine")</f>
        <v>Propazine</v>
      </c>
      <c r="B4947" t="str">
        <f ca="1">IFERROR(__xludf.DUMMYFUNCTION("""COMPUTED_VALUE"""),"RF-0864-001-PPP")</f>
        <v>RF-0864-001-PPP</v>
      </c>
    </row>
    <row r="4948" spans="1:2" ht="12.5" x14ac:dyDescent="0.25">
      <c r="A4948" t="str">
        <f ca="1">IFERROR(__xludf.DUMMYFUNCTION("""COMPUTED_VALUE"""),"Propazine, 2-Hydroxy-")</f>
        <v>Propazine, 2-Hydroxy-</v>
      </c>
      <c r="B4948" t="str">
        <f ca="1">IFERROR(__xludf.DUMMYFUNCTION("""COMPUTED_VALUE"""),"RF-0865-001-PPP")</f>
        <v>RF-0865-001-PPP</v>
      </c>
    </row>
    <row r="4949" spans="1:2" ht="12.5" x14ac:dyDescent="0.25">
      <c r="A4949" t="str">
        <f ca="1">IFERROR(__xludf.DUMMYFUNCTION("""COMPUTED_VALUE"""),"Propetamphos")</f>
        <v>Propetamphos</v>
      </c>
      <c r="B4949" t="str">
        <f ca="1">IFERROR(__xludf.DUMMYFUNCTION("""COMPUTED_VALUE"""),"RF-0866-001-PPP")</f>
        <v>RF-0866-001-PPP</v>
      </c>
    </row>
    <row r="4950" spans="1:2" ht="12.5" x14ac:dyDescent="0.25">
      <c r="A4950" t="str">
        <f ca="1">IFERROR(__xludf.DUMMYFUNCTION("""COMPUTED_VALUE"""),"Propham")</f>
        <v>Propham</v>
      </c>
      <c r="B4950" t="str">
        <f ca="1">IFERROR(__xludf.DUMMYFUNCTION("""COMPUTED_VALUE"""),"RF-0867-001-PPP")</f>
        <v>RF-0867-001-PPP</v>
      </c>
    </row>
    <row r="4951" spans="1:2" ht="12.5" x14ac:dyDescent="0.25">
      <c r="A4951" t="str">
        <f ca="1">IFERROR(__xludf.DUMMYFUNCTION("""COMPUTED_VALUE"""),"Propham IPC")</f>
        <v>Propham IPC</v>
      </c>
      <c r="B4951" t="str">
        <f ca="1">IFERROR(__xludf.DUMMYFUNCTION("""COMPUTED_VALUE"""),"RF-00000141-VET")</f>
        <v>RF-00000141-VET</v>
      </c>
    </row>
    <row r="4952" spans="1:2" ht="12.5" x14ac:dyDescent="0.25">
      <c r="A4952" t="str">
        <f ca="1">IFERROR(__xludf.DUMMYFUNCTION("""COMPUTED_VALUE"""),"Propicillin")</f>
        <v>Propicillin</v>
      </c>
      <c r="B4952" t="str">
        <f ca="1">IFERROR(__xludf.DUMMYFUNCTION("""COMPUTED_VALUE"""),"RF-00000657-VET")</f>
        <v>RF-00000657-VET</v>
      </c>
    </row>
    <row r="4953" spans="1:2" ht="12.5" x14ac:dyDescent="0.25">
      <c r="A4953" t="str">
        <f ca="1">IFERROR(__xludf.DUMMYFUNCTION("""COMPUTED_VALUE"""),"Propiconazole")</f>
        <v>Propiconazole</v>
      </c>
      <c r="B4953" t="str">
        <f ca="1">IFERROR(__xludf.DUMMYFUNCTION("""COMPUTED_VALUE"""),"RF-0358-001-PPP")</f>
        <v>RF-0358-001-PPP</v>
      </c>
    </row>
    <row r="4954" spans="1:2" ht="12.5" x14ac:dyDescent="0.25">
      <c r="A4954" t="str">
        <f ca="1">IFERROR(__xludf.DUMMYFUNCTION("""COMPUTED_VALUE"""),"Propineb")</f>
        <v>Propineb</v>
      </c>
      <c r="B4954" t="str">
        <f ca="1">IFERROR(__xludf.DUMMYFUNCTION("""COMPUTED_VALUE"""),"RF-0359-002-PPP")</f>
        <v>RF-0359-002-PPP</v>
      </c>
    </row>
    <row r="4955" spans="1:2" ht="12.5" x14ac:dyDescent="0.25">
      <c r="A4955" t="str">
        <f ca="1">IFERROR(__xludf.DUMMYFUNCTION("""COMPUTED_VALUE"""),"Propineb (expressed as propilendiamine)")</f>
        <v>Propineb (expressed as propilendiamine)</v>
      </c>
      <c r="B4955" t="str">
        <f ca="1">IFERROR(__xludf.DUMMYFUNCTION("""COMPUTED_VALUE"""),"RF-0359-001-PPP")</f>
        <v>RF-0359-001-PPP</v>
      </c>
    </row>
    <row r="4956" spans="1:2" ht="12.5" x14ac:dyDescent="0.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x14ac:dyDescent="0.25">
      <c r="A4957" t="str">
        <f ca="1">IFERROR(__xludf.DUMMYFUNCTION("""COMPUTED_VALUE"""),"Propiomazine")</f>
        <v>Propiomazine</v>
      </c>
      <c r="B4957" t="str">
        <f ca="1">IFERROR(__xludf.DUMMYFUNCTION("""COMPUTED_VALUE"""),"RF-00000165-VET")</f>
        <v>RF-00000165-VET</v>
      </c>
    </row>
    <row r="4958" spans="1:2" ht="12.5" x14ac:dyDescent="0.25">
      <c r="A4958" t="str">
        <f ca="1">IFERROR(__xludf.DUMMYFUNCTION("""COMPUTED_VALUE"""),"Propionic acid")</f>
        <v>Propionic acid</v>
      </c>
      <c r="B4958" t="str">
        <f ca="1">IFERROR(__xludf.DUMMYFUNCTION("""COMPUTED_VALUE"""),"RF-00000256-ADD")</f>
        <v>RF-00000256-ADD</v>
      </c>
    </row>
    <row r="4959" spans="1:2" ht="12.5" x14ac:dyDescent="0.25">
      <c r="A4959" t="str">
        <f ca="1">IFERROR(__xludf.DUMMYFUNCTION("""COMPUTED_VALUE"""),"Propionylpromazine")</f>
        <v>Propionylpromazine</v>
      </c>
      <c r="B4959" t="str">
        <f ca="1">IFERROR(__xludf.DUMMYFUNCTION("""COMPUTED_VALUE"""),"RF-00000176-VET")</f>
        <v>RF-00000176-VET</v>
      </c>
    </row>
    <row r="4960" spans="1:2" ht="12.5" x14ac:dyDescent="0.25">
      <c r="A4960" t="str">
        <f ca="1">IFERROR(__xludf.DUMMYFUNCTION("""COMPUTED_VALUE"""),"Propisochlor")</f>
        <v>Propisochlor</v>
      </c>
      <c r="B4960" t="str">
        <f ca="1">IFERROR(__xludf.DUMMYFUNCTION("""COMPUTED_VALUE"""),"RF-0360-001-PPP")</f>
        <v>RF-0360-001-PPP</v>
      </c>
    </row>
    <row r="4961" spans="1:2" ht="12.5" x14ac:dyDescent="0.25">
      <c r="A4961" t="str">
        <f ca="1">IFERROR(__xludf.DUMMYFUNCTION("""COMPUTED_VALUE"""),"Propoxur")</f>
        <v>Propoxur</v>
      </c>
      <c r="B4961" t="str">
        <f ca="1">IFERROR(__xludf.DUMMYFUNCTION("""COMPUTED_VALUE"""),"RF-00000146-VET")</f>
        <v>RF-00000146-VET</v>
      </c>
    </row>
    <row r="4962" spans="1:2" ht="12.5" x14ac:dyDescent="0.25">
      <c r="A4962" t="str">
        <f ca="1">IFERROR(__xludf.DUMMYFUNCTION("""COMPUTED_VALUE"""),"Propoxur")</f>
        <v>Propoxur</v>
      </c>
      <c r="B4962" t="str">
        <f ca="1">IFERROR(__xludf.DUMMYFUNCTION("""COMPUTED_VALUE"""),"RF-0361-001-PPP")</f>
        <v>RF-0361-001-PPP</v>
      </c>
    </row>
    <row r="4963" spans="1:2" ht="12.5" x14ac:dyDescent="0.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x14ac:dyDescent="0.25">
      <c r="A4964" t="str">
        <f ca="1">IFERROR(__xludf.DUMMYFUNCTION("""COMPUTED_VALUE"""),"Propoxycarbazone sodium")</f>
        <v>Propoxycarbazone sodium</v>
      </c>
      <c r="B4964" t="str">
        <f ca="1">IFERROR(__xludf.DUMMYFUNCTION("""COMPUTED_VALUE"""),"RF-0362-002-PPP")</f>
        <v>RF-0362-002-PPP</v>
      </c>
    </row>
    <row r="4965" spans="1:2" ht="12.5" x14ac:dyDescent="0.25">
      <c r="A4965" t="str">
        <f ca="1">IFERROR(__xludf.DUMMYFUNCTION("""COMPUTED_VALUE"""),"Propyl gallate")</f>
        <v>Propyl gallate</v>
      </c>
      <c r="B4965" t="str">
        <f ca="1">IFERROR(__xludf.DUMMYFUNCTION("""COMPUTED_VALUE"""),"RF-00000257-ADD")</f>
        <v>RF-00000257-ADD</v>
      </c>
    </row>
    <row r="4966" spans="1:2" ht="12.5" x14ac:dyDescent="0.25">
      <c r="A4966" t="str">
        <f ca="1">IFERROR(__xludf.DUMMYFUNCTION("""COMPUTED_VALUE"""),"Propyl-3-t-butylphenoxyacetate")</f>
        <v>Propyl-3-t-butylphenoxyacetate</v>
      </c>
      <c r="B4966" t="str">
        <f ca="1">IFERROR(__xludf.DUMMYFUNCTION("""COMPUTED_VALUE"""),"RF-0363-001-PPP")</f>
        <v>RF-0363-001-PPP</v>
      </c>
    </row>
    <row r="4967" spans="1:2" ht="12.5" x14ac:dyDescent="0.25">
      <c r="A4967" t="str">
        <f ca="1">IFERROR(__xludf.DUMMYFUNCTION("""COMPUTED_VALUE"""),"Propylethiourea")</f>
        <v>Propylethiourea</v>
      </c>
      <c r="B4967" t="str">
        <f ca="1">IFERROR(__xludf.DUMMYFUNCTION("""COMPUTED_VALUE"""),"RF-1054-001-PPP")</f>
        <v>RF-1054-001-PPP</v>
      </c>
    </row>
    <row r="4968" spans="1:2" ht="12.5" x14ac:dyDescent="0.25">
      <c r="A4968" t="str">
        <f ca="1">IFERROR(__xludf.DUMMYFUNCTION("""COMPUTED_VALUE"""),"Propyphenazone")</f>
        <v>Propyphenazone</v>
      </c>
      <c r="B4968" t="str">
        <f ca="1">IFERROR(__xludf.DUMMYFUNCTION("""COMPUTED_VALUE"""),"RF-00000196-VET")</f>
        <v>RF-00000196-VET</v>
      </c>
    </row>
    <row r="4969" spans="1:2" ht="12.5" x14ac:dyDescent="0.25">
      <c r="A4969" t="str">
        <f ca="1">IFERROR(__xludf.DUMMYFUNCTION("""COMPUTED_VALUE"""),"Propyzamide")</f>
        <v>Propyzamide</v>
      </c>
      <c r="B4969" t="str">
        <f ca="1">IFERROR(__xludf.DUMMYFUNCTION("""COMPUTED_VALUE"""),"RF-0364-001-PPP")</f>
        <v>RF-0364-001-PPP</v>
      </c>
    </row>
    <row r="4970" spans="1:2" ht="12.5" x14ac:dyDescent="0.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x14ac:dyDescent="0.25">
      <c r="A4971" t="str">
        <f ca="1">IFERROR(__xludf.DUMMYFUNCTION("""COMPUTED_VALUE"""),"Proquinazid")</f>
        <v>Proquinazid</v>
      </c>
      <c r="B4971" t="str">
        <f ca="1">IFERROR(__xludf.DUMMYFUNCTION("""COMPUTED_VALUE"""),"RF-0365-001-PPP")</f>
        <v>RF-0365-001-PPP</v>
      </c>
    </row>
    <row r="4972" spans="1:2" ht="12.5" x14ac:dyDescent="0.25">
      <c r="A4972" t="str">
        <f ca="1">IFERROR(__xludf.DUMMYFUNCTION("""COMPUTED_VALUE"""),"Prosulfocarb")</f>
        <v>Prosulfocarb</v>
      </c>
      <c r="B4972" t="str">
        <f ca="1">IFERROR(__xludf.DUMMYFUNCTION("""COMPUTED_VALUE"""),"RF-00000129-VET")</f>
        <v>RF-00000129-VET</v>
      </c>
    </row>
    <row r="4973" spans="1:2" ht="12.5" x14ac:dyDescent="0.25">
      <c r="A4973" t="str">
        <f ca="1">IFERROR(__xludf.DUMMYFUNCTION("""COMPUTED_VALUE"""),"Prosulfocarb")</f>
        <v>Prosulfocarb</v>
      </c>
      <c r="B4973" t="str">
        <f ca="1">IFERROR(__xludf.DUMMYFUNCTION("""COMPUTED_VALUE"""),"RF-0366-001-PPP")</f>
        <v>RF-0366-001-PPP</v>
      </c>
    </row>
    <row r="4974" spans="1:2" ht="12.5" x14ac:dyDescent="0.25">
      <c r="A4974" t="str">
        <f ca="1">IFERROR(__xludf.DUMMYFUNCTION("""COMPUTED_VALUE"""),"Prosulfuron")</f>
        <v>Prosulfuron</v>
      </c>
      <c r="B4974" t="str">
        <f ca="1">IFERROR(__xludf.DUMMYFUNCTION("""COMPUTED_VALUE"""),"RF-0367-001-PPP")</f>
        <v>RF-0367-001-PPP</v>
      </c>
    </row>
    <row r="4975" spans="1:2" ht="12.5" x14ac:dyDescent="0.25">
      <c r="A4975" t="str">
        <f ca="1">IFERROR(__xludf.DUMMYFUNCTION("""COMPUTED_VALUE"""),"protein, animal")</f>
        <v>protein, animal</v>
      </c>
      <c r="B4975" t="str">
        <f ca="1">IFERROR(__xludf.DUMMYFUNCTION("""COMPUTED_VALUE"""),"RF-00000372-NTR")</f>
        <v>RF-00000372-NTR</v>
      </c>
    </row>
    <row r="4976" spans="1:2" ht="12.5" x14ac:dyDescent="0.25">
      <c r="A4976" t="str">
        <f ca="1">IFERROR(__xludf.DUMMYFUNCTION("""COMPUTED_VALUE"""),"protein, plant")</f>
        <v>protein, plant</v>
      </c>
      <c r="B4976" t="str">
        <f ca="1">IFERROR(__xludf.DUMMYFUNCTION("""COMPUTED_VALUE"""),"RF-00000373-NTR")</f>
        <v>RF-00000373-NTR</v>
      </c>
    </row>
    <row r="4977" spans="1:2" ht="12.5" x14ac:dyDescent="0.25">
      <c r="A4977" t="str">
        <f ca="1">IFERROR(__xludf.DUMMYFUNCTION("""COMPUTED_VALUE"""),"protein, total")</f>
        <v>protein, total</v>
      </c>
      <c r="B4977" t="str">
        <f ca="1">IFERROR(__xludf.DUMMYFUNCTION("""COMPUTED_VALUE"""),"RF-00000374-NTR")</f>
        <v>RF-00000374-NTR</v>
      </c>
    </row>
    <row r="4978" spans="1:2" ht="12.5" x14ac:dyDescent="0.25">
      <c r="A4978" t="str">
        <f ca="1">IFERROR(__xludf.DUMMYFUNCTION("""COMPUTED_VALUE"""),"protein, unknown origin")</f>
        <v>protein, unknown origin</v>
      </c>
      <c r="B4978" t="str">
        <f ca="1">IFERROR(__xludf.DUMMYFUNCTION("""COMPUTED_VALUE"""),"RF-00000375-NTR")</f>
        <v>RF-00000375-NTR</v>
      </c>
    </row>
    <row r="4979" spans="1:2" ht="12.5" x14ac:dyDescent="0.25">
      <c r="A4979" t="str">
        <f ca="1">IFERROR(__xludf.DUMMYFUNCTION("""COMPUTED_VALUE"""),"Proteus")</f>
        <v>Proteus</v>
      </c>
      <c r="B4979" t="str">
        <f ca="1">IFERROR(__xludf.DUMMYFUNCTION("""COMPUTED_VALUE"""),"RF-00000294-MCG")</f>
        <v>RF-00000294-MCG</v>
      </c>
    </row>
    <row r="4980" spans="1:2" ht="12.5" x14ac:dyDescent="0.25">
      <c r="A4980" t="str">
        <f ca="1">IFERROR(__xludf.DUMMYFUNCTION("""COMPUTED_VALUE"""),"Proteus vulgaris")</f>
        <v>Proteus vulgaris</v>
      </c>
      <c r="B4980" t="str">
        <f ca="1">IFERROR(__xludf.DUMMYFUNCTION("""COMPUTED_VALUE"""),"RF-00000295-MCG")</f>
        <v>RF-00000295-MCG</v>
      </c>
    </row>
    <row r="4981" spans="1:2" ht="12.5" x14ac:dyDescent="0.25">
      <c r="A4981" t="str">
        <f ca="1">IFERROR(__xludf.DUMMYFUNCTION("""COMPUTED_VALUE"""),"Prothioconazole")</f>
        <v>Prothioconazole</v>
      </c>
      <c r="B4981" t="str">
        <f ca="1">IFERROR(__xludf.DUMMYFUNCTION("""COMPUTED_VALUE"""),"RF-0368-001-PPP")</f>
        <v>RF-0368-001-PPP</v>
      </c>
    </row>
    <row r="4982" spans="1:2" ht="12.5" x14ac:dyDescent="0.25">
      <c r="A4982" t="str">
        <f ca="1">IFERROR(__xludf.DUMMYFUNCTION("""COMPUTED_VALUE"""),"Prothioconazole (prothioconazole-Desthio)")</f>
        <v>Prothioconazole (prothioconazole-Desthio)</v>
      </c>
      <c r="B4982" t="str">
        <f ca="1">IFERROR(__xludf.DUMMYFUNCTION("""COMPUTED_VALUE"""),"RF-0868-001-PPP")</f>
        <v>RF-0868-001-PPP</v>
      </c>
    </row>
    <row r="4983" spans="1:2" ht="12.5" x14ac:dyDescent="0.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x14ac:dyDescent="0.25">
      <c r="A4984" t="str">
        <f ca="1">IFERROR(__xludf.DUMMYFUNCTION("""COMPUTED_VALUE"""),"Prothioconazole-desthio")</f>
        <v>Prothioconazole-desthio</v>
      </c>
      <c r="B4984" t="str">
        <f ca="1">IFERROR(__xludf.DUMMYFUNCTION("""COMPUTED_VALUE"""),"RF-00000029-PAR")</f>
        <v>RF-00000029-PAR</v>
      </c>
    </row>
    <row r="4985" spans="1:2" ht="12.5" x14ac:dyDescent="0.25">
      <c r="A4985" t="str">
        <f ca="1">IFERROR(__xludf.DUMMYFUNCTION("""COMPUTED_VALUE"""),"Prothiofos")</f>
        <v>Prothiofos</v>
      </c>
      <c r="B4985" t="str">
        <f ca="1">IFERROR(__xludf.DUMMYFUNCTION("""COMPUTED_VALUE"""),"RF-0869-001-PPP")</f>
        <v>RF-0869-001-PPP</v>
      </c>
    </row>
    <row r="4986" spans="1:2" ht="12.5" x14ac:dyDescent="0.25">
      <c r="A4986" t="str">
        <f ca="1">IFERROR(__xludf.DUMMYFUNCTION("""COMPUTED_VALUE"""),"Prothipendyl")</f>
        <v>Prothipendyl</v>
      </c>
      <c r="B4986" t="str">
        <f ca="1">IFERROR(__xludf.DUMMYFUNCTION("""COMPUTED_VALUE"""),"RF-00000183-VET")</f>
        <v>RF-00000183-VET</v>
      </c>
    </row>
    <row r="4987" spans="1:2" ht="12.5" x14ac:dyDescent="0.25">
      <c r="A4987" t="str">
        <f ca="1">IFERROR(__xludf.DUMMYFUNCTION("""COMPUTED_VALUE"""),"Prothoate")</f>
        <v>Prothoate</v>
      </c>
      <c r="B4987" t="str">
        <f ca="1">IFERROR(__xludf.DUMMYFUNCTION("""COMPUTED_VALUE"""),"RF-0870-001-PPP")</f>
        <v>RF-0870-001-PPP</v>
      </c>
    </row>
    <row r="4988" spans="1:2" ht="12.5" x14ac:dyDescent="0.25">
      <c r="A4988" t="str">
        <f ca="1">IFERROR(__xludf.DUMMYFUNCTION("""COMPUTED_VALUE"""),"Protozoa")</f>
        <v>Protozoa</v>
      </c>
      <c r="B4988" t="str">
        <f ca="1">IFERROR(__xludf.DUMMYFUNCTION("""COMPUTED_VALUE"""),"RF-00002794-MCG")</f>
        <v>RF-00002794-MCG</v>
      </c>
    </row>
    <row r="4989" spans="1:2" ht="12.5" x14ac:dyDescent="0.25">
      <c r="A4989" t="str">
        <f ca="1">IFERROR(__xludf.DUMMYFUNCTION("""COMPUTED_VALUE"""),"PTU")</f>
        <v>PTU</v>
      </c>
      <c r="B4989" t="str">
        <f ca="1">IFERROR(__xludf.DUMMYFUNCTION("""COMPUTED_VALUE"""),"RF-0871-001-PPP")</f>
        <v>RF-0871-001-PPP</v>
      </c>
    </row>
    <row r="4990" spans="1:2" ht="12.5" x14ac:dyDescent="0.25">
      <c r="A4990" t="str">
        <f ca="1">IFERROR(__xludf.DUMMYFUNCTION("""COMPUTED_VALUE"""),"PTX1")</f>
        <v>PTX1</v>
      </c>
      <c r="B4990" t="str">
        <f ca="1">IFERROR(__xludf.DUMMYFUNCTION("""COMPUTED_VALUE"""),"RF-00000081-TOX")</f>
        <v>RF-00000081-TOX</v>
      </c>
    </row>
    <row r="4991" spans="1:2" ht="12.5" x14ac:dyDescent="0.25">
      <c r="A4991" t="str">
        <f ca="1">IFERROR(__xludf.DUMMYFUNCTION("""COMPUTED_VALUE"""),"PTX11")</f>
        <v>PTX11</v>
      </c>
      <c r="B4991" t="str">
        <f ca="1">IFERROR(__xludf.DUMMYFUNCTION("""COMPUTED_VALUE"""),"RF-00000087-TOX")</f>
        <v>RF-00000087-TOX</v>
      </c>
    </row>
    <row r="4992" spans="1:2" ht="12.5" x14ac:dyDescent="0.25">
      <c r="A4992" t="str">
        <f ca="1">IFERROR(__xludf.DUMMYFUNCTION("""COMPUTED_VALUE"""),"PTX2")</f>
        <v>PTX2</v>
      </c>
      <c r="B4992" t="str">
        <f ca="1">IFERROR(__xludf.DUMMYFUNCTION("""COMPUTED_VALUE"""),"RF-00000082-TOX")</f>
        <v>RF-00000082-TOX</v>
      </c>
    </row>
    <row r="4993" spans="1:2" ht="12.5" x14ac:dyDescent="0.25">
      <c r="A4993" t="str">
        <f ca="1">IFERROR(__xludf.DUMMYFUNCTION("""COMPUTED_VALUE"""),"PTX2 seco acid")</f>
        <v>PTX2 seco acid</v>
      </c>
      <c r="B4993" t="str">
        <f ca="1">IFERROR(__xludf.DUMMYFUNCTION("""COMPUTED_VALUE"""),"RF-00000088-TOX")</f>
        <v>RF-00000088-TOX</v>
      </c>
    </row>
    <row r="4994" spans="1:2" ht="12.5" x14ac:dyDescent="0.25">
      <c r="A4994" t="str">
        <f ca="1">IFERROR(__xludf.DUMMYFUNCTION("""COMPUTED_VALUE"""),"PTX3")</f>
        <v>PTX3</v>
      </c>
      <c r="B4994" t="str">
        <f ca="1">IFERROR(__xludf.DUMMYFUNCTION("""COMPUTED_VALUE"""),"RF-00000083-TOX")</f>
        <v>RF-00000083-TOX</v>
      </c>
    </row>
    <row r="4995" spans="1:2" ht="12.5" x14ac:dyDescent="0.25">
      <c r="A4995" t="str">
        <f ca="1">IFERROR(__xludf.DUMMYFUNCTION("""COMPUTED_VALUE"""),"PTX4")</f>
        <v>PTX4</v>
      </c>
      <c r="B4995" t="str">
        <f ca="1">IFERROR(__xludf.DUMMYFUNCTION("""COMPUTED_VALUE"""),"RF-00000084-TOX")</f>
        <v>RF-00000084-TOX</v>
      </c>
    </row>
    <row r="4996" spans="1:2" ht="12.5" x14ac:dyDescent="0.25">
      <c r="A4996" t="str">
        <f ca="1">IFERROR(__xludf.DUMMYFUNCTION("""COMPUTED_VALUE"""),"PTX6")</f>
        <v>PTX6</v>
      </c>
      <c r="B4996" t="str">
        <f ca="1">IFERROR(__xludf.DUMMYFUNCTION("""COMPUTED_VALUE"""),"RF-00000085-TOX")</f>
        <v>RF-00000085-TOX</v>
      </c>
    </row>
    <row r="4997" spans="1:2" ht="12.5" x14ac:dyDescent="0.25">
      <c r="A4997" t="str">
        <f ca="1">IFERROR(__xludf.DUMMYFUNCTION("""COMPUTED_VALUE"""),"PTX7")</f>
        <v>PTX7</v>
      </c>
      <c r="B4997" t="str">
        <f ca="1">IFERROR(__xludf.DUMMYFUNCTION("""COMPUTED_VALUE"""),"RF-00000086-TOX")</f>
        <v>RF-00000086-TOX</v>
      </c>
    </row>
    <row r="4998" spans="1:2" ht="12.5" x14ac:dyDescent="0.25">
      <c r="A4998" t="str">
        <f ca="1">IFERROR(__xludf.DUMMYFUNCTION("""COMPUTED_VALUE"""),"Pullulan")</f>
        <v>Pullulan</v>
      </c>
      <c r="B4998" t="str">
        <f ca="1">IFERROR(__xludf.DUMMYFUNCTION("""COMPUTED_VALUE"""),"RF-00000258-ADD")</f>
        <v>RF-00000258-ADD</v>
      </c>
    </row>
    <row r="4999" spans="1:2" ht="12.5" x14ac:dyDescent="0.25">
      <c r="A4999" t="str">
        <f ca="1">IFERROR(__xludf.DUMMYFUNCTION("""COMPUTED_VALUE"""),"purines")</f>
        <v>purines</v>
      </c>
      <c r="B4999" t="str">
        <f ca="1">IFERROR(__xludf.DUMMYFUNCTION("""COMPUTED_VALUE"""),"RF-00000376-NTR")</f>
        <v>RF-00000376-NTR</v>
      </c>
    </row>
    <row r="5000" spans="1:2" ht="12.5" x14ac:dyDescent="0.25">
      <c r="A5000" t="str">
        <f ca="1">IFERROR(__xludf.DUMMYFUNCTION("""COMPUTED_VALUE"""),"Putrescine")</f>
        <v>Putrescine</v>
      </c>
      <c r="B5000" t="str">
        <f ca="1">IFERROR(__xludf.DUMMYFUNCTION("""COMPUTED_VALUE"""),"RF-00000004-BGA")</f>
        <v>RF-00000004-BGA</v>
      </c>
    </row>
    <row r="5001" spans="1:2" ht="12.5" x14ac:dyDescent="0.25">
      <c r="A5001" t="str">
        <f ca="1">IFERROR(__xludf.DUMMYFUNCTION("""COMPUTED_VALUE"""),"Pymetrozine")</f>
        <v>Pymetrozine</v>
      </c>
      <c r="B5001" t="str">
        <f ca="1">IFERROR(__xludf.DUMMYFUNCTION("""COMPUTED_VALUE"""),"RF-0369-001-PPP")</f>
        <v>RF-0369-001-PPP</v>
      </c>
    </row>
    <row r="5002" spans="1:2" ht="12.5" x14ac:dyDescent="0.25">
      <c r="A5002" t="str">
        <f ca="1">IFERROR(__xludf.DUMMYFUNCTION("""COMPUTED_VALUE"""),"Pyracarbolid")</f>
        <v>Pyracarbolid</v>
      </c>
      <c r="B5002" t="str">
        <f ca="1">IFERROR(__xludf.DUMMYFUNCTION("""COMPUTED_VALUE"""),"RF-1019-001-PPP")</f>
        <v>RF-1019-001-PPP</v>
      </c>
    </row>
    <row r="5003" spans="1:2" ht="12.5" x14ac:dyDescent="0.25">
      <c r="A5003" t="str">
        <f ca="1">IFERROR(__xludf.DUMMYFUNCTION("""COMPUTED_VALUE"""),"Pyraclofos")</f>
        <v>Pyraclofos</v>
      </c>
      <c r="B5003" t="str">
        <f ca="1">IFERROR(__xludf.DUMMYFUNCTION("""COMPUTED_VALUE"""),"RF-0872-001-PPP")</f>
        <v>RF-0872-001-PPP</v>
      </c>
    </row>
    <row r="5004" spans="1:2" ht="12.5" x14ac:dyDescent="0.25">
      <c r="A5004" t="str">
        <f ca="1">IFERROR(__xludf.DUMMYFUNCTION("""COMPUTED_VALUE"""),"Pyraclostrobin")</f>
        <v>Pyraclostrobin</v>
      </c>
      <c r="B5004" t="str">
        <f ca="1">IFERROR(__xludf.DUMMYFUNCTION("""COMPUTED_VALUE"""),"RF-0370-001-PPP")</f>
        <v>RF-0370-001-PPP</v>
      </c>
    </row>
    <row r="5005" spans="1:2" ht="12.5" x14ac:dyDescent="0.25">
      <c r="A5005" t="str">
        <f ca="1">IFERROR(__xludf.DUMMYFUNCTION("""COMPUTED_VALUE"""),"Pyraflufen-ethyl")</f>
        <v>Pyraflufen-ethyl</v>
      </c>
      <c r="B5005" t="str">
        <f ca="1">IFERROR(__xludf.DUMMYFUNCTION("""COMPUTED_VALUE"""),"RF-0371-001-PPP")</f>
        <v>RF-0371-001-PPP</v>
      </c>
    </row>
    <row r="5006" spans="1:2" ht="12.5" x14ac:dyDescent="0.25">
      <c r="A5006" t="str">
        <f ca="1">IFERROR(__xludf.DUMMYFUNCTION("""COMPUTED_VALUE"""),"Pyrantel")</f>
        <v>Pyrantel</v>
      </c>
      <c r="B5006" t="str">
        <f ca="1">IFERROR(__xludf.DUMMYFUNCTION("""COMPUTED_VALUE"""),"RF-00000053-VET")</f>
        <v>RF-00000053-VET</v>
      </c>
    </row>
    <row r="5007" spans="1:2" ht="12.5" x14ac:dyDescent="0.25">
      <c r="A5007" t="str">
        <f ca="1">IFERROR(__xludf.DUMMYFUNCTION("""COMPUTED_VALUE"""),"Pyrasulfotole")</f>
        <v>Pyrasulfotole</v>
      </c>
      <c r="B5007" t="str">
        <f ca="1">IFERROR(__xludf.DUMMYFUNCTION("""COMPUTED_VALUE"""),"RF-0372-001-PPP")</f>
        <v>RF-0372-001-PPP</v>
      </c>
    </row>
    <row r="5008" spans="1:2" ht="12.5" x14ac:dyDescent="0.25">
      <c r="A5008" t="str">
        <f ca="1">IFERROR(__xludf.DUMMYFUNCTION("""COMPUTED_VALUE"""),"Pyrazinamide")</f>
        <v>Pyrazinamide</v>
      </c>
      <c r="B5008" t="str">
        <f ca="1">IFERROR(__xludf.DUMMYFUNCTION("""COMPUTED_VALUE"""),"RF-00000708-VET")</f>
        <v>RF-00000708-VET</v>
      </c>
    </row>
    <row r="5009" spans="1:2" ht="12.5" x14ac:dyDescent="0.25">
      <c r="A5009" t="str">
        <f ca="1">IFERROR(__xludf.DUMMYFUNCTION("""COMPUTED_VALUE"""),"Pyrazophos")</f>
        <v>Pyrazophos</v>
      </c>
      <c r="B5009" t="str">
        <f ca="1">IFERROR(__xludf.DUMMYFUNCTION("""COMPUTED_VALUE"""),"RF-0373-001-PPP")</f>
        <v>RF-0373-001-PPP</v>
      </c>
    </row>
    <row r="5010" spans="1:2" ht="12.5" x14ac:dyDescent="0.25">
      <c r="A5010" t="str">
        <f ca="1">IFERROR(__xludf.DUMMYFUNCTION("""COMPUTED_VALUE"""),"Pyrazoxyfen")</f>
        <v>Pyrazoxyfen</v>
      </c>
      <c r="B5010" t="str">
        <f ca="1">IFERROR(__xludf.DUMMYFUNCTION("""COMPUTED_VALUE"""),"RF-0873-001-PPP")</f>
        <v>RF-0873-001-PPP</v>
      </c>
    </row>
    <row r="5011" spans="1:2" ht="12.5" x14ac:dyDescent="0.25">
      <c r="A5011" t="str">
        <f ca="1">IFERROR(__xludf.DUMMYFUNCTION("""COMPUTED_VALUE"""),"Pyrene")</f>
        <v>Pyrene</v>
      </c>
      <c r="B5011" t="str">
        <f ca="1">IFERROR(__xludf.DUMMYFUNCTION("""COMPUTED_VALUE"""),"RF-00000064-ORG")</f>
        <v>RF-00000064-ORG</v>
      </c>
    </row>
    <row r="5012" spans="1:2" ht="12.5" x14ac:dyDescent="0.25">
      <c r="A5012" t="str">
        <f ca="1">IFERROR(__xludf.DUMMYFUNCTION("""COMPUTED_VALUE"""),"Pyrethrin I")</f>
        <v>Pyrethrin I</v>
      </c>
      <c r="B5012" t="str">
        <f ca="1">IFERROR(__xludf.DUMMYFUNCTION("""COMPUTED_VALUE"""),"RF-0374-002-PPP")</f>
        <v>RF-0374-002-PPP</v>
      </c>
    </row>
    <row r="5013" spans="1:2" ht="12.5" x14ac:dyDescent="0.25">
      <c r="A5013" t="str">
        <f ca="1">IFERROR(__xludf.DUMMYFUNCTION("""COMPUTED_VALUE"""),"Pyrethrin II")</f>
        <v>Pyrethrin II</v>
      </c>
      <c r="B5013" t="str">
        <f ca="1">IFERROR(__xludf.DUMMYFUNCTION("""COMPUTED_VALUE"""),"RF-0374-003-PPP")</f>
        <v>RF-0374-003-PPP</v>
      </c>
    </row>
    <row r="5014" spans="1:2" ht="12.5" x14ac:dyDescent="0.25">
      <c r="A5014" t="str">
        <f ca="1">IFERROR(__xludf.DUMMYFUNCTION("""COMPUTED_VALUE"""),"Pyrethrins")</f>
        <v>Pyrethrins</v>
      </c>
      <c r="B5014" t="str">
        <f ca="1">IFERROR(__xludf.DUMMYFUNCTION("""COMPUTED_VALUE"""),"RF-00000128-VET")</f>
        <v>RF-00000128-VET</v>
      </c>
    </row>
    <row r="5015" spans="1:2" ht="12.5" x14ac:dyDescent="0.25">
      <c r="A5015" t="str">
        <f ca="1">IFERROR(__xludf.DUMMYFUNCTION("""COMPUTED_VALUE"""),"Pyrethrins")</f>
        <v>Pyrethrins</v>
      </c>
      <c r="B5015" t="str">
        <f ca="1">IFERROR(__xludf.DUMMYFUNCTION("""COMPUTED_VALUE"""),"RF-0374-001-PPP")</f>
        <v>RF-0374-001-PPP</v>
      </c>
    </row>
    <row r="5016" spans="1:2" ht="12.5" x14ac:dyDescent="0.25">
      <c r="A5016" t="str">
        <f ca="1">IFERROR(__xludf.DUMMYFUNCTION("""COMPUTED_VALUE"""),"Pyributicarb")</f>
        <v>Pyributicarb</v>
      </c>
      <c r="B5016" t="str">
        <f ca="1">IFERROR(__xludf.DUMMYFUNCTION("""COMPUTED_VALUE"""),"RF-0874-001-PPP")</f>
        <v>RF-0874-001-PPP</v>
      </c>
    </row>
    <row r="5017" spans="1:2" ht="12.5" x14ac:dyDescent="0.25">
      <c r="A5017" t="str">
        <f ca="1">IFERROR(__xludf.DUMMYFUNCTION("""COMPUTED_VALUE"""),"Pyridaben")</f>
        <v>Pyridaben</v>
      </c>
      <c r="B5017" t="str">
        <f ca="1">IFERROR(__xludf.DUMMYFUNCTION("""COMPUTED_VALUE"""),"RF-0375-001-PPP")</f>
        <v>RF-0375-001-PPP</v>
      </c>
    </row>
    <row r="5018" spans="1:2" ht="12.5" x14ac:dyDescent="0.25">
      <c r="A5018" t="str">
        <f ca="1">IFERROR(__xludf.DUMMYFUNCTION("""COMPUTED_VALUE"""),"Pyridafol")</f>
        <v>Pyridafol</v>
      </c>
      <c r="B5018" t="str">
        <f ca="1">IFERROR(__xludf.DUMMYFUNCTION("""COMPUTED_VALUE"""),"RF-0875-001-PPP")</f>
        <v>RF-0875-001-PPP</v>
      </c>
    </row>
    <row r="5019" spans="1:2" ht="12.5" x14ac:dyDescent="0.25">
      <c r="A5019" t="str">
        <f ca="1">IFERROR(__xludf.DUMMYFUNCTION("""COMPUTED_VALUE"""),"Pyridalyl")</f>
        <v>Pyridalyl</v>
      </c>
      <c r="B5019" t="str">
        <f ca="1">IFERROR(__xludf.DUMMYFUNCTION("""COMPUTED_VALUE"""),"RF-0876-001-PPP")</f>
        <v>RF-0876-001-PPP</v>
      </c>
    </row>
    <row r="5020" spans="1:2" ht="12.5" x14ac:dyDescent="0.25">
      <c r="A5020" t="str">
        <f ca="1">IFERROR(__xludf.DUMMYFUNCTION("""COMPUTED_VALUE"""),"Pyridaphenthion")</f>
        <v>Pyridaphenthion</v>
      </c>
      <c r="B5020" t="str">
        <f ca="1">IFERROR(__xludf.DUMMYFUNCTION("""COMPUTED_VALUE"""),"RF-0877-001-PPP")</f>
        <v>RF-0877-001-PPP</v>
      </c>
    </row>
    <row r="5021" spans="1:2" ht="12.5" x14ac:dyDescent="0.25">
      <c r="A5021" t="str">
        <f ca="1">IFERROR(__xludf.DUMMYFUNCTION("""COMPUTED_VALUE"""),"Pyridate")</f>
        <v>Pyridate</v>
      </c>
      <c r="B5021" t="str">
        <f ca="1">IFERROR(__xludf.DUMMYFUNCTION("""COMPUTED_VALUE"""),"RF-0376-002-PPP")</f>
        <v>RF-0376-002-PPP</v>
      </c>
    </row>
    <row r="5022" spans="1:2" ht="12.5" x14ac:dyDescent="0.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x14ac:dyDescent="0.25">
      <c r="A5023" t="str">
        <f ca="1">IFERROR(__xludf.DUMMYFUNCTION("""COMPUTED_VALUE"""),"Pyridinitril")</f>
        <v>Pyridinitril</v>
      </c>
      <c r="B5023" t="str">
        <f ca="1">IFERROR(__xludf.DUMMYFUNCTION("""COMPUTED_VALUE"""),"RF-1039-001-PPP")</f>
        <v>RF-1039-001-PPP</v>
      </c>
    </row>
    <row r="5024" spans="1:2" ht="12.5" x14ac:dyDescent="0.25">
      <c r="A5024" t="str">
        <f ca="1">IFERROR(__xludf.DUMMYFUNCTION("""COMPUTED_VALUE"""),"pyridoxal")</f>
        <v>pyridoxal</v>
      </c>
      <c r="B5024" t="str">
        <f ca="1">IFERROR(__xludf.DUMMYFUNCTION("""COMPUTED_VALUE"""),"RF-00000377-NTR")</f>
        <v>RF-00000377-NTR</v>
      </c>
    </row>
    <row r="5025" spans="1:2" ht="12.5" x14ac:dyDescent="0.25">
      <c r="A5025" t="str">
        <f ca="1">IFERROR(__xludf.DUMMYFUNCTION("""COMPUTED_VALUE"""),"pyridoxamin")</f>
        <v>pyridoxamin</v>
      </c>
      <c r="B5025" t="str">
        <f ca="1">IFERROR(__xludf.DUMMYFUNCTION("""COMPUTED_VALUE"""),"RF-00000378-NTR")</f>
        <v>RF-00000378-NTR</v>
      </c>
    </row>
    <row r="5026" spans="1:2" ht="12.5" x14ac:dyDescent="0.25">
      <c r="A5026" t="str">
        <f ca="1">IFERROR(__xludf.DUMMYFUNCTION("""COMPUTED_VALUE"""),"pyridoxine")</f>
        <v>pyridoxine</v>
      </c>
      <c r="B5026" t="str">
        <f ca="1">IFERROR(__xludf.DUMMYFUNCTION("""COMPUTED_VALUE"""),"RF-00000379-NTR")</f>
        <v>RF-00000379-NTR</v>
      </c>
    </row>
    <row r="5027" spans="1:2" ht="12.5" x14ac:dyDescent="0.25">
      <c r="A5027" t="str">
        <f ca="1">IFERROR(__xludf.DUMMYFUNCTION("""COMPUTED_VALUE"""),"Pyrifenox")</f>
        <v>Pyrifenox</v>
      </c>
      <c r="B5027" t="str">
        <f ca="1">IFERROR(__xludf.DUMMYFUNCTION("""COMPUTED_VALUE"""),"RF-0878-001-PPP")</f>
        <v>RF-0878-001-PPP</v>
      </c>
    </row>
    <row r="5028" spans="1:2" ht="12.5" x14ac:dyDescent="0.25">
      <c r="A5028" t="str">
        <f ca="1">IFERROR(__xludf.DUMMYFUNCTION("""COMPUTED_VALUE"""),"Pyriftalid")</f>
        <v>Pyriftalid</v>
      </c>
      <c r="B5028" t="str">
        <f ca="1">IFERROR(__xludf.DUMMYFUNCTION("""COMPUTED_VALUE"""),"RF-0879-001-PPP")</f>
        <v>RF-0879-001-PPP</v>
      </c>
    </row>
    <row r="5029" spans="1:2" ht="12.5" x14ac:dyDescent="0.25">
      <c r="A5029" t="str">
        <f ca="1">IFERROR(__xludf.DUMMYFUNCTION("""COMPUTED_VALUE"""),"Pyrimethanil")</f>
        <v>Pyrimethanil</v>
      </c>
      <c r="B5029" t="str">
        <f ca="1">IFERROR(__xludf.DUMMYFUNCTION("""COMPUTED_VALUE"""),"RF-0377-001-PPP")</f>
        <v>RF-0377-001-PPP</v>
      </c>
    </row>
    <row r="5030" spans="1:2" ht="12.5" x14ac:dyDescent="0.25">
      <c r="A5030" t="str">
        <f ca="1">IFERROR(__xludf.DUMMYFUNCTION("""COMPUTED_VALUE"""),"Pyrimidifen")</f>
        <v>Pyrimidifen</v>
      </c>
      <c r="B5030" t="str">
        <f ca="1">IFERROR(__xludf.DUMMYFUNCTION("""COMPUTED_VALUE"""),"RF-0880-001-PPP")</f>
        <v>RF-0880-001-PPP</v>
      </c>
    </row>
    <row r="5031" spans="1:2" ht="12.5" x14ac:dyDescent="0.25">
      <c r="A5031" t="str">
        <f ca="1">IFERROR(__xludf.DUMMYFUNCTION("""COMPUTED_VALUE"""),"Pyriminobac-Methyl")</f>
        <v>Pyriminobac-Methyl</v>
      </c>
      <c r="B5031" t="str">
        <f ca="1">IFERROR(__xludf.DUMMYFUNCTION("""COMPUTED_VALUE"""),"RF-0881-001-PPP")</f>
        <v>RF-0881-001-PPP</v>
      </c>
    </row>
    <row r="5032" spans="1:2" ht="12.5" x14ac:dyDescent="0.25">
      <c r="A5032" t="str">
        <f ca="1">IFERROR(__xludf.DUMMYFUNCTION("""COMPUTED_VALUE"""),"Pyriproxyfen")</f>
        <v>Pyriproxyfen</v>
      </c>
      <c r="B5032" t="str">
        <f ca="1">IFERROR(__xludf.DUMMYFUNCTION("""COMPUTED_VALUE"""),"RF-0378-001-PPP")</f>
        <v>RF-0378-001-PPP</v>
      </c>
    </row>
    <row r="5033" spans="1:2" ht="12.5" x14ac:dyDescent="0.25">
      <c r="A5033" t="str">
        <f ca="1">IFERROR(__xludf.DUMMYFUNCTION("""COMPUTED_VALUE"""),"Pyrithiobac")</f>
        <v>Pyrithiobac</v>
      </c>
      <c r="B5033" t="str">
        <f ca="1">IFERROR(__xludf.DUMMYFUNCTION("""COMPUTED_VALUE"""),"RF-0882-001-PPP")</f>
        <v>RF-0882-001-PPP</v>
      </c>
    </row>
    <row r="5034" spans="1:2" ht="12.5" x14ac:dyDescent="0.25">
      <c r="A5034" t="str">
        <f ca="1">IFERROR(__xludf.DUMMYFUNCTION("""COMPUTED_VALUE"""),"Pyroquilon")</f>
        <v>Pyroquilon</v>
      </c>
      <c r="B5034" t="str">
        <f ca="1">IFERROR(__xludf.DUMMYFUNCTION("""COMPUTED_VALUE"""),"RF-0379-001-PPP")</f>
        <v>RF-0379-001-PPP</v>
      </c>
    </row>
    <row r="5035" spans="1:2" ht="12.5" x14ac:dyDescent="0.25">
      <c r="A5035" t="str">
        <f ca="1">IFERROR(__xludf.DUMMYFUNCTION("""COMPUTED_VALUE"""),"Pyroxsulam")</f>
        <v>Pyroxsulam</v>
      </c>
      <c r="B5035" t="str">
        <f ca="1">IFERROR(__xludf.DUMMYFUNCTION("""COMPUTED_VALUE"""),"RF-0883-001-PPP")</f>
        <v>RF-0883-001-PPP</v>
      </c>
    </row>
    <row r="5036" spans="1:2" ht="12.5" x14ac:dyDescent="0.25">
      <c r="A5036" t="str">
        <f ca="1">IFERROR(__xludf.DUMMYFUNCTION("""COMPUTED_VALUE"""),"Pyroxycam")</f>
        <v>Pyroxycam</v>
      </c>
      <c r="B5036" t="str">
        <f ca="1">IFERROR(__xludf.DUMMYFUNCTION("""COMPUTED_VALUE"""),"RF-00000218-VET")</f>
        <v>RF-00000218-VET</v>
      </c>
    </row>
    <row r="5037" spans="1:2" ht="12.5" x14ac:dyDescent="0.25">
      <c r="A5037" t="str">
        <f ca="1">IFERROR(__xludf.DUMMYFUNCTION("""COMPUTED_VALUE"""),"Pyrrolizidine alkaloids")</f>
        <v>Pyrrolizidine alkaloids</v>
      </c>
      <c r="B5037" t="str">
        <f ca="1">IFERROR(__xludf.DUMMYFUNCTION("""COMPUTED_VALUE"""),"RF-00000230-TOX")</f>
        <v>RF-00000230-TOX</v>
      </c>
    </row>
    <row r="5038" spans="1:2" ht="12.5" x14ac:dyDescent="0.25">
      <c r="A5038" t="str">
        <f ca="1">IFERROR(__xludf.DUMMYFUNCTION("""COMPUTED_VALUE"""),"Quassin")</f>
        <v>Quassin</v>
      </c>
      <c r="B5038" t="str">
        <f ca="1">IFERROR(__xludf.DUMMYFUNCTION("""COMPUTED_VALUE"""),"RF-0884-001-PPP")</f>
        <v>RF-0884-001-PPP</v>
      </c>
    </row>
    <row r="5039" spans="1:2" ht="12.5" x14ac:dyDescent="0.25">
      <c r="A5039" t="str">
        <f ca="1">IFERROR(__xludf.DUMMYFUNCTION("""COMPUTED_VALUE"""),"Quaternary Ammonium Compounds (QACs)")</f>
        <v>Quaternary Ammonium Compounds (QACs)</v>
      </c>
      <c r="B5039" t="str">
        <f ca="1">IFERROR(__xludf.DUMMYFUNCTION("""COMPUTED_VALUE"""),"RF-1078-001-PPP")</f>
        <v>RF-1078-001-PPP</v>
      </c>
    </row>
    <row r="5040" spans="1:2" ht="12.5" x14ac:dyDescent="0.25">
      <c r="A5040" t="str">
        <f ca="1">IFERROR(__xludf.DUMMYFUNCTION("""COMPUTED_VALUE"""),"quercetin")</f>
        <v>quercetin</v>
      </c>
      <c r="B5040" t="str">
        <f ca="1">IFERROR(__xludf.DUMMYFUNCTION("""COMPUTED_VALUE"""),"RF-00000380-NTR")</f>
        <v>RF-00000380-NTR</v>
      </c>
    </row>
    <row r="5041" spans="1:2" ht="12.5" x14ac:dyDescent="0.25">
      <c r="A5041" t="str">
        <f ca="1">IFERROR(__xludf.DUMMYFUNCTION("""COMPUTED_VALUE"""),"Quillaia extract")</f>
        <v>Quillaia extract</v>
      </c>
      <c r="B5041" t="str">
        <f ca="1">IFERROR(__xludf.DUMMYFUNCTION("""COMPUTED_VALUE"""),"RF-00000259-ADD")</f>
        <v>RF-00000259-ADD</v>
      </c>
    </row>
    <row r="5042" spans="1:2" ht="12.5" x14ac:dyDescent="0.25">
      <c r="A5042" t="str">
        <f ca="1">IFERROR(__xludf.DUMMYFUNCTION("""COMPUTED_VALUE"""),"Quimbolone")</f>
        <v>Quimbolone</v>
      </c>
      <c r="B5042" t="str">
        <f ca="1">IFERROR(__xludf.DUMMYFUNCTION("""COMPUTED_VALUE"""),"RF-00000357-VET")</f>
        <v>RF-00000357-VET</v>
      </c>
    </row>
    <row r="5043" spans="1:2" ht="12.5" x14ac:dyDescent="0.25">
      <c r="A5043" t="str">
        <f ca="1">IFERROR(__xludf.DUMMYFUNCTION("""COMPUTED_VALUE"""),"Quinalphos")</f>
        <v>Quinalphos</v>
      </c>
      <c r="B5043" t="str">
        <f ca="1">IFERROR(__xludf.DUMMYFUNCTION("""COMPUTED_VALUE"""),"RF-0380-001-PPP")</f>
        <v>RF-0380-001-PPP</v>
      </c>
    </row>
    <row r="5044" spans="1:2" ht="12.5" x14ac:dyDescent="0.25">
      <c r="A5044" t="str">
        <f ca="1">IFERROR(__xludf.DUMMYFUNCTION("""COMPUTED_VALUE"""),"Quinclorac")</f>
        <v>Quinclorac</v>
      </c>
      <c r="B5044" t="str">
        <f ca="1">IFERROR(__xludf.DUMMYFUNCTION("""COMPUTED_VALUE"""),"RF-0885-001-PPP")</f>
        <v>RF-0885-001-PPP</v>
      </c>
    </row>
    <row r="5045" spans="1:2" ht="12.5" x14ac:dyDescent="0.25">
      <c r="A5045" t="str">
        <f ca="1">IFERROR(__xludf.DUMMYFUNCTION("""COMPUTED_VALUE"""),"Quinestrol")</f>
        <v>Quinestrol</v>
      </c>
      <c r="B5045" t="str">
        <f ca="1">IFERROR(__xludf.DUMMYFUNCTION("""COMPUTED_VALUE"""),"RF-00000352-VET")</f>
        <v>RF-00000352-VET</v>
      </c>
    </row>
    <row r="5046" spans="1:2" ht="12.5" x14ac:dyDescent="0.25">
      <c r="A5046" t="str">
        <f ca="1">IFERROR(__xludf.DUMMYFUNCTION("""COMPUTED_VALUE"""),"quinic acid")</f>
        <v>quinic acid</v>
      </c>
      <c r="B5046" t="str">
        <f ca="1">IFERROR(__xludf.DUMMYFUNCTION("""COMPUTED_VALUE"""),"RF-00000381-NTR")</f>
        <v>RF-00000381-NTR</v>
      </c>
    </row>
    <row r="5047" spans="1:2" ht="12.5" x14ac:dyDescent="0.25">
      <c r="A5047" t="str">
        <f ca="1">IFERROR(__xludf.DUMMYFUNCTION("""COMPUTED_VALUE"""),"Quinmerac")</f>
        <v>Quinmerac</v>
      </c>
      <c r="B5047" t="str">
        <f ca="1">IFERROR(__xludf.DUMMYFUNCTION("""COMPUTED_VALUE"""),"RF-0381-001-PPP")</f>
        <v>RF-0381-001-PPP</v>
      </c>
    </row>
    <row r="5048" spans="1:2" ht="12.5" x14ac:dyDescent="0.25">
      <c r="A5048" t="str">
        <f ca="1">IFERROR(__xludf.DUMMYFUNCTION("""COMPUTED_VALUE"""),"Quinoclamine")</f>
        <v>Quinoclamine</v>
      </c>
      <c r="B5048" t="str">
        <f ca="1">IFERROR(__xludf.DUMMYFUNCTION("""COMPUTED_VALUE"""),"RF-0886-001-PPP")</f>
        <v>RF-0886-001-PPP</v>
      </c>
    </row>
    <row r="5049" spans="1:2" ht="12.5" x14ac:dyDescent="0.25">
      <c r="A5049" t="str">
        <f ca="1">IFERROR(__xludf.DUMMYFUNCTION("""COMPUTED_VALUE"""),"Quinoline Yellow")</f>
        <v>Quinoline Yellow</v>
      </c>
      <c r="B5049" t="str">
        <f ca="1">IFERROR(__xludf.DUMMYFUNCTION("""COMPUTED_VALUE"""),"RF-00000260-ADD")</f>
        <v>RF-00000260-ADD</v>
      </c>
    </row>
    <row r="5050" spans="1:2" ht="12.5" x14ac:dyDescent="0.25">
      <c r="A5050" t="str">
        <f ca="1">IFERROR(__xludf.DUMMYFUNCTION("""COMPUTED_VALUE"""),"Quinolones")</f>
        <v>Quinolones</v>
      </c>
      <c r="B5050" t="str">
        <f ca="1">IFERROR(__xludf.DUMMYFUNCTION("""COMPUTED_VALUE"""),"RF-00000560-VET")</f>
        <v>RF-00000560-VET</v>
      </c>
    </row>
    <row r="5051" spans="1:2" ht="12.5" x14ac:dyDescent="0.25">
      <c r="A5051" t="str">
        <f ca="1">IFERROR(__xludf.DUMMYFUNCTION("""COMPUTED_VALUE"""),"Quinoxalines")</f>
        <v>Quinoxalines</v>
      </c>
      <c r="B5051" t="str">
        <f ca="1">IFERROR(__xludf.DUMMYFUNCTION("""COMPUTED_VALUE"""),"RF-00000767-VET")</f>
        <v>RF-00000767-VET</v>
      </c>
    </row>
    <row r="5052" spans="1:2" ht="12.5" x14ac:dyDescent="0.25">
      <c r="A5052" t="str">
        <f ca="1">IFERROR(__xludf.DUMMYFUNCTION("""COMPUTED_VALUE"""),"Quinoxyfen")</f>
        <v>Quinoxyfen</v>
      </c>
      <c r="B5052" t="str">
        <f ca="1">IFERROR(__xludf.DUMMYFUNCTION("""COMPUTED_VALUE"""),"RF-0382-001-PPP")</f>
        <v>RF-0382-001-PPP</v>
      </c>
    </row>
    <row r="5053" spans="1:2" ht="12.5" x14ac:dyDescent="0.25">
      <c r="A5053" t="str">
        <f ca="1">IFERROR(__xludf.DUMMYFUNCTION("""COMPUTED_VALUE"""),"Quintozene")</f>
        <v>Quintozene</v>
      </c>
      <c r="B5053" t="str">
        <f ca="1">IFERROR(__xludf.DUMMYFUNCTION("""COMPUTED_VALUE"""),"RF-0383-002-PPP")</f>
        <v>RF-0383-002-PPP</v>
      </c>
    </row>
    <row r="5054" spans="1:2" ht="12.5" x14ac:dyDescent="0.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x14ac:dyDescent="0.25">
      <c r="A5055" t="str">
        <f ca="1">IFERROR(__xludf.DUMMYFUNCTION("""COMPUTED_VALUE"""),"Quinupristin")</f>
        <v>Quinupristin</v>
      </c>
      <c r="B5055" t="str">
        <f ca="1">IFERROR(__xludf.DUMMYFUNCTION("""COMPUTED_VALUE"""),"RF-00000776-VET")</f>
        <v>RF-00000776-VET</v>
      </c>
    </row>
    <row r="5056" spans="1:2" ht="12.5" x14ac:dyDescent="0.25">
      <c r="A5056" t="str">
        <f ca="1">IFERROR(__xludf.DUMMYFUNCTION("""COMPUTED_VALUE"""),"Quinupristin-Dalfopristin")</f>
        <v>Quinupristin-Dalfopristin</v>
      </c>
      <c r="B5056" t="str">
        <f ca="1">IFERROR(__xludf.DUMMYFUNCTION("""COMPUTED_VALUE"""),"RF-00000777-VET")</f>
        <v>RF-00000777-VET</v>
      </c>
    </row>
    <row r="5057" spans="1:2" ht="12.5" x14ac:dyDescent="0.25">
      <c r="A5057" t="str">
        <f ca="1">IFERROR(__xludf.DUMMYFUNCTION("""COMPUTED_VALUE"""),"Quizalofop")</f>
        <v>Quizalofop</v>
      </c>
      <c r="B5057" t="str">
        <f ca="1">IFERROR(__xludf.DUMMYFUNCTION("""COMPUTED_VALUE"""),"RF-0384-004-PPP")</f>
        <v>RF-0384-004-PPP</v>
      </c>
    </row>
    <row r="5058" spans="1:2" ht="12.5" x14ac:dyDescent="0.25">
      <c r="A5058" t="str">
        <f ca="1">IFERROR(__xludf.DUMMYFUNCTION("""COMPUTED_VALUE"""),"Quizalofop (including Quizalfop-P)")</f>
        <v>Quizalofop (including Quizalfop-P)</v>
      </c>
      <c r="B5058" t="str">
        <f ca="1">IFERROR(__xludf.DUMMYFUNCTION("""COMPUTED_VALUE"""),"RF-0384-003-PPP")</f>
        <v>RF-0384-003-PPP</v>
      </c>
    </row>
    <row r="5059" spans="1:2" ht="12.5" x14ac:dyDescent="0.25">
      <c r="A5059" t="str">
        <f ca="1">IFERROR(__xludf.DUMMYFUNCTION("""COMPUTED_VALUE"""),"Quizalofop-Ethyl")</f>
        <v>Quizalofop-Ethyl</v>
      </c>
      <c r="B5059" t="str">
        <f ca="1">IFERROR(__xludf.DUMMYFUNCTION("""COMPUTED_VALUE"""),"RF-0887-001-PPP")</f>
        <v>RF-0887-001-PPP</v>
      </c>
    </row>
    <row r="5060" spans="1:2" ht="12.5" x14ac:dyDescent="0.25">
      <c r="A5060" t="str">
        <f ca="1">IFERROR(__xludf.DUMMYFUNCTION("""COMPUTED_VALUE"""),"Quizalofop-P")</f>
        <v>Quizalofop-P</v>
      </c>
      <c r="B5060" t="str">
        <f ca="1">IFERROR(__xludf.DUMMYFUNCTION("""COMPUTED_VALUE"""),"RF-0384-002-PPP")</f>
        <v>RF-0384-002-PPP</v>
      </c>
    </row>
    <row r="5061" spans="1:2" ht="12.5" x14ac:dyDescent="0.25">
      <c r="A5061" t="str">
        <f ca="1">IFERROR(__xludf.DUMMYFUNCTION("""COMPUTED_VALUE"""),"Quizalofop-P-ethyl")</f>
        <v>Quizalofop-P-ethyl</v>
      </c>
      <c r="B5061" t="str">
        <f ca="1">IFERROR(__xludf.DUMMYFUNCTION("""COMPUTED_VALUE"""),"RF-0887-002-PPP")</f>
        <v>RF-0887-002-PPP</v>
      </c>
    </row>
    <row r="5062" spans="1:2" ht="12.5" x14ac:dyDescent="0.25">
      <c r="A5062" t="str">
        <f ca="1">IFERROR(__xludf.DUMMYFUNCTION("""COMPUTED_VALUE"""),"Rabenzazole")</f>
        <v>Rabenzazole</v>
      </c>
      <c r="B5062" t="str">
        <f ca="1">IFERROR(__xludf.DUMMYFUNCTION("""COMPUTED_VALUE"""),"RF-0888-001-PPP")</f>
        <v>RF-0888-001-PPP</v>
      </c>
    </row>
    <row r="5063" spans="1:2" ht="12.5" x14ac:dyDescent="0.25">
      <c r="A5063" t="str">
        <f ca="1">IFERROR(__xludf.DUMMYFUNCTION("""COMPUTED_VALUE"""),"Ractopamine")</f>
        <v>Ractopamine</v>
      </c>
      <c r="B5063" t="str">
        <f ca="1">IFERROR(__xludf.DUMMYFUNCTION("""COMPUTED_VALUE"""),"RF-00000468-VET")</f>
        <v>RF-00000468-VET</v>
      </c>
    </row>
    <row r="5064" spans="1:2" ht="12.5" x14ac:dyDescent="0.25">
      <c r="A5064" t="str">
        <f ca="1">IFERROR(__xludf.DUMMYFUNCTION("""COMPUTED_VALUE"""),"Ractopamine hydrochloride")</f>
        <v>Ractopamine hydrochloride</v>
      </c>
      <c r="B5064" t="str">
        <f ca="1">IFERROR(__xludf.DUMMYFUNCTION("""COMPUTED_VALUE"""),"RF-00000467-VET")</f>
        <v>RF-00000467-VET</v>
      </c>
    </row>
    <row r="5065" spans="1:2" ht="12.5" x14ac:dyDescent="0.25">
      <c r="A5065" t="str">
        <f ca="1">IFERROR(__xludf.DUMMYFUNCTION("""COMPUTED_VALUE"""),"Radioactivity and isotopes")</f>
        <v>Radioactivity and isotopes</v>
      </c>
      <c r="B5065" t="str">
        <f ca="1">IFERROR(__xludf.DUMMYFUNCTION("""COMPUTED_VALUE"""),"RF-00000001-RAD")</f>
        <v>RF-00000001-RAD</v>
      </c>
    </row>
    <row r="5066" spans="1:2" ht="12.5" x14ac:dyDescent="0.25">
      <c r="A5066" t="str">
        <f ca="1">IFERROR(__xludf.DUMMYFUNCTION("""COMPUTED_VALUE"""),"Radium 226")</f>
        <v>Radium 226</v>
      </c>
      <c r="B5066" t="str">
        <f ca="1">IFERROR(__xludf.DUMMYFUNCTION("""COMPUTED_VALUE"""),"RF-00000009-RAD")</f>
        <v>RF-00000009-RAD</v>
      </c>
    </row>
    <row r="5067" spans="1:2" ht="12.5" x14ac:dyDescent="0.25">
      <c r="A5067" t="str">
        <f ca="1">IFERROR(__xludf.DUMMYFUNCTION("""COMPUTED_VALUE"""),"raffinose")</f>
        <v>raffinose</v>
      </c>
      <c r="B5067" t="str">
        <f ca="1">IFERROR(__xludf.DUMMYFUNCTION("""COMPUTED_VALUE"""),"RF-00000382-NTR")</f>
        <v>RF-00000382-NTR</v>
      </c>
    </row>
    <row r="5068" spans="1:2" ht="12.5" x14ac:dyDescent="0.25">
      <c r="A5068" t="str">
        <f ca="1">IFERROR(__xludf.DUMMYFUNCTION("""COMPUTED_VALUE"""),"Rafoxanide")</f>
        <v>Rafoxanide</v>
      </c>
      <c r="B5068" t="str">
        <f ca="1">IFERROR(__xludf.DUMMYFUNCTION("""COMPUTED_VALUE"""),"RF-00000010-VET")</f>
        <v>RF-00000010-VET</v>
      </c>
    </row>
    <row r="5069" spans="1:2" ht="12.5" x14ac:dyDescent="0.25">
      <c r="A5069" t="str">
        <f ca="1">IFERROR(__xludf.DUMMYFUNCTION("""COMPUTED_VALUE"""),"Rebaudioside A")</f>
        <v>Rebaudioside A</v>
      </c>
      <c r="B5069" t="str">
        <f ca="1">IFERROR(__xludf.DUMMYFUNCTION("""COMPUTED_VALUE"""),"RF-00000006-ADD")</f>
        <v>RF-00000006-ADD</v>
      </c>
    </row>
    <row r="5070" spans="1:2" ht="12.5" x14ac:dyDescent="0.25">
      <c r="A5070" t="str">
        <f ca="1">IFERROR(__xludf.DUMMYFUNCTION("""COMPUTED_VALUE"""),"Rebaudioside B")</f>
        <v>Rebaudioside B</v>
      </c>
      <c r="B5070" t="str">
        <f ca="1">IFERROR(__xludf.DUMMYFUNCTION("""COMPUTED_VALUE"""),"RF-00000007-ADD")</f>
        <v>RF-00000007-ADD</v>
      </c>
    </row>
    <row r="5071" spans="1:2" ht="12.5" x14ac:dyDescent="0.25">
      <c r="A5071" t="str">
        <f ca="1">IFERROR(__xludf.DUMMYFUNCTION("""COMPUTED_VALUE"""),"Rebaudioside C")</f>
        <v>Rebaudioside C</v>
      </c>
      <c r="B5071" t="str">
        <f ca="1">IFERROR(__xludf.DUMMYFUNCTION("""COMPUTED_VALUE"""),"RF-00000008-ADD")</f>
        <v>RF-00000008-ADD</v>
      </c>
    </row>
    <row r="5072" spans="1:2" ht="12.5" x14ac:dyDescent="0.25">
      <c r="A5072" t="str">
        <f ca="1">IFERROR(__xludf.DUMMYFUNCTION("""COMPUTED_VALUE"""),"Rebaudioside D")</f>
        <v>Rebaudioside D</v>
      </c>
      <c r="B5072" t="str">
        <f ca="1">IFERROR(__xludf.DUMMYFUNCTION("""COMPUTED_VALUE"""),"RF-00000009-ADD")</f>
        <v>RF-00000009-ADD</v>
      </c>
    </row>
    <row r="5073" spans="1:2" ht="12.5" x14ac:dyDescent="0.25">
      <c r="A5073" t="str">
        <f ca="1">IFERROR(__xludf.DUMMYFUNCTION("""COMPUTED_VALUE"""),"Rebaudioside E")</f>
        <v>Rebaudioside E</v>
      </c>
      <c r="B5073" t="str">
        <f ca="1">IFERROR(__xludf.DUMMYFUNCTION("""COMPUTED_VALUE"""),"RF-00000010-ADD")</f>
        <v>RF-00000010-ADD</v>
      </c>
    </row>
    <row r="5074" spans="1:2" ht="12.5" x14ac:dyDescent="0.25">
      <c r="A5074" t="str">
        <f ca="1">IFERROR(__xludf.DUMMYFUNCTION("""COMPUTED_VALUE"""),"Rebaudioside F")</f>
        <v>Rebaudioside F</v>
      </c>
      <c r="B5074" t="str">
        <f ca="1">IFERROR(__xludf.DUMMYFUNCTION("""COMPUTED_VALUE"""),"RF-00000011-ADD")</f>
        <v>RF-00000011-ADD</v>
      </c>
    </row>
    <row r="5075" spans="1:2" ht="12.5" x14ac:dyDescent="0.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x14ac:dyDescent="0.25">
      <c r="A5076" t="str">
        <f ca="1">IFERROR(__xludf.DUMMYFUNCTION("""COMPUTED_VALUE"""),"Resorcylic acid lactones, including zeranol")</f>
        <v>Resorcylic acid lactones, including zeranol</v>
      </c>
      <c r="B5076" t="str">
        <f ca="1">IFERROR(__xludf.DUMMYFUNCTION("""COMPUTED_VALUE"""),"RF-00000447-VET")</f>
        <v>RF-00000447-VET</v>
      </c>
    </row>
    <row r="5077" spans="1:2" ht="12.5" x14ac:dyDescent="0.25">
      <c r="A5077" t="str">
        <f ca="1">IFERROR(__xludf.DUMMYFUNCTION("""COMPUTED_VALUE"""),"retinaldehyde")</f>
        <v>retinaldehyde</v>
      </c>
      <c r="B5077" t="str">
        <f ca="1">IFERROR(__xludf.DUMMYFUNCTION("""COMPUTED_VALUE"""),"RF-00000383-NTR")</f>
        <v>RF-00000383-NTR</v>
      </c>
    </row>
    <row r="5078" spans="1:2" ht="12.5" x14ac:dyDescent="0.25">
      <c r="A5078" t="str">
        <f ca="1">IFERROR(__xludf.DUMMYFUNCTION("""COMPUTED_VALUE"""),"retinol (preformed vitamin A)")</f>
        <v>retinol (preformed vitamin A)</v>
      </c>
      <c r="B5078" t="str">
        <f ca="1">IFERROR(__xludf.DUMMYFUNCTION("""COMPUTED_VALUE"""),"RF-00000384-NTR")</f>
        <v>RF-00000384-NTR</v>
      </c>
    </row>
    <row r="5079" spans="1:2" ht="12.5" x14ac:dyDescent="0.25">
      <c r="A5079" t="str">
        <f ca="1">IFERROR(__xludf.DUMMYFUNCTION("""COMPUTED_VALUE"""),"Retronecine")</f>
        <v>Retronecine</v>
      </c>
      <c r="B5079" t="str">
        <f ca="1">IFERROR(__xludf.DUMMYFUNCTION("""COMPUTED_VALUE"""),"RF-00000294-TOX")</f>
        <v>RF-00000294-TOX</v>
      </c>
    </row>
    <row r="5080" spans="1:2" ht="12.5" x14ac:dyDescent="0.25">
      <c r="A5080" t="str">
        <f ca="1">IFERROR(__xludf.DUMMYFUNCTION("""COMPUTED_VALUE"""),"Retrorsine")</f>
        <v>Retrorsine</v>
      </c>
      <c r="B5080" t="str">
        <f ca="1">IFERROR(__xludf.DUMMYFUNCTION("""COMPUTED_VALUE"""),"RF-00000239-TOX")</f>
        <v>RF-00000239-TOX</v>
      </c>
    </row>
    <row r="5081" spans="1:2" ht="12.5" x14ac:dyDescent="0.25">
      <c r="A5081" t="str">
        <f ca="1">IFERROR(__xludf.DUMMYFUNCTION("""COMPUTED_VALUE"""),"Retrorsine-N-oxide")</f>
        <v>Retrorsine-N-oxide</v>
      </c>
      <c r="B5081" t="str">
        <f ca="1">IFERROR(__xludf.DUMMYFUNCTION("""COMPUTED_VALUE"""),"RF-00000295-TOX")</f>
        <v>RF-00000295-TOX</v>
      </c>
    </row>
    <row r="5082" spans="1:2" ht="12.5" x14ac:dyDescent="0.25">
      <c r="A5082" t="str">
        <f ca="1">IFERROR(__xludf.DUMMYFUNCTION("""COMPUTED_VALUE"""),"riboflavin")</f>
        <v>riboflavin</v>
      </c>
      <c r="B5082" t="str">
        <f ca="1">IFERROR(__xludf.DUMMYFUNCTION("""COMPUTED_VALUE"""),"RF-00000385-NTR")</f>
        <v>RF-00000385-NTR</v>
      </c>
    </row>
    <row r="5083" spans="1:2" ht="12.5" x14ac:dyDescent="0.25">
      <c r="A5083" t="str">
        <f ca="1">IFERROR(__xludf.DUMMYFUNCTION("""COMPUTED_VALUE"""),"Riboflavins")</f>
        <v>Riboflavins</v>
      </c>
      <c r="B5083" t="str">
        <f ca="1">IFERROR(__xludf.DUMMYFUNCTION("""COMPUTED_VALUE"""),"RF-00000267-ADD")</f>
        <v>RF-00000267-ADD</v>
      </c>
    </row>
    <row r="5084" spans="1:2" ht="12.5" x14ac:dyDescent="0.25">
      <c r="A5084" t="str">
        <f ca="1">IFERROR(__xludf.DUMMYFUNCTION("""COMPUTED_VALUE"""),"ribose")</f>
        <v>ribose</v>
      </c>
      <c r="B5084" t="str">
        <f ca="1">IFERROR(__xludf.DUMMYFUNCTION("""COMPUTED_VALUE"""),"RF-00000386-NTR")</f>
        <v>RF-00000386-NTR</v>
      </c>
    </row>
    <row r="5085" spans="1:2" ht="12.5" x14ac:dyDescent="0.25">
      <c r="A5085" t="str">
        <f ca="1">IFERROR(__xludf.DUMMYFUNCTION("""COMPUTED_VALUE"""),"Ricin")</f>
        <v>Ricin</v>
      </c>
      <c r="B5085" t="str">
        <f ca="1">IFERROR(__xludf.DUMMYFUNCTION("""COMPUTED_VALUE"""),"RF-00000335-TOX")</f>
        <v>RF-00000335-TOX</v>
      </c>
    </row>
    <row r="5086" spans="1:2" ht="12.5" x14ac:dyDescent="0.25">
      <c r="A5086" t="str">
        <f ca="1">IFERROR(__xludf.DUMMYFUNCTION("""COMPUTED_VALUE"""),"Rickettsia")</f>
        <v>Rickettsia</v>
      </c>
      <c r="B5086" t="str">
        <f ca="1">IFERROR(__xludf.DUMMYFUNCTION("""COMPUTED_VALUE"""),"RF-00000296-MCG")</f>
        <v>RF-00000296-MCG</v>
      </c>
    </row>
    <row r="5087" spans="1:2" ht="12.5" x14ac:dyDescent="0.25">
      <c r="A5087" t="str">
        <f ca="1">IFERROR(__xludf.DUMMYFUNCTION("""COMPUTED_VALUE"""),"Rickettsia aeschlimannii")</f>
        <v>Rickettsia aeschlimannii</v>
      </c>
      <c r="B5087" t="str">
        <f ca="1">IFERROR(__xludf.DUMMYFUNCTION("""COMPUTED_VALUE"""),"RF-00002750-MCG")</f>
        <v>RF-00002750-MCG</v>
      </c>
    </row>
    <row r="5088" spans="1:2" ht="12.5" x14ac:dyDescent="0.25">
      <c r="A5088" t="str">
        <f ca="1">IFERROR(__xludf.DUMMYFUNCTION("""COMPUTED_VALUE"""),"Rickettsia africae")</f>
        <v>Rickettsia africae</v>
      </c>
      <c r="B5088" t="str">
        <f ca="1">IFERROR(__xludf.DUMMYFUNCTION("""COMPUTED_VALUE"""),"RF-00002751-MCG")</f>
        <v>RF-00002751-MCG</v>
      </c>
    </row>
    <row r="5089" spans="1:2" ht="12.5" x14ac:dyDescent="0.25">
      <c r="A5089" t="str">
        <f ca="1">IFERROR(__xludf.DUMMYFUNCTION("""COMPUTED_VALUE"""),"Rickettsia akari")</f>
        <v>Rickettsia akari</v>
      </c>
      <c r="B5089" t="str">
        <f ca="1">IFERROR(__xludf.DUMMYFUNCTION("""COMPUTED_VALUE"""),"RF-00002752-MCG")</f>
        <v>RF-00002752-MCG</v>
      </c>
    </row>
    <row r="5090" spans="1:2" ht="12.5" x14ac:dyDescent="0.25">
      <c r="A5090" t="str">
        <f ca="1">IFERROR(__xludf.DUMMYFUNCTION("""COMPUTED_VALUE"""),"Rickettsia asiatica")</f>
        <v>Rickettsia asiatica</v>
      </c>
      <c r="B5090" t="str">
        <f ca="1">IFERROR(__xludf.DUMMYFUNCTION("""COMPUTED_VALUE"""),"RF-00002753-MCG")</f>
        <v>RF-00002753-MCG</v>
      </c>
    </row>
    <row r="5091" spans="1:2" ht="12.5" x14ac:dyDescent="0.25">
      <c r="A5091" t="str">
        <f ca="1">IFERROR(__xludf.DUMMYFUNCTION("""COMPUTED_VALUE"""),"Rickettsia australis")</f>
        <v>Rickettsia australis</v>
      </c>
      <c r="B5091" t="str">
        <f ca="1">IFERROR(__xludf.DUMMYFUNCTION("""COMPUTED_VALUE"""),"RF-00002754-MCG")</f>
        <v>RF-00002754-MCG</v>
      </c>
    </row>
    <row r="5092" spans="1:2" ht="12.5" x14ac:dyDescent="0.25">
      <c r="A5092" t="str">
        <f ca="1">IFERROR(__xludf.DUMMYFUNCTION("""COMPUTED_VALUE"""),"Rickettsia barbariae")</f>
        <v>Rickettsia barbariae</v>
      </c>
      <c r="B5092" t="str">
        <f ca="1">IFERROR(__xludf.DUMMYFUNCTION("""COMPUTED_VALUE"""),"RF-00003919-MCG")</f>
        <v>RF-00003919-MCG</v>
      </c>
    </row>
    <row r="5093" spans="1:2" ht="12.5" x14ac:dyDescent="0.25">
      <c r="A5093" t="str">
        <f ca="1">IFERROR(__xludf.DUMMYFUNCTION("""COMPUTED_VALUE"""),"Rickettsia bellii")</f>
        <v>Rickettsia bellii</v>
      </c>
      <c r="B5093" t="str">
        <f ca="1">IFERROR(__xludf.DUMMYFUNCTION("""COMPUTED_VALUE"""),"RF-00002755-MCG")</f>
        <v>RF-00002755-MCG</v>
      </c>
    </row>
    <row r="5094" spans="1:2" ht="12.5" x14ac:dyDescent="0.25">
      <c r="A5094" t="str">
        <f ca="1">IFERROR(__xludf.DUMMYFUNCTION("""COMPUTED_VALUE"""),"Rickettsia canadensis")</f>
        <v>Rickettsia canadensis</v>
      </c>
      <c r="B5094" t="str">
        <f ca="1">IFERROR(__xludf.DUMMYFUNCTION("""COMPUTED_VALUE"""),"RF-00002756-MCG")</f>
        <v>RF-00002756-MCG</v>
      </c>
    </row>
    <row r="5095" spans="1:2" ht="12.5" x14ac:dyDescent="0.25">
      <c r="A5095" t="str">
        <f ca="1">IFERROR(__xludf.DUMMYFUNCTION("""COMPUTED_VALUE"""),"Rickettsia conorii")</f>
        <v>Rickettsia conorii</v>
      </c>
      <c r="B5095" t="str">
        <f ca="1">IFERROR(__xludf.DUMMYFUNCTION("""COMPUTED_VALUE"""),"RF-00000300-MCG")</f>
        <v>RF-00000300-MCG</v>
      </c>
    </row>
    <row r="5096" spans="1:2" ht="12.5" x14ac:dyDescent="0.25">
      <c r="A5096" t="str">
        <f ca="1">IFERROR(__xludf.DUMMYFUNCTION("""COMPUTED_VALUE"""),"Rickettsia felis")</f>
        <v>Rickettsia felis</v>
      </c>
      <c r="B5096" t="str">
        <f ca="1">IFERROR(__xludf.DUMMYFUNCTION("""COMPUTED_VALUE"""),"RF-00002757-MCG")</f>
        <v>RF-00002757-MCG</v>
      </c>
    </row>
    <row r="5097" spans="1:2" ht="12.5" x14ac:dyDescent="0.25">
      <c r="A5097" t="str">
        <f ca="1">IFERROR(__xludf.DUMMYFUNCTION("""COMPUTED_VALUE"""),"Rickettsia heilongjiangensis")</f>
        <v>Rickettsia heilongjiangensis</v>
      </c>
      <c r="B5097" t="str">
        <f ca="1">IFERROR(__xludf.DUMMYFUNCTION("""COMPUTED_VALUE"""),"RF-00002758-MCG")</f>
        <v>RF-00002758-MCG</v>
      </c>
    </row>
    <row r="5098" spans="1:2" ht="12.5" x14ac:dyDescent="0.25">
      <c r="A5098" t="str">
        <f ca="1">IFERROR(__xludf.DUMMYFUNCTION("""COMPUTED_VALUE"""),"Rickettsia helvetica")</f>
        <v>Rickettsia helvetica</v>
      </c>
      <c r="B5098" t="str">
        <f ca="1">IFERROR(__xludf.DUMMYFUNCTION("""COMPUTED_VALUE"""),"RF-00002759-MCG")</f>
        <v>RF-00002759-MCG</v>
      </c>
    </row>
    <row r="5099" spans="1:2" ht="12.5" x14ac:dyDescent="0.25">
      <c r="A5099" t="str">
        <f ca="1">IFERROR(__xludf.DUMMYFUNCTION("""COMPUTED_VALUE"""),"Rickettsia honei")</f>
        <v>Rickettsia honei</v>
      </c>
      <c r="B5099" t="str">
        <f ca="1">IFERROR(__xludf.DUMMYFUNCTION("""COMPUTED_VALUE"""),"RF-00002760-MCG")</f>
        <v>RF-00002760-MCG</v>
      </c>
    </row>
    <row r="5100" spans="1:2" ht="12.5" x14ac:dyDescent="0.25">
      <c r="A5100" t="str">
        <f ca="1">IFERROR(__xludf.DUMMYFUNCTION("""COMPUTED_VALUE"""),"Rickettsia japonica")</f>
        <v>Rickettsia japonica</v>
      </c>
      <c r="B5100" t="str">
        <f ca="1">IFERROR(__xludf.DUMMYFUNCTION("""COMPUTED_VALUE"""),"RF-00002761-MCG")</f>
        <v>RF-00002761-MCG</v>
      </c>
    </row>
    <row r="5101" spans="1:2" ht="12.5" x14ac:dyDescent="0.25">
      <c r="A5101" t="str">
        <f ca="1">IFERROR(__xludf.DUMMYFUNCTION("""COMPUTED_VALUE"""),"Rickettsia massiliae")</f>
        <v>Rickettsia massiliae</v>
      </c>
      <c r="B5101" t="str">
        <f ca="1">IFERROR(__xludf.DUMMYFUNCTION("""COMPUTED_VALUE"""),"RF-00002762-MCG")</f>
        <v>RF-00002762-MCG</v>
      </c>
    </row>
    <row r="5102" spans="1:2" ht="12.5" x14ac:dyDescent="0.25">
      <c r="A5102" t="str">
        <f ca="1">IFERROR(__xludf.DUMMYFUNCTION("""COMPUTED_VALUE"""),"Rickettsia monacensis")</f>
        <v>Rickettsia monacensis</v>
      </c>
      <c r="B5102" t="str">
        <f ca="1">IFERROR(__xludf.DUMMYFUNCTION("""COMPUTED_VALUE"""),"RF-00003918-MCG")</f>
        <v>RF-00003918-MCG</v>
      </c>
    </row>
    <row r="5103" spans="1:2" ht="12.5" x14ac:dyDescent="0.25">
      <c r="A5103" t="str">
        <f ca="1">IFERROR(__xludf.DUMMYFUNCTION("""COMPUTED_VALUE"""),"Rickettsia montanensis")</f>
        <v>Rickettsia montanensis</v>
      </c>
      <c r="B5103" t="str">
        <f ca="1">IFERROR(__xludf.DUMMYFUNCTION("""COMPUTED_VALUE"""),"RF-00002763-MCG")</f>
        <v>RF-00002763-MCG</v>
      </c>
    </row>
    <row r="5104" spans="1:2" ht="12.5" x14ac:dyDescent="0.25">
      <c r="A5104" t="str">
        <f ca="1">IFERROR(__xludf.DUMMYFUNCTION("""COMPUTED_VALUE"""),"Rickettsia parkeri")</f>
        <v>Rickettsia parkeri</v>
      </c>
      <c r="B5104" t="str">
        <f ca="1">IFERROR(__xludf.DUMMYFUNCTION("""COMPUTED_VALUE"""),"RF-00002764-MCG")</f>
        <v>RF-00002764-MCG</v>
      </c>
    </row>
    <row r="5105" spans="1:2" ht="12.5" x14ac:dyDescent="0.25">
      <c r="A5105" t="str">
        <f ca="1">IFERROR(__xludf.DUMMYFUNCTION("""COMPUTED_VALUE"""),"Rickettsia peacockii")</f>
        <v>Rickettsia peacockii</v>
      </c>
      <c r="B5105" t="str">
        <f ca="1">IFERROR(__xludf.DUMMYFUNCTION("""COMPUTED_VALUE"""),"RF-00002765-MCG")</f>
        <v>RF-00002765-MCG</v>
      </c>
    </row>
    <row r="5106" spans="1:2" ht="12.5" x14ac:dyDescent="0.25">
      <c r="A5106" t="str">
        <f ca="1">IFERROR(__xludf.DUMMYFUNCTION("""COMPUTED_VALUE"""),"Rickettsia prowazekii")</f>
        <v>Rickettsia prowazekii</v>
      </c>
      <c r="B5106" t="str">
        <f ca="1">IFERROR(__xludf.DUMMYFUNCTION("""COMPUTED_VALUE"""),"RF-00000299-MCG")</f>
        <v>RF-00000299-MCG</v>
      </c>
    </row>
    <row r="5107" spans="1:2" ht="12.5" x14ac:dyDescent="0.25">
      <c r="A5107" t="str">
        <f ca="1">IFERROR(__xludf.DUMMYFUNCTION("""COMPUTED_VALUE"""),"Rickettsia raoultii")</f>
        <v>Rickettsia raoultii</v>
      </c>
      <c r="B5107" t="str">
        <f ca="1">IFERROR(__xludf.DUMMYFUNCTION("""COMPUTED_VALUE"""),"RF-00003917-MCG")</f>
        <v>RF-00003917-MCG</v>
      </c>
    </row>
    <row r="5108" spans="1:2" ht="12.5" x14ac:dyDescent="0.25">
      <c r="A5108" t="str">
        <f ca="1">IFERROR(__xludf.DUMMYFUNCTION("""COMPUTED_VALUE"""),"Rickettsia rhipicephali")</f>
        <v>Rickettsia rhipicephali</v>
      </c>
      <c r="B5108" t="str">
        <f ca="1">IFERROR(__xludf.DUMMYFUNCTION("""COMPUTED_VALUE"""),"RF-00002766-MCG")</f>
        <v>RF-00002766-MCG</v>
      </c>
    </row>
    <row r="5109" spans="1:2" ht="12.5" x14ac:dyDescent="0.25">
      <c r="A5109" t="str">
        <f ca="1">IFERROR(__xludf.DUMMYFUNCTION("""COMPUTED_VALUE"""),"Rickettsia rickettsii")</f>
        <v>Rickettsia rickettsii</v>
      </c>
      <c r="B5109" t="str">
        <f ca="1">IFERROR(__xludf.DUMMYFUNCTION("""COMPUTED_VALUE"""),"RF-00000297-MCG")</f>
        <v>RF-00000297-MCG</v>
      </c>
    </row>
    <row r="5110" spans="1:2" ht="12.5" x14ac:dyDescent="0.25">
      <c r="A5110" t="str">
        <f ca="1">IFERROR(__xludf.DUMMYFUNCTION("""COMPUTED_VALUE"""),"Rickettsia sibirica")</f>
        <v>Rickettsia sibirica</v>
      </c>
      <c r="B5110" t="str">
        <f ca="1">IFERROR(__xludf.DUMMYFUNCTION("""COMPUTED_VALUE"""),"RF-00002767-MCG")</f>
        <v>RF-00002767-MCG</v>
      </c>
    </row>
    <row r="5111" spans="1:2" ht="12.5" x14ac:dyDescent="0.25">
      <c r="A5111" t="str">
        <f ca="1">IFERROR(__xludf.DUMMYFUNCTION("""COMPUTED_VALUE"""),"Rickettsia slovaca")</f>
        <v>Rickettsia slovaca</v>
      </c>
      <c r="B5111" t="str">
        <f ca="1">IFERROR(__xludf.DUMMYFUNCTION("""COMPUTED_VALUE"""),"RF-00002768-MCG")</f>
        <v>RF-00002768-MCG</v>
      </c>
    </row>
    <row r="5112" spans="1:2" ht="12.5" x14ac:dyDescent="0.25">
      <c r="A5112" t="str">
        <f ca="1">IFERROR(__xludf.DUMMYFUNCTION("""COMPUTED_VALUE"""),"Rickettsia spp., unspecified")</f>
        <v>Rickettsia spp., unspecified</v>
      </c>
      <c r="B5112" t="str">
        <f ca="1">IFERROR(__xludf.DUMMYFUNCTION("""COMPUTED_VALUE"""),"RF-00000301-MCG")</f>
        <v>RF-00000301-MCG</v>
      </c>
    </row>
    <row r="5113" spans="1:2" ht="12.5" x14ac:dyDescent="0.25">
      <c r="A5113" t="str">
        <f ca="1">IFERROR(__xludf.DUMMYFUNCTION("""COMPUTED_VALUE"""),"Rickettsia tamurae")</f>
        <v>Rickettsia tamurae</v>
      </c>
      <c r="B5113" t="str">
        <f ca="1">IFERROR(__xludf.DUMMYFUNCTION("""COMPUTED_VALUE"""),"RF-00002769-MCG")</f>
        <v>RF-00002769-MCG</v>
      </c>
    </row>
    <row r="5114" spans="1:2" ht="12.5" x14ac:dyDescent="0.25">
      <c r="A5114" t="str">
        <f ca="1">IFERROR(__xludf.DUMMYFUNCTION("""COMPUTED_VALUE"""),"Rickettsia typhi")</f>
        <v>Rickettsia typhi</v>
      </c>
      <c r="B5114" t="str">
        <f ca="1">IFERROR(__xludf.DUMMYFUNCTION("""COMPUTED_VALUE"""),"RF-00000298-MCG")</f>
        <v>RF-00000298-MCG</v>
      </c>
    </row>
    <row r="5115" spans="1:2" ht="12.5" x14ac:dyDescent="0.25">
      <c r="A5115" t="str">
        <f ca="1">IFERROR(__xludf.DUMMYFUNCTION("""COMPUTED_VALUE"""),"Riddelliine")</f>
        <v>Riddelliine</v>
      </c>
      <c r="B5115" t="str">
        <f ca="1">IFERROR(__xludf.DUMMYFUNCTION("""COMPUTED_VALUE"""),"RF-00000237-TOX")</f>
        <v>RF-00000237-TOX</v>
      </c>
    </row>
    <row r="5116" spans="1:2" ht="12.5" x14ac:dyDescent="0.25">
      <c r="A5116" t="str">
        <f ca="1">IFERROR(__xludf.DUMMYFUNCTION("""COMPUTED_VALUE"""),"Riddelline-N-oxide")</f>
        <v>Riddelline-N-oxide</v>
      </c>
      <c r="B5116" t="str">
        <f ca="1">IFERROR(__xludf.DUMMYFUNCTION("""COMPUTED_VALUE"""),"RF-00000413-TOX")</f>
        <v>RF-00000413-TOX</v>
      </c>
    </row>
    <row r="5117" spans="1:2" ht="12.5" x14ac:dyDescent="0.25">
      <c r="A5117" t="str">
        <f ca="1">IFERROR(__xludf.DUMMYFUNCTION("""COMPUTED_VALUE"""),"Rifampicin")</f>
        <v>Rifampicin</v>
      </c>
      <c r="B5117" t="str">
        <f ca="1">IFERROR(__xludf.DUMMYFUNCTION("""COMPUTED_VALUE"""),"RF-00000709-VET")</f>
        <v>RF-00000709-VET</v>
      </c>
    </row>
    <row r="5118" spans="1:2" ht="12.5" x14ac:dyDescent="0.25">
      <c r="A5118" t="str">
        <f ca="1">IFERROR(__xludf.DUMMYFUNCTION("""COMPUTED_VALUE"""),"Rifamycin")</f>
        <v>Rifamycin</v>
      </c>
      <c r="B5118" t="str">
        <f ca="1">IFERROR(__xludf.DUMMYFUNCTION("""COMPUTED_VALUE"""),"RF-00000577-VET")</f>
        <v>RF-00000577-VET</v>
      </c>
    </row>
    <row r="5119" spans="1:2" ht="12.5" x14ac:dyDescent="0.25">
      <c r="A5119" t="str">
        <f ca="1">IFERROR(__xludf.DUMMYFUNCTION("""COMPUTED_VALUE"""),"Rifaximin")</f>
        <v>Rifaximin</v>
      </c>
      <c r="B5119" t="str">
        <f ca="1">IFERROR(__xludf.DUMMYFUNCTION("""COMPUTED_VALUE"""),"RF-00000567-VET")</f>
        <v>RF-00000567-VET</v>
      </c>
    </row>
    <row r="5120" spans="1:2" ht="12.5" x14ac:dyDescent="0.25">
      <c r="A5120" t="str">
        <f ca="1">IFERROR(__xludf.DUMMYFUNCTION("""COMPUTED_VALUE"""),"Rimsulfuron")</f>
        <v>Rimsulfuron</v>
      </c>
      <c r="B5120" t="str">
        <f ca="1">IFERROR(__xludf.DUMMYFUNCTION("""COMPUTED_VALUE"""),"RF-0386-001-PPP")</f>
        <v>RF-0386-001-PPP</v>
      </c>
    </row>
    <row r="5121" spans="1:2" ht="12.5" x14ac:dyDescent="0.25">
      <c r="A5121" t="str">
        <f ca="1">IFERROR(__xludf.DUMMYFUNCTION("""COMPUTED_VALUE"""),"Rinderine")</f>
        <v>Rinderine</v>
      </c>
      <c r="B5121" t="str">
        <f ca="1">IFERROR(__xludf.DUMMYFUNCTION("""COMPUTED_VALUE"""),"RF-00000296-TOX")</f>
        <v>RF-00000296-TOX</v>
      </c>
    </row>
    <row r="5122" spans="1:2" ht="12.5" x14ac:dyDescent="0.25">
      <c r="A5122" t="str">
        <f ca="1">IFERROR(__xludf.DUMMYFUNCTION("""COMPUTED_VALUE"""),"Ritodrin")</f>
        <v>Ritodrin</v>
      </c>
      <c r="B5122" t="str">
        <f ca="1">IFERROR(__xludf.DUMMYFUNCTION("""COMPUTED_VALUE"""),"RF-00000490-VET")</f>
        <v>RF-00000490-VET</v>
      </c>
    </row>
    <row r="5123" spans="1:2" ht="12.5" x14ac:dyDescent="0.25">
      <c r="A5123" t="str">
        <f ca="1">IFERROR(__xludf.DUMMYFUNCTION("""COMPUTED_VALUE"""),"Robenidine")</f>
        <v>Robenidine</v>
      </c>
      <c r="B5123" t="str">
        <f ca="1">IFERROR(__xludf.DUMMYFUNCTION("""COMPUTED_VALUE"""),"RF-00000057-VET")</f>
        <v>RF-00000057-VET</v>
      </c>
    </row>
    <row r="5124" spans="1:2" ht="12.5" x14ac:dyDescent="0.25">
      <c r="A5124" t="str">
        <f ca="1">IFERROR(__xludf.DUMMYFUNCTION("""COMPUTED_VALUE"""),"Rolitetracycline")</f>
        <v>Rolitetracycline</v>
      </c>
      <c r="B5124" t="str">
        <f ca="1">IFERROR(__xludf.DUMMYFUNCTION("""COMPUTED_VALUE"""),"RF-00000570-VET")</f>
        <v>RF-00000570-VET</v>
      </c>
    </row>
    <row r="5125" spans="1:2" ht="12.5" x14ac:dyDescent="0.25">
      <c r="A5125" t="str">
        <f ca="1">IFERROR(__xludf.DUMMYFUNCTION("""COMPUTED_VALUE"""),"Ronidazol")</f>
        <v>Ronidazol</v>
      </c>
      <c r="B5125" t="str">
        <f ca="1">IFERROR(__xludf.DUMMYFUNCTION("""COMPUTED_VALUE"""),"RF-00000501-VET")</f>
        <v>RF-00000501-VET</v>
      </c>
    </row>
    <row r="5126" spans="1:2" ht="12.5" x14ac:dyDescent="0.25">
      <c r="A5126" t="str">
        <f ca="1">IFERROR(__xludf.DUMMYFUNCTION("""COMPUTED_VALUE"""),"Rotavirus")</f>
        <v>Rotavirus</v>
      </c>
      <c r="B5126" t="str">
        <f ca="1">IFERROR(__xludf.DUMMYFUNCTION("""COMPUTED_VALUE"""),"RF-00000302-MCG")</f>
        <v>RF-00000302-MCG</v>
      </c>
    </row>
    <row r="5127" spans="1:2" ht="12.5" x14ac:dyDescent="0.25">
      <c r="A5127" t="str">
        <f ca="1">IFERROR(__xludf.DUMMYFUNCTION("""COMPUTED_VALUE"""),"Rotavirus")</f>
        <v>Rotavirus</v>
      </c>
      <c r="B5127" t="str">
        <f ca="1">IFERROR(__xludf.DUMMYFUNCTION("""COMPUTED_VALUE"""),"RF-00000303-MCG")</f>
        <v>RF-00000303-MCG</v>
      </c>
    </row>
    <row r="5128" spans="1:2" ht="12.5" x14ac:dyDescent="0.25">
      <c r="A5128" t="str">
        <f ca="1">IFERROR(__xludf.DUMMYFUNCTION("""COMPUTED_VALUE"""),"Rotenone")</f>
        <v>Rotenone</v>
      </c>
      <c r="B5128" t="str">
        <f ca="1">IFERROR(__xludf.DUMMYFUNCTION("""COMPUTED_VALUE"""),"RF-0387-001-PPP")</f>
        <v>RF-0387-001-PPP</v>
      </c>
    </row>
    <row r="5129" spans="1:2" ht="12.5" x14ac:dyDescent="0.25">
      <c r="A5129" t="str">
        <f ca="1">IFERROR(__xludf.DUMMYFUNCTION("""COMPUTED_VALUE"""),"Roxithromycin")</f>
        <v>Roxithromycin</v>
      </c>
      <c r="B5129" t="str">
        <f ca="1">IFERROR(__xludf.DUMMYFUNCTION("""COMPUTED_VALUE"""),"RF-00000576-VET")</f>
        <v>RF-00000576-VET</v>
      </c>
    </row>
    <row r="5130" spans="1:2" ht="12.5" x14ac:dyDescent="0.25">
      <c r="A5130" t="str">
        <f ca="1">IFERROR(__xludf.DUMMYFUNCTION("""COMPUTED_VALUE"""),"rubidium")</f>
        <v>rubidium</v>
      </c>
      <c r="B5130" t="str">
        <f ca="1">IFERROR(__xludf.DUMMYFUNCTION("""COMPUTED_VALUE"""),"RF-00000387-NTR")</f>
        <v>RF-00000387-NTR</v>
      </c>
    </row>
    <row r="5131" spans="1:2" ht="12.5" x14ac:dyDescent="0.25">
      <c r="A5131" t="str">
        <f ca="1">IFERROR(__xludf.DUMMYFUNCTION("""COMPUTED_VALUE"""),"Rubusoside")</f>
        <v>Rubusoside</v>
      </c>
      <c r="B5131" t="str">
        <f ca="1">IFERROR(__xludf.DUMMYFUNCTION("""COMPUTED_VALUE"""),"RF-00000012-ADD")</f>
        <v>RF-00000012-ADD</v>
      </c>
    </row>
    <row r="5132" spans="1:2" ht="12.5" x14ac:dyDescent="0.25">
      <c r="A5132" t="str">
        <f ca="1">IFERROR(__xludf.DUMMYFUNCTION("""COMPUTED_VALUE"""),"Rufloxacin")</f>
        <v>Rufloxacin</v>
      </c>
      <c r="B5132" t="str">
        <f ca="1">IFERROR(__xludf.DUMMYFUNCTION("""COMPUTED_VALUE"""),"RF-00000735-VET")</f>
        <v>RF-00000735-VET</v>
      </c>
    </row>
    <row r="5133" spans="1:2" ht="12.5" x14ac:dyDescent="0.25">
      <c r="A5133" t="str">
        <f ca="1">IFERROR(__xludf.DUMMYFUNCTION("""COMPUTED_VALUE"""),"S421")</f>
        <v>S421</v>
      </c>
      <c r="B5133" t="str">
        <f ca="1">IFERROR(__xludf.DUMMYFUNCTION("""COMPUTED_VALUE"""),"RF-0889-001-PPP")</f>
        <v>RF-0889-001-PPP</v>
      </c>
    </row>
    <row r="5134" spans="1:2" ht="12.5" x14ac:dyDescent="0.25">
      <c r="A5134" t="str">
        <f ca="1">IFERROR(__xludf.DUMMYFUNCTION("""COMPUTED_VALUE"""),"Saccharin")</f>
        <v>Saccharin</v>
      </c>
      <c r="B5134" t="str">
        <f ca="1">IFERROR(__xludf.DUMMYFUNCTION("""COMPUTED_VALUE"""),"RF-00000013-ADD")</f>
        <v>RF-00000013-ADD</v>
      </c>
    </row>
    <row r="5135" spans="1:2" ht="12.5" x14ac:dyDescent="0.25">
      <c r="A5135" t="str">
        <f ca="1">IFERROR(__xludf.DUMMYFUNCTION("""COMPUTED_VALUE"""),"Salbutamol (albuterol)")</f>
        <v>Salbutamol (albuterol)</v>
      </c>
      <c r="B5135" t="str">
        <f ca="1">IFERROR(__xludf.DUMMYFUNCTION("""COMPUTED_VALUE"""),"RF-00000459-VET")</f>
        <v>RF-00000459-VET</v>
      </c>
    </row>
    <row r="5136" spans="1:2" ht="12.5" x14ac:dyDescent="0.25">
      <c r="A5136" t="str">
        <f ca="1">IFERROR(__xludf.DUMMYFUNCTION("""COMPUTED_VALUE"""),"Salicylic acid")</f>
        <v>Salicylic acid</v>
      </c>
      <c r="B5136" t="str">
        <f ca="1">IFERROR(__xludf.DUMMYFUNCTION("""COMPUTED_VALUE"""),"RF-00000241-VET")</f>
        <v>RF-00000241-VET</v>
      </c>
    </row>
    <row r="5137" spans="1:2" ht="12.5" x14ac:dyDescent="0.25">
      <c r="A5137" t="str">
        <f ca="1">IFERROR(__xludf.DUMMYFUNCTION("""COMPUTED_VALUE"""),"salicylic acid")</f>
        <v>salicylic acid</v>
      </c>
      <c r="B5137" t="str">
        <f ca="1">IFERROR(__xludf.DUMMYFUNCTION("""COMPUTED_VALUE"""),"RF-00000388-NTR")</f>
        <v>RF-00000388-NTR</v>
      </c>
    </row>
    <row r="5138" spans="1:2" ht="12.5" x14ac:dyDescent="0.25">
      <c r="A5138" t="str">
        <f ca="1">IFERROR(__xludf.DUMMYFUNCTION("""COMPUTED_VALUE"""),"Salinomycin")</f>
        <v>Salinomycin</v>
      </c>
      <c r="B5138" t="str">
        <f ca="1">IFERROR(__xludf.DUMMYFUNCTION("""COMPUTED_VALUE"""),"RF-00000094-VET")</f>
        <v>RF-00000094-VET</v>
      </c>
    </row>
    <row r="5139" spans="1:2" ht="12.5" x14ac:dyDescent="0.25">
      <c r="A5139" t="str">
        <f ca="1">IFERROR(__xludf.DUMMYFUNCTION("""COMPUTED_VALUE"""),"Salinomycin sodium")</f>
        <v>Salinomycin sodium</v>
      </c>
      <c r="B5139" t="str">
        <f ca="1">IFERROR(__xludf.DUMMYFUNCTION("""COMPUTED_VALUE"""),"RF-00000078-VET")</f>
        <v>RF-00000078-VET</v>
      </c>
    </row>
    <row r="5140" spans="1:2" ht="12.5" x14ac:dyDescent="0.25">
      <c r="A5140" t="str">
        <f ca="1">IFERROR(__xludf.DUMMYFUNCTION("""COMPUTED_VALUE"""),"Salmeterol")</f>
        <v>Salmeterol</v>
      </c>
      <c r="B5140" t="str">
        <f ca="1">IFERROR(__xludf.DUMMYFUNCTION("""COMPUTED_VALUE"""),"RF-00000457-VET")</f>
        <v>RF-00000457-VET</v>
      </c>
    </row>
    <row r="5141" spans="1:2" ht="12.5" x14ac:dyDescent="0.25">
      <c r="A5141" t="str">
        <f ca="1">IFERROR(__xludf.DUMMYFUNCTION("""COMPUTED_VALUE"""),"Salmeterol hydroxynapthoate")</f>
        <v>Salmeterol hydroxynapthoate</v>
      </c>
      <c r="B5141" t="str">
        <f ca="1">IFERROR(__xludf.DUMMYFUNCTION("""COMPUTED_VALUE"""),"RF-00000456-VET")</f>
        <v>RF-00000456-VET</v>
      </c>
    </row>
    <row r="5142" spans="1:2" ht="12.5" x14ac:dyDescent="0.25">
      <c r="A5142" t="str">
        <f ca="1">IFERROR(__xludf.DUMMYFUNCTION("""COMPUTED_VALUE"""),"Salmonella")</f>
        <v>Salmonella</v>
      </c>
      <c r="B5142" t="str">
        <f ca="1">IFERROR(__xludf.DUMMYFUNCTION("""COMPUTED_VALUE"""),"RF-00000304-MCG")</f>
        <v>RF-00000304-MCG</v>
      </c>
    </row>
    <row r="5143" spans="1:2" ht="12.5" x14ac:dyDescent="0.25">
      <c r="A5143" t="str">
        <f ca="1">IFERROR(__xludf.DUMMYFUNCTION("""COMPUTED_VALUE"""),"Salmonella - Not typeable")</f>
        <v>Salmonella - Not typeable</v>
      </c>
      <c r="B5143" t="str">
        <f ca="1">IFERROR(__xludf.DUMMYFUNCTION("""COMPUTED_VALUE"""),"RF-00003030-MCG")</f>
        <v>RF-00003030-MCG</v>
      </c>
    </row>
    <row r="5144" spans="1:2" ht="12.5" x14ac:dyDescent="0.25">
      <c r="A5144" t="str">
        <f ca="1">IFERROR(__xludf.DUMMYFUNCTION("""COMPUTED_VALUE"""),"Salmonella - Other serovars")</f>
        <v>Salmonella - Other serovars</v>
      </c>
      <c r="B5144" t="str">
        <f ca="1">IFERROR(__xludf.DUMMYFUNCTION("""COMPUTED_VALUE"""),"RF-00003031-MCG")</f>
        <v>RF-00003031-MCG</v>
      </c>
    </row>
    <row r="5145" spans="1:2" ht="12.5" x14ac:dyDescent="0.25">
      <c r="A5145" t="str">
        <f ca="1">IFERROR(__xludf.DUMMYFUNCTION("""COMPUTED_VALUE"""),"Salmonella - S. 1,3,19:-:l,w")</f>
        <v>Salmonella - S. 1,3,19:-:l,w</v>
      </c>
      <c r="B5145" t="str">
        <f ca="1">IFERROR(__xludf.DUMMYFUNCTION("""COMPUTED_VALUE"""),"RF-00004090-MCG")</f>
        <v>RF-00004090-MCG</v>
      </c>
    </row>
    <row r="5146" spans="1:2" ht="12.5" x14ac:dyDescent="0.25">
      <c r="A5146" t="str">
        <f ca="1">IFERROR(__xludf.DUMMYFUNCTION("""COMPUTED_VALUE"""),"Salmonella - S. 1,4,[5],12:-:-")</f>
        <v>Salmonella - S. 1,4,[5],12:-:-</v>
      </c>
      <c r="B5146" t="str">
        <f ca="1">IFERROR(__xludf.DUMMYFUNCTION("""COMPUTED_VALUE"""),"RF-00003032-MCG")</f>
        <v>RF-00003032-MCG</v>
      </c>
    </row>
    <row r="5147" spans="1:2" ht="12.5" x14ac:dyDescent="0.25">
      <c r="A5147" t="str">
        <f ca="1">IFERROR(__xludf.DUMMYFUNCTION("""COMPUTED_VALUE"""),"Salmonella - S. 1,4,[5],12:-:1,2")</f>
        <v>Salmonella - S. 1,4,[5],12:-:1,2</v>
      </c>
      <c r="B5147" t="str">
        <f ca="1">IFERROR(__xludf.DUMMYFUNCTION("""COMPUTED_VALUE"""),"RF-00004087-MCG")</f>
        <v>RF-00004087-MCG</v>
      </c>
    </row>
    <row r="5148" spans="1:2" ht="12.5" x14ac:dyDescent="0.25">
      <c r="A5148" t="str">
        <f ca="1">IFERROR(__xludf.DUMMYFUNCTION("""COMPUTED_VALUE"""),"Salmonella - S. 1,4,[5],12:i:- - 1")</f>
        <v>Salmonella - S. 1,4,[5],12:i:- - 1</v>
      </c>
      <c r="B5148" t="str">
        <f ca="1">IFERROR(__xludf.DUMMYFUNCTION("""COMPUTED_VALUE"""),"RF-00003056-MCG")</f>
        <v>RF-00003056-MCG</v>
      </c>
    </row>
    <row r="5149" spans="1:2" ht="12.5" x14ac:dyDescent="0.25">
      <c r="A5149" t="str">
        <f ca="1">IFERROR(__xludf.DUMMYFUNCTION("""COMPUTED_VALUE"""),"Salmonella - S. 1,4,[5],12:i:- - 193")</f>
        <v>Salmonella - S. 1,4,[5],12:i:- - 193</v>
      </c>
      <c r="B5149" t="str">
        <f ca="1">IFERROR(__xludf.DUMMYFUNCTION("""COMPUTED_VALUE"""),"RF-00003057-MCG")</f>
        <v>RF-00003057-MCG</v>
      </c>
    </row>
    <row r="5150" spans="1:2" ht="12.5" x14ac:dyDescent="0.25">
      <c r="A5150" t="str">
        <f ca="1">IFERROR(__xludf.DUMMYFUNCTION("""COMPUTED_VALUE"""),"Salmonella - S. 1,4,[5],12:i:- - 1a")</f>
        <v>Salmonella - S. 1,4,[5],12:i:- - 1a</v>
      </c>
      <c r="B5150" t="str">
        <f ca="1">IFERROR(__xludf.DUMMYFUNCTION("""COMPUTED_VALUE"""),"RF-00003058-MCG")</f>
        <v>RF-00003058-MCG</v>
      </c>
    </row>
    <row r="5151" spans="1:2" ht="12.5" x14ac:dyDescent="0.25">
      <c r="A5151" t="str">
        <f ca="1">IFERROR(__xludf.DUMMYFUNCTION("""COMPUTED_VALUE"""),"Salmonella - S. 1,4,[5],12:i:- - 1a var1")</f>
        <v>Salmonella - S. 1,4,[5],12:i:- - 1a var1</v>
      </c>
      <c r="B5151" t="str">
        <f ca="1">IFERROR(__xludf.DUMMYFUNCTION("""COMPUTED_VALUE"""),"RF-00003059-MCG")</f>
        <v>RF-00003059-MCG</v>
      </c>
    </row>
    <row r="5152" spans="1:2" ht="12.5" x14ac:dyDescent="0.25">
      <c r="A5152" t="str">
        <f ca="1">IFERROR(__xludf.DUMMYFUNCTION("""COMPUTED_VALUE"""),"Salmonella - S. 1,4,[5],12:i:- - 1b")</f>
        <v>Salmonella - S. 1,4,[5],12:i:- - 1b</v>
      </c>
      <c r="B5152" t="str">
        <f ca="1">IFERROR(__xludf.DUMMYFUNCTION("""COMPUTED_VALUE"""),"RF-00003060-MCG")</f>
        <v>RF-00003060-MCG</v>
      </c>
    </row>
    <row r="5153" spans="1:2" ht="12.5" x14ac:dyDescent="0.25">
      <c r="A5153" t="str">
        <f ca="1">IFERROR(__xludf.DUMMYFUNCTION("""COMPUTED_VALUE"""),"Salmonella - S. 1,4,[5],12:i:- - 2")</f>
        <v>Salmonella - S. 1,4,[5],12:i:- - 2</v>
      </c>
      <c r="B5153" t="str">
        <f ca="1">IFERROR(__xludf.DUMMYFUNCTION("""COMPUTED_VALUE"""),"RF-00003061-MCG")</f>
        <v>RF-00003061-MCG</v>
      </c>
    </row>
    <row r="5154" spans="1:2" ht="12.5" x14ac:dyDescent="0.25">
      <c r="A5154" t="str">
        <f ca="1">IFERROR(__xludf.DUMMYFUNCTION("""COMPUTED_VALUE"""),"Salmonella - S. 1,4,[5],12:i:- - 2a")</f>
        <v>Salmonella - S. 1,4,[5],12:i:- - 2a</v>
      </c>
      <c r="B5154" t="str">
        <f ca="1">IFERROR(__xludf.DUMMYFUNCTION("""COMPUTED_VALUE"""),"RF-00003062-MCG")</f>
        <v>RF-00003062-MCG</v>
      </c>
    </row>
    <row r="5155" spans="1:2" ht="12.5" x14ac:dyDescent="0.25">
      <c r="A5155" t="str">
        <f ca="1">IFERROR(__xludf.DUMMYFUNCTION("""COMPUTED_VALUE"""),"Salmonella - S. 1,4,[5],12:i:- - 2b")</f>
        <v>Salmonella - S. 1,4,[5],12:i:- - 2b</v>
      </c>
      <c r="B5155" t="str">
        <f ca="1">IFERROR(__xludf.DUMMYFUNCTION("""COMPUTED_VALUE"""),"RF-00003063-MCG")</f>
        <v>RF-00003063-MCG</v>
      </c>
    </row>
    <row r="5156" spans="1:2" ht="12.5" x14ac:dyDescent="0.25">
      <c r="A5156" t="str">
        <f ca="1">IFERROR(__xludf.DUMMYFUNCTION("""COMPUTED_VALUE"""),"Salmonella - S. 1,4,[5],12:i:- - 2c")</f>
        <v>Salmonella - S. 1,4,[5],12:i:- - 2c</v>
      </c>
      <c r="B5156" t="str">
        <f ca="1">IFERROR(__xludf.DUMMYFUNCTION("""COMPUTED_VALUE"""),"RF-00003064-MCG")</f>
        <v>RF-00003064-MCG</v>
      </c>
    </row>
    <row r="5157" spans="1:2" ht="12.5" x14ac:dyDescent="0.25">
      <c r="A5157" t="str">
        <f ca="1">IFERROR(__xludf.DUMMYFUNCTION("""COMPUTED_VALUE"""),"Salmonella - S. 1,4,[5],12:i:- - 2d")</f>
        <v>Salmonella - S. 1,4,[5],12:i:- - 2d</v>
      </c>
      <c r="B5157" t="str">
        <f ca="1">IFERROR(__xludf.DUMMYFUNCTION("""COMPUTED_VALUE"""),"RF-00003065-MCG")</f>
        <v>RF-00003065-MCG</v>
      </c>
    </row>
    <row r="5158" spans="1:2" ht="12.5" x14ac:dyDescent="0.25">
      <c r="A5158" t="str">
        <f ca="1">IFERROR(__xludf.DUMMYFUNCTION("""COMPUTED_VALUE"""),"Salmonella - S. 1,4,[5],12:i:- - 3")</f>
        <v>Salmonella - S. 1,4,[5],12:i:- - 3</v>
      </c>
      <c r="B5158" t="str">
        <f ca="1">IFERROR(__xludf.DUMMYFUNCTION("""COMPUTED_VALUE"""),"RF-00003066-MCG")</f>
        <v>RF-00003066-MCG</v>
      </c>
    </row>
    <row r="5159" spans="1:2" ht="12.5" x14ac:dyDescent="0.25">
      <c r="A5159" t="str">
        <f ca="1">IFERROR(__xludf.DUMMYFUNCTION("""COMPUTED_VALUE"""),"Salmonella - S. 1,4,[5],12:i:- - 35")</f>
        <v>Salmonella - S. 1,4,[5],12:i:- - 35</v>
      </c>
      <c r="B5159" t="str">
        <f ca="1">IFERROR(__xludf.DUMMYFUNCTION("""COMPUTED_VALUE"""),"RF-00003067-MCG")</f>
        <v>RF-00003067-MCG</v>
      </c>
    </row>
    <row r="5160" spans="1:2" ht="12.5" x14ac:dyDescent="0.25">
      <c r="A5160" t="str">
        <f ca="1">IFERROR(__xludf.DUMMYFUNCTION("""COMPUTED_VALUE"""),"Salmonella - S. 1,4,[5],12:i:- - 3a")</f>
        <v>Salmonella - S. 1,4,[5],12:i:- - 3a</v>
      </c>
      <c r="B5160" t="str">
        <f ca="1">IFERROR(__xludf.DUMMYFUNCTION("""COMPUTED_VALUE"""),"RF-00003068-MCG")</f>
        <v>RF-00003068-MCG</v>
      </c>
    </row>
    <row r="5161" spans="1:2" ht="12.5" x14ac:dyDescent="0.25">
      <c r="A5161" t="str">
        <f ca="1">IFERROR(__xludf.DUMMYFUNCTION("""COMPUTED_VALUE"""),"Salmonella - S. 1,4,[5],12:i:- - 4")</f>
        <v>Salmonella - S. 1,4,[5],12:i:- - 4</v>
      </c>
      <c r="B5161" t="str">
        <f ca="1">IFERROR(__xludf.DUMMYFUNCTION("""COMPUTED_VALUE"""),"RF-00003069-MCG")</f>
        <v>RF-00003069-MCG</v>
      </c>
    </row>
    <row r="5162" spans="1:2" ht="12.5" x14ac:dyDescent="0.25">
      <c r="A5162" t="str">
        <f ca="1">IFERROR(__xludf.DUMMYFUNCTION("""COMPUTED_VALUE"""),"Salmonella - S. 1,4,[5],12:i:- - 5")</f>
        <v>Salmonella - S. 1,4,[5],12:i:- - 5</v>
      </c>
      <c r="B5162" t="str">
        <f ca="1">IFERROR(__xludf.DUMMYFUNCTION("""COMPUTED_VALUE"""),"RF-00003070-MCG")</f>
        <v>RF-00003070-MCG</v>
      </c>
    </row>
    <row r="5163" spans="1:2" ht="12.5" x14ac:dyDescent="0.25">
      <c r="A5163" t="str">
        <f ca="1">IFERROR(__xludf.DUMMYFUNCTION("""COMPUTED_VALUE"""),"Salmonella - S. 1,4,[5],12:i:- - 56a")</f>
        <v>Salmonella - S. 1,4,[5],12:i:- - 56a</v>
      </c>
      <c r="B5163" t="str">
        <f ca="1">IFERROR(__xludf.DUMMYFUNCTION("""COMPUTED_VALUE"""),"RF-00003071-MCG")</f>
        <v>RF-00003071-MCG</v>
      </c>
    </row>
    <row r="5164" spans="1:2" ht="12.5" x14ac:dyDescent="0.25">
      <c r="A5164" t="str">
        <f ca="1">IFERROR(__xludf.DUMMYFUNCTION("""COMPUTED_VALUE"""),"Salmonella - S. 1,4,[5],12:i:- - 7 var.")</f>
        <v>Salmonella - S. 1,4,[5],12:i:- - 7 var.</v>
      </c>
      <c r="B5164" t="str">
        <f ca="1">IFERROR(__xludf.DUMMYFUNCTION("""COMPUTED_VALUE"""),"RF-00003072-MCG")</f>
        <v>RF-00003072-MCG</v>
      </c>
    </row>
    <row r="5165" spans="1:2" ht="12.5" x14ac:dyDescent="0.25">
      <c r="A5165" t="str">
        <f ca="1">IFERROR(__xludf.DUMMYFUNCTION("""COMPUTED_VALUE"""),"Salmonella - S. 1,4,[5],12:i:- - DT 1")</f>
        <v>Salmonella - S. 1,4,[5],12:i:- - DT 1</v>
      </c>
      <c r="B5165" t="str">
        <f ca="1">IFERROR(__xludf.DUMMYFUNCTION("""COMPUTED_VALUE"""),"RF-00003073-MCG")</f>
        <v>RF-00003073-MCG</v>
      </c>
    </row>
    <row r="5166" spans="1:2" ht="12.5" x14ac:dyDescent="0.25">
      <c r="A5166" t="str">
        <f ca="1">IFERROR(__xludf.DUMMYFUNCTION("""COMPUTED_VALUE"""),"Salmonella - S. 1,4,[5],12:i:- - DT 10")</f>
        <v>Salmonella - S. 1,4,[5],12:i:- - DT 10</v>
      </c>
      <c r="B5166" t="str">
        <f ca="1">IFERROR(__xludf.DUMMYFUNCTION("""COMPUTED_VALUE"""),"RF-00003074-MCG")</f>
        <v>RF-00003074-MCG</v>
      </c>
    </row>
    <row r="5167" spans="1:2" ht="12.5" x14ac:dyDescent="0.25">
      <c r="A5167" t="str">
        <f ca="1">IFERROR(__xludf.DUMMYFUNCTION("""COMPUTED_VALUE"""),"Salmonella - S. 1,4,[5],12:i:- - DT 103")</f>
        <v>Salmonella - S. 1,4,[5],12:i:- - DT 103</v>
      </c>
      <c r="B5167" t="str">
        <f ca="1">IFERROR(__xludf.DUMMYFUNCTION("""COMPUTED_VALUE"""),"RF-00003075-MCG")</f>
        <v>RF-00003075-MCG</v>
      </c>
    </row>
    <row r="5168" spans="1:2" ht="12.5" x14ac:dyDescent="0.25">
      <c r="A5168" t="str">
        <f ca="1">IFERROR(__xludf.DUMMYFUNCTION("""COMPUTED_VALUE"""),"Salmonella - S. 1,4,[5],12:i:- - DT 104")</f>
        <v>Salmonella - S. 1,4,[5],12:i:- - DT 104</v>
      </c>
      <c r="B5168" t="str">
        <f ca="1">IFERROR(__xludf.DUMMYFUNCTION("""COMPUTED_VALUE"""),"RF-00003076-MCG")</f>
        <v>RF-00003076-MCG</v>
      </c>
    </row>
    <row r="5169" spans="1:2" ht="12.5" x14ac:dyDescent="0.25">
      <c r="A5169" t="str">
        <f ca="1">IFERROR(__xludf.DUMMYFUNCTION("""COMPUTED_VALUE"""),"Salmonella - S. 1,4,[5],12:i:- - DT 104a")</f>
        <v>Salmonella - S. 1,4,[5],12:i:- - DT 104a</v>
      </c>
      <c r="B5169" t="str">
        <f ca="1">IFERROR(__xludf.DUMMYFUNCTION("""COMPUTED_VALUE"""),"RF-00003078-MCG")</f>
        <v>RF-00003078-MCG</v>
      </c>
    </row>
    <row r="5170" spans="1:2" ht="12.5" x14ac:dyDescent="0.25">
      <c r="A5170" t="str">
        <f ca="1">IFERROR(__xludf.DUMMYFUNCTION("""COMPUTED_VALUE"""),"Salmonella - S. 1,4,[5],12:i:- - DT 104b")</f>
        <v>Salmonella - S. 1,4,[5],12:i:- - DT 104b</v>
      </c>
      <c r="B5170" t="str">
        <f ca="1">IFERROR(__xludf.DUMMYFUNCTION("""COMPUTED_VALUE"""),"RF-00003079-MCG")</f>
        <v>RF-00003079-MCG</v>
      </c>
    </row>
    <row r="5171" spans="1:2" ht="12.5" x14ac:dyDescent="0.25">
      <c r="A5171" t="str">
        <f ca="1">IFERROR(__xludf.DUMMYFUNCTION("""COMPUTED_VALUE"""),"Salmonella - S. 1,4,[5],12:i:- - DT 104b low")</f>
        <v>Salmonella - S. 1,4,[5],12:i:- - DT 104b low</v>
      </c>
      <c r="B5171" t="str">
        <f ca="1">IFERROR(__xludf.DUMMYFUNCTION("""COMPUTED_VALUE"""),"RF-00003080-MCG")</f>
        <v>RF-00003080-MCG</v>
      </c>
    </row>
    <row r="5172" spans="1:2" ht="12.5" x14ac:dyDescent="0.25">
      <c r="A5172" t="str">
        <f ca="1">IFERROR(__xludf.DUMMYFUNCTION("""COMPUTED_VALUE"""),"Salmonella - S. 1,4,[5],12:i:- - DT 104c")</f>
        <v>Salmonella - S. 1,4,[5],12:i:- - DT 104c</v>
      </c>
      <c r="B5172" t="str">
        <f ca="1">IFERROR(__xludf.DUMMYFUNCTION("""COMPUTED_VALUE"""),"RF-00003081-MCG")</f>
        <v>RF-00003081-MCG</v>
      </c>
    </row>
    <row r="5173" spans="1:2" ht="12.5" x14ac:dyDescent="0.25">
      <c r="A5173" t="str">
        <f ca="1">IFERROR(__xludf.DUMMYFUNCTION("""COMPUTED_VALUE"""),"Salmonella - S. 1,4,[5],12:i:- - DT 104H")</f>
        <v>Salmonella - S. 1,4,[5],12:i:- - DT 104H</v>
      </c>
      <c r="B5173" t="str">
        <f ca="1">IFERROR(__xludf.DUMMYFUNCTION("""COMPUTED_VALUE"""),"RF-00003077-MCG")</f>
        <v>RF-00003077-MCG</v>
      </c>
    </row>
    <row r="5174" spans="1:2" ht="12.5" x14ac:dyDescent="0.25">
      <c r="A5174" t="str">
        <f ca="1">IFERROR(__xludf.DUMMYFUNCTION("""COMPUTED_VALUE"""),"Salmonella - S. 1,4,[5],12:i:- - DT 104l")</f>
        <v>Salmonella - S. 1,4,[5],12:i:- - DT 104l</v>
      </c>
      <c r="B5174" t="str">
        <f ca="1">IFERROR(__xludf.DUMMYFUNCTION("""COMPUTED_VALUE"""),"RF-00003082-MCG")</f>
        <v>RF-00003082-MCG</v>
      </c>
    </row>
    <row r="5175" spans="1:2" ht="12.5" x14ac:dyDescent="0.25">
      <c r="A5175" t="str">
        <f ca="1">IFERROR(__xludf.DUMMYFUNCTION("""COMPUTED_VALUE"""),"Salmonella - S. 1,4,[5],12:i:- - DT 107")</f>
        <v>Salmonella - S. 1,4,[5],12:i:- - DT 107</v>
      </c>
      <c r="B5175" t="str">
        <f ca="1">IFERROR(__xludf.DUMMYFUNCTION("""COMPUTED_VALUE"""),"RF-00003083-MCG")</f>
        <v>RF-00003083-MCG</v>
      </c>
    </row>
    <row r="5176" spans="1:2" ht="12.5" x14ac:dyDescent="0.25">
      <c r="A5176" t="str">
        <f ca="1">IFERROR(__xludf.DUMMYFUNCTION("""COMPUTED_VALUE"""),"Salmonella - S. 1,4,[5],12:i:- - DT 107b")</f>
        <v>Salmonella - S. 1,4,[5],12:i:- - DT 107b</v>
      </c>
      <c r="B5176" t="str">
        <f ca="1">IFERROR(__xludf.DUMMYFUNCTION("""COMPUTED_VALUE"""),"RF-00003084-MCG")</f>
        <v>RF-00003084-MCG</v>
      </c>
    </row>
    <row r="5177" spans="1:2" ht="12.5" x14ac:dyDescent="0.25">
      <c r="A5177" t="str">
        <f ca="1">IFERROR(__xludf.DUMMYFUNCTION("""COMPUTED_VALUE"""),"Salmonella - S. 1,4,[5],12:i:- - DT 109")</f>
        <v>Salmonella - S. 1,4,[5],12:i:- - DT 109</v>
      </c>
      <c r="B5177" t="str">
        <f ca="1">IFERROR(__xludf.DUMMYFUNCTION("""COMPUTED_VALUE"""),"RF-00003085-MCG")</f>
        <v>RF-00003085-MCG</v>
      </c>
    </row>
    <row r="5178" spans="1:2" ht="12.5" x14ac:dyDescent="0.25">
      <c r="A5178" t="str">
        <f ca="1">IFERROR(__xludf.DUMMYFUNCTION("""COMPUTED_VALUE"""),"Salmonella - S. 1,4,[5],12:i:- - DT 11")</f>
        <v>Salmonella - S. 1,4,[5],12:i:- - DT 11</v>
      </c>
      <c r="B5178" t="str">
        <f ca="1">IFERROR(__xludf.DUMMYFUNCTION("""COMPUTED_VALUE"""),"RF-00003086-MCG")</f>
        <v>RF-00003086-MCG</v>
      </c>
    </row>
    <row r="5179" spans="1:2" ht="12.5" x14ac:dyDescent="0.25">
      <c r="A5179" t="str">
        <f ca="1">IFERROR(__xludf.DUMMYFUNCTION("""COMPUTED_VALUE"""),"Salmonella - S. 1,4,[5],12:i:- - DT 110")</f>
        <v>Salmonella - S. 1,4,[5],12:i:- - DT 110</v>
      </c>
      <c r="B5179" t="str">
        <f ca="1">IFERROR(__xludf.DUMMYFUNCTION("""COMPUTED_VALUE"""),"RF-00003087-MCG")</f>
        <v>RF-00003087-MCG</v>
      </c>
    </row>
    <row r="5180" spans="1:2" ht="12.5" x14ac:dyDescent="0.25">
      <c r="A5180" t="str">
        <f ca="1">IFERROR(__xludf.DUMMYFUNCTION("""COMPUTED_VALUE"""),"Salmonella - S. 1,4,[5],12:i:- - DT 110a")</f>
        <v>Salmonella - S. 1,4,[5],12:i:- - DT 110a</v>
      </c>
      <c r="B5180" t="str">
        <f ca="1">IFERROR(__xludf.DUMMYFUNCTION("""COMPUTED_VALUE"""),"RF-00003088-MCG")</f>
        <v>RF-00003088-MCG</v>
      </c>
    </row>
    <row r="5181" spans="1:2" ht="12.5" x14ac:dyDescent="0.25">
      <c r="A5181" t="str">
        <f ca="1">IFERROR(__xludf.DUMMYFUNCTION("""COMPUTED_VALUE"""),"Salmonella - S. 1,4,[5],12:i:- - DT 110b")</f>
        <v>Salmonella - S. 1,4,[5],12:i:- - DT 110b</v>
      </c>
      <c r="B5181" t="str">
        <f ca="1">IFERROR(__xludf.DUMMYFUNCTION("""COMPUTED_VALUE"""),"RF-00003089-MCG")</f>
        <v>RF-00003089-MCG</v>
      </c>
    </row>
    <row r="5182" spans="1:2" ht="12.5" x14ac:dyDescent="0.25">
      <c r="A5182" t="str">
        <f ca="1">IFERROR(__xludf.DUMMYFUNCTION("""COMPUTED_VALUE"""),"Salmonella - S. 1,4,[5],12:i:- - DT 112")</f>
        <v>Salmonella - S. 1,4,[5],12:i:- - DT 112</v>
      </c>
      <c r="B5182" t="str">
        <f ca="1">IFERROR(__xludf.DUMMYFUNCTION("""COMPUTED_VALUE"""),"RF-00003090-MCG")</f>
        <v>RF-00003090-MCG</v>
      </c>
    </row>
    <row r="5183" spans="1:2" ht="12.5" x14ac:dyDescent="0.25">
      <c r="A5183" t="str">
        <f ca="1">IFERROR(__xludf.DUMMYFUNCTION("""COMPUTED_VALUE"""),"Salmonella - S. 1,4,[5],12:i:- - DT 114")</f>
        <v>Salmonella - S. 1,4,[5],12:i:- - DT 114</v>
      </c>
      <c r="B5183" t="str">
        <f ca="1">IFERROR(__xludf.DUMMYFUNCTION("""COMPUTED_VALUE"""),"RF-00003091-MCG")</f>
        <v>RF-00003091-MCG</v>
      </c>
    </row>
    <row r="5184" spans="1:2" ht="12.5" x14ac:dyDescent="0.25">
      <c r="A5184" t="str">
        <f ca="1">IFERROR(__xludf.DUMMYFUNCTION("""COMPUTED_VALUE"""),"Salmonella - S. 1,4,[5],12:i:- - DT 12")</f>
        <v>Salmonella - S. 1,4,[5],12:i:- - DT 12</v>
      </c>
      <c r="B5184" t="str">
        <f ca="1">IFERROR(__xludf.DUMMYFUNCTION("""COMPUTED_VALUE"""),"RF-00003092-MCG")</f>
        <v>RF-00003092-MCG</v>
      </c>
    </row>
    <row r="5185" spans="1:2" ht="12.5" x14ac:dyDescent="0.25">
      <c r="A5185" t="str">
        <f ca="1">IFERROR(__xludf.DUMMYFUNCTION("""COMPUTED_VALUE"""),"Salmonella - S. 1,4,[5],12:i:- - DT 120")</f>
        <v>Salmonella - S. 1,4,[5],12:i:- - DT 120</v>
      </c>
      <c r="B5185" t="str">
        <f ca="1">IFERROR(__xludf.DUMMYFUNCTION("""COMPUTED_VALUE"""),"RF-00003093-MCG")</f>
        <v>RF-00003093-MCG</v>
      </c>
    </row>
    <row r="5186" spans="1:2" ht="12.5" x14ac:dyDescent="0.25">
      <c r="A5186" t="str">
        <f ca="1">IFERROR(__xludf.DUMMYFUNCTION("""COMPUTED_VALUE"""),"Salmonella - S. 1,4,[5],12:i:- - DT 124")</f>
        <v>Salmonella - S. 1,4,[5],12:i:- - DT 124</v>
      </c>
      <c r="B5186" t="str">
        <f ca="1">IFERROR(__xludf.DUMMYFUNCTION("""COMPUTED_VALUE"""),"RF-00003094-MCG")</f>
        <v>RF-00003094-MCG</v>
      </c>
    </row>
    <row r="5187" spans="1:2" ht="12.5" x14ac:dyDescent="0.25">
      <c r="A5187" t="str">
        <f ca="1">IFERROR(__xludf.DUMMYFUNCTION("""COMPUTED_VALUE"""),"Salmonella - S. 1,4,[5],12:i:- - DT 125")</f>
        <v>Salmonella - S. 1,4,[5],12:i:- - DT 125</v>
      </c>
      <c r="B5187" t="str">
        <f ca="1">IFERROR(__xludf.DUMMYFUNCTION("""COMPUTED_VALUE"""),"RF-00003095-MCG")</f>
        <v>RF-00003095-MCG</v>
      </c>
    </row>
    <row r="5188" spans="1:2" ht="12.5" x14ac:dyDescent="0.25">
      <c r="A5188" t="str">
        <f ca="1">IFERROR(__xludf.DUMMYFUNCTION("""COMPUTED_VALUE"""),"Salmonella - S. 1,4,[5],12:i:- - DT 126")</f>
        <v>Salmonella - S. 1,4,[5],12:i:- - DT 126</v>
      </c>
      <c r="B5188" t="str">
        <f ca="1">IFERROR(__xludf.DUMMYFUNCTION("""COMPUTED_VALUE"""),"RF-00003096-MCG")</f>
        <v>RF-00003096-MCG</v>
      </c>
    </row>
    <row r="5189" spans="1:2" ht="12.5" x14ac:dyDescent="0.25">
      <c r="A5189" t="str">
        <f ca="1">IFERROR(__xludf.DUMMYFUNCTION("""COMPUTED_VALUE"""),"Salmonella - S. 1,4,[5],12:i:- - DT 126a")</f>
        <v>Salmonella - S. 1,4,[5],12:i:- - DT 126a</v>
      </c>
      <c r="B5189" t="str">
        <f ca="1">IFERROR(__xludf.DUMMYFUNCTION("""COMPUTED_VALUE"""),"RF-00003097-MCG")</f>
        <v>RF-00003097-MCG</v>
      </c>
    </row>
    <row r="5190" spans="1:2" ht="12.5" x14ac:dyDescent="0.25">
      <c r="A5190" t="str">
        <f ca="1">IFERROR(__xludf.DUMMYFUNCTION("""COMPUTED_VALUE"""),"Salmonella - S. 1,4,[5],12:i:- - DT 129")</f>
        <v>Salmonella - S. 1,4,[5],12:i:- - DT 129</v>
      </c>
      <c r="B5190" t="str">
        <f ca="1">IFERROR(__xludf.DUMMYFUNCTION("""COMPUTED_VALUE"""),"RF-00003098-MCG")</f>
        <v>RF-00003098-MCG</v>
      </c>
    </row>
    <row r="5191" spans="1:2" ht="12.5" x14ac:dyDescent="0.25">
      <c r="A5191" t="str">
        <f ca="1">IFERROR(__xludf.DUMMYFUNCTION("""COMPUTED_VALUE"""),"Salmonella - S. 1,4,[5],12:i:- - DT 12a")</f>
        <v>Salmonella - S. 1,4,[5],12:i:- - DT 12a</v>
      </c>
      <c r="B5191" t="str">
        <f ca="1">IFERROR(__xludf.DUMMYFUNCTION("""COMPUTED_VALUE"""),"RF-00003099-MCG")</f>
        <v>RF-00003099-MCG</v>
      </c>
    </row>
    <row r="5192" spans="1:2" ht="12.5" x14ac:dyDescent="0.25">
      <c r="A5192" t="str">
        <f ca="1">IFERROR(__xludf.DUMMYFUNCTION("""COMPUTED_VALUE"""),"Salmonella - S. 1,4,[5],12:i:- - DT 13")</f>
        <v>Salmonella - S. 1,4,[5],12:i:- - DT 13</v>
      </c>
      <c r="B5192" t="str">
        <f ca="1">IFERROR(__xludf.DUMMYFUNCTION("""COMPUTED_VALUE"""),"RF-00003100-MCG")</f>
        <v>RF-00003100-MCG</v>
      </c>
    </row>
    <row r="5193" spans="1:2" ht="12.5" x14ac:dyDescent="0.25">
      <c r="A5193" t="str">
        <f ca="1">IFERROR(__xludf.DUMMYFUNCTION("""COMPUTED_VALUE"""),"Salmonella - S. 1,4,[5],12:i:- - DT 130")</f>
        <v>Salmonella - S. 1,4,[5],12:i:- - DT 130</v>
      </c>
      <c r="B5193" t="str">
        <f ca="1">IFERROR(__xludf.DUMMYFUNCTION("""COMPUTED_VALUE"""),"RF-00003101-MCG")</f>
        <v>RF-00003101-MCG</v>
      </c>
    </row>
    <row r="5194" spans="1:2" ht="12.5" x14ac:dyDescent="0.25">
      <c r="A5194" t="str">
        <f ca="1">IFERROR(__xludf.DUMMYFUNCTION("""COMPUTED_VALUE"""),"Salmonella - S. 1,4,[5],12:i:- - DT 131")</f>
        <v>Salmonella - S. 1,4,[5],12:i:- - DT 131</v>
      </c>
      <c r="B5194" t="str">
        <f ca="1">IFERROR(__xludf.DUMMYFUNCTION("""COMPUTED_VALUE"""),"RF-00003102-MCG")</f>
        <v>RF-00003102-MCG</v>
      </c>
    </row>
    <row r="5195" spans="1:2" ht="12.5" x14ac:dyDescent="0.25">
      <c r="A5195" t="str">
        <f ca="1">IFERROR(__xludf.DUMMYFUNCTION("""COMPUTED_VALUE"""),"Salmonella - S. 1,4,[5],12:i:- - DT 132")</f>
        <v>Salmonella - S. 1,4,[5],12:i:- - DT 132</v>
      </c>
      <c r="B5195" t="str">
        <f ca="1">IFERROR(__xludf.DUMMYFUNCTION("""COMPUTED_VALUE"""),"RF-00003103-MCG")</f>
        <v>RF-00003103-MCG</v>
      </c>
    </row>
    <row r="5196" spans="1:2" ht="12.5" x14ac:dyDescent="0.25">
      <c r="A5196" t="str">
        <f ca="1">IFERROR(__xludf.DUMMYFUNCTION("""COMPUTED_VALUE"""),"Salmonella - S. 1,4,[5],12:i:- - DT 135")</f>
        <v>Salmonella - S. 1,4,[5],12:i:- - DT 135</v>
      </c>
      <c r="B5196" t="str">
        <f ca="1">IFERROR(__xludf.DUMMYFUNCTION("""COMPUTED_VALUE"""),"RF-00003104-MCG")</f>
        <v>RF-00003104-MCG</v>
      </c>
    </row>
    <row r="5197" spans="1:2" ht="12.5" x14ac:dyDescent="0.25">
      <c r="A5197" t="str">
        <f ca="1">IFERROR(__xludf.DUMMYFUNCTION("""COMPUTED_VALUE"""),"Salmonella - S. 1,4,[5],12:i:- - DT 136")</f>
        <v>Salmonella - S. 1,4,[5],12:i:- - DT 136</v>
      </c>
      <c r="B5197" t="str">
        <f ca="1">IFERROR(__xludf.DUMMYFUNCTION("""COMPUTED_VALUE"""),"RF-00003105-MCG")</f>
        <v>RF-00003105-MCG</v>
      </c>
    </row>
    <row r="5198" spans="1:2" ht="12.5" x14ac:dyDescent="0.25">
      <c r="A5198" t="str">
        <f ca="1">IFERROR(__xludf.DUMMYFUNCTION("""COMPUTED_VALUE"""),"Salmonella - S. 1,4,[5],12:i:- - DT 137")</f>
        <v>Salmonella - S. 1,4,[5],12:i:- - DT 137</v>
      </c>
      <c r="B5198" t="str">
        <f ca="1">IFERROR(__xludf.DUMMYFUNCTION("""COMPUTED_VALUE"""),"RF-00003106-MCG")</f>
        <v>RF-00003106-MCG</v>
      </c>
    </row>
    <row r="5199" spans="1:2" ht="12.5" x14ac:dyDescent="0.25">
      <c r="A5199" t="str">
        <f ca="1">IFERROR(__xludf.DUMMYFUNCTION("""COMPUTED_VALUE"""),"Salmonella - S. 1,4,[5],12:i:- - DT 138")</f>
        <v>Salmonella - S. 1,4,[5],12:i:- - DT 138</v>
      </c>
      <c r="B5199" t="str">
        <f ca="1">IFERROR(__xludf.DUMMYFUNCTION("""COMPUTED_VALUE"""),"RF-00003107-MCG")</f>
        <v>RF-00003107-MCG</v>
      </c>
    </row>
    <row r="5200" spans="1:2" ht="12.5" x14ac:dyDescent="0.25">
      <c r="A5200" t="str">
        <f ca="1">IFERROR(__xludf.DUMMYFUNCTION("""COMPUTED_VALUE"""),"Salmonella - S. 1,4,[5],12:i:- - DT 14")</f>
        <v>Salmonella - S. 1,4,[5],12:i:- - DT 14</v>
      </c>
      <c r="B5200" t="str">
        <f ca="1">IFERROR(__xludf.DUMMYFUNCTION("""COMPUTED_VALUE"""),"RF-00003108-MCG")</f>
        <v>RF-00003108-MCG</v>
      </c>
    </row>
    <row r="5201" spans="1:2" ht="12.5" x14ac:dyDescent="0.25">
      <c r="A5201" t="str">
        <f ca="1">IFERROR(__xludf.DUMMYFUNCTION("""COMPUTED_VALUE"""),"Salmonella - S. 1,4,[5],12:i:- - DT 140")</f>
        <v>Salmonella - S. 1,4,[5],12:i:- - DT 140</v>
      </c>
      <c r="B5201" t="str">
        <f ca="1">IFERROR(__xludf.DUMMYFUNCTION("""COMPUTED_VALUE"""),"RF-00003109-MCG")</f>
        <v>RF-00003109-MCG</v>
      </c>
    </row>
    <row r="5202" spans="1:2" ht="12.5" x14ac:dyDescent="0.25">
      <c r="A5202" t="str">
        <f ca="1">IFERROR(__xludf.DUMMYFUNCTION("""COMPUTED_VALUE"""),"Salmonella - S. 1,4,[5],12:i:- - DT 141")</f>
        <v>Salmonella - S. 1,4,[5],12:i:- - DT 141</v>
      </c>
      <c r="B5202" t="str">
        <f ca="1">IFERROR(__xludf.DUMMYFUNCTION("""COMPUTED_VALUE"""),"RF-00003110-MCG")</f>
        <v>RF-00003110-MCG</v>
      </c>
    </row>
    <row r="5203" spans="1:2" ht="12.5" x14ac:dyDescent="0.25">
      <c r="A5203" t="str">
        <f ca="1">IFERROR(__xludf.DUMMYFUNCTION("""COMPUTED_VALUE"""),"Salmonella - S. 1,4,[5],12:i:- - DT 143")</f>
        <v>Salmonella - S. 1,4,[5],12:i:- - DT 143</v>
      </c>
      <c r="B5203" t="str">
        <f ca="1">IFERROR(__xludf.DUMMYFUNCTION("""COMPUTED_VALUE"""),"RF-00003111-MCG")</f>
        <v>RF-00003111-MCG</v>
      </c>
    </row>
    <row r="5204" spans="1:2" ht="12.5" x14ac:dyDescent="0.25">
      <c r="A5204" t="str">
        <f ca="1">IFERROR(__xludf.DUMMYFUNCTION("""COMPUTED_VALUE"""),"Salmonella - S. 1,4,[5],12:i:- - DT 144")</f>
        <v>Salmonella - S. 1,4,[5],12:i:- - DT 144</v>
      </c>
      <c r="B5204" t="str">
        <f ca="1">IFERROR(__xludf.DUMMYFUNCTION("""COMPUTED_VALUE"""),"RF-00003112-MCG")</f>
        <v>RF-00003112-MCG</v>
      </c>
    </row>
    <row r="5205" spans="1:2" ht="12.5" x14ac:dyDescent="0.25">
      <c r="A5205" t="str">
        <f ca="1">IFERROR(__xludf.DUMMYFUNCTION("""COMPUTED_VALUE"""),"Salmonella - S. 1,4,[5],12:i:- - DT 14b")</f>
        <v>Salmonella - S. 1,4,[5],12:i:- - DT 14b</v>
      </c>
      <c r="B5205" t="str">
        <f ca="1">IFERROR(__xludf.DUMMYFUNCTION("""COMPUTED_VALUE"""),"RF-00003113-MCG")</f>
        <v>RF-00003113-MCG</v>
      </c>
    </row>
    <row r="5206" spans="1:2" ht="12.5" x14ac:dyDescent="0.25">
      <c r="A5206" t="str">
        <f ca="1">IFERROR(__xludf.DUMMYFUNCTION("""COMPUTED_VALUE"""),"Salmonella - S. 1,4,[5],12:i:- - DT 15")</f>
        <v>Salmonella - S. 1,4,[5],12:i:- - DT 15</v>
      </c>
      <c r="B5206" t="str">
        <f ca="1">IFERROR(__xludf.DUMMYFUNCTION("""COMPUTED_VALUE"""),"RF-00003114-MCG")</f>
        <v>RF-00003114-MCG</v>
      </c>
    </row>
    <row r="5207" spans="1:2" ht="12.5" x14ac:dyDescent="0.25">
      <c r="A5207" t="str">
        <f ca="1">IFERROR(__xludf.DUMMYFUNCTION("""COMPUTED_VALUE"""),"Salmonella - S. 1,4,[5],12:i:- - DT 151")</f>
        <v>Salmonella - S. 1,4,[5],12:i:- - DT 151</v>
      </c>
      <c r="B5207" t="str">
        <f ca="1">IFERROR(__xludf.DUMMYFUNCTION("""COMPUTED_VALUE"""),"RF-00003115-MCG")</f>
        <v>RF-00003115-MCG</v>
      </c>
    </row>
    <row r="5208" spans="1:2" ht="12.5" x14ac:dyDescent="0.25">
      <c r="A5208" t="str">
        <f ca="1">IFERROR(__xludf.DUMMYFUNCTION("""COMPUTED_VALUE"""),"Salmonella - S. 1,4,[5],12:i:- - DT 153")</f>
        <v>Salmonella - S. 1,4,[5],12:i:- - DT 153</v>
      </c>
      <c r="B5208" t="str">
        <f ca="1">IFERROR(__xludf.DUMMYFUNCTION("""COMPUTED_VALUE"""),"RF-00003116-MCG")</f>
        <v>RF-00003116-MCG</v>
      </c>
    </row>
    <row r="5209" spans="1:2" ht="12.5" x14ac:dyDescent="0.25">
      <c r="A5209" t="str">
        <f ca="1">IFERROR(__xludf.DUMMYFUNCTION("""COMPUTED_VALUE"""),"Salmonella - S. 1,4,[5],12:i:- - DT 15a")</f>
        <v>Salmonella - S. 1,4,[5],12:i:- - DT 15a</v>
      </c>
      <c r="B5209" t="str">
        <f ca="1">IFERROR(__xludf.DUMMYFUNCTION("""COMPUTED_VALUE"""),"RF-00003117-MCG")</f>
        <v>RF-00003117-MCG</v>
      </c>
    </row>
    <row r="5210" spans="1:2" ht="12.5" x14ac:dyDescent="0.25">
      <c r="A5210" t="str">
        <f ca="1">IFERROR(__xludf.DUMMYFUNCTION("""COMPUTED_VALUE"""),"Salmonella - S. 1,4,[5],12:i:- - DT 16")</f>
        <v>Salmonella - S. 1,4,[5],12:i:- - DT 16</v>
      </c>
      <c r="B5210" t="str">
        <f ca="1">IFERROR(__xludf.DUMMYFUNCTION("""COMPUTED_VALUE"""),"RF-00003118-MCG")</f>
        <v>RF-00003118-MCG</v>
      </c>
    </row>
    <row r="5211" spans="1:2" ht="12.5" x14ac:dyDescent="0.25">
      <c r="A5211" t="str">
        <f ca="1">IFERROR(__xludf.DUMMYFUNCTION("""COMPUTED_VALUE"""),"Salmonella - S. 1,4,[5],12:i:- - DT 160")</f>
        <v>Salmonella - S. 1,4,[5],12:i:- - DT 160</v>
      </c>
      <c r="B5211" t="str">
        <f ca="1">IFERROR(__xludf.DUMMYFUNCTION("""COMPUTED_VALUE"""),"RF-00003119-MCG")</f>
        <v>RF-00003119-MCG</v>
      </c>
    </row>
    <row r="5212" spans="1:2" ht="12.5" x14ac:dyDescent="0.25">
      <c r="A5212" t="str">
        <f ca="1">IFERROR(__xludf.DUMMYFUNCTION("""COMPUTED_VALUE"""),"Salmonella - S. 1,4,[5],12:i:- - DT 161")</f>
        <v>Salmonella - S. 1,4,[5],12:i:- - DT 161</v>
      </c>
      <c r="B5212" t="str">
        <f ca="1">IFERROR(__xludf.DUMMYFUNCTION("""COMPUTED_VALUE"""),"RF-00003120-MCG")</f>
        <v>RF-00003120-MCG</v>
      </c>
    </row>
    <row r="5213" spans="1:2" ht="12.5" x14ac:dyDescent="0.25">
      <c r="A5213" t="str">
        <f ca="1">IFERROR(__xludf.DUMMYFUNCTION("""COMPUTED_VALUE"""),"Salmonella - S. 1,4,[5],12:i:- - DT 164")</f>
        <v>Salmonella - S. 1,4,[5],12:i:- - DT 164</v>
      </c>
      <c r="B5213" t="str">
        <f ca="1">IFERROR(__xludf.DUMMYFUNCTION("""COMPUTED_VALUE"""),"RF-00003121-MCG")</f>
        <v>RF-00003121-MCG</v>
      </c>
    </row>
    <row r="5214" spans="1:2" ht="12.5" x14ac:dyDescent="0.25">
      <c r="A5214" t="str">
        <f ca="1">IFERROR(__xludf.DUMMYFUNCTION("""COMPUTED_VALUE"""),"Salmonella - S. 1,4,[5],12:i:- - DT 166")</f>
        <v>Salmonella - S. 1,4,[5],12:i:- - DT 166</v>
      </c>
      <c r="B5214" t="str">
        <f ca="1">IFERROR(__xludf.DUMMYFUNCTION("""COMPUTED_VALUE"""),"RF-00003122-MCG")</f>
        <v>RF-00003122-MCG</v>
      </c>
    </row>
    <row r="5215" spans="1:2" ht="12.5" x14ac:dyDescent="0.25">
      <c r="A5215" t="str">
        <f ca="1">IFERROR(__xludf.DUMMYFUNCTION("""COMPUTED_VALUE"""),"Salmonella - S. 1,4,[5],12:i:- - DT 17")</f>
        <v>Salmonella - S. 1,4,[5],12:i:- - DT 17</v>
      </c>
      <c r="B5215" t="str">
        <f ca="1">IFERROR(__xludf.DUMMYFUNCTION("""COMPUTED_VALUE"""),"RF-00003123-MCG")</f>
        <v>RF-00003123-MCG</v>
      </c>
    </row>
    <row r="5216" spans="1:2" ht="12.5" x14ac:dyDescent="0.25">
      <c r="A5216" t="str">
        <f ca="1">IFERROR(__xludf.DUMMYFUNCTION("""COMPUTED_VALUE"""),"Salmonella - S. 1,4,[5],12:i:- - DT 170")</f>
        <v>Salmonella - S. 1,4,[5],12:i:- - DT 170</v>
      </c>
      <c r="B5216" t="str">
        <f ca="1">IFERROR(__xludf.DUMMYFUNCTION("""COMPUTED_VALUE"""),"RF-00003124-MCG")</f>
        <v>RF-00003124-MCG</v>
      </c>
    </row>
    <row r="5217" spans="1:2" ht="12.5" x14ac:dyDescent="0.25">
      <c r="A5217" t="str">
        <f ca="1">IFERROR(__xludf.DUMMYFUNCTION("""COMPUTED_VALUE"""),"Salmonella - S. 1,4,[5],12:i:- - DT 170b")</f>
        <v>Salmonella - S. 1,4,[5],12:i:- - DT 170b</v>
      </c>
      <c r="B5217" t="str">
        <f ca="1">IFERROR(__xludf.DUMMYFUNCTION("""COMPUTED_VALUE"""),"RF-00003125-MCG")</f>
        <v>RF-00003125-MCG</v>
      </c>
    </row>
    <row r="5218" spans="1:2" ht="12.5" x14ac:dyDescent="0.25">
      <c r="A5218" t="str">
        <f ca="1">IFERROR(__xludf.DUMMYFUNCTION("""COMPUTED_VALUE"""),"Salmonella - S. 1,4,[5],12:i:- - DT 177")</f>
        <v>Salmonella - S. 1,4,[5],12:i:- - DT 177</v>
      </c>
      <c r="B5218" t="str">
        <f ca="1">IFERROR(__xludf.DUMMYFUNCTION("""COMPUTED_VALUE"""),"RF-00003126-MCG")</f>
        <v>RF-00003126-MCG</v>
      </c>
    </row>
    <row r="5219" spans="1:2" ht="12.5" x14ac:dyDescent="0.25">
      <c r="A5219" t="str">
        <f ca="1">IFERROR(__xludf.DUMMYFUNCTION("""COMPUTED_VALUE"""),"Salmonella - S. 1,4,[5],12:i:- - DT 178")</f>
        <v>Salmonella - S. 1,4,[5],12:i:- - DT 178</v>
      </c>
      <c r="B5219" t="str">
        <f ca="1">IFERROR(__xludf.DUMMYFUNCTION("""COMPUTED_VALUE"""),"RF-00003127-MCG")</f>
        <v>RF-00003127-MCG</v>
      </c>
    </row>
    <row r="5220" spans="1:2" ht="12.5" x14ac:dyDescent="0.25">
      <c r="A5220" t="str">
        <f ca="1">IFERROR(__xludf.DUMMYFUNCTION("""COMPUTED_VALUE"""),"Salmonella - S. 1,4,[5],12:i:- - DT 18")</f>
        <v>Salmonella - S. 1,4,[5],12:i:- - DT 18</v>
      </c>
      <c r="B5220" t="str">
        <f ca="1">IFERROR(__xludf.DUMMYFUNCTION("""COMPUTED_VALUE"""),"RF-00003128-MCG")</f>
        <v>RF-00003128-MCG</v>
      </c>
    </row>
    <row r="5221" spans="1:2" ht="12.5" x14ac:dyDescent="0.25">
      <c r="A5221" t="str">
        <f ca="1">IFERROR(__xludf.DUMMYFUNCTION("""COMPUTED_VALUE"""),"Salmonella - S. 1,4,[5],12:i:- - DT 185")</f>
        <v>Salmonella - S. 1,4,[5],12:i:- - DT 185</v>
      </c>
      <c r="B5221" t="str">
        <f ca="1">IFERROR(__xludf.DUMMYFUNCTION("""COMPUTED_VALUE"""),"RF-00003129-MCG")</f>
        <v>RF-00003129-MCG</v>
      </c>
    </row>
    <row r="5222" spans="1:2" ht="12.5" x14ac:dyDescent="0.25">
      <c r="A5222" t="str">
        <f ca="1">IFERROR(__xludf.DUMMYFUNCTION("""COMPUTED_VALUE"""),"Salmonella - S. 1,4,[5],12:i:- - DT 186")</f>
        <v>Salmonella - S. 1,4,[5],12:i:- - DT 186</v>
      </c>
      <c r="B5222" t="str">
        <f ca="1">IFERROR(__xludf.DUMMYFUNCTION("""COMPUTED_VALUE"""),"RF-00003130-MCG")</f>
        <v>RF-00003130-MCG</v>
      </c>
    </row>
    <row r="5223" spans="1:2" ht="12.5" x14ac:dyDescent="0.25">
      <c r="A5223" t="str">
        <f ca="1">IFERROR(__xludf.DUMMYFUNCTION("""COMPUTED_VALUE"""),"Salmonella - S. 1,4,[5],12:i:- - DT 19")</f>
        <v>Salmonella - S. 1,4,[5],12:i:- - DT 19</v>
      </c>
      <c r="B5223" t="str">
        <f ca="1">IFERROR(__xludf.DUMMYFUNCTION("""COMPUTED_VALUE"""),"RF-00003131-MCG")</f>
        <v>RF-00003131-MCG</v>
      </c>
    </row>
    <row r="5224" spans="1:2" ht="12.5" x14ac:dyDescent="0.25">
      <c r="A5224" t="str">
        <f ca="1">IFERROR(__xludf.DUMMYFUNCTION("""COMPUTED_VALUE"""),"Salmonella - S. 1,4,[5],12:i:- - DT 191")</f>
        <v>Salmonella - S. 1,4,[5],12:i:- - DT 191</v>
      </c>
      <c r="B5224" t="str">
        <f ca="1">IFERROR(__xludf.DUMMYFUNCTION("""COMPUTED_VALUE"""),"RF-00003132-MCG")</f>
        <v>RF-00003132-MCG</v>
      </c>
    </row>
    <row r="5225" spans="1:2" ht="12.5" x14ac:dyDescent="0.25">
      <c r="A5225" t="str">
        <f ca="1">IFERROR(__xludf.DUMMYFUNCTION("""COMPUTED_VALUE"""),"Salmonella - S. 1,4,[5],12:i:- - DT 192")</f>
        <v>Salmonella - S. 1,4,[5],12:i:- - DT 192</v>
      </c>
      <c r="B5225" t="str">
        <f ca="1">IFERROR(__xludf.DUMMYFUNCTION("""COMPUTED_VALUE"""),"RF-00003133-MCG")</f>
        <v>RF-00003133-MCG</v>
      </c>
    </row>
    <row r="5226" spans="1:2" ht="12.5" x14ac:dyDescent="0.25">
      <c r="A5226" t="str">
        <f ca="1">IFERROR(__xludf.DUMMYFUNCTION("""COMPUTED_VALUE"""),"Salmonella - S. 1,4,[5],12:i:- - DT 193")</f>
        <v>Salmonella - S. 1,4,[5],12:i:- - DT 193</v>
      </c>
      <c r="B5226" t="str">
        <f ca="1">IFERROR(__xludf.DUMMYFUNCTION("""COMPUTED_VALUE"""),"RF-00003134-MCG")</f>
        <v>RF-00003134-MCG</v>
      </c>
    </row>
    <row r="5227" spans="1:2" ht="12.5" x14ac:dyDescent="0.25">
      <c r="A5227" t="str">
        <f ca="1">IFERROR(__xludf.DUMMYFUNCTION("""COMPUTED_VALUE"""),"Salmonella - S. 1,4,[5],12:i:- - DT 193a")</f>
        <v>Salmonella - S. 1,4,[5],12:i:- - DT 193a</v>
      </c>
      <c r="B5227" t="str">
        <f ca="1">IFERROR(__xludf.DUMMYFUNCTION("""COMPUTED_VALUE"""),"RF-00003135-MCG")</f>
        <v>RF-00003135-MCG</v>
      </c>
    </row>
    <row r="5228" spans="1:2" ht="12.5" x14ac:dyDescent="0.25">
      <c r="A5228" t="str">
        <f ca="1">IFERROR(__xludf.DUMMYFUNCTION("""COMPUTED_VALUE"""),"Salmonella - S. 1,4,[5],12:i:- - DT 194")</f>
        <v>Salmonella - S. 1,4,[5],12:i:- - DT 194</v>
      </c>
      <c r="B5228" t="str">
        <f ca="1">IFERROR(__xludf.DUMMYFUNCTION("""COMPUTED_VALUE"""),"RF-00003136-MCG")</f>
        <v>RF-00003136-MCG</v>
      </c>
    </row>
    <row r="5229" spans="1:2" ht="12.5" x14ac:dyDescent="0.25">
      <c r="A5229" t="str">
        <f ca="1">IFERROR(__xludf.DUMMYFUNCTION("""COMPUTED_VALUE"""),"Salmonella - S. 1,4,[5],12:i:- - DT 195")</f>
        <v>Salmonella - S. 1,4,[5],12:i:- - DT 195</v>
      </c>
      <c r="B5229" t="str">
        <f ca="1">IFERROR(__xludf.DUMMYFUNCTION("""COMPUTED_VALUE"""),"RF-00003137-MCG")</f>
        <v>RF-00003137-MCG</v>
      </c>
    </row>
    <row r="5230" spans="1:2" ht="12.5" x14ac:dyDescent="0.25">
      <c r="A5230" t="str">
        <f ca="1">IFERROR(__xludf.DUMMYFUNCTION("""COMPUTED_VALUE"""),"Salmonella - S. 1,4,[5],12:i:- - DT 197")</f>
        <v>Salmonella - S. 1,4,[5],12:i:- - DT 197</v>
      </c>
      <c r="B5230" t="str">
        <f ca="1">IFERROR(__xludf.DUMMYFUNCTION("""COMPUTED_VALUE"""),"RF-00003138-MCG")</f>
        <v>RF-00003138-MCG</v>
      </c>
    </row>
    <row r="5231" spans="1:2" ht="12.5" x14ac:dyDescent="0.25">
      <c r="A5231" t="str">
        <f ca="1">IFERROR(__xludf.DUMMYFUNCTION("""COMPUTED_VALUE"""),"Salmonella - S. 1,4,[5],12:i:- - DT 2")</f>
        <v>Salmonella - S. 1,4,[5],12:i:- - DT 2</v>
      </c>
      <c r="B5231" t="str">
        <f ca="1">IFERROR(__xludf.DUMMYFUNCTION("""COMPUTED_VALUE"""),"RF-00003139-MCG")</f>
        <v>RF-00003139-MCG</v>
      </c>
    </row>
    <row r="5232" spans="1:2" ht="12.5" x14ac:dyDescent="0.25">
      <c r="A5232" t="str">
        <f ca="1">IFERROR(__xludf.DUMMYFUNCTION("""COMPUTED_VALUE"""),"Salmonella - S. 1,4,[5],12:i:- - DT 20")</f>
        <v>Salmonella - S. 1,4,[5],12:i:- - DT 20</v>
      </c>
      <c r="B5232" t="str">
        <f ca="1">IFERROR(__xludf.DUMMYFUNCTION("""COMPUTED_VALUE"""),"RF-00003140-MCG")</f>
        <v>RF-00003140-MCG</v>
      </c>
    </row>
    <row r="5233" spans="1:2" ht="12.5" x14ac:dyDescent="0.25">
      <c r="A5233" t="str">
        <f ca="1">IFERROR(__xludf.DUMMYFUNCTION("""COMPUTED_VALUE"""),"Salmonella - S. 1,4,[5],12:i:- - DT 203")</f>
        <v>Salmonella - S. 1,4,[5],12:i:- - DT 203</v>
      </c>
      <c r="B5233" t="str">
        <f ca="1">IFERROR(__xludf.DUMMYFUNCTION("""COMPUTED_VALUE"""),"RF-00003141-MCG")</f>
        <v>RF-00003141-MCG</v>
      </c>
    </row>
    <row r="5234" spans="1:2" ht="12.5" x14ac:dyDescent="0.25">
      <c r="A5234" t="str">
        <f ca="1">IFERROR(__xludf.DUMMYFUNCTION("""COMPUTED_VALUE"""),"Salmonella - S. 1,4,[5],12:i:- - DT 206")</f>
        <v>Salmonella - S. 1,4,[5],12:i:- - DT 206</v>
      </c>
      <c r="B5234" t="str">
        <f ca="1">IFERROR(__xludf.DUMMYFUNCTION("""COMPUTED_VALUE"""),"RF-00003142-MCG")</f>
        <v>RF-00003142-MCG</v>
      </c>
    </row>
    <row r="5235" spans="1:2" ht="12.5" x14ac:dyDescent="0.25">
      <c r="A5235" t="str">
        <f ca="1">IFERROR(__xludf.DUMMYFUNCTION("""COMPUTED_VALUE"""),"Salmonella - S. 1,4,[5],12:i:- - DT 208")</f>
        <v>Salmonella - S. 1,4,[5],12:i:- - DT 208</v>
      </c>
      <c r="B5235" t="str">
        <f ca="1">IFERROR(__xludf.DUMMYFUNCTION("""COMPUTED_VALUE"""),"RF-00003143-MCG")</f>
        <v>RF-00003143-MCG</v>
      </c>
    </row>
    <row r="5236" spans="1:2" ht="12.5" x14ac:dyDescent="0.25">
      <c r="A5236" t="str">
        <f ca="1">IFERROR(__xludf.DUMMYFUNCTION("""COMPUTED_VALUE"""),"Salmonella - S. 1,4,[5],12:i:- - DT 20a")</f>
        <v>Salmonella - S. 1,4,[5],12:i:- - DT 20a</v>
      </c>
      <c r="B5236" t="str">
        <f ca="1">IFERROR(__xludf.DUMMYFUNCTION("""COMPUTED_VALUE"""),"RF-00003144-MCG")</f>
        <v>RF-00003144-MCG</v>
      </c>
    </row>
    <row r="5237" spans="1:2" ht="12.5" x14ac:dyDescent="0.25">
      <c r="A5237" t="str">
        <f ca="1">IFERROR(__xludf.DUMMYFUNCTION("""COMPUTED_VALUE"""),"Salmonella - S. 1,4,[5],12:i:- - DT 21")</f>
        <v>Salmonella - S. 1,4,[5],12:i:- - DT 21</v>
      </c>
      <c r="B5237" t="str">
        <f ca="1">IFERROR(__xludf.DUMMYFUNCTION("""COMPUTED_VALUE"""),"RF-00003145-MCG")</f>
        <v>RF-00003145-MCG</v>
      </c>
    </row>
    <row r="5238" spans="1:2" ht="12.5" x14ac:dyDescent="0.25">
      <c r="A5238" t="str">
        <f ca="1">IFERROR(__xludf.DUMMYFUNCTION("""COMPUTED_VALUE"""),"Salmonella - S. 1,4,[5],12:i:- - DT 22")</f>
        <v>Salmonella - S. 1,4,[5],12:i:- - DT 22</v>
      </c>
      <c r="B5238" t="str">
        <f ca="1">IFERROR(__xludf.DUMMYFUNCTION("""COMPUTED_VALUE"""),"RF-00003146-MCG")</f>
        <v>RF-00003146-MCG</v>
      </c>
    </row>
    <row r="5239" spans="1:2" ht="12.5" x14ac:dyDescent="0.25">
      <c r="A5239" t="str">
        <f ca="1">IFERROR(__xludf.DUMMYFUNCTION("""COMPUTED_VALUE"""),"Salmonella - S. 1,4,[5],12:i:- - DT 26")</f>
        <v>Salmonella - S. 1,4,[5],12:i:- - DT 26</v>
      </c>
      <c r="B5239" t="str">
        <f ca="1">IFERROR(__xludf.DUMMYFUNCTION("""COMPUTED_VALUE"""),"RF-00003147-MCG")</f>
        <v>RF-00003147-MCG</v>
      </c>
    </row>
    <row r="5240" spans="1:2" ht="12.5" x14ac:dyDescent="0.25">
      <c r="A5240" t="str">
        <f ca="1">IFERROR(__xludf.DUMMYFUNCTION("""COMPUTED_VALUE"""),"Salmonella - S. 1,4,[5],12:i:- - DT 27")</f>
        <v>Salmonella - S. 1,4,[5],12:i:- - DT 27</v>
      </c>
      <c r="B5240" t="str">
        <f ca="1">IFERROR(__xludf.DUMMYFUNCTION("""COMPUTED_VALUE"""),"RF-00003148-MCG")</f>
        <v>RF-00003148-MCG</v>
      </c>
    </row>
    <row r="5241" spans="1:2" ht="12.5" x14ac:dyDescent="0.25">
      <c r="A5241" t="str">
        <f ca="1">IFERROR(__xludf.DUMMYFUNCTION("""COMPUTED_VALUE"""),"Salmonella - S. 1,4,[5],12:i:- - DT 28")</f>
        <v>Salmonella - S. 1,4,[5],12:i:- - DT 28</v>
      </c>
      <c r="B5241" t="str">
        <f ca="1">IFERROR(__xludf.DUMMYFUNCTION("""COMPUTED_VALUE"""),"RF-00003149-MCG")</f>
        <v>RF-00003149-MCG</v>
      </c>
    </row>
    <row r="5242" spans="1:2" ht="12.5" x14ac:dyDescent="0.25">
      <c r="A5242" t="str">
        <f ca="1">IFERROR(__xludf.DUMMYFUNCTION("""COMPUTED_VALUE"""),"Salmonella - S. 1,4,[5],12:i:- - DT 29")</f>
        <v>Salmonella - S. 1,4,[5],12:i:- - DT 29</v>
      </c>
      <c r="B5242" t="str">
        <f ca="1">IFERROR(__xludf.DUMMYFUNCTION("""COMPUTED_VALUE"""),"RF-00003150-MCG")</f>
        <v>RF-00003150-MCG</v>
      </c>
    </row>
    <row r="5243" spans="1:2" ht="12.5" x14ac:dyDescent="0.25">
      <c r="A5243" t="str">
        <f ca="1">IFERROR(__xludf.DUMMYFUNCTION("""COMPUTED_VALUE"""),"Salmonella - S. 1,4,[5],12:i:- - DT 2a")</f>
        <v>Salmonella - S. 1,4,[5],12:i:- - DT 2a</v>
      </c>
      <c r="B5243" t="str">
        <f ca="1">IFERROR(__xludf.DUMMYFUNCTION("""COMPUTED_VALUE"""),"RF-00003151-MCG")</f>
        <v>RF-00003151-MCG</v>
      </c>
    </row>
    <row r="5244" spans="1:2" ht="12.5" x14ac:dyDescent="0.25">
      <c r="A5244" t="str">
        <f ca="1">IFERROR(__xludf.DUMMYFUNCTION("""COMPUTED_VALUE"""),"Salmonella - S. 1,4,[5],12:i:- - DT 3")</f>
        <v>Salmonella - S. 1,4,[5],12:i:- - DT 3</v>
      </c>
      <c r="B5244" t="str">
        <f ca="1">IFERROR(__xludf.DUMMYFUNCTION("""COMPUTED_VALUE"""),"RF-00003152-MCG")</f>
        <v>RF-00003152-MCG</v>
      </c>
    </row>
    <row r="5245" spans="1:2" ht="12.5" x14ac:dyDescent="0.25">
      <c r="A5245" t="str">
        <f ca="1">IFERROR(__xludf.DUMMYFUNCTION("""COMPUTED_VALUE"""),"Salmonella - S. 1,4,[5],12:i:- - DT 30")</f>
        <v>Salmonella - S. 1,4,[5],12:i:- - DT 30</v>
      </c>
      <c r="B5245" t="str">
        <f ca="1">IFERROR(__xludf.DUMMYFUNCTION("""COMPUTED_VALUE"""),"RF-00003153-MCG")</f>
        <v>RF-00003153-MCG</v>
      </c>
    </row>
    <row r="5246" spans="1:2" ht="12.5" x14ac:dyDescent="0.25">
      <c r="A5246" t="str">
        <f ca="1">IFERROR(__xludf.DUMMYFUNCTION("""COMPUTED_VALUE"""),"Salmonella - S. 1,4,[5],12:i:- - DT 32")</f>
        <v>Salmonella - S. 1,4,[5],12:i:- - DT 32</v>
      </c>
      <c r="B5246" t="str">
        <f ca="1">IFERROR(__xludf.DUMMYFUNCTION("""COMPUTED_VALUE"""),"RF-00003154-MCG")</f>
        <v>RF-00003154-MCG</v>
      </c>
    </row>
    <row r="5247" spans="1:2" ht="12.5" x14ac:dyDescent="0.25">
      <c r="A5247" t="str">
        <f ca="1">IFERROR(__xludf.DUMMYFUNCTION("""COMPUTED_VALUE"""),"Salmonella - S. 1,4,[5],12:i:- - DT 35")</f>
        <v>Salmonella - S. 1,4,[5],12:i:- - DT 35</v>
      </c>
      <c r="B5247" t="str">
        <f ca="1">IFERROR(__xludf.DUMMYFUNCTION("""COMPUTED_VALUE"""),"RF-00003155-MCG")</f>
        <v>RF-00003155-MCG</v>
      </c>
    </row>
    <row r="5248" spans="1:2" ht="12.5" x14ac:dyDescent="0.25">
      <c r="A5248" t="str">
        <f ca="1">IFERROR(__xludf.DUMMYFUNCTION("""COMPUTED_VALUE"""),"Salmonella - S. 1,4,[5],12:i:- - DT 36")</f>
        <v>Salmonella - S. 1,4,[5],12:i:- - DT 36</v>
      </c>
      <c r="B5248" t="str">
        <f ca="1">IFERROR(__xludf.DUMMYFUNCTION("""COMPUTED_VALUE"""),"RF-00003156-MCG")</f>
        <v>RF-00003156-MCG</v>
      </c>
    </row>
    <row r="5249" spans="1:2" ht="12.5" x14ac:dyDescent="0.25">
      <c r="A5249" t="str">
        <f ca="1">IFERROR(__xludf.DUMMYFUNCTION("""COMPUTED_VALUE"""),"Salmonella - S. 1,4,[5],12:i:- - DT 38")</f>
        <v>Salmonella - S. 1,4,[5],12:i:- - DT 38</v>
      </c>
      <c r="B5249" t="str">
        <f ca="1">IFERROR(__xludf.DUMMYFUNCTION("""COMPUTED_VALUE"""),"RF-00003157-MCG")</f>
        <v>RF-00003157-MCG</v>
      </c>
    </row>
    <row r="5250" spans="1:2" ht="12.5" x14ac:dyDescent="0.25">
      <c r="A5250" t="str">
        <f ca="1">IFERROR(__xludf.DUMMYFUNCTION("""COMPUTED_VALUE"""),"Salmonella - S. 1,4,[5],12:i:- - DT 4")</f>
        <v>Salmonella - S. 1,4,[5],12:i:- - DT 4</v>
      </c>
      <c r="B5250" t="str">
        <f ca="1">IFERROR(__xludf.DUMMYFUNCTION("""COMPUTED_VALUE"""),"RF-00003158-MCG")</f>
        <v>RF-00003158-MCG</v>
      </c>
    </row>
    <row r="5251" spans="1:2" ht="12.5" x14ac:dyDescent="0.25">
      <c r="A5251" t="str">
        <f ca="1">IFERROR(__xludf.DUMMYFUNCTION("""COMPUTED_VALUE"""),"Salmonella - S. 1,4,[5],12:i:- - DT 40")</f>
        <v>Salmonella - S. 1,4,[5],12:i:- - DT 40</v>
      </c>
      <c r="B5251" t="str">
        <f ca="1">IFERROR(__xludf.DUMMYFUNCTION("""COMPUTED_VALUE"""),"RF-00003159-MCG")</f>
        <v>RF-00003159-MCG</v>
      </c>
    </row>
    <row r="5252" spans="1:2" ht="12.5" x14ac:dyDescent="0.25">
      <c r="A5252" t="str">
        <f ca="1">IFERROR(__xludf.DUMMYFUNCTION("""COMPUTED_VALUE"""),"Salmonella - S. 1,4,[5],12:i:- - DT 41")</f>
        <v>Salmonella - S. 1,4,[5],12:i:- - DT 41</v>
      </c>
      <c r="B5252" t="str">
        <f ca="1">IFERROR(__xludf.DUMMYFUNCTION("""COMPUTED_VALUE"""),"RF-00003160-MCG")</f>
        <v>RF-00003160-MCG</v>
      </c>
    </row>
    <row r="5253" spans="1:2" ht="12.5" x14ac:dyDescent="0.25">
      <c r="A5253" t="str">
        <f ca="1">IFERROR(__xludf.DUMMYFUNCTION("""COMPUTED_VALUE"""),"Salmonella - S. 1,4,[5],12:i:- - DT 41 var.")</f>
        <v>Salmonella - S. 1,4,[5],12:i:- - DT 41 var.</v>
      </c>
      <c r="B5253" t="str">
        <f ca="1">IFERROR(__xludf.DUMMYFUNCTION("""COMPUTED_VALUE"""),"RF-00003161-MCG")</f>
        <v>RF-00003161-MCG</v>
      </c>
    </row>
    <row r="5254" spans="1:2" ht="12.5" x14ac:dyDescent="0.25">
      <c r="A5254" t="str">
        <f ca="1">IFERROR(__xludf.DUMMYFUNCTION("""COMPUTED_VALUE"""),"Salmonella - S. 1,4,[5],12:i:- - DT 41a")</f>
        <v>Salmonella - S. 1,4,[5],12:i:- - DT 41a</v>
      </c>
      <c r="B5254" t="str">
        <f ca="1">IFERROR(__xludf.DUMMYFUNCTION("""COMPUTED_VALUE"""),"RF-00003162-MCG")</f>
        <v>RF-00003162-MCG</v>
      </c>
    </row>
    <row r="5255" spans="1:2" ht="12.5" x14ac:dyDescent="0.25">
      <c r="A5255" t="str">
        <f ca="1">IFERROR(__xludf.DUMMYFUNCTION("""COMPUTED_VALUE"""),"Salmonella - S. 1,4,[5],12:i:- - DT 42")</f>
        <v>Salmonella - S. 1,4,[5],12:i:- - DT 42</v>
      </c>
      <c r="B5255" t="str">
        <f ca="1">IFERROR(__xludf.DUMMYFUNCTION("""COMPUTED_VALUE"""),"RF-00003163-MCG")</f>
        <v>RF-00003163-MCG</v>
      </c>
    </row>
    <row r="5256" spans="1:2" ht="12.5" x14ac:dyDescent="0.25">
      <c r="A5256" t="str">
        <f ca="1">IFERROR(__xludf.DUMMYFUNCTION("""COMPUTED_VALUE"""),"Salmonella - S. 1,4,[5],12:i:- - DT 43")</f>
        <v>Salmonella - S. 1,4,[5],12:i:- - DT 43</v>
      </c>
      <c r="B5256" t="str">
        <f ca="1">IFERROR(__xludf.DUMMYFUNCTION("""COMPUTED_VALUE"""),"RF-00003164-MCG")</f>
        <v>RF-00003164-MCG</v>
      </c>
    </row>
    <row r="5257" spans="1:2" ht="12.5" x14ac:dyDescent="0.25">
      <c r="A5257" t="str">
        <f ca="1">IFERROR(__xludf.DUMMYFUNCTION("""COMPUTED_VALUE"""),"Salmonella - S. 1,4,[5],12:i:- - DT 44")</f>
        <v>Salmonella - S. 1,4,[5],12:i:- - DT 44</v>
      </c>
      <c r="B5257" t="str">
        <f ca="1">IFERROR(__xludf.DUMMYFUNCTION("""COMPUTED_VALUE"""),"RF-00003165-MCG")</f>
        <v>RF-00003165-MCG</v>
      </c>
    </row>
    <row r="5258" spans="1:2" ht="12.5" x14ac:dyDescent="0.25">
      <c r="A5258" t="str">
        <f ca="1">IFERROR(__xludf.DUMMYFUNCTION("""COMPUTED_VALUE"""),"Salmonella - S. 1,4,[5],12:i:- - DT 46")</f>
        <v>Salmonella - S. 1,4,[5],12:i:- - DT 46</v>
      </c>
      <c r="B5258" t="str">
        <f ca="1">IFERROR(__xludf.DUMMYFUNCTION("""COMPUTED_VALUE"""),"RF-00003166-MCG")</f>
        <v>RF-00003166-MCG</v>
      </c>
    </row>
    <row r="5259" spans="1:2" ht="12.5" x14ac:dyDescent="0.25">
      <c r="A5259" t="str">
        <f ca="1">IFERROR(__xludf.DUMMYFUNCTION("""COMPUTED_VALUE"""),"Salmonella - S. 1,4,[5],12:i:- - DT 46a")</f>
        <v>Salmonella - S. 1,4,[5],12:i:- - DT 46a</v>
      </c>
      <c r="B5259" t="str">
        <f ca="1">IFERROR(__xludf.DUMMYFUNCTION("""COMPUTED_VALUE"""),"RF-00003167-MCG")</f>
        <v>RF-00003167-MCG</v>
      </c>
    </row>
    <row r="5260" spans="1:2" ht="12.5" x14ac:dyDescent="0.25">
      <c r="A5260" t="str">
        <f ca="1">IFERROR(__xludf.DUMMYFUNCTION("""COMPUTED_VALUE"""),"Salmonella - S. 1,4,[5],12:i:- - DT 49")</f>
        <v>Salmonella - S. 1,4,[5],12:i:- - DT 49</v>
      </c>
      <c r="B5260" t="str">
        <f ca="1">IFERROR(__xludf.DUMMYFUNCTION("""COMPUTED_VALUE"""),"RF-00003168-MCG")</f>
        <v>RF-00003168-MCG</v>
      </c>
    </row>
    <row r="5261" spans="1:2" ht="12.5" x14ac:dyDescent="0.25">
      <c r="A5261" t="str">
        <f ca="1">IFERROR(__xludf.DUMMYFUNCTION("""COMPUTED_VALUE"""),"Salmonella - S. 1,4,[5],12:i:- - DT 49a")</f>
        <v>Salmonella - S. 1,4,[5],12:i:- - DT 49a</v>
      </c>
      <c r="B5261" t="str">
        <f ca="1">IFERROR(__xludf.DUMMYFUNCTION("""COMPUTED_VALUE"""),"RF-00003169-MCG")</f>
        <v>RF-00003169-MCG</v>
      </c>
    </row>
    <row r="5262" spans="1:2" ht="12.5" x14ac:dyDescent="0.25">
      <c r="A5262" t="str">
        <f ca="1">IFERROR(__xludf.DUMMYFUNCTION("""COMPUTED_VALUE"""),"Salmonella - S. 1,4,[5],12:i:- - DT 52")</f>
        <v>Salmonella - S. 1,4,[5],12:i:- - DT 52</v>
      </c>
      <c r="B5262" t="str">
        <f ca="1">IFERROR(__xludf.DUMMYFUNCTION("""COMPUTED_VALUE"""),"RF-00003170-MCG")</f>
        <v>RF-00003170-MCG</v>
      </c>
    </row>
    <row r="5263" spans="1:2" ht="12.5" x14ac:dyDescent="0.25">
      <c r="A5263" t="str">
        <f ca="1">IFERROR(__xludf.DUMMYFUNCTION("""COMPUTED_VALUE"""),"Salmonella - S. 1,4,[5],12:i:- - DT 54")</f>
        <v>Salmonella - S. 1,4,[5],12:i:- - DT 54</v>
      </c>
      <c r="B5263" t="str">
        <f ca="1">IFERROR(__xludf.DUMMYFUNCTION("""COMPUTED_VALUE"""),"RF-00003171-MCG")</f>
        <v>RF-00003171-MCG</v>
      </c>
    </row>
    <row r="5264" spans="1:2" ht="12.5" x14ac:dyDescent="0.25">
      <c r="A5264" t="str">
        <f ca="1">IFERROR(__xludf.DUMMYFUNCTION("""COMPUTED_VALUE"""),"Salmonella - S. 1,4,[5],12:i:- - DT 55")</f>
        <v>Salmonella - S. 1,4,[5],12:i:- - DT 55</v>
      </c>
      <c r="B5264" t="str">
        <f ca="1">IFERROR(__xludf.DUMMYFUNCTION("""COMPUTED_VALUE"""),"RF-00003172-MCG")</f>
        <v>RF-00003172-MCG</v>
      </c>
    </row>
    <row r="5265" spans="1:2" ht="12.5" x14ac:dyDescent="0.25">
      <c r="A5265" t="str">
        <f ca="1">IFERROR(__xludf.DUMMYFUNCTION("""COMPUTED_VALUE"""),"Salmonella - S. 1,4,[5],12:i:- - DT 56")</f>
        <v>Salmonella - S. 1,4,[5],12:i:- - DT 56</v>
      </c>
      <c r="B5265" t="str">
        <f ca="1">IFERROR(__xludf.DUMMYFUNCTION("""COMPUTED_VALUE"""),"RF-00003173-MCG")</f>
        <v>RF-00003173-MCG</v>
      </c>
    </row>
    <row r="5266" spans="1:2" ht="12.5" x14ac:dyDescent="0.25">
      <c r="A5266" t="str">
        <f ca="1">IFERROR(__xludf.DUMMYFUNCTION("""COMPUTED_VALUE"""),"Salmonella - S. 1,4,[5],12:i:- - DT 56 var.")</f>
        <v>Salmonella - S. 1,4,[5],12:i:- - DT 56 var.</v>
      </c>
      <c r="B5266" t="str">
        <f ca="1">IFERROR(__xludf.DUMMYFUNCTION("""COMPUTED_VALUE"""),"RF-00003174-MCG")</f>
        <v>RF-00003174-MCG</v>
      </c>
    </row>
    <row r="5267" spans="1:2" ht="12.5" x14ac:dyDescent="0.25">
      <c r="A5267" t="str">
        <f ca="1">IFERROR(__xludf.DUMMYFUNCTION("""COMPUTED_VALUE"""),"Salmonella - S. 1,4,[5],12:i:- - DT 58")</f>
        <v>Salmonella - S. 1,4,[5],12:i:- - DT 58</v>
      </c>
      <c r="B5267" t="str">
        <f ca="1">IFERROR(__xludf.DUMMYFUNCTION("""COMPUTED_VALUE"""),"RF-00003175-MCG")</f>
        <v>RF-00003175-MCG</v>
      </c>
    </row>
    <row r="5268" spans="1:2" ht="12.5" x14ac:dyDescent="0.25">
      <c r="A5268" t="str">
        <f ca="1">IFERROR(__xludf.DUMMYFUNCTION("""COMPUTED_VALUE"""),"Salmonella - S. 1,4,[5],12:i:- - DT 59")</f>
        <v>Salmonella - S. 1,4,[5],12:i:- - DT 59</v>
      </c>
      <c r="B5268" t="str">
        <f ca="1">IFERROR(__xludf.DUMMYFUNCTION("""COMPUTED_VALUE"""),"RF-00003176-MCG")</f>
        <v>RF-00003176-MCG</v>
      </c>
    </row>
    <row r="5269" spans="1:2" ht="12.5" x14ac:dyDescent="0.25">
      <c r="A5269" t="str">
        <f ca="1">IFERROR(__xludf.DUMMYFUNCTION("""COMPUTED_VALUE"""),"Salmonella - S. 1,4,[5],12:i:- - DT 6")</f>
        <v>Salmonella - S. 1,4,[5],12:i:- - DT 6</v>
      </c>
      <c r="B5269" t="str">
        <f ca="1">IFERROR(__xludf.DUMMYFUNCTION("""COMPUTED_VALUE"""),"RF-00003177-MCG")</f>
        <v>RF-00003177-MCG</v>
      </c>
    </row>
    <row r="5270" spans="1:2" ht="12.5" x14ac:dyDescent="0.25">
      <c r="A5270" t="str">
        <f ca="1">IFERROR(__xludf.DUMMYFUNCTION("""COMPUTED_VALUE"""),"Salmonella - S. 1,4,[5],12:i:- - DT 63")</f>
        <v>Salmonella - S. 1,4,[5],12:i:- - DT 63</v>
      </c>
      <c r="B5270" t="str">
        <f ca="1">IFERROR(__xludf.DUMMYFUNCTION("""COMPUTED_VALUE"""),"RF-00003178-MCG")</f>
        <v>RF-00003178-MCG</v>
      </c>
    </row>
    <row r="5271" spans="1:2" ht="12.5" x14ac:dyDescent="0.25">
      <c r="A5271" t="str">
        <f ca="1">IFERROR(__xludf.DUMMYFUNCTION("""COMPUTED_VALUE"""),"Salmonella - S. 1,4,[5],12:i:- - DT 64")</f>
        <v>Salmonella - S. 1,4,[5],12:i:- - DT 64</v>
      </c>
      <c r="B5271" t="str">
        <f ca="1">IFERROR(__xludf.DUMMYFUNCTION("""COMPUTED_VALUE"""),"RF-00003179-MCG")</f>
        <v>RF-00003179-MCG</v>
      </c>
    </row>
    <row r="5272" spans="1:2" ht="12.5" x14ac:dyDescent="0.25">
      <c r="A5272" t="str">
        <f ca="1">IFERROR(__xludf.DUMMYFUNCTION("""COMPUTED_VALUE"""),"Salmonella - S. 1,4,[5],12:i:- - DT 66")</f>
        <v>Salmonella - S. 1,4,[5],12:i:- - DT 66</v>
      </c>
      <c r="B5272" t="str">
        <f ca="1">IFERROR(__xludf.DUMMYFUNCTION("""COMPUTED_VALUE"""),"RF-00003180-MCG")</f>
        <v>RF-00003180-MCG</v>
      </c>
    </row>
    <row r="5273" spans="1:2" ht="12.5" x14ac:dyDescent="0.25">
      <c r="A5273" t="str">
        <f ca="1">IFERROR(__xludf.DUMMYFUNCTION("""COMPUTED_VALUE"""),"Salmonella - S. 1,4,[5],12:i:- - DT 66a")</f>
        <v>Salmonella - S. 1,4,[5],12:i:- - DT 66a</v>
      </c>
      <c r="B5273" t="str">
        <f ca="1">IFERROR(__xludf.DUMMYFUNCTION("""COMPUTED_VALUE"""),"RF-00003181-MCG")</f>
        <v>RF-00003181-MCG</v>
      </c>
    </row>
    <row r="5274" spans="1:2" ht="12.5" x14ac:dyDescent="0.25">
      <c r="A5274" t="str">
        <f ca="1">IFERROR(__xludf.DUMMYFUNCTION("""COMPUTED_VALUE"""),"Salmonella - S. 1,4,[5],12:i:- - DT 67")</f>
        <v>Salmonella - S. 1,4,[5],12:i:- - DT 67</v>
      </c>
      <c r="B5274" t="str">
        <f ca="1">IFERROR(__xludf.DUMMYFUNCTION("""COMPUTED_VALUE"""),"RF-00003182-MCG")</f>
        <v>RF-00003182-MCG</v>
      </c>
    </row>
    <row r="5275" spans="1:2" ht="12.5" x14ac:dyDescent="0.25">
      <c r="A5275" t="str">
        <f ca="1">IFERROR(__xludf.DUMMYFUNCTION("""COMPUTED_VALUE"""),"Salmonella - S. 1,4,[5],12:i:- - DT 68")</f>
        <v>Salmonella - S. 1,4,[5],12:i:- - DT 68</v>
      </c>
      <c r="B5275" t="str">
        <f ca="1">IFERROR(__xludf.DUMMYFUNCTION("""COMPUTED_VALUE"""),"RF-00003183-MCG")</f>
        <v>RF-00003183-MCG</v>
      </c>
    </row>
    <row r="5276" spans="1:2" ht="12.5" x14ac:dyDescent="0.25">
      <c r="A5276" t="str">
        <f ca="1">IFERROR(__xludf.DUMMYFUNCTION("""COMPUTED_VALUE"""),"Salmonella - S. 1,4,[5],12:i:- - DT 7")</f>
        <v>Salmonella - S. 1,4,[5],12:i:- - DT 7</v>
      </c>
      <c r="B5276" t="str">
        <f ca="1">IFERROR(__xludf.DUMMYFUNCTION("""COMPUTED_VALUE"""),"RF-00003184-MCG")</f>
        <v>RF-00003184-MCG</v>
      </c>
    </row>
    <row r="5277" spans="1:2" ht="12.5" x14ac:dyDescent="0.25">
      <c r="A5277" t="str">
        <f ca="1">IFERROR(__xludf.DUMMYFUNCTION("""COMPUTED_VALUE"""),"Salmonella - S. 1,4,[5],12:i:- - DT 73")</f>
        <v>Salmonella - S. 1,4,[5],12:i:- - DT 73</v>
      </c>
      <c r="B5277" t="str">
        <f ca="1">IFERROR(__xludf.DUMMYFUNCTION("""COMPUTED_VALUE"""),"RF-00003185-MCG")</f>
        <v>RF-00003185-MCG</v>
      </c>
    </row>
    <row r="5278" spans="1:2" ht="12.5" x14ac:dyDescent="0.25">
      <c r="A5278" t="str">
        <f ca="1">IFERROR(__xludf.DUMMYFUNCTION("""COMPUTED_VALUE"""),"Salmonella - S. 1,4,[5],12:i:- - DT 74")</f>
        <v>Salmonella - S. 1,4,[5],12:i:- - DT 74</v>
      </c>
      <c r="B5278" t="str">
        <f ca="1">IFERROR(__xludf.DUMMYFUNCTION("""COMPUTED_VALUE"""),"RF-00003186-MCG")</f>
        <v>RF-00003186-MCG</v>
      </c>
    </row>
    <row r="5279" spans="1:2" ht="12.5" x14ac:dyDescent="0.25">
      <c r="A5279" t="str">
        <f ca="1">IFERROR(__xludf.DUMMYFUNCTION("""COMPUTED_VALUE"""),"Salmonella - S. 1,4,[5],12:i:- - DT 8")</f>
        <v>Salmonella - S. 1,4,[5],12:i:- - DT 8</v>
      </c>
      <c r="B5279" t="str">
        <f ca="1">IFERROR(__xludf.DUMMYFUNCTION("""COMPUTED_VALUE"""),"RF-00003187-MCG")</f>
        <v>RF-00003187-MCG</v>
      </c>
    </row>
    <row r="5280" spans="1:2" ht="12.5" x14ac:dyDescent="0.25">
      <c r="A5280" t="str">
        <f ca="1">IFERROR(__xludf.DUMMYFUNCTION("""COMPUTED_VALUE"""),"Salmonella - S. 1,4,[5],12:i:- - DT 80")</f>
        <v>Salmonella - S. 1,4,[5],12:i:- - DT 80</v>
      </c>
      <c r="B5280" t="str">
        <f ca="1">IFERROR(__xludf.DUMMYFUNCTION("""COMPUTED_VALUE"""),"RF-00003188-MCG")</f>
        <v>RF-00003188-MCG</v>
      </c>
    </row>
    <row r="5281" spans="1:2" ht="12.5" x14ac:dyDescent="0.25">
      <c r="A5281" t="str">
        <f ca="1">IFERROR(__xludf.DUMMYFUNCTION("""COMPUTED_VALUE"""),"Salmonella - S. 1,4,[5],12:i:- - DT 82")</f>
        <v>Salmonella - S. 1,4,[5],12:i:- - DT 82</v>
      </c>
      <c r="B5281" t="str">
        <f ca="1">IFERROR(__xludf.DUMMYFUNCTION("""COMPUTED_VALUE"""),"RF-00003189-MCG")</f>
        <v>RF-00003189-MCG</v>
      </c>
    </row>
    <row r="5282" spans="1:2" ht="12.5" x14ac:dyDescent="0.25">
      <c r="A5282" t="str">
        <f ca="1">IFERROR(__xludf.DUMMYFUNCTION("""COMPUTED_VALUE"""),"Salmonella - S. 1,4,[5],12:i:- - DT 83")</f>
        <v>Salmonella - S. 1,4,[5],12:i:- - DT 83</v>
      </c>
      <c r="B5282" t="str">
        <f ca="1">IFERROR(__xludf.DUMMYFUNCTION("""COMPUTED_VALUE"""),"RF-00003190-MCG")</f>
        <v>RF-00003190-MCG</v>
      </c>
    </row>
    <row r="5283" spans="1:2" ht="12.5" x14ac:dyDescent="0.25">
      <c r="A5283" t="str">
        <f ca="1">IFERROR(__xludf.DUMMYFUNCTION("""COMPUTED_VALUE"""),"Salmonella - S. 1,4,[5],12:i:- - DT 85")</f>
        <v>Salmonella - S. 1,4,[5],12:i:- - DT 85</v>
      </c>
      <c r="B5283" t="str">
        <f ca="1">IFERROR(__xludf.DUMMYFUNCTION("""COMPUTED_VALUE"""),"RF-00003191-MCG")</f>
        <v>RF-00003191-MCG</v>
      </c>
    </row>
    <row r="5284" spans="1:2" ht="12.5" x14ac:dyDescent="0.25">
      <c r="A5284" t="str">
        <f ca="1">IFERROR(__xludf.DUMMYFUNCTION("""COMPUTED_VALUE"""),"Salmonella - S. 1,4,[5],12:i:- - DT 86")</f>
        <v>Salmonella - S. 1,4,[5],12:i:- - DT 86</v>
      </c>
      <c r="B5284" t="str">
        <f ca="1">IFERROR(__xludf.DUMMYFUNCTION("""COMPUTED_VALUE"""),"RF-00003192-MCG")</f>
        <v>RF-00003192-MCG</v>
      </c>
    </row>
    <row r="5285" spans="1:2" ht="12.5" x14ac:dyDescent="0.25">
      <c r="A5285" t="str">
        <f ca="1">IFERROR(__xludf.DUMMYFUNCTION("""COMPUTED_VALUE"""),"Salmonella - S. 1,4,[5],12:i:- - DT 87")</f>
        <v>Salmonella - S. 1,4,[5],12:i:- - DT 87</v>
      </c>
      <c r="B5285" t="str">
        <f ca="1">IFERROR(__xludf.DUMMYFUNCTION("""COMPUTED_VALUE"""),"RF-00003193-MCG")</f>
        <v>RF-00003193-MCG</v>
      </c>
    </row>
    <row r="5286" spans="1:2" ht="12.5" x14ac:dyDescent="0.25">
      <c r="A5286" t="str">
        <f ca="1">IFERROR(__xludf.DUMMYFUNCTION("""COMPUTED_VALUE"""),"Salmonella - S. 1,4,[5],12:i:- - DT 89")</f>
        <v>Salmonella - S. 1,4,[5],12:i:- - DT 89</v>
      </c>
      <c r="B5286" t="str">
        <f ca="1">IFERROR(__xludf.DUMMYFUNCTION("""COMPUTED_VALUE"""),"RF-00003194-MCG")</f>
        <v>RF-00003194-MCG</v>
      </c>
    </row>
    <row r="5287" spans="1:2" ht="12.5" x14ac:dyDescent="0.25">
      <c r="A5287" t="str">
        <f ca="1">IFERROR(__xludf.DUMMYFUNCTION("""COMPUTED_VALUE"""),"Salmonella - S. 1,4,[5],12:i:- - DT 9")</f>
        <v>Salmonella - S. 1,4,[5],12:i:- - DT 9</v>
      </c>
      <c r="B5287" t="str">
        <f ca="1">IFERROR(__xludf.DUMMYFUNCTION("""COMPUTED_VALUE"""),"RF-00003195-MCG")</f>
        <v>RF-00003195-MCG</v>
      </c>
    </row>
    <row r="5288" spans="1:2" ht="12.5" x14ac:dyDescent="0.25">
      <c r="A5288" t="str">
        <f ca="1">IFERROR(__xludf.DUMMYFUNCTION("""COMPUTED_VALUE"""),"Salmonella - S. 1,4,[5],12:i:- - DT 9 var.")</f>
        <v>Salmonella - S. 1,4,[5],12:i:- - DT 9 var.</v>
      </c>
      <c r="B5288" t="str">
        <f ca="1">IFERROR(__xludf.DUMMYFUNCTION("""COMPUTED_VALUE"""),"RF-00003196-MCG")</f>
        <v>RF-00003196-MCG</v>
      </c>
    </row>
    <row r="5289" spans="1:2" ht="12.5" x14ac:dyDescent="0.25">
      <c r="A5289" t="str">
        <f ca="1">IFERROR(__xludf.DUMMYFUNCTION("""COMPUTED_VALUE"""),"Salmonella - S. 1,4,[5],12:i:- - DT 92")</f>
        <v>Salmonella - S. 1,4,[5],12:i:- - DT 92</v>
      </c>
      <c r="B5289" t="str">
        <f ca="1">IFERROR(__xludf.DUMMYFUNCTION("""COMPUTED_VALUE"""),"RF-00003197-MCG")</f>
        <v>RF-00003197-MCG</v>
      </c>
    </row>
    <row r="5290" spans="1:2" ht="12.5" x14ac:dyDescent="0.25">
      <c r="A5290" t="str">
        <f ca="1">IFERROR(__xludf.DUMMYFUNCTION("""COMPUTED_VALUE"""),"Salmonella - S. 1,4,[5],12:i:- - DT 93")</f>
        <v>Salmonella - S. 1,4,[5],12:i:- - DT 93</v>
      </c>
      <c r="B5290" t="str">
        <f ca="1">IFERROR(__xludf.DUMMYFUNCTION("""COMPUTED_VALUE"""),"RF-00003198-MCG")</f>
        <v>RF-00003198-MCG</v>
      </c>
    </row>
    <row r="5291" spans="1:2" ht="12.5" x14ac:dyDescent="0.25">
      <c r="A5291" t="str">
        <f ca="1">IFERROR(__xludf.DUMMYFUNCTION("""COMPUTED_VALUE"""),"Salmonella - S. 1,4,[5],12:i:- - DT 94")</f>
        <v>Salmonella - S. 1,4,[5],12:i:- - DT 94</v>
      </c>
      <c r="B5291" t="str">
        <f ca="1">IFERROR(__xludf.DUMMYFUNCTION("""COMPUTED_VALUE"""),"RF-00003199-MCG")</f>
        <v>RF-00003199-MCG</v>
      </c>
    </row>
    <row r="5292" spans="1:2" ht="12.5" x14ac:dyDescent="0.25">
      <c r="A5292" t="str">
        <f ca="1">IFERROR(__xludf.DUMMYFUNCTION("""COMPUTED_VALUE"""),"Salmonella - S. 1,4,[5],12:i:- - DT 96")</f>
        <v>Salmonella - S. 1,4,[5],12:i:- - DT 96</v>
      </c>
      <c r="B5292" t="str">
        <f ca="1">IFERROR(__xludf.DUMMYFUNCTION("""COMPUTED_VALUE"""),"RF-00003200-MCG")</f>
        <v>RF-00003200-MCG</v>
      </c>
    </row>
    <row r="5293" spans="1:2" ht="12.5" x14ac:dyDescent="0.25">
      <c r="A5293" t="str">
        <f ca="1">IFERROR(__xludf.DUMMYFUNCTION("""COMPUTED_VALUE"""),"Salmonella - S. 1,4,[5],12:i:- - DT 97")</f>
        <v>Salmonella - S. 1,4,[5],12:i:- - DT 97</v>
      </c>
      <c r="B5293" t="str">
        <f ca="1">IFERROR(__xludf.DUMMYFUNCTION("""COMPUTED_VALUE"""),"RF-00003201-MCG")</f>
        <v>RF-00003201-MCG</v>
      </c>
    </row>
    <row r="5294" spans="1:2" ht="12.5" x14ac:dyDescent="0.25">
      <c r="A5294" t="str">
        <f ca="1">IFERROR(__xludf.DUMMYFUNCTION("""COMPUTED_VALUE"""),"Salmonella - S. 1,4,[5],12:i:- - DT 99")</f>
        <v>Salmonella - S. 1,4,[5],12:i:- - DT 99</v>
      </c>
      <c r="B5294" t="str">
        <f ca="1">IFERROR(__xludf.DUMMYFUNCTION("""COMPUTED_VALUE"""),"RF-00003202-MCG")</f>
        <v>RF-00003202-MCG</v>
      </c>
    </row>
    <row r="5295" spans="1:2" ht="12.5" x14ac:dyDescent="0.25">
      <c r="A5295" t="str">
        <f ca="1">IFERROR(__xludf.DUMMYFUNCTION("""COMPUTED_VALUE"""),"Salmonella - S. 1,4,[5],12:i:- - DT RDNC")</f>
        <v>Salmonella - S. 1,4,[5],12:i:- - DT RDNC</v>
      </c>
      <c r="B5295" t="str">
        <f ca="1">IFERROR(__xludf.DUMMYFUNCTION("""COMPUTED_VALUE"""),"RF-00003203-MCG")</f>
        <v>RF-00003203-MCG</v>
      </c>
    </row>
    <row r="5296" spans="1:2" ht="12.5" x14ac:dyDescent="0.25">
      <c r="A5296" t="str">
        <f ca="1">IFERROR(__xludf.DUMMYFUNCTION("""COMPUTED_VALUE"""),"Salmonella - S. 1,4,[5],12:i:- - DT U")</f>
        <v>Salmonella - S. 1,4,[5],12:i:- - DT U</v>
      </c>
      <c r="B5296" t="str">
        <f ca="1">IFERROR(__xludf.DUMMYFUNCTION("""COMPUTED_VALUE"""),"RF-00003204-MCG")</f>
        <v>RF-00003204-MCG</v>
      </c>
    </row>
    <row r="5297" spans="1:2" ht="12.5" x14ac:dyDescent="0.25">
      <c r="A5297" t="str">
        <f ca="1">IFERROR(__xludf.DUMMYFUNCTION("""COMPUTED_VALUE"""),"Salmonella - S. 1,4,[5],12:i:- - DT U291")</f>
        <v>Salmonella - S. 1,4,[5],12:i:- - DT U291</v>
      </c>
      <c r="B5297" t="str">
        <f ca="1">IFERROR(__xludf.DUMMYFUNCTION("""COMPUTED_VALUE"""),"RF-00003205-MCG")</f>
        <v>RF-00003205-MCG</v>
      </c>
    </row>
    <row r="5298" spans="1:2" ht="12.5" x14ac:dyDescent="0.25">
      <c r="A5298" t="str">
        <f ca="1">IFERROR(__xludf.DUMMYFUNCTION("""COMPUTED_VALUE"""),"Salmonella - S. 1,4,[5],12:i:- - DT U302")</f>
        <v>Salmonella - S. 1,4,[5],12:i:- - DT U302</v>
      </c>
      <c r="B5298" t="str">
        <f ca="1">IFERROR(__xludf.DUMMYFUNCTION("""COMPUTED_VALUE"""),"RF-00003206-MCG")</f>
        <v>RF-00003206-MCG</v>
      </c>
    </row>
    <row r="5299" spans="1:2" ht="12.5" x14ac:dyDescent="0.25">
      <c r="A5299" t="str">
        <f ca="1">IFERROR(__xludf.DUMMYFUNCTION("""COMPUTED_VALUE"""),"Salmonella - S. 1,4,[5],12:i:- - FT 104")</f>
        <v>Salmonella - S. 1,4,[5],12:i:- - FT 104</v>
      </c>
      <c r="B5299" t="str">
        <f ca="1">IFERROR(__xludf.DUMMYFUNCTION("""COMPUTED_VALUE"""),"RF-00003207-MCG")</f>
        <v>RF-00003207-MCG</v>
      </c>
    </row>
    <row r="5300" spans="1:2" ht="12.5" x14ac:dyDescent="0.25">
      <c r="A5300" t="str">
        <f ca="1">IFERROR(__xludf.DUMMYFUNCTION("""COMPUTED_VALUE"""),"Salmonella - S. 1,4,[5],12:i:- - FT 110")</f>
        <v>Salmonella - S. 1,4,[5],12:i:- - FT 110</v>
      </c>
      <c r="B5300" t="str">
        <f ca="1">IFERROR(__xludf.DUMMYFUNCTION("""COMPUTED_VALUE"""),"RF-00003208-MCG")</f>
        <v>RF-00003208-MCG</v>
      </c>
    </row>
    <row r="5301" spans="1:2" ht="12.5" x14ac:dyDescent="0.25">
      <c r="A5301" t="str">
        <f ca="1">IFERROR(__xludf.DUMMYFUNCTION("""COMPUTED_VALUE"""),"Salmonella - S. 1,4,[5],12:i:- - FT 13 var.")</f>
        <v>Salmonella - S. 1,4,[5],12:i:- - FT 13 var.</v>
      </c>
      <c r="B5301" t="str">
        <f ca="1">IFERROR(__xludf.DUMMYFUNCTION("""COMPUTED_VALUE"""),"RF-00003209-MCG")</f>
        <v>RF-00003209-MCG</v>
      </c>
    </row>
    <row r="5302" spans="1:2" ht="12.5" x14ac:dyDescent="0.25">
      <c r="A5302" t="str">
        <f ca="1">IFERROR(__xludf.DUMMYFUNCTION("""COMPUTED_VALUE"""),"Salmonella - S. 1,4,[5],12:i:- - FT 150")</f>
        <v>Salmonella - S. 1,4,[5],12:i:- - FT 150</v>
      </c>
      <c r="B5302" t="str">
        <f ca="1">IFERROR(__xludf.DUMMYFUNCTION("""COMPUTED_VALUE"""),"RF-00003210-MCG")</f>
        <v>RF-00003210-MCG</v>
      </c>
    </row>
    <row r="5303" spans="1:2" ht="12.5" x14ac:dyDescent="0.25">
      <c r="A5303" t="str">
        <f ca="1">IFERROR(__xludf.DUMMYFUNCTION("""COMPUTED_VALUE"""),"Salmonella - S. 1,4,[5],12:i:- - FT 2")</f>
        <v>Salmonella - S. 1,4,[5],12:i:- - FT 2</v>
      </c>
      <c r="B5303" t="str">
        <f ca="1">IFERROR(__xludf.DUMMYFUNCTION("""COMPUTED_VALUE"""),"RF-00003211-MCG")</f>
        <v>RF-00003211-MCG</v>
      </c>
    </row>
    <row r="5304" spans="1:2" ht="12.5" x14ac:dyDescent="0.25">
      <c r="A5304" t="str">
        <f ca="1">IFERROR(__xludf.DUMMYFUNCTION("""COMPUTED_VALUE"""),"Salmonella - S. 1,4,[5],12:i:- - FT 20")</f>
        <v>Salmonella - S. 1,4,[5],12:i:- - FT 20</v>
      </c>
      <c r="B5304" t="str">
        <f ca="1">IFERROR(__xludf.DUMMYFUNCTION("""COMPUTED_VALUE"""),"RF-00003212-MCG")</f>
        <v>RF-00003212-MCG</v>
      </c>
    </row>
    <row r="5305" spans="1:2" ht="12.5" x14ac:dyDescent="0.25">
      <c r="A5305" t="str">
        <f ca="1">IFERROR(__xludf.DUMMYFUNCTION("""COMPUTED_VALUE"""),"Salmonella - S. 1,4,[5],12:i:- - FT 204")</f>
        <v>Salmonella - S. 1,4,[5],12:i:- - FT 204</v>
      </c>
      <c r="B5305" t="str">
        <f ca="1">IFERROR(__xludf.DUMMYFUNCTION("""COMPUTED_VALUE"""),"RF-00003213-MCG")</f>
        <v>RF-00003213-MCG</v>
      </c>
    </row>
    <row r="5306" spans="1:2" ht="12.5" x14ac:dyDescent="0.25">
      <c r="A5306" t="str">
        <f ca="1">IFERROR(__xludf.DUMMYFUNCTION("""COMPUTED_VALUE"""),"Salmonella - S. 1,4,[5],12:i:- - FT 207")</f>
        <v>Salmonella - S. 1,4,[5],12:i:- - FT 207</v>
      </c>
      <c r="B5306" t="str">
        <f ca="1">IFERROR(__xludf.DUMMYFUNCTION("""COMPUTED_VALUE"""),"RF-00003214-MCG")</f>
        <v>RF-00003214-MCG</v>
      </c>
    </row>
    <row r="5307" spans="1:2" ht="12.5" x14ac:dyDescent="0.25">
      <c r="A5307" t="str">
        <f ca="1">IFERROR(__xludf.DUMMYFUNCTION("""COMPUTED_VALUE"""),"Salmonella - S. 1,4,[5],12:i:- - FT 281")</f>
        <v>Salmonella - S. 1,4,[5],12:i:- - FT 281</v>
      </c>
      <c r="B5307" t="str">
        <f ca="1">IFERROR(__xludf.DUMMYFUNCTION("""COMPUTED_VALUE"""),"RF-00003215-MCG")</f>
        <v>RF-00003215-MCG</v>
      </c>
    </row>
    <row r="5308" spans="1:2" ht="12.5" x14ac:dyDescent="0.25">
      <c r="A5308" t="str">
        <f ca="1">IFERROR(__xludf.DUMMYFUNCTION("""COMPUTED_VALUE"""),"Salmonella - S. 1,4,[5],12:i:- - FT 290")</f>
        <v>Salmonella - S. 1,4,[5],12:i:- - FT 290</v>
      </c>
      <c r="B5308" t="str">
        <f ca="1">IFERROR(__xludf.DUMMYFUNCTION("""COMPUTED_VALUE"""),"RF-00003216-MCG")</f>
        <v>RF-00003216-MCG</v>
      </c>
    </row>
    <row r="5309" spans="1:2" ht="12.5" x14ac:dyDescent="0.25">
      <c r="A5309" t="str">
        <f ca="1">IFERROR(__xludf.DUMMYFUNCTION("""COMPUTED_VALUE"""),"Salmonella - S. 1,4,[5],12:i:- - FT 295")</f>
        <v>Salmonella - S. 1,4,[5],12:i:- - FT 295</v>
      </c>
      <c r="B5309" t="str">
        <f ca="1">IFERROR(__xludf.DUMMYFUNCTION("""COMPUTED_VALUE"""),"RF-00003217-MCG")</f>
        <v>RF-00003217-MCG</v>
      </c>
    </row>
    <row r="5310" spans="1:2" ht="12.5" x14ac:dyDescent="0.25">
      <c r="A5310" t="str">
        <f ca="1">IFERROR(__xludf.DUMMYFUNCTION("""COMPUTED_VALUE"""),"Salmonella - S. 1,4,[5],12:i:- - FT 296")</f>
        <v>Salmonella - S. 1,4,[5],12:i:- - FT 296</v>
      </c>
      <c r="B5310" t="str">
        <f ca="1">IFERROR(__xludf.DUMMYFUNCTION("""COMPUTED_VALUE"""),"RF-00003218-MCG")</f>
        <v>RF-00003218-MCG</v>
      </c>
    </row>
    <row r="5311" spans="1:2" ht="12.5" x14ac:dyDescent="0.25">
      <c r="A5311" t="str">
        <f ca="1">IFERROR(__xludf.DUMMYFUNCTION("""COMPUTED_VALUE"""),"Salmonella - S. 1,4,[5],12:i:- - FT 3")</f>
        <v>Salmonella - S. 1,4,[5],12:i:- - FT 3</v>
      </c>
      <c r="B5311" t="str">
        <f ca="1">IFERROR(__xludf.DUMMYFUNCTION("""COMPUTED_VALUE"""),"RF-00003219-MCG")</f>
        <v>RF-00003219-MCG</v>
      </c>
    </row>
    <row r="5312" spans="1:2" ht="12.5" x14ac:dyDescent="0.25">
      <c r="A5312" t="str">
        <f ca="1">IFERROR(__xludf.DUMMYFUNCTION("""COMPUTED_VALUE"""),"Salmonella - S. 1,4,[5],12:i:- - FT 301")</f>
        <v>Salmonella - S. 1,4,[5],12:i:- - FT 301</v>
      </c>
      <c r="B5312" t="str">
        <f ca="1">IFERROR(__xludf.DUMMYFUNCTION("""COMPUTED_VALUE"""),"RF-00003220-MCG")</f>
        <v>RF-00003220-MCG</v>
      </c>
    </row>
    <row r="5313" spans="1:2" ht="12.5" x14ac:dyDescent="0.25">
      <c r="A5313" t="str">
        <f ca="1">IFERROR(__xludf.DUMMYFUNCTION("""COMPUTED_VALUE"""),"Salmonella - S. 1,4,[5],12:i:- - FT 350")</f>
        <v>Salmonella - S. 1,4,[5],12:i:- - FT 350</v>
      </c>
      <c r="B5313" t="str">
        <f ca="1">IFERROR(__xludf.DUMMYFUNCTION("""COMPUTED_VALUE"""),"RF-00003221-MCG")</f>
        <v>RF-00003221-MCG</v>
      </c>
    </row>
    <row r="5314" spans="1:2" ht="12.5" x14ac:dyDescent="0.25">
      <c r="A5314" t="str">
        <f ca="1">IFERROR(__xludf.DUMMYFUNCTION("""COMPUTED_VALUE"""),"Salmonella - S. 1,4,[5],12:i:- - FT 351")</f>
        <v>Salmonella - S. 1,4,[5],12:i:- - FT 351</v>
      </c>
      <c r="B5314" t="str">
        <f ca="1">IFERROR(__xludf.DUMMYFUNCTION("""COMPUTED_VALUE"""),"RF-00003222-MCG")</f>
        <v>RF-00003222-MCG</v>
      </c>
    </row>
    <row r="5315" spans="1:2" ht="12.5" x14ac:dyDescent="0.25">
      <c r="A5315" t="str">
        <f ca="1">IFERROR(__xludf.DUMMYFUNCTION("""COMPUTED_VALUE"""),"Salmonella - S. 1,4,[5],12:i:- - FT 353")</f>
        <v>Salmonella - S. 1,4,[5],12:i:- - FT 353</v>
      </c>
      <c r="B5315" t="str">
        <f ca="1">IFERROR(__xludf.DUMMYFUNCTION("""COMPUTED_VALUE"""),"RF-00003223-MCG")</f>
        <v>RF-00003223-MCG</v>
      </c>
    </row>
    <row r="5316" spans="1:2" ht="12.5" x14ac:dyDescent="0.25">
      <c r="A5316" t="str">
        <f ca="1">IFERROR(__xludf.DUMMYFUNCTION("""COMPUTED_VALUE"""),"Salmonella - S. 1,4,[5],12:i:- - FT 380")</f>
        <v>Salmonella - S. 1,4,[5],12:i:- - FT 380</v>
      </c>
      <c r="B5316" t="str">
        <f ca="1">IFERROR(__xludf.DUMMYFUNCTION("""COMPUTED_VALUE"""),"RF-00003224-MCG")</f>
        <v>RF-00003224-MCG</v>
      </c>
    </row>
    <row r="5317" spans="1:2" ht="12.5" x14ac:dyDescent="0.25">
      <c r="A5317" t="str">
        <f ca="1">IFERROR(__xludf.DUMMYFUNCTION("""COMPUTED_VALUE"""),"Salmonella - S. 1,4,[5],12:i:- - FT 401")</f>
        <v>Salmonella - S. 1,4,[5],12:i:- - FT 401</v>
      </c>
      <c r="B5317" t="str">
        <f ca="1">IFERROR(__xludf.DUMMYFUNCTION("""COMPUTED_VALUE"""),"RF-00003225-MCG")</f>
        <v>RF-00003225-MCG</v>
      </c>
    </row>
    <row r="5318" spans="1:2" ht="12.5" x14ac:dyDescent="0.25">
      <c r="A5318" t="str">
        <f ca="1">IFERROR(__xludf.DUMMYFUNCTION("""COMPUTED_VALUE"""),"Salmonella - S. 1,4,[5],12:i:- - FT 450")</f>
        <v>Salmonella - S. 1,4,[5],12:i:- - FT 450</v>
      </c>
      <c r="B5318" t="str">
        <f ca="1">IFERROR(__xludf.DUMMYFUNCTION("""COMPUTED_VALUE"""),"RF-00003226-MCG")</f>
        <v>RF-00003226-MCG</v>
      </c>
    </row>
    <row r="5319" spans="1:2" ht="12.5" x14ac:dyDescent="0.25">
      <c r="A5319" t="str">
        <f ca="1">IFERROR(__xludf.DUMMYFUNCTION("""COMPUTED_VALUE"""),"Salmonella - S. 1,4,[5],12:i:- - FT 461")</f>
        <v>Salmonella - S. 1,4,[5],12:i:- - FT 461</v>
      </c>
      <c r="B5319" t="str">
        <f ca="1">IFERROR(__xludf.DUMMYFUNCTION("""COMPUTED_VALUE"""),"RF-00003227-MCG")</f>
        <v>RF-00003227-MCG</v>
      </c>
    </row>
    <row r="5320" spans="1:2" ht="12.5" x14ac:dyDescent="0.25">
      <c r="A5320" t="str">
        <f ca="1">IFERROR(__xludf.DUMMYFUNCTION("""COMPUTED_VALUE"""),"Salmonella - S. 1,4,[5],12:i:- - FT 505")</f>
        <v>Salmonella - S. 1,4,[5],12:i:- - FT 505</v>
      </c>
      <c r="B5320" t="str">
        <f ca="1">IFERROR(__xludf.DUMMYFUNCTION("""COMPUTED_VALUE"""),"RF-00003228-MCG")</f>
        <v>RF-00003228-MCG</v>
      </c>
    </row>
    <row r="5321" spans="1:2" ht="12.5" x14ac:dyDescent="0.25">
      <c r="A5321" t="str">
        <f ca="1">IFERROR(__xludf.DUMMYFUNCTION("""COMPUTED_VALUE"""),"Salmonella - S. 1,4,[5],12:i:- - FT 506")</f>
        <v>Salmonella - S. 1,4,[5],12:i:- - FT 506</v>
      </c>
      <c r="B5321" t="str">
        <f ca="1">IFERROR(__xludf.DUMMYFUNCTION("""COMPUTED_VALUE"""),"RF-00003229-MCG")</f>
        <v>RF-00003229-MCG</v>
      </c>
    </row>
    <row r="5322" spans="1:2" ht="12.5" x14ac:dyDescent="0.25">
      <c r="A5322" t="str">
        <f ca="1">IFERROR(__xludf.DUMMYFUNCTION("""COMPUTED_VALUE"""),"Salmonella - S. 1,4,[5],12:i:- - FT 507")</f>
        <v>Salmonella - S. 1,4,[5],12:i:- - FT 507</v>
      </c>
      <c r="B5322" t="str">
        <f ca="1">IFERROR(__xludf.DUMMYFUNCTION("""COMPUTED_VALUE"""),"RF-00003230-MCG")</f>
        <v>RF-00003230-MCG</v>
      </c>
    </row>
    <row r="5323" spans="1:2" ht="12.5" x14ac:dyDescent="0.25">
      <c r="A5323" t="str">
        <f ca="1">IFERROR(__xludf.DUMMYFUNCTION("""COMPUTED_VALUE"""),"Salmonella - S. 1,4,[5],12:i:- - FT 508")</f>
        <v>Salmonella - S. 1,4,[5],12:i:- - FT 508</v>
      </c>
      <c r="B5323" t="str">
        <f ca="1">IFERROR(__xludf.DUMMYFUNCTION("""COMPUTED_VALUE"""),"RF-00003231-MCG")</f>
        <v>RF-00003231-MCG</v>
      </c>
    </row>
    <row r="5324" spans="1:2" ht="12.5" x14ac:dyDescent="0.25">
      <c r="A5324" t="str">
        <f ca="1">IFERROR(__xludf.DUMMYFUNCTION("""COMPUTED_VALUE"""),"Salmonella - S. 1,4,[5],12:i:- - FT 510")</f>
        <v>Salmonella - S. 1,4,[5],12:i:- - FT 510</v>
      </c>
      <c r="B5324" t="str">
        <f ca="1">IFERROR(__xludf.DUMMYFUNCTION("""COMPUTED_VALUE"""),"RF-00003232-MCG")</f>
        <v>RF-00003232-MCG</v>
      </c>
    </row>
    <row r="5325" spans="1:2" ht="12.5" x14ac:dyDescent="0.25">
      <c r="A5325" t="str">
        <f ca="1">IFERROR(__xludf.DUMMYFUNCTION("""COMPUTED_VALUE"""),"Salmonella - S. 1,4,[5],12:i:- - FT 530")</f>
        <v>Salmonella - S. 1,4,[5],12:i:- - FT 530</v>
      </c>
      <c r="B5325" t="str">
        <f ca="1">IFERROR(__xludf.DUMMYFUNCTION("""COMPUTED_VALUE"""),"RF-00003233-MCG")</f>
        <v>RF-00003233-MCG</v>
      </c>
    </row>
    <row r="5326" spans="1:2" ht="12.5" x14ac:dyDescent="0.25">
      <c r="A5326" t="str">
        <f ca="1">IFERROR(__xludf.DUMMYFUNCTION("""COMPUTED_VALUE"""),"Salmonella - S. 1,4,[5],12:i:- - FT 560")</f>
        <v>Salmonella - S. 1,4,[5],12:i:- - FT 560</v>
      </c>
      <c r="B5326" t="str">
        <f ca="1">IFERROR(__xludf.DUMMYFUNCTION("""COMPUTED_VALUE"""),"RF-00003234-MCG")</f>
        <v>RF-00003234-MCG</v>
      </c>
    </row>
    <row r="5327" spans="1:2" ht="12.5" x14ac:dyDescent="0.25">
      <c r="A5327" t="str">
        <f ca="1">IFERROR(__xludf.DUMMYFUNCTION("""COMPUTED_VALUE"""),"Salmonella - S. 1,4,[5],12:i:- - FT 60")</f>
        <v>Salmonella - S. 1,4,[5],12:i:- - FT 60</v>
      </c>
      <c r="B5327" t="str">
        <f ca="1">IFERROR(__xludf.DUMMYFUNCTION("""COMPUTED_VALUE"""),"RF-00003235-MCG")</f>
        <v>RF-00003235-MCG</v>
      </c>
    </row>
    <row r="5328" spans="1:2" ht="12.5" x14ac:dyDescent="0.25">
      <c r="A5328" t="str">
        <f ca="1">IFERROR(__xludf.DUMMYFUNCTION("""COMPUTED_VALUE"""),"Salmonella - S. 1,4,[5],12:i:- - FT 61")</f>
        <v>Salmonella - S. 1,4,[5],12:i:- - FT 61</v>
      </c>
      <c r="B5328" t="str">
        <f ca="1">IFERROR(__xludf.DUMMYFUNCTION("""COMPUTED_VALUE"""),"RF-00003236-MCG")</f>
        <v>RF-00003236-MCG</v>
      </c>
    </row>
    <row r="5329" spans="1:2" ht="12.5" x14ac:dyDescent="0.25">
      <c r="A5329" t="str">
        <f ca="1">IFERROR(__xludf.DUMMYFUNCTION("""COMPUTED_VALUE"""),"Salmonella - S. 1,4,[5],12:i:- - FT 655")</f>
        <v>Salmonella - S. 1,4,[5],12:i:- - FT 655</v>
      </c>
      <c r="B5329" t="str">
        <f ca="1">IFERROR(__xludf.DUMMYFUNCTION("""COMPUTED_VALUE"""),"RF-00003237-MCG")</f>
        <v>RF-00003237-MCG</v>
      </c>
    </row>
    <row r="5330" spans="1:2" ht="12.5" x14ac:dyDescent="0.25">
      <c r="A5330" t="str">
        <f ca="1">IFERROR(__xludf.DUMMYFUNCTION("""COMPUTED_VALUE"""),"Salmonella - S. 1,4,[5],12:i:- - FT 656")</f>
        <v>Salmonella - S. 1,4,[5],12:i:- - FT 656</v>
      </c>
      <c r="B5330" t="str">
        <f ca="1">IFERROR(__xludf.DUMMYFUNCTION("""COMPUTED_VALUE"""),"RF-00003238-MCG")</f>
        <v>RF-00003238-MCG</v>
      </c>
    </row>
    <row r="5331" spans="1:2" ht="12.5" x14ac:dyDescent="0.25">
      <c r="A5331" t="str">
        <f ca="1">IFERROR(__xludf.DUMMYFUNCTION("""COMPUTED_VALUE"""),"Salmonella - S. 1,4,[5],12:i:- - FT 658")</f>
        <v>Salmonella - S. 1,4,[5],12:i:- - FT 658</v>
      </c>
      <c r="B5331" t="str">
        <f ca="1">IFERROR(__xludf.DUMMYFUNCTION("""COMPUTED_VALUE"""),"RF-00003239-MCG")</f>
        <v>RF-00003239-MCG</v>
      </c>
    </row>
    <row r="5332" spans="1:2" ht="12.5" x14ac:dyDescent="0.25">
      <c r="A5332" t="str">
        <f ca="1">IFERROR(__xludf.DUMMYFUNCTION("""COMPUTED_VALUE"""),"Salmonella - S. 1,4,[5],12:i:- - FT 80")</f>
        <v>Salmonella - S. 1,4,[5],12:i:- - FT 80</v>
      </c>
      <c r="B5332" t="str">
        <f ca="1">IFERROR(__xludf.DUMMYFUNCTION("""COMPUTED_VALUE"""),"RF-00003240-MCG")</f>
        <v>RF-00003240-MCG</v>
      </c>
    </row>
    <row r="5333" spans="1:2" ht="12.5" x14ac:dyDescent="0.25">
      <c r="A5333" t="str">
        <f ca="1">IFERROR(__xludf.DUMMYFUNCTION("""COMPUTED_VALUE"""),"Salmonella - S. 1,4,[5],12:i:- - FT 90")</f>
        <v>Salmonella - S. 1,4,[5],12:i:- - FT 90</v>
      </c>
      <c r="B5333" t="str">
        <f ca="1">IFERROR(__xludf.DUMMYFUNCTION("""COMPUTED_VALUE"""),"RF-00003241-MCG")</f>
        <v>RF-00003241-MCG</v>
      </c>
    </row>
    <row r="5334" spans="1:2" ht="12.5" x14ac:dyDescent="0.25">
      <c r="A5334" t="str">
        <f ca="1">IFERROR(__xludf.DUMMYFUNCTION("""COMPUTED_VALUE"""),"Salmonella - S. 1,4,[5],12:i:- - Not typeable")</f>
        <v>Salmonella - S. 1,4,[5],12:i:- - Not typeable</v>
      </c>
      <c r="B5334" t="str">
        <f ca="1">IFERROR(__xludf.DUMMYFUNCTION("""COMPUTED_VALUE"""),"RF-00003242-MCG")</f>
        <v>RF-00003242-MCG</v>
      </c>
    </row>
    <row r="5335" spans="1:2" ht="12.5" x14ac:dyDescent="0.25">
      <c r="A5335" t="str">
        <f ca="1">IFERROR(__xludf.DUMMYFUNCTION("""COMPUTED_VALUE"""),"Salmonella - S. 1,4,[5],12:i:- - Nt-L30")</f>
        <v>Salmonella - S. 1,4,[5],12:i:- - Nt-L30</v>
      </c>
      <c r="B5335" t="str">
        <f ca="1">IFERROR(__xludf.DUMMYFUNCTION("""COMPUTED_VALUE"""),"RF-00003243-MCG")</f>
        <v>RF-00003243-MCG</v>
      </c>
    </row>
    <row r="5336" spans="1:2" ht="12.5" x14ac:dyDescent="0.25">
      <c r="A5336" t="str">
        <f ca="1">IFERROR(__xludf.DUMMYFUNCTION("""COMPUTED_VALUE"""),"Salmonella - S. 1,4,[5],12:i:- - Nt-L30,31")</f>
        <v>Salmonella - S. 1,4,[5],12:i:- - Nt-L30,31</v>
      </c>
      <c r="B5336" t="str">
        <f ca="1">IFERROR(__xludf.DUMMYFUNCTION("""COMPUTED_VALUE"""),"RF-00003244-MCG")</f>
        <v>RF-00003244-MCG</v>
      </c>
    </row>
    <row r="5337" spans="1:2" ht="12.5" x14ac:dyDescent="0.25">
      <c r="A5337" t="str">
        <f ca="1">IFERROR(__xludf.DUMMYFUNCTION("""COMPUTED_VALUE"""),"Salmonella - S. 1,4,[5],12:i:- - Nt-L30,31,37")</f>
        <v>Salmonella - S. 1,4,[5],12:i:- - Nt-L30,31,37</v>
      </c>
      <c r="B5337" t="str">
        <f ca="1">IFERROR(__xludf.DUMMYFUNCTION("""COMPUTED_VALUE"""),"RF-00003245-MCG")</f>
        <v>RF-00003245-MCG</v>
      </c>
    </row>
    <row r="5338" spans="1:2" ht="12.5" x14ac:dyDescent="0.25">
      <c r="A5338" t="str">
        <f ca="1">IFERROR(__xludf.DUMMYFUNCTION("""COMPUTED_VALUE"""),"Salmonella - S. 1,4,[5],12:i:- - Nt-L30,37")</f>
        <v>Salmonella - S. 1,4,[5],12:i:- - Nt-L30,37</v>
      </c>
      <c r="B5338" t="str">
        <f ca="1">IFERROR(__xludf.DUMMYFUNCTION("""COMPUTED_VALUE"""),"RF-00003246-MCG")</f>
        <v>RF-00003246-MCG</v>
      </c>
    </row>
    <row r="5339" spans="1:2" ht="12.5" x14ac:dyDescent="0.25">
      <c r="A5339" t="str">
        <f ca="1">IFERROR(__xludf.DUMMYFUNCTION("""COMPUTED_VALUE"""),"Salmonella - S. 1,4,[5],12:i:- - Nt-L31")</f>
        <v>Salmonella - S. 1,4,[5],12:i:- - Nt-L31</v>
      </c>
      <c r="B5339" t="str">
        <f ca="1">IFERROR(__xludf.DUMMYFUNCTION("""COMPUTED_VALUE"""),"RF-00003247-MCG")</f>
        <v>RF-00003247-MCG</v>
      </c>
    </row>
    <row r="5340" spans="1:2" ht="12.5" x14ac:dyDescent="0.25">
      <c r="A5340" t="str">
        <f ca="1">IFERROR(__xludf.DUMMYFUNCTION("""COMPUTED_VALUE"""),"Salmonella - S. 1,4,[5],12:i:- - Nt-L31,37")</f>
        <v>Salmonella - S. 1,4,[5],12:i:- - Nt-L31,37</v>
      </c>
      <c r="B5340" t="str">
        <f ca="1">IFERROR(__xludf.DUMMYFUNCTION("""COMPUTED_VALUE"""),"RF-00003248-MCG")</f>
        <v>RF-00003248-MCG</v>
      </c>
    </row>
    <row r="5341" spans="1:2" ht="12.5" x14ac:dyDescent="0.25">
      <c r="A5341" t="str">
        <f ca="1">IFERROR(__xludf.DUMMYFUNCTION("""COMPUTED_VALUE"""),"Salmonella - S. 1,4,[5],12:i:- - Nt-L37")</f>
        <v>Salmonella - S. 1,4,[5],12:i:- - Nt-L37</v>
      </c>
      <c r="B5341" t="str">
        <f ca="1">IFERROR(__xludf.DUMMYFUNCTION("""COMPUTED_VALUE"""),"RF-00003249-MCG")</f>
        <v>RF-00003249-MCG</v>
      </c>
    </row>
    <row r="5342" spans="1:2" ht="12.5" x14ac:dyDescent="0.25">
      <c r="A5342" t="str">
        <f ca="1">IFERROR(__xludf.DUMMYFUNCTION("""COMPUTED_VALUE"""),"Salmonella - S. 1,4,[5],12:i:- - Other")</f>
        <v>Salmonella - S. 1,4,[5],12:i:- - Other</v>
      </c>
      <c r="B5342" t="str">
        <f ca="1">IFERROR(__xludf.DUMMYFUNCTION("""COMPUTED_VALUE"""),"RF-00003250-MCG")</f>
        <v>RF-00003250-MCG</v>
      </c>
    </row>
    <row r="5343" spans="1:2" ht="12.5" x14ac:dyDescent="0.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x14ac:dyDescent="0.25">
      <c r="A5344" t="str">
        <f ca="1">IFERROR(__xludf.DUMMYFUNCTION("""COMPUTED_VALUE"""),"Salmonella - S. 1,4,[5],12:i:- - PT 193")</f>
        <v>Salmonella - S. 1,4,[5],12:i:- - PT 193</v>
      </c>
      <c r="B5344" t="str">
        <f ca="1">IFERROR(__xludf.DUMMYFUNCTION("""COMPUTED_VALUE"""),"RF-00003251-MCG")</f>
        <v>RF-00003251-MCG</v>
      </c>
    </row>
    <row r="5345" spans="1:2" ht="12.5" x14ac:dyDescent="0.25">
      <c r="A5345" t="str">
        <f ca="1">IFERROR(__xludf.DUMMYFUNCTION("""COMPUTED_VALUE"""),"Salmonella - S. 1,4,[5],12:i:- - RDNC")</f>
        <v>Salmonella - S. 1,4,[5],12:i:- - RDNC</v>
      </c>
      <c r="B5345" t="str">
        <f ca="1">IFERROR(__xludf.DUMMYFUNCTION("""COMPUTED_VALUE"""),"RF-00003253-MCG")</f>
        <v>RF-00003253-MCG</v>
      </c>
    </row>
    <row r="5346" spans="1:2" ht="12.5" x14ac:dyDescent="0.25">
      <c r="A5346" t="str">
        <f ca="1">IFERROR(__xludf.DUMMYFUNCTION("""COMPUTED_VALUE"""),"Salmonella - S. 1,4,[5],12:i:- - U")</f>
        <v>Salmonella - S. 1,4,[5],12:i:- - U</v>
      </c>
      <c r="B5346" t="str">
        <f ca="1">IFERROR(__xludf.DUMMYFUNCTION("""COMPUTED_VALUE"""),"RF-00003254-MCG")</f>
        <v>RF-00003254-MCG</v>
      </c>
    </row>
    <row r="5347" spans="1:2" ht="12.5" x14ac:dyDescent="0.25">
      <c r="A5347" t="str">
        <f ca="1">IFERROR(__xludf.DUMMYFUNCTION("""COMPUTED_VALUE"""),"Salmonella - S. 1,4,[5],12:i:- - U 276")</f>
        <v>Salmonella - S. 1,4,[5],12:i:- - U 276</v>
      </c>
      <c r="B5347" t="str">
        <f ca="1">IFERROR(__xludf.DUMMYFUNCTION("""COMPUTED_VALUE"""),"RF-00003255-MCG")</f>
        <v>RF-00003255-MCG</v>
      </c>
    </row>
    <row r="5348" spans="1:2" ht="12.5" x14ac:dyDescent="0.25">
      <c r="A5348" t="str">
        <f ca="1">IFERROR(__xludf.DUMMYFUNCTION("""COMPUTED_VALUE"""),"Salmonella - S. 1,4,[5],12:i:- - U 277")</f>
        <v>Salmonella - S. 1,4,[5],12:i:- - U 277</v>
      </c>
      <c r="B5348" t="str">
        <f ca="1">IFERROR(__xludf.DUMMYFUNCTION("""COMPUTED_VALUE"""),"RF-00003256-MCG")</f>
        <v>RF-00003256-MCG</v>
      </c>
    </row>
    <row r="5349" spans="1:2" ht="12.5" x14ac:dyDescent="0.25">
      <c r="A5349" t="str">
        <f ca="1">IFERROR(__xludf.DUMMYFUNCTION("""COMPUTED_VALUE"""),"Salmonella - S. 1,4,[5],12:i:- - U 278")</f>
        <v>Salmonella - S. 1,4,[5],12:i:- - U 278</v>
      </c>
      <c r="B5349" t="str">
        <f ca="1">IFERROR(__xludf.DUMMYFUNCTION("""COMPUTED_VALUE"""),"RF-00003257-MCG")</f>
        <v>RF-00003257-MCG</v>
      </c>
    </row>
    <row r="5350" spans="1:2" ht="12.5" x14ac:dyDescent="0.25">
      <c r="A5350" t="str">
        <f ca="1">IFERROR(__xludf.DUMMYFUNCTION("""COMPUTED_VALUE"""),"Salmonella - S. 1,4,[5],12:i:- - U 288")</f>
        <v>Salmonella - S. 1,4,[5],12:i:- - U 288</v>
      </c>
      <c r="B5350" t="str">
        <f ca="1">IFERROR(__xludf.DUMMYFUNCTION("""COMPUTED_VALUE"""),"RF-00003258-MCG")</f>
        <v>RF-00003258-MCG</v>
      </c>
    </row>
    <row r="5351" spans="1:2" ht="12.5" x14ac:dyDescent="0.25">
      <c r="A5351" t="str">
        <f ca="1">IFERROR(__xludf.DUMMYFUNCTION("""COMPUTED_VALUE"""),"Salmonella - S. 1,4,[5],12:i:- - U 289")</f>
        <v>Salmonella - S. 1,4,[5],12:i:- - U 289</v>
      </c>
      <c r="B5351" t="str">
        <f ca="1">IFERROR(__xludf.DUMMYFUNCTION("""COMPUTED_VALUE"""),"RF-00003259-MCG")</f>
        <v>RF-00003259-MCG</v>
      </c>
    </row>
    <row r="5352" spans="1:2" ht="12.5" x14ac:dyDescent="0.25">
      <c r="A5352" t="str">
        <f ca="1">IFERROR(__xludf.DUMMYFUNCTION("""COMPUTED_VALUE"""),"Salmonella - S. 1,4,[5],12:i:- - U 291")</f>
        <v>Salmonella - S. 1,4,[5],12:i:- - U 291</v>
      </c>
      <c r="B5352" t="str">
        <f ca="1">IFERROR(__xludf.DUMMYFUNCTION("""COMPUTED_VALUE"""),"RF-00003260-MCG")</f>
        <v>RF-00003260-MCG</v>
      </c>
    </row>
    <row r="5353" spans="1:2" ht="12.5" x14ac:dyDescent="0.25">
      <c r="A5353" t="str">
        <f ca="1">IFERROR(__xludf.DUMMYFUNCTION("""COMPUTED_VALUE"""),"Salmonella - S. 1,4,[5],12:i:- - U 292")</f>
        <v>Salmonella - S. 1,4,[5],12:i:- - U 292</v>
      </c>
      <c r="B5353" t="str">
        <f ca="1">IFERROR(__xludf.DUMMYFUNCTION("""COMPUTED_VALUE"""),"RF-00003261-MCG")</f>
        <v>RF-00003261-MCG</v>
      </c>
    </row>
    <row r="5354" spans="1:2" ht="12.5" x14ac:dyDescent="0.25">
      <c r="A5354" t="str">
        <f ca="1">IFERROR(__xludf.DUMMYFUNCTION("""COMPUTED_VALUE"""),"Salmonella - S. 1,4,[5],12:i:- - U 302")</f>
        <v>Salmonella - S. 1,4,[5],12:i:- - U 302</v>
      </c>
      <c r="B5354" t="str">
        <f ca="1">IFERROR(__xludf.DUMMYFUNCTION("""COMPUTED_VALUE"""),"RF-00003262-MCG")</f>
        <v>RF-00003262-MCG</v>
      </c>
    </row>
    <row r="5355" spans="1:2" ht="12.5" x14ac:dyDescent="0.25">
      <c r="A5355" t="str">
        <f ca="1">IFERROR(__xludf.DUMMYFUNCTION("""COMPUTED_VALUE"""),"Salmonella - S. 1,4,[5],12:i:- - U 307")</f>
        <v>Salmonella - S. 1,4,[5],12:i:- - U 307</v>
      </c>
      <c r="B5355" t="str">
        <f ca="1">IFERROR(__xludf.DUMMYFUNCTION("""COMPUTED_VALUE"""),"RF-00003263-MCG")</f>
        <v>RF-00003263-MCG</v>
      </c>
    </row>
    <row r="5356" spans="1:2" ht="12.5" x14ac:dyDescent="0.25">
      <c r="A5356" t="str">
        <f ca="1">IFERROR(__xludf.DUMMYFUNCTION("""COMPUTED_VALUE"""),"Salmonella - S. 1,4,[5],12:i:- - U 308")</f>
        <v>Salmonella - S. 1,4,[5],12:i:- - U 308</v>
      </c>
      <c r="B5356" t="str">
        <f ca="1">IFERROR(__xludf.DUMMYFUNCTION("""COMPUTED_VALUE"""),"RF-00003264-MCG")</f>
        <v>RF-00003264-MCG</v>
      </c>
    </row>
    <row r="5357" spans="1:2" ht="12.5" x14ac:dyDescent="0.25">
      <c r="A5357" t="str">
        <f ca="1">IFERROR(__xludf.DUMMYFUNCTION("""COMPUTED_VALUE"""),"Salmonella - S. 1,4,[5],12:i:- - U 308b")</f>
        <v>Salmonella - S. 1,4,[5],12:i:- - U 308b</v>
      </c>
      <c r="B5357" t="str">
        <f ca="1">IFERROR(__xludf.DUMMYFUNCTION("""COMPUTED_VALUE"""),"RF-00003265-MCG")</f>
        <v>RF-00003265-MCG</v>
      </c>
    </row>
    <row r="5358" spans="1:2" ht="12.5" x14ac:dyDescent="0.25">
      <c r="A5358" t="str">
        <f ca="1">IFERROR(__xludf.DUMMYFUNCTION("""COMPUTED_VALUE"""),"Salmonella - S. 1,4,[5],12:i:- - U 309")</f>
        <v>Salmonella - S. 1,4,[5],12:i:- - U 309</v>
      </c>
      <c r="B5358" t="str">
        <f ca="1">IFERROR(__xludf.DUMMYFUNCTION("""COMPUTED_VALUE"""),"RF-00003266-MCG")</f>
        <v>RF-00003266-MCG</v>
      </c>
    </row>
    <row r="5359" spans="1:2" ht="12.5" x14ac:dyDescent="0.25">
      <c r="A5359" t="str">
        <f ca="1">IFERROR(__xludf.DUMMYFUNCTION("""COMPUTED_VALUE"""),"Salmonella - S. 1,4,[5],12:i:- - U 310")</f>
        <v>Salmonella - S. 1,4,[5],12:i:- - U 310</v>
      </c>
      <c r="B5359" t="str">
        <f ca="1">IFERROR(__xludf.DUMMYFUNCTION("""COMPUTED_VALUE"""),"RF-00003267-MCG")</f>
        <v>RF-00003267-MCG</v>
      </c>
    </row>
    <row r="5360" spans="1:2" ht="12.5" x14ac:dyDescent="0.25">
      <c r="A5360" t="str">
        <f ca="1">IFERROR(__xludf.DUMMYFUNCTION("""COMPUTED_VALUE"""),"Salmonella - S. 1,4,[5],12:i:- - U 311")</f>
        <v>Salmonella - S. 1,4,[5],12:i:- - U 311</v>
      </c>
      <c r="B5360" t="str">
        <f ca="1">IFERROR(__xludf.DUMMYFUNCTION("""COMPUTED_VALUE"""),"RF-00003268-MCG")</f>
        <v>RF-00003268-MCG</v>
      </c>
    </row>
    <row r="5361" spans="1:2" ht="12.5" x14ac:dyDescent="0.25">
      <c r="A5361" t="str">
        <f ca="1">IFERROR(__xludf.DUMMYFUNCTION("""COMPUTED_VALUE"""),"Salmonella - S. 1,4,[5],12:i:- - U 312")</f>
        <v>Salmonella - S. 1,4,[5],12:i:- - U 312</v>
      </c>
      <c r="B5361" t="str">
        <f ca="1">IFERROR(__xludf.DUMMYFUNCTION("""COMPUTED_VALUE"""),"RF-00003269-MCG")</f>
        <v>RF-00003269-MCG</v>
      </c>
    </row>
    <row r="5362" spans="1:2" ht="12.5" x14ac:dyDescent="0.25">
      <c r="A5362" t="str">
        <f ca="1">IFERROR(__xludf.DUMMYFUNCTION("""COMPUTED_VALUE"""),"Salmonella - S. 1,4,[5],12:i:- - U 313")</f>
        <v>Salmonella - S. 1,4,[5],12:i:- - U 313</v>
      </c>
      <c r="B5362" t="str">
        <f ca="1">IFERROR(__xludf.DUMMYFUNCTION("""COMPUTED_VALUE"""),"RF-00003270-MCG")</f>
        <v>RF-00003270-MCG</v>
      </c>
    </row>
    <row r="5363" spans="1:2" ht="12.5" x14ac:dyDescent="0.25">
      <c r="A5363" t="str">
        <f ca="1">IFERROR(__xludf.DUMMYFUNCTION("""COMPUTED_VALUE"""),"Salmonella - S. 1,4,[5],12:i:- - U 314")</f>
        <v>Salmonella - S. 1,4,[5],12:i:- - U 314</v>
      </c>
      <c r="B5363" t="str">
        <f ca="1">IFERROR(__xludf.DUMMYFUNCTION("""COMPUTED_VALUE"""),"RF-00003271-MCG")</f>
        <v>RF-00003271-MCG</v>
      </c>
    </row>
    <row r="5364" spans="1:2" ht="12.5" x14ac:dyDescent="0.25">
      <c r="A5364" t="str">
        <f ca="1">IFERROR(__xludf.DUMMYFUNCTION("""COMPUTED_VALUE"""),"Salmonella - S. 1,4,[5],12:i:- - U 322")</f>
        <v>Salmonella - S. 1,4,[5],12:i:- - U 322</v>
      </c>
      <c r="B5364" t="str">
        <f ca="1">IFERROR(__xludf.DUMMYFUNCTION("""COMPUTED_VALUE"""),"RF-00003272-MCG")</f>
        <v>RF-00003272-MCG</v>
      </c>
    </row>
    <row r="5365" spans="1:2" ht="12.5" x14ac:dyDescent="0.25">
      <c r="A5365" t="str">
        <f ca="1">IFERROR(__xludf.DUMMYFUNCTION("""COMPUTED_VALUE"""),"Salmonella - S. 1,4,[5],12:i:- - U 323")</f>
        <v>Salmonella - S. 1,4,[5],12:i:- - U 323</v>
      </c>
      <c r="B5365" t="str">
        <f ca="1">IFERROR(__xludf.DUMMYFUNCTION("""COMPUTED_VALUE"""),"RF-00003273-MCG")</f>
        <v>RF-00003273-MCG</v>
      </c>
    </row>
    <row r="5366" spans="1:2" ht="12.5" x14ac:dyDescent="0.25">
      <c r="A5366" t="str">
        <f ca="1">IFERROR(__xludf.DUMMYFUNCTION("""COMPUTED_VALUE"""),"Salmonella - S. 1,4,12:i:-")</f>
        <v>Salmonella - S. 1,4,12:i:-</v>
      </c>
      <c r="B5366" t="str">
        <f ca="1">IFERROR(__xludf.DUMMYFUNCTION("""COMPUTED_VALUE"""),"RF-00004093-MCG")</f>
        <v>RF-00004093-MCG</v>
      </c>
    </row>
    <row r="5367" spans="1:2" ht="12.5" x14ac:dyDescent="0.25">
      <c r="A5367" t="str">
        <f ca="1">IFERROR(__xludf.DUMMYFUNCTION("""COMPUTED_VALUE"""),"Salmonella - S. 1,4,5,12:-:1,2")</f>
        <v>Salmonella - S. 1,4,5,12:-:1,2</v>
      </c>
      <c r="B5367" t="str">
        <f ca="1">IFERROR(__xludf.DUMMYFUNCTION("""COMPUTED_VALUE"""),"RF-00000503-MCG")</f>
        <v>RF-00000503-MCG</v>
      </c>
    </row>
    <row r="5368" spans="1:2" ht="12.5" x14ac:dyDescent="0.25">
      <c r="A5368" t="str">
        <f ca="1">IFERROR(__xludf.DUMMYFUNCTION("""COMPUTED_VALUE"""),"Salmonella - S. 1,4,5,12:i:-")</f>
        <v>Salmonella - S. 1,4,5,12:i:-</v>
      </c>
      <c r="B5368" t="str">
        <f ca="1">IFERROR(__xludf.DUMMYFUNCTION("""COMPUTED_VALUE"""),"RF-00004094.MCG")</f>
        <v>RF-00004094.MCG</v>
      </c>
    </row>
    <row r="5369" spans="1:2" ht="12.5" x14ac:dyDescent="0.25">
      <c r="A5369" t="str">
        <f ca="1">IFERROR(__xludf.DUMMYFUNCTION("""COMPUTED_VALUE"""),"Salmonella - S. 4,5,12:i:- - U 323")</f>
        <v>Salmonella - S. 4,5,12:i:- - U 323</v>
      </c>
      <c r="B5369" t="str">
        <f ca="1">IFERROR(__xludf.DUMMYFUNCTION("""COMPUTED_VALUE"""),"RF-00003274-MCG")</f>
        <v>RF-00003274-MCG</v>
      </c>
    </row>
    <row r="5370" spans="1:2" ht="12.5" x14ac:dyDescent="0.25">
      <c r="A5370" t="str">
        <f ca="1">IFERROR(__xludf.DUMMYFUNCTION("""COMPUTED_VALUE"""),"Salmonella - S. 4,5:-:1,5")</f>
        <v>Salmonella - S. 4,5:-:1,5</v>
      </c>
      <c r="B5370" t="str">
        <f ca="1">IFERROR(__xludf.DUMMYFUNCTION("""COMPUTED_VALUE"""),"RF-00004085-MCG")</f>
        <v>RF-00004085-MCG</v>
      </c>
    </row>
    <row r="5371" spans="1:2" ht="12.5" x14ac:dyDescent="0.25">
      <c r="A5371" t="str">
        <f ca="1">IFERROR(__xludf.DUMMYFUNCTION("""COMPUTED_VALUE"""),"Salmonella - S. 4,5:b")</f>
        <v>Salmonella - S. 4,5:b</v>
      </c>
      <c r="B5371" t="str">
        <f ca="1">IFERROR(__xludf.DUMMYFUNCTION("""COMPUTED_VALUE"""),"RF-00003033-MCG")</f>
        <v>RF-00003033-MCG</v>
      </c>
    </row>
    <row r="5372" spans="1:2" ht="12.5" x14ac:dyDescent="0.25">
      <c r="A5372" t="str">
        <f ca="1">IFERROR(__xludf.DUMMYFUNCTION("""COMPUTED_VALUE"""),"Salmonella - S. 4:i:-")</f>
        <v>Salmonella - S. 4:i:-</v>
      </c>
      <c r="B5372" t="str">
        <f ca="1">IFERROR(__xludf.DUMMYFUNCTION("""COMPUTED_VALUE"""),"RF-00004086-MCG")</f>
        <v>RF-00004086-MCG</v>
      </c>
    </row>
    <row r="5373" spans="1:2" ht="12.5" x14ac:dyDescent="0.25">
      <c r="A5373" t="str">
        <f ca="1">IFERROR(__xludf.DUMMYFUNCTION("""COMPUTED_VALUE"""),"Salmonella - S. 6,7:e,h:-")</f>
        <v>Salmonella - S. 6,7:e,h:-</v>
      </c>
      <c r="B5373" t="str">
        <f ca="1">IFERROR(__xludf.DUMMYFUNCTION("""COMPUTED_VALUE"""),"RF-00003034-MCG")</f>
        <v>RF-00003034-MCG</v>
      </c>
    </row>
    <row r="5374" spans="1:2" ht="12.5" x14ac:dyDescent="0.25">
      <c r="A5374" t="str">
        <f ca="1">IFERROR(__xludf.DUMMYFUNCTION("""COMPUTED_VALUE"""),"Salmonella - S. 6,7:z29")</f>
        <v>Salmonella - S. 6,7:z29</v>
      </c>
      <c r="B5374" t="str">
        <f ca="1">IFERROR(__xludf.DUMMYFUNCTION("""COMPUTED_VALUE"""),"RF-00004092-MCG")</f>
        <v>RF-00004092-MCG</v>
      </c>
    </row>
    <row r="5375" spans="1:2" ht="12.5" x14ac:dyDescent="0.25">
      <c r="A5375" t="str">
        <f ca="1">IFERROR(__xludf.DUMMYFUNCTION("""COMPUTED_VALUE"""),"Salmonella - S. 61:-:1,5")</f>
        <v>Salmonella - S. 61:-:1,5</v>
      </c>
      <c r="B5375" t="str">
        <f ca="1">IFERROR(__xludf.DUMMYFUNCTION("""COMPUTED_VALUE"""),"RF-00004091-MCG")</f>
        <v>RF-00004091-MCG</v>
      </c>
    </row>
    <row r="5376" spans="1:2" ht="12.5" x14ac:dyDescent="0.25">
      <c r="A5376" t="str">
        <f ca="1">IFERROR(__xludf.DUMMYFUNCTION("""COMPUTED_VALUE"""),"Salmonella - S. 61:z55:1,5,7")</f>
        <v>Salmonella - S. 61:z55:1,5,7</v>
      </c>
      <c r="B5376" t="str">
        <f ca="1">IFERROR(__xludf.DUMMYFUNCTION("""COMPUTED_VALUE"""),"RF-00003035-MCG")</f>
        <v>RF-00003035-MCG</v>
      </c>
    </row>
    <row r="5377" spans="1:2" ht="12.5" x14ac:dyDescent="0.25">
      <c r="A5377" t="str">
        <f ca="1">IFERROR(__xludf.DUMMYFUNCTION("""COMPUTED_VALUE"""),"Salmonella - S. 9,46:b:-")</f>
        <v>Salmonella - S. 9,46:b:-</v>
      </c>
      <c r="B5377" t="str">
        <f ca="1">IFERROR(__xludf.DUMMYFUNCTION("""COMPUTED_VALUE"""),"RF-00003036-MCG")</f>
        <v>RF-00003036-MCG</v>
      </c>
    </row>
    <row r="5378" spans="1:2" ht="12.5" x14ac:dyDescent="0.25">
      <c r="A5378" t="str">
        <f ca="1">IFERROR(__xludf.DUMMYFUNCTION("""COMPUTED_VALUE"""),"Salmonella - S. Chennai")</f>
        <v>Salmonella - S. Chennai</v>
      </c>
      <c r="B5378" t="str">
        <f ca="1">IFERROR(__xludf.DUMMYFUNCTION("""COMPUTED_VALUE"""),"RF-00003037-MCG")</f>
        <v>RF-00003037-MCG</v>
      </c>
    </row>
    <row r="5379" spans="1:2" ht="12.5" x14ac:dyDescent="0.25">
      <c r="A5379" t="str">
        <f ca="1">IFERROR(__xludf.DUMMYFUNCTION("""COMPUTED_VALUE"""),"Salmonella - S. Cochise")</f>
        <v>Salmonella - S. Cochise</v>
      </c>
      <c r="B5379" t="str">
        <f ca="1">IFERROR(__xludf.DUMMYFUNCTION("""COMPUTED_VALUE"""),"RF-00003038-MCG")</f>
        <v>RF-00003038-MCG</v>
      </c>
    </row>
    <row r="5380" spans="1:2" ht="12.5" x14ac:dyDescent="0.25">
      <c r="A5380" t="str">
        <f ca="1">IFERROR(__xludf.DUMMYFUNCTION("""COMPUTED_VALUE"""),"Salmonella - S. enterica subsp. enterica")</f>
        <v>Salmonella - S. enterica subsp. enterica</v>
      </c>
      <c r="B5380" t="str">
        <f ca="1">IFERROR(__xludf.DUMMYFUNCTION("""COMPUTED_VALUE"""),"RF-00003052-MCG")</f>
        <v>RF-00003052-MCG</v>
      </c>
    </row>
    <row r="5381" spans="1:2" ht="12.5" x14ac:dyDescent="0.25">
      <c r="A5381" t="str">
        <f ca="1">IFERROR(__xludf.DUMMYFUNCTION("""COMPUTED_VALUE"""),"Salmonella - S. enterica subsp. enterica - rough")</f>
        <v>Salmonella - S. enterica subsp. enterica - rough</v>
      </c>
      <c r="B5381" t="str">
        <f ca="1">IFERROR(__xludf.DUMMYFUNCTION("""COMPUTED_VALUE"""),"RF-00003518-MCG")</f>
        <v>RF-00003518-MCG</v>
      </c>
    </row>
    <row r="5382" spans="1:2" ht="12.5" x14ac:dyDescent="0.25">
      <c r="A5382" t="str">
        <f ca="1">IFERROR(__xludf.DUMMYFUNCTION("""COMPUTED_VALUE"""),"Salmonella - S. enterica subsp. indica")</f>
        <v>Salmonella - S. enterica subsp. indica</v>
      </c>
      <c r="B5382" t="str">
        <f ca="1">IFERROR(__xludf.DUMMYFUNCTION("""COMPUTED_VALUE"""),"RF-00003053-MCG")</f>
        <v>RF-00003053-MCG</v>
      </c>
    </row>
    <row r="5383" spans="1:2" ht="12.5" x14ac:dyDescent="0.25">
      <c r="A5383" t="str">
        <f ca="1">IFERROR(__xludf.DUMMYFUNCTION("""COMPUTED_VALUE"""),"Salmonella - S. Enteritidis - PT 11b")</f>
        <v>Salmonella - S. Enteritidis - PT 11b</v>
      </c>
      <c r="B5383" t="str">
        <f ca="1">IFERROR(__xludf.DUMMYFUNCTION("""COMPUTED_VALUE"""),"RF-00003275-MCG")</f>
        <v>RF-00003275-MCG</v>
      </c>
    </row>
    <row r="5384" spans="1:2" ht="12.5" x14ac:dyDescent="0.25">
      <c r="A5384" t="str">
        <f ca="1">IFERROR(__xludf.DUMMYFUNCTION("""COMPUTED_VALUE"""),"Salmonella - S. Enteritidis - PT 14c")</f>
        <v>Salmonella - S. Enteritidis - PT 14c</v>
      </c>
      <c r="B5384" t="str">
        <f ca="1">IFERROR(__xludf.DUMMYFUNCTION("""COMPUTED_VALUE"""),"RF-00003276-MCG")</f>
        <v>RF-00003276-MCG</v>
      </c>
    </row>
    <row r="5385" spans="1:2" ht="12.5" x14ac:dyDescent="0.25">
      <c r="A5385" t="str">
        <f ca="1">IFERROR(__xludf.DUMMYFUNCTION("""COMPUTED_VALUE"""),"Salmonella - S. Enteritidis - PT 15a")</f>
        <v>Salmonella - S. Enteritidis - PT 15a</v>
      </c>
      <c r="B5385" t="str">
        <f ca="1">IFERROR(__xludf.DUMMYFUNCTION("""COMPUTED_VALUE"""),"RF-00003277-MCG")</f>
        <v>RF-00003277-MCG</v>
      </c>
    </row>
    <row r="5386" spans="1:2" ht="12.5" x14ac:dyDescent="0.25">
      <c r="A5386" t="str">
        <f ca="1">IFERROR(__xludf.DUMMYFUNCTION("""COMPUTED_VALUE"""),"Salmonella - S. Enteritidis - PT 51")</f>
        <v>Salmonella - S. Enteritidis - PT 51</v>
      </c>
      <c r="B5386" t="str">
        <f ca="1">IFERROR(__xludf.DUMMYFUNCTION("""COMPUTED_VALUE"""),"RF-00003278-MCG")</f>
        <v>RF-00003278-MCG</v>
      </c>
    </row>
    <row r="5387" spans="1:2" ht="12.5" x14ac:dyDescent="0.25">
      <c r="A5387" t="str">
        <f ca="1">IFERROR(__xludf.DUMMYFUNCTION("""COMPUTED_VALUE"""),"Salmonella - S. Enteritidis - PT 5b")</f>
        <v>Salmonella - S. Enteritidis - PT 5b</v>
      </c>
      <c r="B5387" t="str">
        <f ca="1">IFERROR(__xludf.DUMMYFUNCTION("""COMPUTED_VALUE"""),"RF-00002204-MCG")</f>
        <v>RF-00002204-MCG</v>
      </c>
    </row>
    <row r="5388" spans="1:2" ht="12.5" x14ac:dyDescent="0.25">
      <c r="A5388" t="str">
        <f ca="1">IFERROR(__xludf.DUMMYFUNCTION("""COMPUTED_VALUE"""),"Salmonella - S. Enteritidis - PT 6b")</f>
        <v>Salmonella - S. Enteritidis - PT 6b</v>
      </c>
      <c r="B5388" t="str">
        <f ca="1">IFERROR(__xludf.DUMMYFUNCTION("""COMPUTED_VALUE"""),"RF-00004083-MCG")</f>
        <v>RF-00004083-MCG</v>
      </c>
    </row>
    <row r="5389" spans="1:2" ht="12.5" x14ac:dyDescent="0.25">
      <c r="A5389" t="str">
        <f ca="1">IFERROR(__xludf.DUMMYFUNCTION("""COMPUTED_VALUE"""),"Salmonella - S. group C")</f>
        <v>Salmonella - S. group C</v>
      </c>
      <c r="B5389" t="str">
        <f ca="1">IFERROR(__xludf.DUMMYFUNCTION("""COMPUTED_VALUE"""),"RF-00003054-MCG")</f>
        <v>RF-00003054-MCG</v>
      </c>
    </row>
    <row r="5390" spans="1:2" ht="12.5" x14ac:dyDescent="0.25">
      <c r="A5390" t="str">
        <f ca="1">IFERROR(__xludf.DUMMYFUNCTION("""COMPUTED_VALUE"""),"Salmonella - S. group C - S. group C1")</f>
        <v>Salmonella - S. group C - S. group C1</v>
      </c>
      <c r="B5390" t="str">
        <f ca="1">IFERROR(__xludf.DUMMYFUNCTION("""COMPUTED_VALUE"""),"RF-00001457-MCG")</f>
        <v>RF-00001457-MCG</v>
      </c>
    </row>
    <row r="5391" spans="1:2" ht="12.5" x14ac:dyDescent="0.25">
      <c r="A5391" t="str">
        <f ca="1">IFERROR(__xludf.DUMMYFUNCTION("""COMPUTED_VALUE"""),"Salmonella - S. group C - S. group C2")</f>
        <v>Salmonella - S. group C - S. group C2</v>
      </c>
      <c r="B5391" t="str">
        <f ca="1">IFERROR(__xludf.DUMMYFUNCTION("""COMPUTED_VALUE"""),"RF-00001806-MCG")</f>
        <v>RF-00001806-MCG</v>
      </c>
    </row>
    <row r="5392" spans="1:2" ht="12.5" x14ac:dyDescent="0.25">
      <c r="A5392" t="str">
        <f ca="1">IFERROR(__xludf.DUMMYFUNCTION("""COMPUTED_VALUE"""),"Salmonella - S. group D")</f>
        <v>Salmonella - S. group D</v>
      </c>
      <c r="B5392" t="str">
        <f ca="1">IFERROR(__xludf.DUMMYFUNCTION("""COMPUTED_VALUE"""),"RF-00003055-MCG")</f>
        <v>RF-00003055-MCG</v>
      </c>
    </row>
    <row r="5393" spans="1:2" ht="12.5" x14ac:dyDescent="0.25">
      <c r="A5393" t="str">
        <f ca="1">IFERROR(__xludf.DUMMYFUNCTION("""COMPUTED_VALUE"""),"Salmonella - S. group D - S. group D1")</f>
        <v>Salmonella - S. group D - S. group D1</v>
      </c>
      <c r="B5393" t="str">
        <f ca="1">IFERROR(__xludf.DUMMYFUNCTION("""COMPUTED_VALUE"""),"RF-00001803-MCG")</f>
        <v>RF-00001803-MCG</v>
      </c>
    </row>
    <row r="5394" spans="1:2" ht="12.5" x14ac:dyDescent="0.25">
      <c r="A5394" t="str">
        <f ca="1">IFERROR(__xludf.DUMMYFUNCTION("""COMPUTED_VALUE"""),"Salmonella - S. I 1,3,19:z27:-")</f>
        <v>Salmonella - S. I 1,3,19:z27:-</v>
      </c>
      <c r="B5394" t="str">
        <f ca="1">IFERROR(__xludf.DUMMYFUNCTION("""COMPUTED_VALUE"""),"RF-00001934-MCG")</f>
        <v>RF-00001934-MCG</v>
      </c>
    </row>
    <row r="5395" spans="1:2" ht="12.5" x14ac:dyDescent="0.25">
      <c r="A5395" t="str">
        <f ca="1">IFERROR(__xludf.DUMMYFUNCTION("""COMPUTED_VALUE"""),"Salmonella - S. I 4,5,12:d:2ef nat")</f>
        <v>Salmonella - S. I 4,5,12:d:2ef nat</v>
      </c>
      <c r="B5395" t="str">
        <f ca="1">IFERROR(__xludf.DUMMYFUNCTION("""COMPUTED_VALUE"""),"RF-00003039-MCG")</f>
        <v>RF-00003039-MCG</v>
      </c>
    </row>
    <row r="5396" spans="1:2" ht="12.5" x14ac:dyDescent="0.25">
      <c r="A5396" t="str">
        <f ca="1">IFERROR(__xludf.DUMMYFUNCTION("""COMPUTED_VALUE"""),"Salmonella - S. II 1,13,22:g,t:1,5")</f>
        <v>Salmonella - S. II 1,13,22:g,t:1,5</v>
      </c>
      <c r="B5396" t="str">
        <f ca="1">IFERROR(__xludf.DUMMYFUNCTION("""COMPUTED_VALUE"""),"RF-00001938-MCG")</f>
        <v>RF-00001938-MCG</v>
      </c>
    </row>
    <row r="5397" spans="1:2" ht="12.5" x14ac:dyDescent="0.25">
      <c r="A5397" t="str">
        <f ca="1">IFERROR(__xludf.DUMMYFUNCTION("""COMPUTED_VALUE"""),"Salmonella - S. II 1,13,23:a:z42")</f>
        <v>Salmonella - S. II 1,13,23:a:z42</v>
      </c>
      <c r="B5397" t="str">
        <f ca="1">IFERROR(__xludf.DUMMYFUNCTION("""COMPUTED_VALUE"""),"RF-00001982-MCG")</f>
        <v>RF-00001982-MCG</v>
      </c>
    </row>
    <row r="5398" spans="1:2" ht="12.5" x14ac:dyDescent="0.25">
      <c r="A5398" t="str">
        <f ca="1">IFERROR(__xludf.DUMMYFUNCTION("""COMPUTED_VALUE"""),"Salmonella - S. II 1,13,23:g,t:1,5")</f>
        <v>Salmonella - S. II 1,13,23:g,t:1,5</v>
      </c>
      <c r="B5398" t="str">
        <f ca="1">IFERROR(__xludf.DUMMYFUNCTION("""COMPUTED_VALUE"""),"RF-00002026-MCG")</f>
        <v>RF-00002026-MCG</v>
      </c>
    </row>
    <row r="5399" spans="1:2" ht="12.5" x14ac:dyDescent="0.25">
      <c r="A5399" t="str">
        <f ca="1">IFERROR(__xludf.DUMMYFUNCTION("""COMPUTED_VALUE"""),"Salmonella - S. II 1,13,23:l,z28:z42")</f>
        <v>Salmonella - S. II 1,13,23:l,z28:z42</v>
      </c>
      <c r="B5399" t="str">
        <f ca="1">IFERROR(__xludf.DUMMYFUNCTION("""COMPUTED_VALUE"""),"RF-00001955-MCG")</f>
        <v>RF-00001955-MCG</v>
      </c>
    </row>
    <row r="5400" spans="1:2" ht="12.5" x14ac:dyDescent="0.25">
      <c r="A5400" t="str">
        <f ca="1">IFERROR(__xludf.DUMMYFUNCTION("""COMPUTED_VALUE"""),"Salmonella - S. II 1,13,23:m,t:1,5")</f>
        <v>Salmonella - S. II 1,13,23:m,t:1,5</v>
      </c>
      <c r="B5400" t="str">
        <f ca="1">IFERROR(__xludf.DUMMYFUNCTION("""COMPUTED_VALUE"""),"RF-00002000-MCG")</f>
        <v>RF-00002000-MCG</v>
      </c>
    </row>
    <row r="5401" spans="1:2" ht="12.5" x14ac:dyDescent="0.25">
      <c r="A5401" t="str">
        <f ca="1">IFERROR(__xludf.DUMMYFUNCTION("""COMPUTED_VALUE"""),"Salmonella - S. II 1,13,23:m,t:e,n,x")</f>
        <v>Salmonella - S. II 1,13,23:m,t:e,n,x</v>
      </c>
      <c r="B5401" t="str">
        <f ca="1">IFERROR(__xludf.DUMMYFUNCTION("""COMPUTED_VALUE"""),"RF-00002001-MCG")</f>
        <v>RF-00002001-MCG</v>
      </c>
    </row>
    <row r="5402" spans="1:2" ht="12.5" x14ac:dyDescent="0.25">
      <c r="A5402" t="str">
        <f ca="1">IFERROR(__xludf.DUMMYFUNCTION("""COMPUTED_VALUE"""),"Salmonella - S. II 1,13,23:m,t:z42")</f>
        <v>Salmonella - S. II 1,13,23:m,t:z42</v>
      </c>
      <c r="B5402" t="str">
        <f ca="1">IFERROR(__xludf.DUMMYFUNCTION("""COMPUTED_VALUE"""),"RF-00002002-MCG")</f>
        <v>RF-00002002-MCG</v>
      </c>
    </row>
    <row r="5403" spans="1:2" ht="12.5" x14ac:dyDescent="0.25">
      <c r="A5403" t="str">
        <f ca="1">IFERROR(__xludf.DUMMYFUNCTION("""COMPUTED_VALUE"""),"Salmonella - S. II 1,13,23:z:1,5")</f>
        <v>Salmonella - S. II 1,13,23:z:1,5</v>
      </c>
      <c r="B5403" t="str">
        <f ca="1">IFERROR(__xludf.DUMMYFUNCTION("""COMPUTED_VALUE"""),"RF-00002003-MCG")</f>
        <v>RF-00002003-MCG</v>
      </c>
    </row>
    <row r="5404" spans="1:2" ht="12.5" x14ac:dyDescent="0.25">
      <c r="A5404" t="str">
        <f ca="1">IFERROR(__xludf.DUMMYFUNCTION("""COMPUTED_VALUE"""),"Salmonella - S. II 1,4,12,27:z:e,n,x")</f>
        <v>Salmonella - S. II 1,4,12,27:z:e,n,x</v>
      </c>
      <c r="B5404" t="str">
        <f ca="1">IFERROR(__xludf.DUMMYFUNCTION("""COMPUTED_VALUE"""),"RF-00002004-MCG")</f>
        <v>RF-00002004-MCG</v>
      </c>
    </row>
    <row r="5405" spans="1:2" ht="12.5" x14ac:dyDescent="0.25">
      <c r="A5405" t="str">
        <f ca="1">IFERROR(__xludf.DUMMYFUNCTION("""COMPUTED_VALUE"""),"Salmonella - S. II 1,40:c:e,n,x,z15")</f>
        <v>Salmonella - S. II 1,40:c:e,n,x,z15</v>
      </c>
      <c r="B5405" t="str">
        <f ca="1">IFERROR(__xludf.DUMMYFUNCTION("""COMPUTED_VALUE"""),"RF-00002005-MCG")</f>
        <v>RF-00002005-MCG</v>
      </c>
    </row>
    <row r="5406" spans="1:2" ht="12.5" x14ac:dyDescent="0.25">
      <c r="A5406" t="str">
        <f ca="1">IFERROR(__xludf.DUMMYFUNCTION("""COMPUTED_VALUE"""),"Salmonella - S. II 1,40:k:e,n,x,z15")</f>
        <v>Salmonella - S. II 1,40:k:e,n,x,z15</v>
      </c>
      <c r="B5406" t="str">
        <f ca="1">IFERROR(__xludf.DUMMYFUNCTION("""COMPUTED_VALUE"""),"RF-00002006-MCG")</f>
        <v>RF-00002006-MCG</v>
      </c>
    </row>
    <row r="5407" spans="1:2" ht="12.5" x14ac:dyDescent="0.25">
      <c r="A5407" t="str">
        <f ca="1">IFERROR(__xludf.DUMMYFUNCTION("""COMPUTED_VALUE"""),"Salmonella - S. II 1,40:z:1,5")</f>
        <v>Salmonella - S. II 1,40:z:1,5</v>
      </c>
      <c r="B5407" t="str">
        <f ca="1">IFERROR(__xludf.DUMMYFUNCTION("""COMPUTED_VALUE"""),"RF-00002007-MCG")</f>
        <v>RF-00002007-MCG</v>
      </c>
    </row>
    <row r="5408" spans="1:2" ht="12.5" x14ac:dyDescent="0.25">
      <c r="A5408" t="str">
        <f ca="1">IFERROR(__xludf.DUMMYFUNCTION("""COMPUTED_VALUE"""),"Salmonella - S. II 1,40:z35:e,n,x,z15")</f>
        <v>Salmonella - S. II 1,40:z35:e,n,x,z15</v>
      </c>
      <c r="B5408" t="str">
        <f ca="1">IFERROR(__xludf.DUMMYFUNCTION("""COMPUTED_VALUE"""),"RF-00002008-MCG")</f>
        <v>RF-00002008-MCG</v>
      </c>
    </row>
    <row r="5409" spans="1:2" ht="12.5" x14ac:dyDescent="0.25">
      <c r="A5409" t="str">
        <f ca="1">IFERROR(__xludf.DUMMYFUNCTION("""COMPUTED_VALUE"""),"Salmonella - S. II 1,40:z39:1,6")</f>
        <v>Salmonella - S. II 1,40:z39:1,6</v>
      </c>
      <c r="B5409" t="str">
        <f ca="1">IFERROR(__xludf.DUMMYFUNCTION("""COMPUTED_VALUE"""),"RF-00002009-MCG")</f>
        <v>RF-00002009-MCG</v>
      </c>
    </row>
    <row r="5410" spans="1:2" ht="12.5" x14ac:dyDescent="0.25">
      <c r="A5410" t="str">
        <f ca="1">IFERROR(__xludf.DUMMYFUNCTION("""COMPUTED_VALUE"""),"Salmonella - S. II 1,44:z39:e,n,x,z15")</f>
        <v>Salmonella - S. II 1,44:z39:e,n,x,z15</v>
      </c>
      <c r="B5410" t="str">
        <f ca="1">IFERROR(__xludf.DUMMYFUNCTION("""COMPUTED_VALUE"""),"RF-00002010-MCG")</f>
        <v>RF-00002010-MCG</v>
      </c>
    </row>
    <row r="5411" spans="1:2" ht="12.5" x14ac:dyDescent="0.25">
      <c r="A5411" t="str">
        <f ca="1">IFERROR(__xludf.DUMMYFUNCTION("""COMPUTED_VALUE"""),"Salmonella - S. II 1,9,12:b:e,n,x")</f>
        <v>Salmonella - S. II 1,9,12:b:e,n,x</v>
      </c>
      <c r="B5411" t="str">
        <f ca="1">IFERROR(__xludf.DUMMYFUNCTION("""COMPUTED_VALUE"""),"RF-00002027-MCG")</f>
        <v>RF-00002027-MCG</v>
      </c>
    </row>
    <row r="5412" spans="1:2" ht="12.5" x14ac:dyDescent="0.25">
      <c r="A5412" t="str">
        <f ca="1">IFERROR(__xludf.DUMMYFUNCTION("""COMPUTED_VALUE"""),"Salmonella - S. II 1,9,12:b:z39")</f>
        <v>Salmonella - S. II 1,9,12:b:z39</v>
      </c>
      <c r="B5412" t="str">
        <f ca="1">IFERROR(__xludf.DUMMYFUNCTION("""COMPUTED_VALUE"""),"RF-00002012-MCG")</f>
        <v>RF-00002012-MCG</v>
      </c>
    </row>
    <row r="5413" spans="1:2" ht="12.5" x14ac:dyDescent="0.25">
      <c r="A5413" t="str">
        <f ca="1">IFERROR(__xludf.DUMMYFUNCTION("""COMPUTED_VALUE"""),"Salmonella - S. II 1,9,12:b:z6")</f>
        <v>Salmonella - S. II 1,9,12:b:z6</v>
      </c>
      <c r="B5413" t="str">
        <f ca="1">IFERROR(__xludf.DUMMYFUNCTION("""COMPUTED_VALUE"""),"RF-00001998-MCG")</f>
        <v>RF-00001998-MCG</v>
      </c>
    </row>
    <row r="5414" spans="1:2" ht="12.5" x14ac:dyDescent="0.25">
      <c r="A5414" t="str">
        <f ca="1">IFERROR(__xludf.DUMMYFUNCTION("""COMPUTED_VALUE"""),"Salmonella - S. II 1,9,12:d:e,n,x")</f>
        <v>Salmonella - S. II 1,9,12:d:e,n,x</v>
      </c>
      <c r="B5414" t="str">
        <f ca="1">IFERROR(__xludf.DUMMYFUNCTION("""COMPUTED_VALUE"""),"RF-00002014-MCG")</f>
        <v>RF-00002014-MCG</v>
      </c>
    </row>
    <row r="5415" spans="1:2" ht="12.5" x14ac:dyDescent="0.25">
      <c r="A5415" t="str">
        <f ca="1">IFERROR(__xludf.DUMMYFUNCTION("""COMPUTED_VALUE"""),"Salmonella - S. II 1,9,12:g,m,s,t:e,n,x")</f>
        <v>Salmonella - S. II 1,9,12:g,m,s,t:e,n,x</v>
      </c>
      <c r="B5415" t="str">
        <f ca="1">IFERROR(__xludf.DUMMYFUNCTION("""COMPUTED_VALUE"""),"RF-00002015-MCG")</f>
        <v>RF-00002015-MCG</v>
      </c>
    </row>
    <row r="5416" spans="1:2" ht="12.5" x14ac:dyDescent="0.25">
      <c r="A5416" t="str">
        <f ca="1">IFERROR(__xludf.DUMMYFUNCTION("""COMPUTED_VALUE"""),"Salmonella - S. II 1,9,12:l,w:e,n,x")</f>
        <v>Salmonella - S. II 1,9,12:l,w:e,n,x</v>
      </c>
      <c r="B5416" t="str">
        <f ca="1">IFERROR(__xludf.DUMMYFUNCTION("""COMPUTED_VALUE"""),"RF-00002016-MCG")</f>
        <v>RF-00002016-MCG</v>
      </c>
    </row>
    <row r="5417" spans="1:2" ht="12.5" x14ac:dyDescent="0.25">
      <c r="A5417" t="str">
        <f ca="1">IFERROR(__xludf.DUMMYFUNCTION("""COMPUTED_VALUE"""),"Salmonella - S. II 1,9,12:z:1,7")</f>
        <v>Salmonella - S. II 1,9,12:z:1,7</v>
      </c>
      <c r="B5417" t="str">
        <f ca="1">IFERROR(__xludf.DUMMYFUNCTION("""COMPUTED_VALUE"""),"RF-00002017-MCG")</f>
        <v>RF-00002017-MCG</v>
      </c>
    </row>
    <row r="5418" spans="1:2" ht="12.5" x14ac:dyDescent="0.25">
      <c r="A5418" t="str">
        <f ca="1">IFERROR(__xludf.DUMMYFUNCTION("""COMPUTED_VALUE"""),"Salmonella - S. II 1,9,12:z:z6")</f>
        <v>Salmonella - S. II 1,9,12:z:z6</v>
      </c>
      <c r="B5418" t="str">
        <f ca="1">IFERROR(__xludf.DUMMYFUNCTION("""COMPUTED_VALUE"""),"RF-00002018-MCG")</f>
        <v>RF-00002018-MCG</v>
      </c>
    </row>
    <row r="5419" spans="1:2" ht="12.5" x14ac:dyDescent="0.25">
      <c r="A5419" t="str">
        <f ca="1">IFERROR(__xludf.DUMMYFUNCTION("""COMPUTED_VALUE"""),"Salmonella - S. II 1,9,12:z39:1,7")</f>
        <v>Salmonella - S. II 1,9,12:z39:1,7</v>
      </c>
      <c r="B5419" t="str">
        <f ca="1">IFERROR(__xludf.DUMMYFUNCTION("""COMPUTED_VALUE"""),"RF-00002019-MCG")</f>
        <v>RF-00002019-MCG</v>
      </c>
    </row>
    <row r="5420" spans="1:2" ht="12.5" x14ac:dyDescent="0.25">
      <c r="A5420" t="str">
        <f ca="1">IFERROR(__xludf.DUMMYFUNCTION("""COMPUTED_VALUE"""),"Salmonella - S. III")</f>
        <v>Salmonella - S. III</v>
      </c>
      <c r="B5420" t="str">
        <f ca="1">IFERROR(__xludf.DUMMYFUNCTION("""COMPUTED_VALUE"""),"RF-00003040-MCG")</f>
        <v>RF-00003040-MCG</v>
      </c>
    </row>
    <row r="5421" spans="1:2" ht="12.5" x14ac:dyDescent="0.25">
      <c r="A5421" t="str">
        <f ca="1">IFERROR(__xludf.DUMMYFUNCTION("""COMPUTED_VALUE"""),"Salmonella - S. IIIa 41:z4z23z32")</f>
        <v>Salmonella - S. IIIa 41:z4z23z32</v>
      </c>
      <c r="B5421" t="str">
        <f ca="1">IFERROR(__xludf.DUMMYFUNCTION("""COMPUTED_VALUE"""),"RF-00002105-MCG")</f>
        <v>RF-00002105-MCG</v>
      </c>
    </row>
    <row r="5422" spans="1:2" ht="12.5" x14ac:dyDescent="0.25">
      <c r="A5422" t="str">
        <f ca="1">IFERROR(__xludf.DUMMYFUNCTION("""COMPUTED_VALUE"""),"Salmonella - S. IIIa 48:z4z32:-")</f>
        <v>Salmonella - S. IIIa 48:z4z32:-</v>
      </c>
      <c r="B5422" t="str">
        <f ca="1">IFERROR(__xludf.DUMMYFUNCTION("""COMPUTED_VALUE"""),"RF-00002058-MCG")</f>
        <v>RF-00002058-MCG</v>
      </c>
    </row>
    <row r="5423" spans="1:2" ht="12.5" x14ac:dyDescent="0.25">
      <c r="A5423" t="str">
        <f ca="1">IFERROR(__xludf.DUMMYFUNCTION("""COMPUTED_VALUE"""),"Salmonella - S. IIIa 6,7:z4,z23:-")</f>
        <v>Salmonella - S. IIIa 6,7:z4,z23:-</v>
      </c>
      <c r="B5423" t="str">
        <f ca="1">IFERROR(__xludf.DUMMYFUNCTION("""COMPUTED_VALUE"""),"RF-00003041-MCG")</f>
        <v>RF-00003041-MCG</v>
      </c>
    </row>
    <row r="5424" spans="1:2" ht="12.5" x14ac:dyDescent="0.25">
      <c r="A5424" t="str">
        <f ca="1">IFERROR(__xludf.DUMMYFUNCTION("""COMPUTED_VALUE"""),"Salmonella - S. IIIb 38:r:z")</f>
        <v>Salmonella - S. IIIb 38:r:z</v>
      </c>
      <c r="B5424" t="str">
        <f ca="1">IFERROR(__xludf.DUMMYFUNCTION("""COMPUTED_VALUE"""),"RF-00003042-MCG")</f>
        <v>RF-00003042-MCG</v>
      </c>
    </row>
    <row r="5425" spans="1:2" ht="12.5" x14ac:dyDescent="0.25">
      <c r="A5425" t="str">
        <f ca="1">IFERROR(__xludf.DUMMYFUNCTION("""COMPUTED_VALUE"""),"Salmonella - S. IIIb 47:k")</f>
        <v>Salmonella - S. IIIb 47:k</v>
      </c>
      <c r="B5425" t="str">
        <f ca="1">IFERROR(__xludf.DUMMYFUNCTION("""COMPUTED_VALUE"""),"RF-00003043-MCG")</f>
        <v>RF-00003043-MCG</v>
      </c>
    </row>
    <row r="5426" spans="1:2" ht="12.5" x14ac:dyDescent="0.25">
      <c r="A5426" t="str">
        <f ca="1">IFERROR(__xludf.DUMMYFUNCTION("""COMPUTED_VALUE"""),"Salmonella - S. IIIb 48:i:z35")</f>
        <v>Salmonella - S. IIIb 48:i:z35</v>
      </c>
      <c r="B5426" t="str">
        <f ca="1">IFERROR(__xludf.DUMMYFUNCTION("""COMPUTED_VALUE"""),"RF-00001862-MCG")</f>
        <v>RF-00001862-MCG</v>
      </c>
    </row>
    <row r="5427" spans="1:2" ht="12.5" x14ac:dyDescent="0.25">
      <c r="A5427" t="str">
        <f ca="1">IFERROR(__xludf.DUMMYFUNCTION("""COMPUTED_VALUE"""),"Salmonella - S. IIIb 48:k:1,5")</f>
        <v>Salmonella - S. IIIb 48:k:1,5</v>
      </c>
      <c r="B5427" t="str">
        <f ca="1">IFERROR(__xludf.DUMMYFUNCTION("""COMPUTED_VALUE"""),"RF-00003044-MCG")</f>
        <v>RF-00003044-MCG</v>
      </c>
    </row>
    <row r="5428" spans="1:2" ht="12.5" x14ac:dyDescent="0.25">
      <c r="A5428" t="str">
        <f ca="1">IFERROR(__xludf.DUMMYFUNCTION("""COMPUTED_VALUE"""),"Salmonella - S. IIIb 50:k:z")</f>
        <v>Salmonella - S. IIIb 50:k:z</v>
      </c>
      <c r="B5428" t="str">
        <f ca="1">IFERROR(__xludf.DUMMYFUNCTION("""COMPUTED_VALUE"""),"RF-00003045-MCG")</f>
        <v>RF-00003045-MCG</v>
      </c>
    </row>
    <row r="5429" spans="1:2" ht="12.5" x14ac:dyDescent="0.25">
      <c r="A5429" t="str">
        <f ca="1">IFERROR(__xludf.DUMMYFUNCTION("""COMPUTED_VALUE"""),"Salmonella - S. IIIb 50:z52:1,5")</f>
        <v>Salmonella - S. IIIb 50:z52:1,5</v>
      </c>
      <c r="B5429" t="str">
        <f ca="1">IFERROR(__xludf.DUMMYFUNCTION("""COMPUTED_VALUE"""),"RF-00001999-MCG")</f>
        <v>RF-00001999-MCG</v>
      </c>
    </row>
    <row r="5430" spans="1:2" ht="12.5" x14ac:dyDescent="0.25">
      <c r="A5430" t="str">
        <f ca="1">IFERROR(__xludf.DUMMYFUNCTION("""COMPUTED_VALUE"""),"Salmonella - S. IIIb 53:z10:z")</f>
        <v>Salmonella - S. IIIb 53:z10:z</v>
      </c>
      <c r="B5430" t="str">
        <f ca="1">IFERROR(__xludf.DUMMYFUNCTION("""COMPUTED_VALUE"""),"RF-00003046-MCG")</f>
        <v>RF-00003046-MCG</v>
      </c>
    </row>
    <row r="5431" spans="1:2" ht="12.5" x14ac:dyDescent="0.25">
      <c r="A5431" t="str">
        <f ca="1">IFERROR(__xludf.DUMMYFUNCTION("""COMPUTED_VALUE"""),"Salmonella - S. IIIb 61:-:1,5")</f>
        <v>Salmonella - S. IIIb 61:-:1,5</v>
      </c>
      <c r="B5431" t="str">
        <f ca="1">IFERROR(__xludf.DUMMYFUNCTION("""COMPUTED_VALUE"""),"RF-00004089-MCG")</f>
        <v>RF-00004089-MCG</v>
      </c>
    </row>
    <row r="5432" spans="1:2" ht="12.5" x14ac:dyDescent="0.25">
      <c r="A5432" t="str">
        <f ca="1">IFERROR(__xludf.DUMMYFUNCTION("""COMPUTED_VALUE"""),"Salmonella - S. IIIb 61:c:1,5,(7)")</f>
        <v>Salmonella - S. IIIb 61:c:1,5,(7)</v>
      </c>
      <c r="B5432" t="str">
        <f ca="1">IFERROR(__xludf.DUMMYFUNCTION("""COMPUTED_VALUE"""),"RF-00003047-MCG")</f>
        <v>RF-00003047-MCG</v>
      </c>
    </row>
    <row r="5433" spans="1:2" ht="12.5" x14ac:dyDescent="0.25">
      <c r="A5433" t="str">
        <f ca="1">IFERROR(__xludf.DUMMYFUNCTION("""COMPUTED_VALUE"""),"Salmonella - S. IIIb 61:i:z53")</f>
        <v>Salmonella - S. IIIb 61:i:z53</v>
      </c>
      <c r="B5433" t="str">
        <f ca="1">IFERROR(__xludf.DUMMYFUNCTION("""COMPUTED_VALUE"""),"RF-00004095-MCG")</f>
        <v>RF-00004095-MCG</v>
      </c>
    </row>
    <row r="5434" spans="1:2" ht="12.5" x14ac:dyDescent="0.25">
      <c r="A5434" t="str">
        <f ca="1">IFERROR(__xludf.DUMMYFUNCTION("""COMPUTED_VALUE"""),"Salmonella - S. IIIb 61:k:1,5,(7)")</f>
        <v>Salmonella - S. IIIb 61:k:1,5,(7)</v>
      </c>
      <c r="B5434" t="str">
        <f ca="1">IFERROR(__xludf.DUMMYFUNCTION("""COMPUTED_VALUE"""),"RF-00003048-MCG")</f>
        <v>RF-00003048-MCG</v>
      </c>
    </row>
    <row r="5435" spans="1:2" ht="12.5" x14ac:dyDescent="0.25">
      <c r="A5435" t="str">
        <f ca="1">IFERROR(__xludf.DUMMYFUNCTION("""COMPUTED_VALUE"""),"Salmonella - S. IIIb 61:k:1,5,7")</f>
        <v>Salmonella - S. IIIb 61:k:1,5,7</v>
      </c>
      <c r="B5435" t="str">
        <f ca="1">IFERROR(__xludf.DUMMYFUNCTION("""COMPUTED_VALUE"""),"RF-00001861-MCG")</f>
        <v>RF-00001861-MCG</v>
      </c>
    </row>
    <row r="5436" spans="1:2" ht="12.5" x14ac:dyDescent="0.25">
      <c r="A5436" t="str">
        <f ca="1">IFERROR(__xludf.DUMMYFUNCTION("""COMPUTED_VALUE"""),"Salmonella - S. IIIb 61:r:z")</f>
        <v>Salmonella - S. IIIb 61:r:z</v>
      </c>
      <c r="B5436" t="str">
        <f ca="1">IFERROR(__xludf.DUMMYFUNCTION("""COMPUTED_VALUE"""),"RF-00002057-MCG")</f>
        <v>RF-00002057-MCG</v>
      </c>
    </row>
    <row r="5437" spans="1:2" ht="12.5" x14ac:dyDescent="0.25">
      <c r="A5437" t="str">
        <f ca="1">IFERROR(__xludf.DUMMYFUNCTION("""COMPUTED_VALUE"""),"Salmonella - S. IV 1,40:g,z51:-")</f>
        <v>Salmonella - S. IV 1,40:g,z51:-</v>
      </c>
      <c r="B5437" t="str">
        <f ca="1">IFERROR(__xludf.DUMMYFUNCTION("""COMPUTED_VALUE"""),"RF-00001890-MCG")</f>
        <v>RF-00001890-MCG</v>
      </c>
    </row>
    <row r="5438" spans="1:2" ht="12.5" x14ac:dyDescent="0.25">
      <c r="A5438" t="str">
        <f ca="1">IFERROR(__xludf.DUMMYFUNCTION("""COMPUTED_VALUE"""),"Salmonella - S. IV 1,40:z4,z23:-")</f>
        <v>Salmonella - S. IV 1,40:z4,z23:-</v>
      </c>
      <c r="B5438" t="str">
        <f ca="1">IFERROR(__xludf.DUMMYFUNCTION("""COMPUTED_VALUE"""),"RF-00001888-MCG")</f>
        <v>RF-00001888-MCG</v>
      </c>
    </row>
    <row r="5439" spans="1:2" ht="12.5" x14ac:dyDescent="0.25">
      <c r="A5439" t="str">
        <f ca="1">IFERROR(__xludf.DUMMYFUNCTION("""COMPUTED_VALUE"""),"Salmonella - S. IV 1,44:z4,z32:-")</f>
        <v>Salmonella - S. IV 1,44:z4,z32:-</v>
      </c>
      <c r="B5439" t="str">
        <f ca="1">IFERROR(__xludf.DUMMYFUNCTION("""COMPUTED_VALUE"""),"RF-00001887-MCG")</f>
        <v>RF-00001887-MCG</v>
      </c>
    </row>
    <row r="5440" spans="1:2" ht="12.5" x14ac:dyDescent="0.25">
      <c r="A5440" t="str">
        <f ca="1">IFERROR(__xludf.DUMMYFUNCTION("""COMPUTED_VALUE"""),"Salmonella - S. IV 16:z4z32:-")</f>
        <v>Salmonella - S. IV 16:z4z32:-</v>
      </c>
      <c r="B5440" t="str">
        <f ca="1">IFERROR(__xludf.DUMMYFUNCTION("""COMPUTED_VALUE"""),"RF-00000904-MCG")</f>
        <v>RF-00000904-MCG</v>
      </c>
    </row>
    <row r="5441" spans="1:2" ht="12.5" x14ac:dyDescent="0.25">
      <c r="A5441" t="str">
        <f ca="1">IFERROR(__xludf.DUMMYFUNCTION("""COMPUTED_VALUE"""),"Salmonella - S. IV 43:z4,z23:-")</f>
        <v>Salmonella - S. IV 43:z4,z23:-</v>
      </c>
      <c r="B5441" t="str">
        <f ca="1">IFERROR(__xludf.DUMMYFUNCTION("""COMPUTED_VALUE"""),"RF-00000889-MCG")</f>
        <v>RF-00000889-MCG</v>
      </c>
    </row>
    <row r="5442" spans="1:2" ht="12.5" x14ac:dyDescent="0.25">
      <c r="A5442" t="str">
        <f ca="1">IFERROR(__xludf.DUMMYFUNCTION("""COMPUTED_VALUE"""),"Salmonella - S. Peregrinus")</f>
        <v>Salmonella - S. Peregrinus</v>
      </c>
      <c r="B5442" t="str">
        <f ca="1">IFERROR(__xludf.DUMMYFUNCTION("""COMPUTED_VALUE"""),"RF-00003049-MCG")</f>
        <v>RF-00003049-MCG</v>
      </c>
    </row>
    <row r="5443" spans="1:2" ht="12.5" x14ac:dyDescent="0.25">
      <c r="A5443" t="str">
        <f ca="1">IFERROR(__xludf.DUMMYFUNCTION("""COMPUTED_VALUE"""),"Salmonella - S. Saintpaul var. O:5 neg")</f>
        <v>Salmonella - S. Saintpaul var. O:5 neg</v>
      </c>
      <c r="B5443" t="str">
        <f ca="1">IFERROR(__xludf.DUMMYFUNCTION("""COMPUTED_VALUE"""),"RF-00003050-MCG")</f>
        <v>RF-00003050-MCG</v>
      </c>
    </row>
    <row r="5444" spans="1:2" ht="12.5" x14ac:dyDescent="0.25">
      <c r="A5444" t="str">
        <f ca="1">IFERROR(__xludf.DUMMYFUNCTION("""COMPUTED_VALUE"""),"Salmonella - S. Typhimurium - DT 101")</f>
        <v>Salmonella - S. Typhimurium - DT 101</v>
      </c>
      <c r="B5444" t="str">
        <f ca="1">IFERROR(__xludf.DUMMYFUNCTION("""COMPUTED_VALUE"""),"RF-00003279-MCG")</f>
        <v>RF-00003279-MCG</v>
      </c>
    </row>
    <row r="5445" spans="1:2" ht="12.5" x14ac:dyDescent="0.25">
      <c r="A5445" t="str">
        <f ca="1">IFERROR(__xludf.DUMMYFUNCTION("""COMPUTED_VALUE"""),"Salmonella - S. Typhimurium - DT 111")</f>
        <v>Salmonella - S. Typhimurium - DT 111</v>
      </c>
      <c r="B5445" t="str">
        <f ca="1">IFERROR(__xludf.DUMMYFUNCTION("""COMPUTED_VALUE"""),"RF-00003280-MCG")</f>
        <v>RF-00003280-MCG</v>
      </c>
    </row>
    <row r="5446" spans="1:2" ht="12.5" x14ac:dyDescent="0.25">
      <c r="A5446" t="str">
        <f ca="1">IFERROR(__xludf.DUMMYFUNCTION("""COMPUTED_VALUE"""),"Salmonella - S. Typhimurium - DT 116")</f>
        <v>Salmonella - S. Typhimurium - DT 116</v>
      </c>
      <c r="B5446" t="str">
        <f ca="1">IFERROR(__xludf.DUMMYFUNCTION("""COMPUTED_VALUE"""),"RF-00003281-MCG")</f>
        <v>RF-00003281-MCG</v>
      </c>
    </row>
    <row r="5447" spans="1:2" ht="12.5" x14ac:dyDescent="0.25">
      <c r="A5447" t="str">
        <f ca="1">IFERROR(__xludf.DUMMYFUNCTION("""COMPUTED_VALUE"""),"Salmonella - S. Typhimurium - DT 120 low")</f>
        <v>Salmonella - S. Typhimurium - DT 120 low</v>
      </c>
      <c r="B5447" t="str">
        <f ca="1">IFERROR(__xludf.DUMMYFUNCTION("""COMPUTED_VALUE"""),"RF-00003282-MCG")</f>
        <v>RF-00003282-MCG</v>
      </c>
    </row>
    <row r="5448" spans="1:2" ht="12.5" x14ac:dyDescent="0.25">
      <c r="A5448" t="str">
        <f ca="1">IFERROR(__xludf.DUMMYFUNCTION("""COMPUTED_VALUE"""),"Salmonella - S. Typhimurium - DT 130")</f>
        <v>Salmonella - S. Typhimurium - DT 130</v>
      </c>
      <c r="B5448" t="str">
        <f ca="1">IFERROR(__xludf.DUMMYFUNCTION("""COMPUTED_VALUE"""),"RF-00003283-MCG")</f>
        <v>RF-00003283-MCG</v>
      </c>
    </row>
    <row r="5449" spans="1:2" ht="12.5" x14ac:dyDescent="0.25">
      <c r="A5449" t="str">
        <f ca="1">IFERROR(__xludf.DUMMYFUNCTION("""COMPUTED_VALUE"""),"Salmonella - S. Typhimurium - DT 146")</f>
        <v>Salmonella - S. Typhimurium - DT 146</v>
      </c>
      <c r="B5449" t="str">
        <f ca="1">IFERROR(__xludf.DUMMYFUNCTION("""COMPUTED_VALUE"""),"RF-00003284-MCG")</f>
        <v>RF-00003284-MCG</v>
      </c>
    </row>
    <row r="5450" spans="1:2" ht="12.5" x14ac:dyDescent="0.25">
      <c r="A5450" t="str">
        <f ca="1">IFERROR(__xludf.DUMMYFUNCTION("""COMPUTED_VALUE"""),"Salmonella - S. Typhimurium - DT 16")</f>
        <v>Salmonella - S. Typhimurium - DT 16</v>
      </c>
      <c r="B5450" t="str">
        <f ca="1">IFERROR(__xludf.DUMMYFUNCTION("""COMPUTED_VALUE"""),"RF-00003285-MCG")</f>
        <v>RF-00003285-MCG</v>
      </c>
    </row>
    <row r="5451" spans="1:2" ht="12.5" x14ac:dyDescent="0.25">
      <c r="A5451" t="str">
        <f ca="1">IFERROR(__xludf.DUMMYFUNCTION("""COMPUTED_VALUE"""),"Salmonella - S. Typhimurium - DT 169")</f>
        <v>Salmonella - S. Typhimurium - DT 169</v>
      </c>
      <c r="B5451" t="str">
        <f ca="1">IFERROR(__xludf.DUMMYFUNCTION("""COMPUTED_VALUE"""),"RF-00003286-MCG")</f>
        <v>RF-00003286-MCG</v>
      </c>
    </row>
    <row r="5452" spans="1:2" ht="12.5" x14ac:dyDescent="0.25">
      <c r="A5452" t="str">
        <f ca="1">IFERROR(__xludf.DUMMYFUNCTION("""COMPUTED_VALUE"""),"Salmonella - S. Typhimurium - DT 17")</f>
        <v>Salmonella - S. Typhimurium - DT 17</v>
      </c>
      <c r="B5452" t="str">
        <f ca="1">IFERROR(__xludf.DUMMYFUNCTION("""COMPUTED_VALUE"""),"RF-00002339-MCG")</f>
        <v>RF-00002339-MCG</v>
      </c>
    </row>
    <row r="5453" spans="1:2" ht="12.5" x14ac:dyDescent="0.25">
      <c r="A5453" t="str">
        <f ca="1">IFERROR(__xludf.DUMMYFUNCTION("""COMPUTED_VALUE"""),"Salmonella - S. Typhimurium - DT 170")</f>
        <v>Salmonella - S. Typhimurium - DT 170</v>
      </c>
      <c r="B5453" t="str">
        <f ca="1">IFERROR(__xludf.DUMMYFUNCTION("""COMPUTED_VALUE"""),"RF-00004084-MCG")</f>
        <v>RF-00004084-MCG</v>
      </c>
    </row>
    <row r="5454" spans="1:2" ht="12.5" x14ac:dyDescent="0.25">
      <c r="A5454" t="str">
        <f ca="1">IFERROR(__xludf.DUMMYFUNCTION("""COMPUTED_VALUE"""),"Salmonella - S. Typhimurium - DT 191a")</f>
        <v>Salmonella - S. Typhimurium - DT 191a</v>
      </c>
      <c r="B5454" t="str">
        <f ca="1">IFERROR(__xludf.DUMMYFUNCTION("""COMPUTED_VALUE"""),"RF-00003287-MCG")</f>
        <v>RF-00003287-MCG</v>
      </c>
    </row>
    <row r="5455" spans="1:2" ht="12.5" x14ac:dyDescent="0.25">
      <c r="A5455" t="str">
        <f ca="1">IFERROR(__xludf.DUMMYFUNCTION("""COMPUTED_VALUE"""),"Salmonella - S. Typhimurium - DT 21")</f>
        <v>Salmonella - S. Typhimurium - DT 21</v>
      </c>
      <c r="B5455" t="str">
        <f ca="1">IFERROR(__xludf.DUMMYFUNCTION("""COMPUTED_VALUE"""),"RF-00003288-MCG")</f>
        <v>RF-00003288-MCG</v>
      </c>
    </row>
    <row r="5456" spans="1:2" ht="12.5" x14ac:dyDescent="0.25">
      <c r="A5456" t="str">
        <f ca="1">IFERROR(__xludf.DUMMYFUNCTION("""COMPUTED_VALUE"""),"Salmonella - S. Typhimurium - DT 24")</f>
        <v>Salmonella - S. Typhimurium - DT 24</v>
      </c>
      <c r="B5456" t="str">
        <f ca="1">IFERROR(__xludf.DUMMYFUNCTION("""COMPUTED_VALUE"""),"RF-00003289-MCG")</f>
        <v>RF-00003289-MCG</v>
      </c>
    </row>
    <row r="5457" spans="1:2" ht="12.5" x14ac:dyDescent="0.25">
      <c r="A5457" t="str">
        <f ca="1">IFERROR(__xludf.DUMMYFUNCTION("""COMPUTED_VALUE"""),"Salmonella - S. Typhimurium - DT 39")</f>
        <v>Salmonella - S. Typhimurium - DT 39</v>
      </c>
      <c r="B5457" t="str">
        <f ca="1">IFERROR(__xludf.DUMMYFUNCTION("""COMPUTED_VALUE"""),"RF-00003290-MCG")</f>
        <v>RF-00003290-MCG</v>
      </c>
    </row>
    <row r="5458" spans="1:2" ht="12.5" x14ac:dyDescent="0.25">
      <c r="A5458" t="str">
        <f ca="1">IFERROR(__xludf.DUMMYFUNCTION("""COMPUTED_VALUE"""),"Salmonella - S. Typhimurium - DT 41b")</f>
        <v>Salmonella - S. Typhimurium - DT 41b</v>
      </c>
      <c r="B5458" t="str">
        <f ca="1">IFERROR(__xludf.DUMMYFUNCTION("""COMPUTED_VALUE"""),"RF-00003291-MCG")</f>
        <v>RF-00003291-MCG</v>
      </c>
    </row>
    <row r="5459" spans="1:2" ht="12.5" x14ac:dyDescent="0.25">
      <c r="A5459" t="str">
        <f ca="1">IFERROR(__xludf.DUMMYFUNCTION("""COMPUTED_VALUE"""),"Salmonella - S. Typhimurium - DT 43")</f>
        <v>Salmonella - S. Typhimurium - DT 43</v>
      </c>
      <c r="B5459" t="str">
        <f ca="1">IFERROR(__xludf.DUMMYFUNCTION("""COMPUTED_VALUE"""),"RF-00003292-MCG")</f>
        <v>RF-00003292-MCG</v>
      </c>
    </row>
    <row r="5460" spans="1:2" ht="12.5" x14ac:dyDescent="0.25">
      <c r="A5460" t="str">
        <f ca="1">IFERROR(__xludf.DUMMYFUNCTION("""COMPUTED_VALUE"""),"Salmonella - S. Typhimurium - DT 75")</f>
        <v>Salmonella - S. Typhimurium - DT 75</v>
      </c>
      <c r="B5460" t="str">
        <f ca="1">IFERROR(__xludf.DUMMYFUNCTION("""COMPUTED_VALUE"""),"RF-00004088-MCG")</f>
        <v>RF-00004088-MCG</v>
      </c>
    </row>
    <row r="5461" spans="1:2" ht="12.5" x14ac:dyDescent="0.25">
      <c r="A5461" t="str">
        <f ca="1">IFERROR(__xludf.DUMMYFUNCTION("""COMPUTED_VALUE"""),"Salmonella - S. Typhimurium - DT 92")</f>
        <v>Salmonella - S. Typhimurium - DT 92</v>
      </c>
      <c r="B5461" t="str">
        <f ca="1">IFERROR(__xludf.DUMMYFUNCTION("""COMPUTED_VALUE"""),"RF-00003293-MCG")</f>
        <v>RF-00003293-MCG</v>
      </c>
    </row>
    <row r="5462" spans="1:2" ht="12.5" x14ac:dyDescent="0.25">
      <c r="A5462" t="str">
        <f ca="1">IFERROR(__xludf.DUMMYFUNCTION("""COMPUTED_VALUE"""),"Salmonella - S. Typhimurium - FT 111")</f>
        <v>Salmonella - S. Typhimurium - FT 111</v>
      </c>
      <c r="B5462" t="str">
        <f ca="1">IFERROR(__xludf.DUMMYFUNCTION("""COMPUTED_VALUE"""),"RF-00003294-MCG")</f>
        <v>RF-00003294-MCG</v>
      </c>
    </row>
    <row r="5463" spans="1:2" ht="12.5" x14ac:dyDescent="0.25">
      <c r="A5463" t="str">
        <f ca="1">IFERROR(__xludf.DUMMYFUNCTION("""COMPUTED_VALUE"""),"Salmonella - S. Typhimurium - FT 290")</f>
        <v>Salmonella - S. Typhimurium - FT 290</v>
      </c>
      <c r="B5463" t="str">
        <f ca="1">IFERROR(__xludf.DUMMYFUNCTION("""COMPUTED_VALUE"""),"RF-00003295-MCG")</f>
        <v>RF-00003295-MCG</v>
      </c>
    </row>
    <row r="5464" spans="1:2" ht="12.5" x14ac:dyDescent="0.25">
      <c r="A5464" t="str">
        <f ca="1">IFERROR(__xludf.DUMMYFUNCTION("""COMPUTED_VALUE"""),"Salmonella - S. Typhimurium - FT 300")</f>
        <v>Salmonella - S. Typhimurium - FT 300</v>
      </c>
      <c r="B5464" t="str">
        <f ca="1">IFERROR(__xludf.DUMMYFUNCTION("""COMPUTED_VALUE"""),"RF-00003296-MCG")</f>
        <v>RF-00003296-MCG</v>
      </c>
    </row>
    <row r="5465" spans="1:2" ht="12.5" x14ac:dyDescent="0.25">
      <c r="A5465" t="str">
        <f ca="1">IFERROR(__xludf.DUMMYFUNCTION("""COMPUTED_VALUE"""),"Salmonella - S. Typhimurium - FT 658")</f>
        <v>Salmonella - S. Typhimurium - FT 658</v>
      </c>
      <c r="B5465" t="str">
        <f ca="1">IFERROR(__xludf.DUMMYFUNCTION("""COMPUTED_VALUE"""),"RF-00003297-MCG")</f>
        <v>RF-00003297-MCG</v>
      </c>
    </row>
    <row r="5466" spans="1:2" ht="12.5" x14ac:dyDescent="0.25">
      <c r="A5466" t="str">
        <f ca="1">IFERROR(__xludf.DUMMYFUNCTION("""COMPUTED_VALUE"""),"Salmonella - S. Typhimurium - U 287")</f>
        <v>Salmonella - S. Typhimurium - U 287</v>
      </c>
      <c r="B5466" t="str">
        <f ca="1">IFERROR(__xludf.DUMMYFUNCTION("""COMPUTED_VALUE"""),"RF-00003298-MCG")</f>
        <v>RF-00003298-MCG</v>
      </c>
    </row>
    <row r="5467" spans="1:2" ht="12.5" x14ac:dyDescent="0.25">
      <c r="A5467" t="str">
        <f ca="1">IFERROR(__xludf.DUMMYFUNCTION("""COMPUTED_VALUE"""),"Salmonella - S. Typhimurium - U 322")</f>
        <v>Salmonella - S. Typhimurium - U 322</v>
      </c>
      <c r="B5467" t="str">
        <f ca="1">IFERROR(__xludf.DUMMYFUNCTION("""COMPUTED_VALUE"""),"RF-00003299-MCG")</f>
        <v>RF-00003299-MCG</v>
      </c>
    </row>
    <row r="5468" spans="1:2" ht="12.5" x14ac:dyDescent="0.25">
      <c r="A5468" t="str">
        <f ca="1">IFERROR(__xludf.DUMMYFUNCTION("""COMPUTED_VALUE"""),"Salmonella - S. Typhimurium - U 323")</f>
        <v>Salmonella - S. Typhimurium - U 323</v>
      </c>
      <c r="B5468" t="str">
        <f ca="1">IFERROR(__xludf.DUMMYFUNCTION("""COMPUTED_VALUE"""),"RF-00003300-MCG")</f>
        <v>RF-00003300-MCG</v>
      </c>
    </row>
    <row r="5469" spans="1:2" ht="12.5" x14ac:dyDescent="0.25">
      <c r="A5469" t="str">
        <f ca="1">IFERROR(__xludf.DUMMYFUNCTION("""COMPUTED_VALUE"""),"Salmonella - S. Typhimurium, monophasic")</f>
        <v>Salmonella - S. Typhimurium, monophasic</v>
      </c>
      <c r="B5469" t="str">
        <f ca="1">IFERROR(__xludf.DUMMYFUNCTION("""COMPUTED_VALUE"""),"RF-00003051-MCG")</f>
        <v>RF-00003051-MCG</v>
      </c>
    </row>
    <row r="5470" spans="1:2" ht="12.5" x14ac:dyDescent="0.25">
      <c r="A5470" t="str">
        <f ca="1">IFERROR(__xludf.DUMMYFUNCTION("""COMPUTED_VALUE"""),"Salmonella - S. Typhimurium, monophasic - 1")</f>
        <v>Salmonella - S. Typhimurium, monophasic - 1</v>
      </c>
      <c r="B5470" t="str">
        <f ca="1">IFERROR(__xludf.DUMMYFUNCTION("""COMPUTED_VALUE"""),"RF-00003301-MCG")</f>
        <v>RF-00003301-MCG</v>
      </c>
    </row>
    <row r="5471" spans="1:2" ht="12.5" x14ac:dyDescent="0.25">
      <c r="A5471" t="str">
        <f ca="1">IFERROR(__xludf.DUMMYFUNCTION("""COMPUTED_VALUE"""),"Salmonella - S. Typhimurium, monophasic - 193")</f>
        <v>Salmonella - S. Typhimurium, monophasic - 193</v>
      </c>
      <c r="B5471" t="str">
        <f ca="1">IFERROR(__xludf.DUMMYFUNCTION("""COMPUTED_VALUE"""),"RF-00003302-MCG")</f>
        <v>RF-00003302-MCG</v>
      </c>
    </row>
    <row r="5472" spans="1:2" ht="12.5" x14ac:dyDescent="0.25">
      <c r="A5472" t="str">
        <f ca="1">IFERROR(__xludf.DUMMYFUNCTION("""COMPUTED_VALUE"""),"Salmonella - S. Typhimurium, monophasic - 1a")</f>
        <v>Salmonella - S. Typhimurium, monophasic - 1a</v>
      </c>
      <c r="B5472" t="str">
        <f ca="1">IFERROR(__xludf.DUMMYFUNCTION("""COMPUTED_VALUE"""),"RF-00003303-MCG")</f>
        <v>RF-00003303-MCG</v>
      </c>
    </row>
    <row r="5473" spans="1:2" ht="12.5" x14ac:dyDescent="0.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x14ac:dyDescent="0.25">
      <c r="A5474" t="str">
        <f ca="1">IFERROR(__xludf.DUMMYFUNCTION("""COMPUTED_VALUE"""),"Salmonella - S. Typhimurium, monophasic - 1b")</f>
        <v>Salmonella - S. Typhimurium, monophasic - 1b</v>
      </c>
      <c r="B5474" t="str">
        <f ca="1">IFERROR(__xludf.DUMMYFUNCTION("""COMPUTED_VALUE"""),"RF-00003305-MCG")</f>
        <v>RF-00003305-MCG</v>
      </c>
    </row>
    <row r="5475" spans="1:2" ht="12.5" x14ac:dyDescent="0.25">
      <c r="A5475" t="str">
        <f ca="1">IFERROR(__xludf.DUMMYFUNCTION("""COMPUTED_VALUE"""),"Salmonella - S. Typhimurium, monophasic - 2")</f>
        <v>Salmonella - S. Typhimurium, monophasic - 2</v>
      </c>
      <c r="B5475" t="str">
        <f ca="1">IFERROR(__xludf.DUMMYFUNCTION("""COMPUTED_VALUE"""),"RF-00003306-MCG")</f>
        <v>RF-00003306-MCG</v>
      </c>
    </row>
    <row r="5476" spans="1:2" ht="12.5" x14ac:dyDescent="0.25">
      <c r="A5476" t="str">
        <f ca="1">IFERROR(__xludf.DUMMYFUNCTION("""COMPUTED_VALUE"""),"Salmonella - S. Typhimurium, monophasic - 2a")</f>
        <v>Salmonella - S. Typhimurium, monophasic - 2a</v>
      </c>
      <c r="B5476" t="str">
        <f ca="1">IFERROR(__xludf.DUMMYFUNCTION("""COMPUTED_VALUE"""),"RF-00003307-MCG")</f>
        <v>RF-00003307-MCG</v>
      </c>
    </row>
    <row r="5477" spans="1:2" ht="12.5" x14ac:dyDescent="0.25">
      <c r="A5477" t="str">
        <f ca="1">IFERROR(__xludf.DUMMYFUNCTION("""COMPUTED_VALUE"""),"Salmonella - S. Typhimurium, monophasic - 2b")</f>
        <v>Salmonella - S. Typhimurium, monophasic - 2b</v>
      </c>
      <c r="B5477" t="str">
        <f ca="1">IFERROR(__xludf.DUMMYFUNCTION("""COMPUTED_VALUE"""),"RF-00003308-MCG")</f>
        <v>RF-00003308-MCG</v>
      </c>
    </row>
    <row r="5478" spans="1:2" ht="12.5" x14ac:dyDescent="0.25">
      <c r="A5478" t="str">
        <f ca="1">IFERROR(__xludf.DUMMYFUNCTION("""COMPUTED_VALUE"""),"Salmonella - S. Typhimurium, monophasic - 2c")</f>
        <v>Salmonella - S. Typhimurium, monophasic - 2c</v>
      </c>
      <c r="B5478" t="str">
        <f ca="1">IFERROR(__xludf.DUMMYFUNCTION("""COMPUTED_VALUE"""),"RF-00003309-MCG")</f>
        <v>RF-00003309-MCG</v>
      </c>
    </row>
    <row r="5479" spans="1:2" ht="12.5" x14ac:dyDescent="0.25">
      <c r="A5479" t="str">
        <f ca="1">IFERROR(__xludf.DUMMYFUNCTION("""COMPUTED_VALUE"""),"Salmonella - S. Typhimurium, monophasic - 2d")</f>
        <v>Salmonella - S. Typhimurium, monophasic - 2d</v>
      </c>
      <c r="B5479" t="str">
        <f ca="1">IFERROR(__xludf.DUMMYFUNCTION("""COMPUTED_VALUE"""),"RF-00003310-MCG")</f>
        <v>RF-00003310-MCG</v>
      </c>
    </row>
    <row r="5480" spans="1:2" ht="12.5" x14ac:dyDescent="0.25">
      <c r="A5480" t="str">
        <f ca="1">IFERROR(__xludf.DUMMYFUNCTION("""COMPUTED_VALUE"""),"Salmonella - S. Typhimurium, monophasic - 3")</f>
        <v>Salmonella - S. Typhimurium, monophasic - 3</v>
      </c>
      <c r="B5480" t="str">
        <f ca="1">IFERROR(__xludf.DUMMYFUNCTION("""COMPUTED_VALUE"""),"RF-00003311-MCG")</f>
        <v>RF-00003311-MCG</v>
      </c>
    </row>
    <row r="5481" spans="1:2" ht="12.5" x14ac:dyDescent="0.25">
      <c r="A5481" t="str">
        <f ca="1">IFERROR(__xludf.DUMMYFUNCTION("""COMPUTED_VALUE"""),"Salmonella - S. Typhimurium, monophasic - 35")</f>
        <v>Salmonella - S. Typhimurium, monophasic - 35</v>
      </c>
      <c r="B5481" t="str">
        <f ca="1">IFERROR(__xludf.DUMMYFUNCTION("""COMPUTED_VALUE"""),"RF-00003312-MCG")</f>
        <v>RF-00003312-MCG</v>
      </c>
    </row>
    <row r="5482" spans="1:2" ht="12.5" x14ac:dyDescent="0.25">
      <c r="A5482" t="str">
        <f ca="1">IFERROR(__xludf.DUMMYFUNCTION("""COMPUTED_VALUE"""),"Salmonella - S. Typhimurium, monophasic - 3a")</f>
        <v>Salmonella - S. Typhimurium, monophasic - 3a</v>
      </c>
      <c r="B5482" t="str">
        <f ca="1">IFERROR(__xludf.DUMMYFUNCTION("""COMPUTED_VALUE"""),"RF-00003313-MCG")</f>
        <v>RF-00003313-MCG</v>
      </c>
    </row>
    <row r="5483" spans="1:2" ht="12.5" x14ac:dyDescent="0.25">
      <c r="A5483" t="str">
        <f ca="1">IFERROR(__xludf.DUMMYFUNCTION("""COMPUTED_VALUE"""),"Salmonella - S. Typhimurium, monophasic - 4")</f>
        <v>Salmonella - S. Typhimurium, monophasic - 4</v>
      </c>
      <c r="B5483" t="str">
        <f ca="1">IFERROR(__xludf.DUMMYFUNCTION("""COMPUTED_VALUE"""),"RF-00003314-MCG")</f>
        <v>RF-00003314-MCG</v>
      </c>
    </row>
    <row r="5484" spans="1:2" ht="12.5" x14ac:dyDescent="0.25">
      <c r="A5484" t="str">
        <f ca="1">IFERROR(__xludf.DUMMYFUNCTION("""COMPUTED_VALUE"""),"Salmonella - S. Typhimurium, monophasic - 5")</f>
        <v>Salmonella - S. Typhimurium, monophasic - 5</v>
      </c>
      <c r="B5484" t="str">
        <f ca="1">IFERROR(__xludf.DUMMYFUNCTION("""COMPUTED_VALUE"""),"RF-00003315-MCG")</f>
        <v>RF-00003315-MCG</v>
      </c>
    </row>
    <row r="5485" spans="1:2" ht="12.5" x14ac:dyDescent="0.25">
      <c r="A5485" t="str">
        <f ca="1">IFERROR(__xludf.DUMMYFUNCTION("""COMPUTED_VALUE"""),"Salmonella - S. Typhimurium, monophasic - 56a")</f>
        <v>Salmonella - S. Typhimurium, monophasic - 56a</v>
      </c>
      <c r="B5485" t="str">
        <f ca="1">IFERROR(__xludf.DUMMYFUNCTION("""COMPUTED_VALUE"""),"RF-00003316-MCG")</f>
        <v>RF-00003316-MCG</v>
      </c>
    </row>
    <row r="5486" spans="1:2" ht="12.5" x14ac:dyDescent="0.25">
      <c r="A5486" t="str">
        <f ca="1">IFERROR(__xludf.DUMMYFUNCTION("""COMPUTED_VALUE"""),"Salmonella - S. Typhimurium, monophasic - 7 var.")</f>
        <v>Salmonella - S. Typhimurium, monophasic - 7 var.</v>
      </c>
      <c r="B5486" t="str">
        <f ca="1">IFERROR(__xludf.DUMMYFUNCTION("""COMPUTED_VALUE"""),"RF-00003317-MCG")</f>
        <v>RF-00003317-MCG</v>
      </c>
    </row>
    <row r="5487" spans="1:2" ht="12.5" x14ac:dyDescent="0.25">
      <c r="A5487" t="str">
        <f ca="1">IFERROR(__xludf.DUMMYFUNCTION("""COMPUTED_VALUE"""),"Salmonella - S. Typhimurium, monophasic - DT 1")</f>
        <v>Salmonella - S. Typhimurium, monophasic - DT 1</v>
      </c>
      <c r="B5487" t="str">
        <f ca="1">IFERROR(__xludf.DUMMYFUNCTION("""COMPUTED_VALUE"""),"RF-00003318-MCG")</f>
        <v>RF-00003318-MCG</v>
      </c>
    </row>
    <row r="5488" spans="1:2" ht="12.5" x14ac:dyDescent="0.25">
      <c r="A5488" t="str">
        <f ca="1">IFERROR(__xludf.DUMMYFUNCTION("""COMPUTED_VALUE"""),"Salmonella - S. Typhimurium, monophasic - DT 10")</f>
        <v>Salmonella - S. Typhimurium, monophasic - DT 10</v>
      </c>
      <c r="B5488" t="str">
        <f ca="1">IFERROR(__xludf.DUMMYFUNCTION("""COMPUTED_VALUE"""),"RF-00003319-MCG")</f>
        <v>RF-00003319-MCG</v>
      </c>
    </row>
    <row r="5489" spans="1:2" ht="12.5" x14ac:dyDescent="0.25">
      <c r="A5489" t="str">
        <f ca="1">IFERROR(__xludf.DUMMYFUNCTION("""COMPUTED_VALUE"""),"Salmonella - S. Typhimurium, monophasic - DT 103")</f>
        <v>Salmonella - S. Typhimurium, monophasic - DT 103</v>
      </c>
      <c r="B5489" t="str">
        <f ca="1">IFERROR(__xludf.DUMMYFUNCTION("""COMPUTED_VALUE"""),"RF-00003320-MCG")</f>
        <v>RF-00003320-MCG</v>
      </c>
    </row>
    <row r="5490" spans="1:2" ht="12.5" x14ac:dyDescent="0.25">
      <c r="A5490" t="str">
        <f ca="1">IFERROR(__xludf.DUMMYFUNCTION("""COMPUTED_VALUE"""),"Salmonella - S. Typhimurium, monophasic - DT 104")</f>
        <v>Salmonella - S. Typhimurium, monophasic - DT 104</v>
      </c>
      <c r="B5490" t="str">
        <f ca="1">IFERROR(__xludf.DUMMYFUNCTION("""COMPUTED_VALUE"""),"RF-00003321-MCG")</f>
        <v>RF-00003321-MCG</v>
      </c>
    </row>
    <row r="5491" spans="1:2" ht="12.5" x14ac:dyDescent="0.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x14ac:dyDescent="0.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x14ac:dyDescent="0.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x14ac:dyDescent="0.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x14ac:dyDescent="0.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x14ac:dyDescent="0.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x14ac:dyDescent="0.25">
      <c r="A5497" t="str">
        <f ca="1">IFERROR(__xludf.DUMMYFUNCTION("""COMPUTED_VALUE"""),"Salmonella - S. Typhimurium, monophasic - DT 107")</f>
        <v>Salmonella - S. Typhimurium, monophasic - DT 107</v>
      </c>
      <c r="B5497" t="str">
        <f ca="1">IFERROR(__xludf.DUMMYFUNCTION("""COMPUTED_VALUE"""),"RF-00003328-MCG")</f>
        <v>RF-00003328-MCG</v>
      </c>
    </row>
    <row r="5498" spans="1:2" ht="12.5" x14ac:dyDescent="0.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x14ac:dyDescent="0.25">
      <c r="A5499" t="str">
        <f ca="1">IFERROR(__xludf.DUMMYFUNCTION("""COMPUTED_VALUE"""),"Salmonella - S. Typhimurium, monophasic - DT 109")</f>
        <v>Salmonella - S. Typhimurium, monophasic - DT 109</v>
      </c>
      <c r="B5499" t="str">
        <f ca="1">IFERROR(__xludf.DUMMYFUNCTION("""COMPUTED_VALUE"""),"RF-00003330-MCG")</f>
        <v>RF-00003330-MCG</v>
      </c>
    </row>
    <row r="5500" spans="1:2" ht="12.5" x14ac:dyDescent="0.25">
      <c r="A5500" t="str">
        <f ca="1">IFERROR(__xludf.DUMMYFUNCTION("""COMPUTED_VALUE"""),"Salmonella - S. Typhimurium, monophasic - DT 11")</f>
        <v>Salmonella - S. Typhimurium, monophasic - DT 11</v>
      </c>
      <c r="B5500" t="str">
        <f ca="1">IFERROR(__xludf.DUMMYFUNCTION("""COMPUTED_VALUE"""),"RF-00003331-MCG")</f>
        <v>RF-00003331-MCG</v>
      </c>
    </row>
    <row r="5501" spans="1:2" ht="12.5" x14ac:dyDescent="0.25">
      <c r="A5501" t="str">
        <f ca="1">IFERROR(__xludf.DUMMYFUNCTION("""COMPUTED_VALUE"""),"Salmonella - S. Typhimurium, monophasic - DT 110")</f>
        <v>Salmonella - S. Typhimurium, monophasic - DT 110</v>
      </c>
      <c r="B5501" t="str">
        <f ca="1">IFERROR(__xludf.DUMMYFUNCTION("""COMPUTED_VALUE"""),"RF-00003332-MCG")</f>
        <v>RF-00003332-MCG</v>
      </c>
    </row>
    <row r="5502" spans="1:2" ht="12.5" x14ac:dyDescent="0.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x14ac:dyDescent="0.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x14ac:dyDescent="0.25">
      <c r="A5504" t="str">
        <f ca="1">IFERROR(__xludf.DUMMYFUNCTION("""COMPUTED_VALUE"""),"Salmonella - S. Typhimurium, monophasic - DT 112")</f>
        <v>Salmonella - S. Typhimurium, monophasic - DT 112</v>
      </c>
      <c r="B5504" t="str">
        <f ca="1">IFERROR(__xludf.DUMMYFUNCTION("""COMPUTED_VALUE"""),"RF-00003335-MCG")</f>
        <v>RF-00003335-MCG</v>
      </c>
    </row>
    <row r="5505" spans="1:2" ht="12.5" x14ac:dyDescent="0.25">
      <c r="A5505" t="str">
        <f ca="1">IFERROR(__xludf.DUMMYFUNCTION("""COMPUTED_VALUE"""),"Salmonella - S. Typhimurium, monophasic - DT 114")</f>
        <v>Salmonella - S. Typhimurium, monophasic - DT 114</v>
      </c>
      <c r="B5505" t="str">
        <f ca="1">IFERROR(__xludf.DUMMYFUNCTION("""COMPUTED_VALUE"""),"RF-00003336-MCG")</f>
        <v>RF-00003336-MCG</v>
      </c>
    </row>
    <row r="5506" spans="1:2" ht="12.5" x14ac:dyDescent="0.25">
      <c r="A5506" t="str">
        <f ca="1">IFERROR(__xludf.DUMMYFUNCTION("""COMPUTED_VALUE"""),"Salmonella - S. Typhimurium, monophasic - DT 12")</f>
        <v>Salmonella - S. Typhimurium, monophasic - DT 12</v>
      </c>
      <c r="B5506" t="str">
        <f ca="1">IFERROR(__xludf.DUMMYFUNCTION("""COMPUTED_VALUE"""),"RF-00003337-MCG")</f>
        <v>RF-00003337-MCG</v>
      </c>
    </row>
    <row r="5507" spans="1:2" ht="12.5" x14ac:dyDescent="0.25">
      <c r="A5507" t="str">
        <f ca="1">IFERROR(__xludf.DUMMYFUNCTION("""COMPUTED_VALUE"""),"Salmonella - S. Typhimurium, monophasic - DT 120")</f>
        <v>Salmonella - S. Typhimurium, monophasic - DT 120</v>
      </c>
      <c r="B5507" t="str">
        <f ca="1">IFERROR(__xludf.DUMMYFUNCTION("""COMPUTED_VALUE"""),"RF-00003338-MCG")</f>
        <v>RF-00003338-MCG</v>
      </c>
    </row>
    <row r="5508" spans="1:2" ht="12.5" x14ac:dyDescent="0.25">
      <c r="A5508" t="str">
        <f ca="1">IFERROR(__xludf.DUMMYFUNCTION("""COMPUTED_VALUE"""),"Salmonella - S. Typhimurium, monophasic - DT 124")</f>
        <v>Salmonella - S. Typhimurium, monophasic - DT 124</v>
      </c>
      <c r="B5508" t="str">
        <f ca="1">IFERROR(__xludf.DUMMYFUNCTION("""COMPUTED_VALUE"""),"RF-00003339-MCG")</f>
        <v>RF-00003339-MCG</v>
      </c>
    </row>
    <row r="5509" spans="1:2" ht="12.5" x14ac:dyDescent="0.25">
      <c r="A5509" t="str">
        <f ca="1">IFERROR(__xludf.DUMMYFUNCTION("""COMPUTED_VALUE"""),"Salmonella - S. Typhimurium, monophasic - DT 125")</f>
        <v>Salmonella - S. Typhimurium, monophasic - DT 125</v>
      </c>
      <c r="B5509" t="str">
        <f ca="1">IFERROR(__xludf.DUMMYFUNCTION("""COMPUTED_VALUE"""),"RF-00003340-MCG")</f>
        <v>RF-00003340-MCG</v>
      </c>
    </row>
    <row r="5510" spans="1:2" ht="12.5" x14ac:dyDescent="0.25">
      <c r="A5510" t="str">
        <f ca="1">IFERROR(__xludf.DUMMYFUNCTION("""COMPUTED_VALUE"""),"Salmonella - S. Typhimurium, monophasic - DT 126")</f>
        <v>Salmonella - S. Typhimurium, monophasic - DT 126</v>
      </c>
      <c r="B5510" t="str">
        <f ca="1">IFERROR(__xludf.DUMMYFUNCTION("""COMPUTED_VALUE"""),"RF-00003341-MCG")</f>
        <v>RF-00003341-MCG</v>
      </c>
    </row>
    <row r="5511" spans="1:2" ht="12.5" x14ac:dyDescent="0.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x14ac:dyDescent="0.25">
      <c r="A5512" t="str">
        <f ca="1">IFERROR(__xludf.DUMMYFUNCTION("""COMPUTED_VALUE"""),"Salmonella - S. Typhimurium, monophasic - DT 129")</f>
        <v>Salmonella - S. Typhimurium, monophasic - DT 129</v>
      </c>
      <c r="B5512" t="str">
        <f ca="1">IFERROR(__xludf.DUMMYFUNCTION("""COMPUTED_VALUE"""),"RF-00003343-MCG")</f>
        <v>RF-00003343-MCG</v>
      </c>
    </row>
    <row r="5513" spans="1:2" ht="12.5" x14ac:dyDescent="0.25">
      <c r="A5513" t="str">
        <f ca="1">IFERROR(__xludf.DUMMYFUNCTION("""COMPUTED_VALUE"""),"Salmonella - S. Typhimurium, monophasic - DT 12a")</f>
        <v>Salmonella - S. Typhimurium, monophasic - DT 12a</v>
      </c>
      <c r="B5513" t="str">
        <f ca="1">IFERROR(__xludf.DUMMYFUNCTION("""COMPUTED_VALUE"""),"RF-00003344-MCG")</f>
        <v>RF-00003344-MCG</v>
      </c>
    </row>
    <row r="5514" spans="1:2" ht="12.5" x14ac:dyDescent="0.25">
      <c r="A5514" t="str">
        <f ca="1">IFERROR(__xludf.DUMMYFUNCTION("""COMPUTED_VALUE"""),"Salmonella - S. Typhimurium, monophasic - DT 13")</f>
        <v>Salmonella - S. Typhimurium, monophasic - DT 13</v>
      </c>
      <c r="B5514" t="str">
        <f ca="1">IFERROR(__xludf.DUMMYFUNCTION("""COMPUTED_VALUE"""),"RF-00003345-MCG")</f>
        <v>RF-00003345-MCG</v>
      </c>
    </row>
    <row r="5515" spans="1:2" ht="12.5" x14ac:dyDescent="0.25">
      <c r="A5515" t="str">
        <f ca="1">IFERROR(__xludf.DUMMYFUNCTION("""COMPUTED_VALUE"""),"Salmonella - S. Typhimurium, monophasic - DT 130")</f>
        <v>Salmonella - S. Typhimurium, monophasic - DT 130</v>
      </c>
      <c r="B5515" t="str">
        <f ca="1">IFERROR(__xludf.DUMMYFUNCTION("""COMPUTED_VALUE"""),"RF-00003346-MCG")</f>
        <v>RF-00003346-MCG</v>
      </c>
    </row>
    <row r="5516" spans="1:2" ht="12.5" x14ac:dyDescent="0.25">
      <c r="A5516" t="str">
        <f ca="1">IFERROR(__xludf.DUMMYFUNCTION("""COMPUTED_VALUE"""),"Salmonella - S. Typhimurium, monophasic - DT 131")</f>
        <v>Salmonella - S. Typhimurium, monophasic - DT 131</v>
      </c>
      <c r="B5516" t="str">
        <f ca="1">IFERROR(__xludf.DUMMYFUNCTION("""COMPUTED_VALUE"""),"RF-00003347-MCG")</f>
        <v>RF-00003347-MCG</v>
      </c>
    </row>
    <row r="5517" spans="1:2" ht="12.5" x14ac:dyDescent="0.25">
      <c r="A5517" t="str">
        <f ca="1">IFERROR(__xludf.DUMMYFUNCTION("""COMPUTED_VALUE"""),"Salmonella - S. Typhimurium, monophasic - DT 132")</f>
        <v>Salmonella - S. Typhimurium, monophasic - DT 132</v>
      </c>
      <c r="B5517" t="str">
        <f ca="1">IFERROR(__xludf.DUMMYFUNCTION("""COMPUTED_VALUE"""),"RF-00003348-MCG")</f>
        <v>RF-00003348-MCG</v>
      </c>
    </row>
    <row r="5518" spans="1:2" ht="12.5" x14ac:dyDescent="0.25">
      <c r="A5518" t="str">
        <f ca="1">IFERROR(__xludf.DUMMYFUNCTION("""COMPUTED_VALUE"""),"Salmonella - S. Typhimurium, monophasic - DT 135")</f>
        <v>Salmonella - S. Typhimurium, monophasic - DT 135</v>
      </c>
      <c r="B5518" t="str">
        <f ca="1">IFERROR(__xludf.DUMMYFUNCTION("""COMPUTED_VALUE"""),"RF-00003349-MCG")</f>
        <v>RF-00003349-MCG</v>
      </c>
    </row>
    <row r="5519" spans="1:2" ht="12.5" x14ac:dyDescent="0.25">
      <c r="A5519" t="str">
        <f ca="1">IFERROR(__xludf.DUMMYFUNCTION("""COMPUTED_VALUE"""),"Salmonella - S. Typhimurium, monophasic - DT 136")</f>
        <v>Salmonella - S. Typhimurium, monophasic - DT 136</v>
      </c>
      <c r="B5519" t="str">
        <f ca="1">IFERROR(__xludf.DUMMYFUNCTION("""COMPUTED_VALUE"""),"RF-00003350-MCG")</f>
        <v>RF-00003350-MCG</v>
      </c>
    </row>
    <row r="5520" spans="1:2" ht="12.5" x14ac:dyDescent="0.25">
      <c r="A5520" t="str">
        <f ca="1">IFERROR(__xludf.DUMMYFUNCTION("""COMPUTED_VALUE"""),"Salmonella - S. Typhimurium, monophasic - DT 137")</f>
        <v>Salmonella - S. Typhimurium, monophasic - DT 137</v>
      </c>
      <c r="B5520" t="str">
        <f ca="1">IFERROR(__xludf.DUMMYFUNCTION("""COMPUTED_VALUE"""),"RF-00003351-MCG")</f>
        <v>RF-00003351-MCG</v>
      </c>
    </row>
    <row r="5521" spans="1:2" ht="12.5" x14ac:dyDescent="0.25">
      <c r="A5521" t="str">
        <f ca="1">IFERROR(__xludf.DUMMYFUNCTION("""COMPUTED_VALUE"""),"Salmonella - S. Typhimurium, monophasic - DT 138")</f>
        <v>Salmonella - S. Typhimurium, monophasic - DT 138</v>
      </c>
      <c r="B5521" t="str">
        <f ca="1">IFERROR(__xludf.DUMMYFUNCTION("""COMPUTED_VALUE"""),"RF-00003352-MCG")</f>
        <v>RF-00003352-MCG</v>
      </c>
    </row>
    <row r="5522" spans="1:2" ht="12.5" x14ac:dyDescent="0.25">
      <c r="A5522" t="str">
        <f ca="1">IFERROR(__xludf.DUMMYFUNCTION("""COMPUTED_VALUE"""),"Salmonella - S. Typhimurium, monophasic - DT 14")</f>
        <v>Salmonella - S. Typhimurium, monophasic - DT 14</v>
      </c>
      <c r="B5522" t="str">
        <f ca="1">IFERROR(__xludf.DUMMYFUNCTION("""COMPUTED_VALUE"""),"RF-00003353-MCG")</f>
        <v>RF-00003353-MCG</v>
      </c>
    </row>
    <row r="5523" spans="1:2" ht="12.5" x14ac:dyDescent="0.25">
      <c r="A5523" t="str">
        <f ca="1">IFERROR(__xludf.DUMMYFUNCTION("""COMPUTED_VALUE"""),"Salmonella - S. Typhimurium, monophasic - DT 140")</f>
        <v>Salmonella - S. Typhimurium, monophasic - DT 140</v>
      </c>
      <c r="B5523" t="str">
        <f ca="1">IFERROR(__xludf.DUMMYFUNCTION("""COMPUTED_VALUE"""),"RF-00003354-MCG")</f>
        <v>RF-00003354-MCG</v>
      </c>
    </row>
    <row r="5524" spans="1:2" ht="12.5" x14ac:dyDescent="0.25">
      <c r="A5524" t="str">
        <f ca="1">IFERROR(__xludf.DUMMYFUNCTION("""COMPUTED_VALUE"""),"Salmonella - S. Typhimurium, monophasic - DT 141")</f>
        <v>Salmonella - S. Typhimurium, monophasic - DT 141</v>
      </c>
      <c r="B5524" t="str">
        <f ca="1">IFERROR(__xludf.DUMMYFUNCTION("""COMPUTED_VALUE"""),"RF-00003355-MCG")</f>
        <v>RF-00003355-MCG</v>
      </c>
    </row>
    <row r="5525" spans="1:2" ht="12.5" x14ac:dyDescent="0.25">
      <c r="A5525" t="str">
        <f ca="1">IFERROR(__xludf.DUMMYFUNCTION("""COMPUTED_VALUE"""),"Salmonella - S. Typhimurium, monophasic - DT 143")</f>
        <v>Salmonella - S. Typhimurium, monophasic - DT 143</v>
      </c>
      <c r="B5525" t="str">
        <f ca="1">IFERROR(__xludf.DUMMYFUNCTION("""COMPUTED_VALUE"""),"RF-00003356-MCG")</f>
        <v>RF-00003356-MCG</v>
      </c>
    </row>
    <row r="5526" spans="1:2" ht="12.5" x14ac:dyDescent="0.25">
      <c r="A5526" t="str">
        <f ca="1">IFERROR(__xludf.DUMMYFUNCTION("""COMPUTED_VALUE"""),"Salmonella - S. Typhimurium, monophasic - DT 144")</f>
        <v>Salmonella - S. Typhimurium, monophasic - DT 144</v>
      </c>
      <c r="B5526" t="str">
        <f ca="1">IFERROR(__xludf.DUMMYFUNCTION("""COMPUTED_VALUE"""),"RF-00003357-MCG")</f>
        <v>RF-00003357-MCG</v>
      </c>
    </row>
    <row r="5527" spans="1:2" ht="12.5" x14ac:dyDescent="0.25">
      <c r="A5527" t="str">
        <f ca="1">IFERROR(__xludf.DUMMYFUNCTION("""COMPUTED_VALUE"""),"Salmonella - S. Typhimurium, monophasic - DT 14b")</f>
        <v>Salmonella - S. Typhimurium, monophasic - DT 14b</v>
      </c>
      <c r="B5527" t="str">
        <f ca="1">IFERROR(__xludf.DUMMYFUNCTION("""COMPUTED_VALUE"""),"RF-00003358-MCG")</f>
        <v>RF-00003358-MCG</v>
      </c>
    </row>
    <row r="5528" spans="1:2" ht="12.5" x14ac:dyDescent="0.25">
      <c r="A5528" t="str">
        <f ca="1">IFERROR(__xludf.DUMMYFUNCTION("""COMPUTED_VALUE"""),"Salmonella - S. Typhimurium, monophasic - DT 15")</f>
        <v>Salmonella - S. Typhimurium, monophasic - DT 15</v>
      </c>
      <c r="B5528" t="str">
        <f ca="1">IFERROR(__xludf.DUMMYFUNCTION("""COMPUTED_VALUE"""),"RF-00003359-MCG")</f>
        <v>RF-00003359-MCG</v>
      </c>
    </row>
    <row r="5529" spans="1:2" ht="12.5" x14ac:dyDescent="0.25">
      <c r="A5529" t="str">
        <f ca="1">IFERROR(__xludf.DUMMYFUNCTION("""COMPUTED_VALUE"""),"Salmonella - S. Typhimurium, monophasic - DT 151")</f>
        <v>Salmonella - S. Typhimurium, monophasic - DT 151</v>
      </c>
      <c r="B5529" t="str">
        <f ca="1">IFERROR(__xludf.DUMMYFUNCTION("""COMPUTED_VALUE"""),"RF-00003360-MCG")</f>
        <v>RF-00003360-MCG</v>
      </c>
    </row>
    <row r="5530" spans="1:2" ht="12.5" x14ac:dyDescent="0.25">
      <c r="A5530" t="str">
        <f ca="1">IFERROR(__xludf.DUMMYFUNCTION("""COMPUTED_VALUE"""),"Salmonella - S. Typhimurium, monophasic - DT 153")</f>
        <v>Salmonella - S. Typhimurium, monophasic - DT 153</v>
      </c>
      <c r="B5530" t="str">
        <f ca="1">IFERROR(__xludf.DUMMYFUNCTION("""COMPUTED_VALUE"""),"RF-00003361-MCG")</f>
        <v>RF-00003361-MCG</v>
      </c>
    </row>
    <row r="5531" spans="1:2" ht="12.5" x14ac:dyDescent="0.25">
      <c r="A5531" t="str">
        <f ca="1">IFERROR(__xludf.DUMMYFUNCTION("""COMPUTED_VALUE"""),"Salmonella - S. Typhimurium, monophasic - DT 15a")</f>
        <v>Salmonella - S. Typhimurium, monophasic - DT 15a</v>
      </c>
      <c r="B5531" t="str">
        <f ca="1">IFERROR(__xludf.DUMMYFUNCTION("""COMPUTED_VALUE"""),"RF-00003362-MCG")</f>
        <v>RF-00003362-MCG</v>
      </c>
    </row>
    <row r="5532" spans="1:2" ht="12.5" x14ac:dyDescent="0.25">
      <c r="A5532" t="str">
        <f ca="1">IFERROR(__xludf.DUMMYFUNCTION("""COMPUTED_VALUE"""),"Salmonella - S. Typhimurium, monophasic - DT 16")</f>
        <v>Salmonella - S. Typhimurium, monophasic - DT 16</v>
      </c>
      <c r="B5532" t="str">
        <f ca="1">IFERROR(__xludf.DUMMYFUNCTION("""COMPUTED_VALUE"""),"RF-00003363-MCG")</f>
        <v>RF-00003363-MCG</v>
      </c>
    </row>
    <row r="5533" spans="1:2" ht="12.5" x14ac:dyDescent="0.25">
      <c r="A5533" t="str">
        <f ca="1">IFERROR(__xludf.DUMMYFUNCTION("""COMPUTED_VALUE"""),"Salmonella - S. Typhimurium, monophasic - DT 160")</f>
        <v>Salmonella - S. Typhimurium, monophasic - DT 160</v>
      </c>
      <c r="B5533" t="str">
        <f ca="1">IFERROR(__xludf.DUMMYFUNCTION("""COMPUTED_VALUE"""),"RF-00003364-MCG")</f>
        <v>RF-00003364-MCG</v>
      </c>
    </row>
    <row r="5534" spans="1:2" ht="12.5" x14ac:dyDescent="0.25">
      <c r="A5534" t="str">
        <f ca="1">IFERROR(__xludf.DUMMYFUNCTION("""COMPUTED_VALUE"""),"Salmonella - S. Typhimurium, monophasic - DT 161")</f>
        <v>Salmonella - S. Typhimurium, monophasic - DT 161</v>
      </c>
      <c r="B5534" t="str">
        <f ca="1">IFERROR(__xludf.DUMMYFUNCTION("""COMPUTED_VALUE"""),"RF-00003365-MCG")</f>
        <v>RF-00003365-MCG</v>
      </c>
    </row>
    <row r="5535" spans="1:2" ht="12.5" x14ac:dyDescent="0.25">
      <c r="A5535" t="str">
        <f ca="1">IFERROR(__xludf.DUMMYFUNCTION("""COMPUTED_VALUE"""),"Salmonella - S. Typhimurium, monophasic - DT 164")</f>
        <v>Salmonella - S. Typhimurium, monophasic - DT 164</v>
      </c>
      <c r="B5535" t="str">
        <f ca="1">IFERROR(__xludf.DUMMYFUNCTION("""COMPUTED_VALUE"""),"RF-00003366-MCG")</f>
        <v>RF-00003366-MCG</v>
      </c>
    </row>
    <row r="5536" spans="1:2" ht="12.5" x14ac:dyDescent="0.25">
      <c r="A5536" t="str">
        <f ca="1">IFERROR(__xludf.DUMMYFUNCTION("""COMPUTED_VALUE"""),"Salmonella - S. Typhimurium, monophasic - DT 166")</f>
        <v>Salmonella - S. Typhimurium, monophasic - DT 166</v>
      </c>
      <c r="B5536" t="str">
        <f ca="1">IFERROR(__xludf.DUMMYFUNCTION("""COMPUTED_VALUE"""),"RF-00003367-MCG")</f>
        <v>RF-00003367-MCG</v>
      </c>
    </row>
    <row r="5537" spans="1:2" ht="12.5" x14ac:dyDescent="0.25">
      <c r="A5537" t="str">
        <f ca="1">IFERROR(__xludf.DUMMYFUNCTION("""COMPUTED_VALUE"""),"Salmonella - S. Typhimurium, monophasic - DT 17")</f>
        <v>Salmonella - S. Typhimurium, monophasic - DT 17</v>
      </c>
      <c r="B5537" t="str">
        <f ca="1">IFERROR(__xludf.DUMMYFUNCTION("""COMPUTED_VALUE"""),"RF-00003368-MCG")</f>
        <v>RF-00003368-MCG</v>
      </c>
    </row>
    <row r="5538" spans="1:2" ht="12.5" x14ac:dyDescent="0.25">
      <c r="A5538" t="str">
        <f ca="1">IFERROR(__xludf.DUMMYFUNCTION("""COMPUTED_VALUE"""),"Salmonella - S. Typhimurium, monophasic - DT 170")</f>
        <v>Salmonella - S. Typhimurium, monophasic - DT 170</v>
      </c>
      <c r="B5538" t="str">
        <f ca="1">IFERROR(__xludf.DUMMYFUNCTION("""COMPUTED_VALUE"""),"RF-00003369-MCG")</f>
        <v>RF-00003369-MCG</v>
      </c>
    </row>
    <row r="5539" spans="1:2" ht="12.5" x14ac:dyDescent="0.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x14ac:dyDescent="0.25">
      <c r="A5540" t="str">
        <f ca="1">IFERROR(__xludf.DUMMYFUNCTION("""COMPUTED_VALUE"""),"Salmonella - S. Typhimurium, monophasic - DT 177")</f>
        <v>Salmonella - S. Typhimurium, monophasic - DT 177</v>
      </c>
      <c r="B5540" t="str">
        <f ca="1">IFERROR(__xludf.DUMMYFUNCTION("""COMPUTED_VALUE"""),"RF-00003371-MCG")</f>
        <v>RF-00003371-MCG</v>
      </c>
    </row>
    <row r="5541" spans="1:2" ht="12.5" x14ac:dyDescent="0.25">
      <c r="A5541" t="str">
        <f ca="1">IFERROR(__xludf.DUMMYFUNCTION("""COMPUTED_VALUE"""),"Salmonella - S. Typhimurium, monophasic - DT 178")</f>
        <v>Salmonella - S. Typhimurium, monophasic - DT 178</v>
      </c>
      <c r="B5541" t="str">
        <f ca="1">IFERROR(__xludf.DUMMYFUNCTION("""COMPUTED_VALUE"""),"RF-00003372-MCG")</f>
        <v>RF-00003372-MCG</v>
      </c>
    </row>
    <row r="5542" spans="1:2" ht="12.5" x14ac:dyDescent="0.25">
      <c r="A5542" t="str">
        <f ca="1">IFERROR(__xludf.DUMMYFUNCTION("""COMPUTED_VALUE"""),"Salmonella - S. Typhimurium, monophasic - DT 18")</f>
        <v>Salmonella - S. Typhimurium, monophasic - DT 18</v>
      </c>
      <c r="B5542" t="str">
        <f ca="1">IFERROR(__xludf.DUMMYFUNCTION("""COMPUTED_VALUE"""),"RF-00003373-MCG")</f>
        <v>RF-00003373-MCG</v>
      </c>
    </row>
    <row r="5543" spans="1:2" ht="12.5" x14ac:dyDescent="0.25">
      <c r="A5543" t="str">
        <f ca="1">IFERROR(__xludf.DUMMYFUNCTION("""COMPUTED_VALUE"""),"Salmonella - S. Typhimurium, monophasic - DT 185")</f>
        <v>Salmonella - S. Typhimurium, monophasic - DT 185</v>
      </c>
      <c r="B5543" t="str">
        <f ca="1">IFERROR(__xludf.DUMMYFUNCTION("""COMPUTED_VALUE"""),"RF-00003374-MCG")</f>
        <v>RF-00003374-MCG</v>
      </c>
    </row>
    <row r="5544" spans="1:2" ht="12.5" x14ac:dyDescent="0.25">
      <c r="A5544" t="str">
        <f ca="1">IFERROR(__xludf.DUMMYFUNCTION("""COMPUTED_VALUE"""),"Salmonella - S. Typhimurium, monophasic - DT 186")</f>
        <v>Salmonella - S. Typhimurium, monophasic - DT 186</v>
      </c>
      <c r="B5544" t="str">
        <f ca="1">IFERROR(__xludf.DUMMYFUNCTION("""COMPUTED_VALUE"""),"RF-00003375-MCG")</f>
        <v>RF-00003375-MCG</v>
      </c>
    </row>
    <row r="5545" spans="1:2" ht="12.5" x14ac:dyDescent="0.25">
      <c r="A5545" t="str">
        <f ca="1">IFERROR(__xludf.DUMMYFUNCTION("""COMPUTED_VALUE"""),"Salmonella - S. Typhimurium, monophasic - DT 19")</f>
        <v>Salmonella - S. Typhimurium, monophasic - DT 19</v>
      </c>
      <c r="B5545" t="str">
        <f ca="1">IFERROR(__xludf.DUMMYFUNCTION("""COMPUTED_VALUE"""),"RF-00003376-MCG")</f>
        <v>RF-00003376-MCG</v>
      </c>
    </row>
    <row r="5546" spans="1:2" ht="12.5" x14ac:dyDescent="0.25">
      <c r="A5546" t="str">
        <f ca="1">IFERROR(__xludf.DUMMYFUNCTION("""COMPUTED_VALUE"""),"Salmonella - S. Typhimurium, monophasic - DT 191")</f>
        <v>Salmonella - S. Typhimurium, monophasic - DT 191</v>
      </c>
      <c r="B5546" t="str">
        <f ca="1">IFERROR(__xludf.DUMMYFUNCTION("""COMPUTED_VALUE"""),"RF-00003377-MCG")</f>
        <v>RF-00003377-MCG</v>
      </c>
    </row>
    <row r="5547" spans="1:2" ht="12.5" x14ac:dyDescent="0.25">
      <c r="A5547" t="str">
        <f ca="1">IFERROR(__xludf.DUMMYFUNCTION("""COMPUTED_VALUE"""),"Salmonella - S. Typhimurium, monophasic - DT 192")</f>
        <v>Salmonella - S. Typhimurium, monophasic - DT 192</v>
      </c>
      <c r="B5547" t="str">
        <f ca="1">IFERROR(__xludf.DUMMYFUNCTION("""COMPUTED_VALUE"""),"RF-00003378-MCG")</f>
        <v>RF-00003378-MCG</v>
      </c>
    </row>
    <row r="5548" spans="1:2" ht="12.5" x14ac:dyDescent="0.25">
      <c r="A5548" t="str">
        <f ca="1">IFERROR(__xludf.DUMMYFUNCTION("""COMPUTED_VALUE"""),"Salmonella - S. Typhimurium, monophasic - DT 193")</f>
        <v>Salmonella - S. Typhimurium, monophasic - DT 193</v>
      </c>
      <c r="B5548" t="str">
        <f ca="1">IFERROR(__xludf.DUMMYFUNCTION("""COMPUTED_VALUE"""),"RF-00003379-MCG")</f>
        <v>RF-00003379-MCG</v>
      </c>
    </row>
    <row r="5549" spans="1:2" ht="12.5" x14ac:dyDescent="0.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x14ac:dyDescent="0.25">
      <c r="A5550" t="str">
        <f ca="1">IFERROR(__xludf.DUMMYFUNCTION("""COMPUTED_VALUE"""),"Salmonella - S. Typhimurium, monophasic - DT 194")</f>
        <v>Salmonella - S. Typhimurium, monophasic - DT 194</v>
      </c>
      <c r="B5550" t="str">
        <f ca="1">IFERROR(__xludf.DUMMYFUNCTION("""COMPUTED_VALUE"""),"RF-00003381-MCG")</f>
        <v>RF-00003381-MCG</v>
      </c>
    </row>
    <row r="5551" spans="1:2" ht="12.5" x14ac:dyDescent="0.25">
      <c r="A5551" t="str">
        <f ca="1">IFERROR(__xludf.DUMMYFUNCTION("""COMPUTED_VALUE"""),"Salmonella - S. Typhimurium, monophasic - DT 195")</f>
        <v>Salmonella - S. Typhimurium, monophasic - DT 195</v>
      </c>
      <c r="B5551" t="str">
        <f ca="1">IFERROR(__xludf.DUMMYFUNCTION("""COMPUTED_VALUE"""),"RF-00003382-MCG")</f>
        <v>RF-00003382-MCG</v>
      </c>
    </row>
    <row r="5552" spans="1:2" ht="12.5" x14ac:dyDescent="0.25">
      <c r="A5552" t="str">
        <f ca="1">IFERROR(__xludf.DUMMYFUNCTION("""COMPUTED_VALUE"""),"Salmonella - S. Typhimurium, monophasic - DT 197")</f>
        <v>Salmonella - S. Typhimurium, monophasic - DT 197</v>
      </c>
      <c r="B5552" t="str">
        <f ca="1">IFERROR(__xludf.DUMMYFUNCTION("""COMPUTED_VALUE"""),"RF-00003383-MCG")</f>
        <v>RF-00003383-MCG</v>
      </c>
    </row>
    <row r="5553" spans="1:2" ht="12.5" x14ac:dyDescent="0.25">
      <c r="A5553" t="str">
        <f ca="1">IFERROR(__xludf.DUMMYFUNCTION("""COMPUTED_VALUE"""),"Salmonella - S. Typhimurium, monophasic - DT 2")</f>
        <v>Salmonella - S. Typhimurium, monophasic - DT 2</v>
      </c>
      <c r="B5553" t="str">
        <f ca="1">IFERROR(__xludf.DUMMYFUNCTION("""COMPUTED_VALUE"""),"RF-00003384-MCG")</f>
        <v>RF-00003384-MCG</v>
      </c>
    </row>
    <row r="5554" spans="1:2" ht="12.5" x14ac:dyDescent="0.25">
      <c r="A5554" t="str">
        <f ca="1">IFERROR(__xludf.DUMMYFUNCTION("""COMPUTED_VALUE"""),"Salmonella - S. Typhimurium, monophasic - DT 20")</f>
        <v>Salmonella - S. Typhimurium, monophasic - DT 20</v>
      </c>
      <c r="B5554" t="str">
        <f ca="1">IFERROR(__xludf.DUMMYFUNCTION("""COMPUTED_VALUE"""),"RF-00003385-MCG")</f>
        <v>RF-00003385-MCG</v>
      </c>
    </row>
    <row r="5555" spans="1:2" ht="12.5" x14ac:dyDescent="0.25">
      <c r="A5555" t="str">
        <f ca="1">IFERROR(__xludf.DUMMYFUNCTION("""COMPUTED_VALUE"""),"Salmonella - S. Typhimurium, monophasic - DT 203")</f>
        <v>Salmonella - S. Typhimurium, monophasic - DT 203</v>
      </c>
      <c r="B5555" t="str">
        <f ca="1">IFERROR(__xludf.DUMMYFUNCTION("""COMPUTED_VALUE"""),"RF-00003386-MCG")</f>
        <v>RF-00003386-MCG</v>
      </c>
    </row>
    <row r="5556" spans="1:2" ht="12.5" x14ac:dyDescent="0.25">
      <c r="A5556" t="str">
        <f ca="1">IFERROR(__xludf.DUMMYFUNCTION("""COMPUTED_VALUE"""),"Salmonella - S. Typhimurium, monophasic - DT 206")</f>
        <v>Salmonella - S. Typhimurium, monophasic - DT 206</v>
      </c>
      <c r="B5556" t="str">
        <f ca="1">IFERROR(__xludf.DUMMYFUNCTION("""COMPUTED_VALUE"""),"RF-00003387-MCG")</f>
        <v>RF-00003387-MCG</v>
      </c>
    </row>
    <row r="5557" spans="1:2" ht="12.5" x14ac:dyDescent="0.25">
      <c r="A5557" t="str">
        <f ca="1">IFERROR(__xludf.DUMMYFUNCTION("""COMPUTED_VALUE"""),"Salmonella - S. Typhimurium, monophasic - DT 208")</f>
        <v>Salmonella - S. Typhimurium, monophasic - DT 208</v>
      </c>
      <c r="B5557" t="str">
        <f ca="1">IFERROR(__xludf.DUMMYFUNCTION("""COMPUTED_VALUE"""),"RF-00003388-MCG")</f>
        <v>RF-00003388-MCG</v>
      </c>
    </row>
    <row r="5558" spans="1:2" ht="12.5" x14ac:dyDescent="0.25">
      <c r="A5558" t="str">
        <f ca="1">IFERROR(__xludf.DUMMYFUNCTION("""COMPUTED_VALUE"""),"Salmonella - S. Typhimurium, monophasic - DT 20a")</f>
        <v>Salmonella - S. Typhimurium, monophasic - DT 20a</v>
      </c>
      <c r="B5558" t="str">
        <f ca="1">IFERROR(__xludf.DUMMYFUNCTION("""COMPUTED_VALUE"""),"RF-00003389-MCG")</f>
        <v>RF-00003389-MCG</v>
      </c>
    </row>
    <row r="5559" spans="1:2" ht="12.5" x14ac:dyDescent="0.25">
      <c r="A5559" t="str">
        <f ca="1">IFERROR(__xludf.DUMMYFUNCTION("""COMPUTED_VALUE"""),"Salmonella - S. Typhimurium, monophasic - DT 22")</f>
        <v>Salmonella - S. Typhimurium, monophasic - DT 22</v>
      </c>
      <c r="B5559" t="str">
        <f ca="1">IFERROR(__xludf.DUMMYFUNCTION("""COMPUTED_VALUE"""),"RF-00003390-MCG")</f>
        <v>RF-00003390-MCG</v>
      </c>
    </row>
    <row r="5560" spans="1:2" ht="12.5" x14ac:dyDescent="0.25">
      <c r="A5560" t="str">
        <f ca="1">IFERROR(__xludf.DUMMYFUNCTION("""COMPUTED_VALUE"""),"Salmonella - S. Typhimurium, monophasic - DT 26")</f>
        <v>Salmonella - S. Typhimurium, monophasic - DT 26</v>
      </c>
      <c r="B5560" t="str">
        <f ca="1">IFERROR(__xludf.DUMMYFUNCTION("""COMPUTED_VALUE"""),"RF-00003391-MCG")</f>
        <v>RF-00003391-MCG</v>
      </c>
    </row>
    <row r="5561" spans="1:2" ht="12.5" x14ac:dyDescent="0.25">
      <c r="A5561" t="str">
        <f ca="1">IFERROR(__xludf.DUMMYFUNCTION("""COMPUTED_VALUE"""),"Salmonella - S. Typhimurium, monophasic - DT 27")</f>
        <v>Salmonella - S. Typhimurium, monophasic - DT 27</v>
      </c>
      <c r="B5561" t="str">
        <f ca="1">IFERROR(__xludf.DUMMYFUNCTION("""COMPUTED_VALUE"""),"RF-00003392-MCG")</f>
        <v>RF-00003392-MCG</v>
      </c>
    </row>
    <row r="5562" spans="1:2" ht="12.5" x14ac:dyDescent="0.25">
      <c r="A5562" t="str">
        <f ca="1">IFERROR(__xludf.DUMMYFUNCTION("""COMPUTED_VALUE"""),"Salmonella - S. Typhimurium, monophasic - DT 28")</f>
        <v>Salmonella - S. Typhimurium, monophasic - DT 28</v>
      </c>
      <c r="B5562" t="str">
        <f ca="1">IFERROR(__xludf.DUMMYFUNCTION("""COMPUTED_VALUE"""),"RF-00003393-MCG")</f>
        <v>RF-00003393-MCG</v>
      </c>
    </row>
    <row r="5563" spans="1:2" ht="12.5" x14ac:dyDescent="0.25">
      <c r="A5563" t="str">
        <f ca="1">IFERROR(__xludf.DUMMYFUNCTION("""COMPUTED_VALUE"""),"Salmonella - S. Typhimurium, monophasic - DT 29")</f>
        <v>Salmonella - S. Typhimurium, monophasic - DT 29</v>
      </c>
      <c r="B5563" t="str">
        <f ca="1">IFERROR(__xludf.DUMMYFUNCTION("""COMPUTED_VALUE"""),"RF-00003394-MCG")</f>
        <v>RF-00003394-MCG</v>
      </c>
    </row>
    <row r="5564" spans="1:2" ht="12.5" x14ac:dyDescent="0.25">
      <c r="A5564" t="str">
        <f ca="1">IFERROR(__xludf.DUMMYFUNCTION("""COMPUTED_VALUE"""),"Salmonella - S. Typhimurium, monophasic - DT 2a")</f>
        <v>Salmonella - S. Typhimurium, monophasic - DT 2a</v>
      </c>
      <c r="B5564" t="str">
        <f ca="1">IFERROR(__xludf.DUMMYFUNCTION("""COMPUTED_VALUE"""),"RF-00003395-MCG")</f>
        <v>RF-00003395-MCG</v>
      </c>
    </row>
    <row r="5565" spans="1:2" ht="12.5" x14ac:dyDescent="0.25">
      <c r="A5565" t="str">
        <f ca="1">IFERROR(__xludf.DUMMYFUNCTION("""COMPUTED_VALUE"""),"Salmonella - S. Typhimurium, monophasic - DT 3")</f>
        <v>Salmonella - S. Typhimurium, monophasic - DT 3</v>
      </c>
      <c r="B5565" t="str">
        <f ca="1">IFERROR(__xludf.DUMMYFUNCTION("""COMPUTED_VALUE"""),"RF-00003396-MCG")</f>
        <v>RF-00003396-MCG</v>
      </c>
    </row>
    <row r="5566" spans="1:2" ht="12.5" x14ac:dyDescent="0.25">
      <c r="A5566" t="str">
        <f ca="1">IFERROR(__xludf.DUMMYFUNCTION("""COMPUTED_VALUE"""),"Salmonella - S. Typhimurium, monophasic - DT 30")</f>
        <v>Salmonella - S. Typhimurium, monophasic - DT 30</v>
      </c>
      <c r="B5566" t="str">
        <f ca="1">IFERROR(__xludf.DUMMYFUNCTION("""COMPUTED_VALUE"""),"RF-00003397-MCG")</f>
        <v>RF-00003397-MCG</v>
      </c>
    </row>
    <row r="5567" spans="1:2" ht="12.5" x14ac:dyDescent="0.25">
      <c r="A5567" t="str">
        <f ca="1">IFERROR(__xludf.DUMMYFUNCTION("""COMPUTED_VALUE"""),"Salmonella - S. Typhimurium, monophasic - DT 32")</f>
        <v>Salmonella - S. Typhimurium, monophasic - DT 32</v>
      </c>
      <c r="B5567" t="str">
        <f ca="1">IFERROR(__xludf.DUMMYFUNCTION("""COMPUTED_VALUE"""),"RF-00003398-MCG")</f>
        <v>RF-00003398-MCG</v>
      </c>
    </row>
    <row r="5568" spans="1:2" ht="12.5" x14ac:dyDescent="0.25">
      <c r="A5568" t="str">
        <f ca="1">IFERROR(__xludf.DUMMYFUNCTION("""COMPUTED_VALUE"""),"Salmonella - S. Typhimurium, monophasic - DT 35")</f>
        <v>Salmonella - S. Typhimurium, monophasic - DT 35</v>
      </c>
      <c r="B5568" t="str">
        <f ca="1">IFERROR(__xludf.DUMMYFUNCTION("""COMPUTED_VALUE"""),"RF-00003399-MCG")</f>
        <v>RF-00003399-MCG</v>
      </c>
    </row>
    <row r="5569" spans="1:2" ht="12.5" x14ac:dyDescent="0.25">
      <c r="A5569" t="str">
        <f ca="1">IFERROR(__xludf.DUMMYFUNCTION("""COMPUTED_VALUE"""),"Salmonella - S. Typhimurium, monophasic - DT 36")</f>
        <v>Salmonella - S. Typhimurium, monophasic - DT 36</v>
      </c>
      <c r="B5569" t="str">
        <f ca="1">IFERROR(__xludf.DUMMYFUNCTION("""COMPUTED_VALUE"""),"RF-00003400-MCG")</f>
        <v>RF-00003400-MCG</v>
      </c>
    </row>
    <row r="5570" spans="1:2" ht="12.5" x14ac:dyDescent="0.25">
      <c r="A5570" t="str">
        <f ca="1">IFERROR(__xludf.DUMMYFUNCTION("""COMPUTED_VALUE"""),"Salmonella - S. Typhimurium, monophasic - DT 38")</f>
        <v>Salmonella - S. Typhimurium, monophasic - DT 38</v>
      </c>
      <c r="B5570" t="str">
        <f ca="1">IFERROR(__xludf.DUMMYFUNCTION("""COMPUTED_VALUE"""),"RF-00003401-MCG")</f>
        <v>RF-00003401-MCG</v>
      </c>
    </row>
    <row r="5571" spans="1:2" ht="12.5" x14ac:dyDescent="0.25">
      <c r="A5571" t="str">
        <f ca="1">IFERROR(__xludf.DUMMYFUNCTION("""COMPUTED_VALUE"""),"Salmonella - S. Typhimurium, monophasic - DT 4")</f>
        <v>Salmonella - S. Typhimurium, monophasic - DT 4</v>
      </c>
      <c r="B5571" t="str">
        <f ca="1">IFERROR(__xludf.DUMMYFUNCTION("""COMPUTED_VALUE"""),"RF-00003402-MCG")</f>
        <v>RF-00003402-MCG</v>
      </c>
    </row>
    <row r="5572" spans="1:2" ht="12.5" x14ac:dyDescent="0.25">
      <c r="A5572" t="str">
        <f ca="1">IFERROR(__xludf.DUMMYFUNCTION("""COMPUTED_VALUE"""),"Salmonella - S. Typhimurium, monophasic - DT 40")</f>
        <v>Salmonella - S. Typhimurium, monophasic - DT 40</v>
      </c>
      <c r="B5572" t="str">
        <f ca="1">IFERROR(__xludf.DUMMYFUNCTION("""COMPUTED_VALUE"""),"RF-00003403-MCG")</f>
        <v>RF-00003403-MCG</v>
      </c>
    </row>
    <row r="5573" spans="1:2" ht="12.5" x14ac:dyDescent="0.25">
      <c r="A5573" t="str">
        <f ca="1">IFERROR(__xludf.DUMMYFUNCTION("""COMPUTED_VALUE"""),"Salmonella - S. Typhimurium, monophasic - DT 41")</f>
        <v>Salmonella - S. Typhimurium, monophasic - DT 41</v>
      </c>
      <c r="B5573" t="str">
        <f ca="1">IFERROR(__xludf.DUMMYFUNCTION("""COMPUTED_VALUE"""),"RF-00003404-MCG")</f>
        <v>RF-00003404-MCG</v>
      </c>
    </row>
    <row r="5574" spans="1:2" ht="12.5" x14ac:dyDescent="0.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x14ac:dyDescent="0.25">
      <c r="A5575" t="str">
        <f ca="1">IFERROR(__xludf.DUMMYFUNCTION("""COMPUTED_VALUE"""),"Salmonella - S. Typhimurium, monophasic - DT 41a")</f>
        <v>Salmonella - S. Typhimurium, monophasic - DT 41a</v>
      </c>
      <c r="B5575" t="str">
        <f ca="1">IFERROR(__xludf.DUMMYFUNCTION("""COMPUTED_VALUE"""),"RF-00003406-MCG")</f>
        <v>RF-00003406-MCG</v>
      </c>
    </row>
    <row r="5576" spans="1:2" ht="12.5" x14ac:dyDescent="0.25">
      <c r="A5576" t="str">
        <f ca="1">IFERROR(__xludf.DUMMYFUNCTION("""COMPUTED_VALUE"""),"Salmonella - S. Typhimurium, monophasic - DT 42")</f>
        <v>Salmonella - S. Typhimurium, monophasic - DT 42</v>
      </c>
      <c r="B5576" t="str">
        <f ca="1">IFERROR(__xludf.DUMMYFUNCTION("""COMPUTED_VALUE"""),"RF-00003407-MCG")</f>
        <v>RF-00003407-MCG</v>
      </c>
    </row>
    <row r="5577" spans="1:2" ht="12.5" x14ac:dyDescent="0.25">
      <c r="A5577" t="str">
        <f ca="1">IFERROR(__xludf.DUMMYFUNCTION("""COMPUTED_VALUE"""),"Salmonella - S. Typhimurium, monophasic - DT 43")</f>
        <v>Salmonella - S. Typhimurium, monophasic - DT 43</v>
      </c>
      <c r="B5577" t="str">
        <f ca="1">IFERROR(__xludf.DUMMYFUNCTION("""COMPUTED_VALUE"""),"RF-00003408-MCG")</f>
        <v>RF-00003408-MCG</v>
      </c>
    </row>
    <row r="5578" spans="1:2" ht="12.5" x14ac:dyDescent="0.25">
      <c r="A5578" t="str">
        <f ca="1">IFERROR(__xludf.DUMMYFUNCTION("""COMPUTED_VALUE"""),"Salmonella - S. Typhimurium, monophasic - DT 44")</f>
        <v>Salmonella - S. Typhimurium, monophasic - DT 44</v>
      </c>
      <c r="B5578" t="str">
        <f ca="1">IFERROR(__xludf.DUMMYFUNCTION("""COMPUTED_VALUE"""),"RF-00003409-MCG")</f>
        <v>RF-00003409-MCG</v>
      </c>
    </row>
    <row r="5579" spans="1:2" ht="12.5" x14ac:dyDescent="0.25">
      <c r="A5579" t="str">
        <f ca="1">IFERROR(__xludf.DUMMYFUNCTION("""COMPUTED_VALUE"""),"Salmonella - S. Typhimurium, monophasic - DT 46")</f>
        <v>Salmonella - S. Typhimurium, monophasic - DT 46</v>
      </c>
      <c r="B5579" t="str">
        <f ca="1">IFERROR(__xludf.DUMMYFUNCTION("""COMPUTED_VALUE"""),"RF-00003410-MCG")</f>
        <v>RF-00003410-MCG</v>
      </c>
    </row>
    <row r="5580" spans="1:2" ht="12.5" x14ac:dyDescent="0.25">
      <c r="A5580" t="str">
        <f ca="1">IFERROR(__xludf.DUMMYFUNCTION("""COMPUTED_VALUE"""),"Salmonella - S. Typhimurium, monophasic - DT 46a")</f>
        <v>Salmonella - S. Typhimurium, monophasic - DT 46a</v>
      </c>
      <c r="B5580" t="str">
        <f ca="1">IFERROR(__xludf.DUMMYFUNCTION("""COMPUTED_VALUE"""),"RF-00003411-MCG")</f>
        <v>RF-00003411-MCG</v>
      </c>
    </row>
    <row r="5581" spans="1:2" ht="12.5" x14ac:dyDescent="0.25">
      <c r="A5581" t="str">
        <f ca="1">IFERROR(__xludf.DUMMYFUNCTION("""COMPUTED_VALUE"""),"Salmonella - S. Typhimurium, monophasic - DT 49")</f>
        <v>Salmonella - S. Typhimurium, monophasic - DT 49</v>
      </c>
      <c r="B5581" t="str">
        <f ca="1">IFERROR(__xludf.DUMMYFUNCTION("""COMPUTED_VALUE"""),"RF-00003412-MCG")</f>
        <v>RF-00003412-MCG</v>
      </c>
    </row>
    <row r="5582" spans="1:2" ht="12.5" x14ac:dyDescent="0.25">
      <c r="A5582" t="str">
        <f ca="1">IFERROR(__xludf.DUMMYFUNCTION("""COMPUTED_VALUE"""),"Salmonella - S. Typhimurium, monophasic - DT 49a")</f>
        <v>Salmonella - S. Typhimurium, monophasic - DT 49a</v>
      </c>
      <c r="B5582" t="str">
        <f ca="1">IFERROR(__xludf.DUMMYFUNCTION("""COMPUTED_VALUE"""),"RF-00003413-MCG")</f>
        <v>RF-00003413-MCG</v>
      </c>
    </row>
    <row r="5583" spans="1:2" ht="12.5" x14ac:dyDescent="0.25">
      <c r="A5583" t="str">
        <f ca="1">IFERROR(__xludf.DUMMYFUNCTION("""COMPUTED_VALUE"""),"Salmonella - S. Typhimurium, monophasic - DT 52")</f>
        <v>Salmonella - S. Typhimurium, monophasic - DT 52</v>
      </c>
      <c r="B5583" t="str">
        <f ca="1">IFERROR(__xludf.DUMMYFUNCTION("""COMPUTED_VALUE"""),"RF-00003414-MCG")</f>
        <v>RF-00003414-MCG</v>
      </c>
    </row>
    <row r="5584" spans="1:2" ht="12.5" x14ac:dyDescent="0.25">
      <c r="A5584" t="str">
        <f ca="1">IFERROR(__xludf.DUMMYFUNCTION("""COMPUTED_VALUE"""),"Salmonella - S. Typhimurium, monophasic - DT 54")</f>
        <v>Salmonella - S. Typhimurium, monophasic - DT 54</v>
      </c>
      <c r="B5584" t="str">
        <f ca="1">IFERROR(__xludf.DUMMYFUNCTION("""COMPUTED_VALUE"""),"RF-00003415-MCG")</f>
        <v>RF-00003415-MCG</v>
      </c>
    </row>
    <row r="5585" spans="1:2" ht="12.5" x14ac:dyDescent="0.25">
      <c r="A5585" t="str">
        <f ca="1">IFERROR(__xludf.DUMMYFUNCTION("""COMPUTED_VALUE"""),"Salmonella - S. Typhimurium, monophasic - DT 55")</f>
        <v>Salmonella - S. Typhimurium, monophasic - DT 55</v>
      </c>
      <c r="B5585" t="str">
        <f ca="1">IFERROR(__xludf.DUMMYFUNCTION("""COMPUTED_VALUE"""),"RF-00003416-MCG")</f>
        <v>RF-00003416-MCG</v>
      </c>
    </row>
    <row r="5586" spans="1:2" ht="12.5" x14ac:dyDescent="0.25">
      <c r="A5586" t="str">
        <f ca="1">IFERROR(__xludf.DUMMYFUNCTION("""COMPUTED_VALUE"""),"Salmonella - S. Typhimurium, monophasic - DT 56")</f>
        <v>Salmonella - S. Typhimurium, monophasic - DT 56</v>
      </c>
      <c r="B5586" t="str">
        <f ca="1">IFERROR(__xludf.DUMMYFUNCTION("""COMPUTED_VALUE"""),"RF-00003417-MCG")</f>
        <v>RF-00003417-MCG</v>
      </c>
    </row>
    <row r="5587" spans="1:2" ht="12.5" x14ac:dyDescent="0.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x14ac:dyDescent="0.25">
      <c r="A5588" t="str">
        <f ca="1">IFERROR(__xludf.DUMMYFUNCTION("""COMPUTED_VALUE"""),"Salmonella - S. Typhimurium, monophasic - DT 58")</f>
        <v>Salmonella - S. Typhimurium, monophasic - DT 58</v>
      </c>
      <c r="B5588" t="str">
        <f ca="1">IFERROR(__xludf.DUMMYFUNCTION("""COMPUTED_VALUE"""),"RF-00003419-MCG")</f>
        <v>RF-00003419-MCG</v>
      </c>
    </row>
    <row r="5589" spans="1:2" ht="12.5" x14ac:dyDescent="0.25">
      <c r="A5589" t="str">
        <f ca="1">IFERROR(__xludf.DUMMYFUNCTION("""COMPUTED_VALUE"""),"Salmonella - S. Typhimurium, monophasic - DT 59")</f>
        <v>Salmonella - S. Typhimurium, monophasic - DT 59</v>
      </c>
      <c r="B5589" t="str">
        <f ca="1">IFERROR(__xludf.DUMMYFUNCTION("""COMPUTED_VALUE"""),"RF-00003420-MCG")</f>
        <v>RF-00003420-MCG</v>
      </c>
    </row>
    <row r="5590" spans="1:2" ht="12.5" x14ac:dyDescent="0.25">
      <c r="A5590" t="str">
        <f ca="1">IFERROR(__xludf.DUMMYFUNCTION("""COMPUTED_VALUE"""),"Salmonella - S. Typhimurium, monophasic - DT 6")</f>
        <v>Salmonella - S. Typhimurium, monophasic - DT 6</v>
      </c>
      <c r="B5590" t="str">
        <f ca="1">IFERROR(__xludf.DUMMYFUNCTION("""COMPUTED_VALUE"""),"RF-00003421-MCG")</f>
        <v>RF-00003421-MCG</v>
      </c>
    </row>
    <row r="5591" spans="1:2" ht="12.5" x14ac:dyDescent="0.25">
      <c r="A5591" t="str">
        <f ca="1">IFERROR(__xludf.DUMMYFUNCTION("""COMPUTED_VALUE"""),"Salmonella - S. Typhimurium, monophasic - DT 63")</f>
        <v>Salmonella - S. Typhimurium, monophasic - DT 63</v>
      </c>
      <c r="B5591" t="str">
        <f ca="1">IFERROR(__xludf.DUMMYFUNCTION("""COMPUTED_VALUE"""),"RF-00003422-MCG")</f>
        <v>RF-00003422-MCG</v>
      </c>
    </row>
    <row r="5592" spans="1:2" ht="12.5" x14ac:dyDescent="0.25">
      <c r="A5592" t="str">
        <f ca="1">IFERROR(__xludf.DUMMYFUNCTION("""COMPUTED_VALUE"""),"Salmonella - S. Typhimurium, monophasic - DT 64")</f>
        <v>Salmonella - S. Typhimurium, monophasic - DT 64</v>
      </c>
      <c r="B5592" t="str">
        <f ca="1">IFERROR(__xludf.DUMMYFUNCTION("""COMPUTED_VALUE"""),"RF-00003423-MCG")</f>
        <v>RF-00003423-MCG</v>
      </c>
    </row>
    <row r="5593" spans="1:2" ht="12.5" x14ac:dyDescent="0.25">
      <c r="A5593" t="str">
        <f ca="1">IFERROR(__xludf.DUMMYFUNCTION("""COMPUTED_VALUE"""),"Salmonella - S. Typhimurium, monophasic - DT 66")</f>
        <v>Salmonella - S. Typhimurium, monophasic - DT 66</v>
      </c>
      <c r="B5593" t="str">
        <f ca="1">IFERROR(__xludf.DUMMYFUNCTION("""COMPUTED_VALUE"""),"RF-00003424-MCG")</f>
        <v>RF-00003424-MCG</v>
      </c>
    </row>
    <row r="5594" spans="1:2" ht="12.5" x14ac:dyDescent="0.25">
      <c r="A5594" t="str">
        <f ca="1">IFERROR(__xludf.DUMMYFUNCTION("""COMPUTED_VALUE"""),"Salmonella - S. Typhimurium, monophasic - DT 66a")</f>
        <v>Salmonella - S. Typhimurium, monophasic - DT 66a</v>
      </c>
      <c r="B5594" t="str">
        <f ca="1">IFERROR(__xludf.DUMMYFUNCTION("""COMPUTED_VALUE"""),"RF-00003425-MCG")</f>
        <v>RF-00003425-MCG</v>
      </c>
    </row>
    <row r="5595" spans="1:2" ht="12.5" x14ac:dyDescent="0.25">
      <c r="A5595" t="str">
        <f ca="1">IFERROR(__xludf.DUMMYFUNCTION("""COMPUTED_VALUE"""),"Salmonella - S. Typhimurium, monophasic - DT 67")</f>
        <v>Salmonella - S. Typhimurium, monophasic - DT 67</v>
      </c>
      <c r="B5595" t="str">
        <f ca="1">IFERROR(__xludf.DUMMYFUNCTION("""COMPUTED_VALUE"""),"RF-00003426-MCG")</f>
        <v>RF-00003426-MCG</v>
      </c>
    </row>
    <row r="5596" spans="1:2" ht="12.5" x14ac:dyDescent="0.25">
      <c r="A5596" t="str">
        <f ca="1">IFERROR(__xludf.DUMMYFUNCTION("""COMPUTED_VALUE"""),"Salmonella - S. Typhimurium, monophasic - DT 68")</f>
        <v>Salmonella - S. Typhimurium, monophasic - DT 68</v>
      </c>
      <c r="B5596" t="str">
        <f ca="1">IFERROR(__xludf.DUMMYFUNCTION("""COMPUTED_VALUE"""),"RF-00003427-MCG")</f>
        <v>RF-00003427-MCG</v>
      </c>
    </row>
    <row r="5597" spans="1:2" ht="12.5" x14ac:dyDescent="0.25">
      <c r="A5597" t="str">
        <f ca="1">IFERROR(__xludf.DUMMYFUNCTION("""COMPUTED_VALUE"""),"Salmonella - S. Typhimurium, monophasic - DT 7")</f>
        <v>Salmonella - S. Typhimurium, monophasic - DT 7</v>
      </c>
      <c r="B5597" t="str">
        <f ca="1">IFERROR(__xludf.DUMMYFUNCTION("""COMPUTED_VALUE"""),"RF-00003428-MCG")</f>
        <v>RF-00003428-MCG</v>
      </c>
    </row>
    <row r="5598" spans="1:2" ht="12.5" x14ac:dyDescent="0.25">
      <c r="A5598" t="str">
        <f ca="1">IFERROR(__xludf.DUMMYFUNCTION("""COMPUTED_VALUE"""),"Salmonella - S. Typhimurium, monophasic - DT 73")</f>
        <v>Salmonella - S. Typhimurium, monophasic - DT 73</v>
      </c>
      <c r="B5598" t="str">
        <f ca="1">IFERROR(__xludf.DUMMYFUNCTION("""COMPUTED_VALUE"""),"RF-00003429-MCG")</f>
        <v>RF-00003429-MCG</v>
      </c>
    </row>
    <row r="5599" spans="1:2" ht="12.5" x14ac:dyDescent="0.25">
      <c r="A5599" t="str">
        <f ca="1">IFERROR(__xludf.DUMMYFUNCTION("""COMPUTED_VALUE"""),"Salmonella - S. Typhimurium, monophasic - DT 74")</f>
        <v>Salmonella - S. Typhimurium, monophasic - DT 74</v>
      </c>
      <c r="B5599" t="str">
        <f ca="1">IFERROR(__xludf.DUMMYFUNCTION("""COMPUTED_VALUE"""),"RF-00003430-MCG")</f>
        <v>RF-00003430-MCG</v>
      </c>
    </row>
    <row r="5600" spans="1:2" ht="12.5" x14ac:dyDescent="0.25">
      <c r="A5600" t="str">
        <f ca="1">IFERROR(__xludf.DUMMYFUNCTION("""COMPUTED_VALUE"""),"Salmonella - S. Typhimurium, monophasic - DT 8")</f>
        <v>Salmonella - S. Typhimurium, monophasic - DT 8</v>
      </c>
      <c r="B5600" t="str">
        <f ca="1">IFERROR(__xludf.DUMMYFUNCTION("""COMPUTED_VALUE"""),"RF-00003431-MCG")</f>
        <v>RF-00003431-MCG</v>
      </c>
    </row>
    <row r="5601" spans="1:2" ht="12.5" x14ac:dyDescent="0.25">
      <c r="A5601" t="str">
        <f ca="1">IFERROR(__xludf.DUMMYFUNCTION("""COMPUTED_VALUE"""),"Salmonella - S. Typhimurium, monophasic - DT 80")</f>
        <v>Salmonella - S. Typhimurium, monophasic - DT 80</v>
      </c>
      <c r="B5601" t="str">
        <f ca="1">IFERROR(__xludf.DUMMYFUNCTION("""COMPUTED_VALUE"""),"RF-00003432-MCG")</f>
        <v>RF-00003432-MCG</v>
      </c>
    </row>
    <row r="5602" spans="1:2" ht="12.5" x14ac:dyDescent="0.25">
      <c r="A5602" t="str">
        <f ca="1">IFERROR(__xludf.DUMMYFUNCTION("""COMPUTED_VALUE"""),"Salmonella - S. Typhimurium, monophasic - DT 82")</f>
        <v>Salmonella - S. Typhimurium, monophasic - DT 82</v>
      </c>
      <c r="B5602" t="str">
        <f ca="1">IFERROR(__xludf.DUMMYFUNCTION("""COMPUTED_VALUE"""),"RF-00003433-MCG")</f>
        <v>RF-00003433-MCG</v>
      </c>
    </row>
    <row r="5603" spans="1:2" ht="12.5" x14ac:dyDescent="0.25">
      <c r="A5603" t="str">
        <f ca="1">IFERROR(__xludf.DUMMYFUNCTION("""COMPUTED_VALUE"""),"Salmonella - S. Typhimurium, monophasic - DT 83")</f>
        <v>Salmonella - S. Typhimurium, monophasic - DT 83</v>
      </c>
      <c r="B5603" t="str">
        <f ca="1">IFERROR(__xludf.DUMMYFUNCTION("""COMPUTED_VALUE"""),"RF-00003434-MCG")</f>
        <v>RF-00003434-MCG</v>
      </c>
    </row>
    <row r="5604" spans="1:2" ht="12.5" x14ac:dyDescent="0.25">
      <c r="A5604" t="str">
        <f ca="1">IFERROR(__xludf.DUMMYFUNCTION("""COMPUTED_VALUE"""),"Salmonella - S. Typhimurium, monophasic - DT 85")</f>
        <v>Salmonella - S. Typhimurium, monophasic - DT 85</v>
      </c>
      <c r="B5604" t="str">
        <f ca="1">IFERROR(__xludf.DUMMYFUNCTION("""COMPUTED_VALUE"""),"RF-00003435-MCG")</f>
        <v>RF-00003435-MCG</v>
      </c>
    </row>
    <row r="5605" spans="1:2" ht="12.5" x14ac:dyDescent="0.25">
      <c r="A5605" t="str">
        <f ca="1">IFERROR(__xludf.DUMMYFUNCTION("""COMPUTED_VALUE"""),"Salmonella - S. Typhimurium, monophasic - DT 86")</f>
        <v>Salmonella - S. Typhimurium, monophasic - DT 86</v>
      </c>
      <c r="B5605" t="str">
        <f ca="1">IFERROR(__xludf.DUMMYFUNCTION("""COMPUTED_VALUE"""),"RF-00003436-MCG")</f>
        <v>RF-00003436-MCG</v>
      </c>
    </row>
    <row r="5606" spans="1:2" ht="12.5" x14ac:dyDescent="0.25">
      <c r="A5606" t="str">
        <f ca="1">IFERROR(__xludf.DUMMYFUNCTION("""COMPUTED_VALUE"""),"Salmonella - S. Typhimurium, monophasic - DT 87")</f>
        <v>Salmonella - S. Typhimurium, monophasic - DT 87</v>
      </c>
      <c r="B5606" t="str">
        <f ca="1">IFERROR(__xludf.DUMMYFUNCTION("""COMPUTED_VALUE"""),"RF-00003437-MCG")</f>
        <v>RF-00003437-MCG</v>
      </c>
    </row>
    <row r="5607" spans="1:2" ht="12.5" x14ac:dyDescent="0.25">
      <c r="A5607" t="str">
        <f ca="1">IFERROR(__xludf.DUMMYFUNCTION("""COMPUTED_VALUE"""),"Salmonella - S. Typhimurium, monophasic - DT 89")</f>
        <v>Salmonella - S. Typhimurium, monophasic - DT 89</v>
      </c>
      <c r="B5607" t="str">
        <f ca="1">IFERROR(__xludf.DUMMYFUNCTION("""COMPUTED_VALUE"""),"RF-00003438-MCG")</f>
        <v>RF-00003438-MCG</v>
      </c>
    </row>
    <row r="5608" spans="1:2" ht="12.5" x14ac:dyDescent="0.25">
      <c r="A5608" t="str">
        <f ca="1">IFERROR(__xludf.DUMMYFUNCTION("""COMPUTED_VALUE"""),"Salmonella - S. Typhimurium, monophasic - DT 9")</f>
        <v>Salmonella - S. Typhimurium, monophasic - DT 9</v>
      </c>
      <c r="B5608" t="str">
        <f ca="1">IFERROR(__xludf.DUMMYFUNCTION("""COMPUTED_VALUE"""),"RF-00003439-MCG")</f>
        <v>RF-00003439-MCG</v>
      </c>
    </row>
    <row r="5609" spans="1:2" ht="12.5" x14ac:dyDescent="0.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x14ac:dyDescent="0.25">
      <c r="A5610" t="str">
        <f ca="1">IFERROR(__xludf.DUMMYFUNCTION("""COMPUTED_VALUE"""),"Salmonella - S. Typhimurium, monophasic - DT 92")</f>
        <v>Salmonella - S. Typhimurium, monophasic - DT 92</v>
      </c>
      <c r="B5610" t="str">
        <f ca="1">IFERROR(__xludf.DUMMYFUNCTION("""COMPUTED_VALUE"""),"RF-00003441-MCG")</f>
        <v>RF-00003441-MCG</v>
      </c>
    </row>
    <row r="5611" spans="1:2" ht="12.5" x14ac:dyDescent="0.25">
      <c r="A5611" t="str">
        <f ca="1">IFERROR(__xludf.DUMMYFUNCTION("""COMPUTED_VALUE"""),"Salmonella - S. Typhimurium, monophasic - DT 93")</f>
        <v>Salmonella - S. Typhimurium, monophasic - DT 93</v>
      </c>
      <c r="B5611" t="str">
        <f ca="1">IFERROR(__xludf.DUMMYFUNCTION("""COMPUTED_VALUE"""),"RF-00003442-MCG")</f>
        <v>RF-00003442-MCG</v>
      </c>
    </row>
    <row r="5612" spans="1:2" ht="12.5" x14ac:dyDescent="0.25">
      <c r="A5612" t="str">
        <f ca="1">IFERROR(__xludf.DUMMYFUNCTION("""COMPUTED_VALUE"""),"Salmonella - S. Typhimurium, monophasic - DT 94")</f>
        <v>Salmonella - S. Typhimurium, monophasic - DT 94</v>
      </c>
      <c r="B5612" t="str">
        <f ca="1">IFERROR(__xludf.DUMMYFUNCTION("""COMPUTED_VALUE"""),"RF-00003443-MCG")</f>
        <v>RF-00003443-MCG</v>
      </c>
    </row>
    <row r="5613" spans="1:2" ht="12.5" x14ac:dyDescent="0.25">
      <c r="A5613" t="str">
        <f ca="1">IFERROR(__xludf.DUMMYFUNCTION("""COMPUTED_VALUE"""),"Salmonella - S. Typhimurium, monophasic - DT 96")</f>
        <v>Salmonella - S. Typhimurium, monophasic - DT 96</v>
      </c>
      <c r="B5613" t="str">
        <f ca="1">IFERROR(__xludf.DUMMYFUNCTION("""COMPUTED_VALUE"""),"RF-00003444-MCG")</f>
        <v>RF-00003444-MCG</v>
      </c>
    </row>
    <row r="5614" spans="1:2" ht="12.5" x14ac:dyDescent="0.25">
      <c r="A5614" t="str">
        <f ca="1">IFERROR(__xludf.DUMMYFUNCTION("""COMPUTED_VALUE"""),"Salmonella - S. Typhimurium, monophasic - DT 97")</f>
        <v>Salmonella - S. Typhimurium, monophasic - DT 97</v>
      </c>
      <c r="B5614" t="str">
        <f ca="1">IFERROR(__xludf.DUMMYFUNCTION("""COMPUTED_VALUE"""),"RF-00003445-MCG")</f>
        <v>RF-00003445-MCG</v>
      </c>
    </row>
    <row r="5615" spans="1:2" ht="12.5" x14ac:dyDescent="0.25">
      <c r="A5615" t="str">
        <f ca="1">IFERROR(__xludf.DUMMYFUNCTION("""COMPUTED_VALUE"""),"Salmonella - S. Typhimurium, monophasic - DT 99")</f>
        <v>Salmonella - S. Typhimurium, monophasic - DT 99</v>
      </c>
      <c r="B5615" t="str">
        <f ca="1">IFERROR(__xludf.DUMMYFUNCTION("""COMPUTED_VALUE"""),"RF-00003446-MCG")</f>
        <v>RF-00003446-MCG</v>
      </c>
    </row>
    <row r="5616" spans="1:2" ht="12.5" x14ac:dyDescent="0.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x14ac:dyDescent="0.25">
      <c r="A5617" t="str">
        <f ca="1">IFERROR(__xludf.DUMMYFUNCTION("""COMPUTED_VALUE"""),"Salmonella - S. Typhimurium, monophasic - DT U")</f>
        <v>Salmonella - S. Typhimurium, monophasic - DT U</v>
      </c>
      <c r="B5617" t="str">
        <f ca="1">IFERROR(__xludf.DUMMYFUNCTION("""COMPUTED_VALUE"""),"RF-00003448-MCG")</f>
        <v>RF-00003448-MCG</v>
      </c>
    </row>
    <row r="5618" spans="1:2" ht="12.5" x14ac:dyDescent="0.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x14ac:dyDescent="0.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x14ac:dyDescent="0.25">
      <c r="A5620" t="str">
        <f ca="1">IFERROR(__xludf.DUMMYFUNCTION("""COMPUTED_VALUE"""),"Salmonella - S. Typhimurium, monophasic - FT 104")</f>
        <v>Salmonella - S. Typhimurium, monophasic - FT 104</v>
      </c>
      <c r="B5620" t="str">
        <f ca="1">IFERROR(__xludf.DUMMYFUNCTION("""COMPUTED_VALUE"""),"RF-00003451-MCG")</f>
        <v>RF-00003451-MCG</v>
      </c>
    </row>
    <row r="5621" spans="1:2" ht="12.5" x14ac:dyDescent="0.25">
      <c r="A5621" t="str">
        <f ca="1">IFERROR(__xludf.DUMMYFUNCTION("""COMPUTED_VALUE"""),"Salmonella - S. Typhimurium, monophasic - FT 110")</f>
        <v>Salmonella - S. Typhimurium, monophasic - FT 110</v>
      </c>
      <c r="B5621" t="str">
        <f ca="1">IFERROR(__xludf.DUMMYFUNCTION("""COMPUTED_VALUE"""),"RF-00003452-MCG")</f>
        <v>RF-00003452-MCG</v>
      </c>
    </row>
    <row r="5622" spans="1:2" ht="12.5" x14ac:dyDescent="0.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x14ac:dyDescent="0.25">
      <c r="A5623" t="str">
        <f ca="1">IFERROR(__xludf.DUMMYFUNCTION("""COMPUTED_VALUE"""),"Salmonella - S. Typhimurium, monophasic - FT 150")</f>
        <v>Salmonella - S. Typhimurium, monophasic - FT 150</v>
      </c>
      <c r="B5623" t="str">
        <f ca="1">IFERROR(__xludf.DUMMYFUNCTION("""COMPUTED_VALUE"""),"RF-00003454-MCG")</f>
        <v>RF-00003454-MCG</v>
      </c>
    </row>
    <row r="5624" spans="1:2" ht="12.5" x14ac:dyDescent="0.25">
      <c r="A5624" t="str">
        <f ca="1">IFERROR(__xludf.DUMMYFUNCTION("""COMPUTED_VALUE"""),"Salmonella - S. Typhimurium, monophasic - FT 2")</f>
        <v>Salmonella - S. Typhimurium, monophasic - FT 2</v>
      </c>
      <c r="B5624" t="str">
        <f ca="1">IFERROR(__xludf.DUMMYFUNCTION("""COMPUTED_VALUE"""),"RF-00003455-MCG")</f>
        <v>RF-00003455-MCG</v>
      </c>
    </row>
    <row r="5625" spans="1:2" ht="12.5" x14ac:dyDescent="0.25">
      <c r="A5625" t="str">
        <f ca="1">IFERROR(__xludf.DUMMYFUNCTION("""COMPUTED_VALUE"""),"Salmonella - S. Typhimurium, monophasic - FT 20")</f>
        <v>Salmonella - S. Typhimurium, monophasic - FT 20</v>
      </c>
      <c r="B5625" t="str">
        <f ca="1">IFERROR(__xludf.DUMMYFUNCTION("""COMPUTED_VALUE"""),"RF-00003456-MCG")</f>
        <v>RF-00003456-MCG</v>
      </c>
    </row>
    <row r="5626" spans="1:2" ht="12.5" x14ac:dyDescent="0.25">
      <c r="A5626" t="str">
        <f ca="1">IFERROR(__xludf.DUMMYFUNCTION("""COMPUTED_VALUE"""),"Salmonella - S. Typhimurium, monophasic - FT 204")</f>
        <v>Salmonella - S. Typhimurium, monophasic - FT 204</v>
      </c>
      <c r="B5626" t="str">
        <f ca="1">IFERROR(__xludf.DUMMYFUNCTION("""COMPUTED_VALUE"""),"RF-00003457-MCG")</f>
        <v>RF-00003457-MCG</v>
      </c>
    </row>
    <row r="5627" spans="1:2" ht="12.5" x14ac:dyDescent="0.25">
      <c r="A5627" t="str">
        <f ca="1">IFERROR(__xludf.DUMMYFUNCTION("""COMPUTED_VALUE"""),"Salmonella - S. Typhimurium, monophasic - FT 207")</f>
        <v>Salmonella - S. Typhimurium, monophasic - FT 207</v>
      </c>
      <c r="B5627" t="str">
        <f ca="1">IFERROR(__xludf.DUMMYFUNCTION("""COMPUTED_VALUE"""),"RF-00003458-MCG")</f>
        <v>RF-00003458-MCG</v>
      </c>
    </row>
    <row r="5628" spans="1:2" ht="12.5" x14ac:dyDescent="0.25">
      <c r="A5628" t="str">
        <f ca="1">IFERROR(__xludf.DUMMYFUNCTION("""COMPUTED_VALUE"""),"Salmonella - S. Typhimurium, monophasic - FT 281")</f>
        <v>Salmonella - S. Typhimurium, monophasic - FT 281</v>
      </c>
      <c r="B5628" t="str">
        <f ca="1">IFERROR(__xludf.DUMMYFUNCTION("""COMPUTED_VALUE"""),"RF-00003459-MCG")</f>
        <v>RF-00003459-MCG</v>
      </c>
    </row>
    <row r="5629" spans="1:2" ht="12.5" x14ac:dyDescent="0.25">
      <c r="A5629" t="str">
        <f ca="1">IFERROR(__xludf.DUMMYFUNCTION("""COMPUTED_VALUE"""),"Salmonella - S. Typhimurium, monophasic - FT 290")</f>
        <v>Salmonella - S. Typhimurium, monophasic - FT 290</v>
      </c>
      <c r="B5629" t="str">
        <f ca="1">IFERROR(__xludf.DUMMYFUNCTION("""COMPUTED_VALUE"""),"RF-00003460-MCG")</f>
        <v>RF-00003460-MCG</v>
      </c>
    </row>
    <row r="5630" spans="1:2" ht="12.5" x14ac:dyDescent="0.25">
      <c r="A5630" t="str">
        <f ca="1">IFERROR(__xludf.DUMMYFUNCTION("""COMPUTED_VALUE"""),"Salmonella - S. Typhimurium, monophasic - FT 295")</f>
        <v>Salmonella - S. Typhimurium, monophasic - FT 295</v>
      </c>
      <c r="B5630" t="str">
        <f ca="1">IFERROR(__xludf.DUMMYFUNCTION("""COMPUTED_VALUE"""),"RF-00003461-MCG")</f>
        <v>RF-00003461-MCG</v>
      </c>
    </row>
    <row r="5631" spans="1:2" ht="12.5" x14ac:dyDescent="0.25">
      <c r="A5631" t="str">
        <f ca="1">IFERROR(__xludf.DUMMYFUNCTION("""COMPUTED_VALUE"""),"Salmonella - S. Typhimurium, monophasic - FT 296")</f>
        <v>Salmonella - S. Typhimurium, monophasic - FT 296</v>
      </c>
      <c r="B5631" t="str">
        <f ca="1">IFERROR(__xludf.DUMMYFUNCTION("""COMPUTED_VALUE"""),"RF-00003462-MCG")</f>
        <v>RF-00003462-MCG</v>
      </c>
    </row>
    <row r="5632" spans="1:2" ht="12.5" x14ac:dyDescent="0.25">
      <c r="A5632" t="str">
        <f ca="1">IFERROR(__xludf.DUMMYFUNCTION("""COMPUTED_VALUE"""),"Salmonella - S. Typhimurium, monophasic - FT 3")</f>
        <v>Salmonella - S. Typhimurium, monophasic - FT 3</v>
      </c>
      <c r="B5632" t="str">
        <f ca="1">IFERROR(__xludf.DUMMYFUNCTION("""COMPUTED_VALUE"""),"RF-00003463-MCG")</f>
        <v>RF-00003463-MCG</v>
      </c>
    </row>
    <row r="5633" spans="1:2" ht="12.5" x14ac:dyDescent="0.25">
      <c r="A5633" t="str">
        <f ca="1">IFERROR(__xludf.DUMMYFUNCTION("""COMPUTED_VALUE"""),"Salmonella - S. Typhimurium, monophasic - FT 301")</f>
        <v>Salmonella - S. Typhimurium, monophasic - FT 301</v>
      </c>
      <c r="B5633" t="str">
        <f ca="1">IFERROR(__xludf.DUMMYFUNCTION("""COMPUTED_VALUE"""),"RF-00003464-MCG")</f>
        <v>RF-00003464-MCG</v>
      </c>
    </row>
    <row r="5634" spans="1:2" ht="12.5" x14ac:dyDescent="0.25">
      <c r="A5634" t="str">
        <f ca="1">IFERROR(__xludf.DUMMYFUNCTION("""COMPUTED_VALUE"""),"Salmonella - S. Typhimurium, monophasic - FT 350")</f>
        <v>Salmonella - S. Typhimurium, monophasic - FT 350</v>
      </c>
      <c r="B5634" t="str">
        <f ca="1">IFERROR(__xludf.DUMMYFUNCTION("""COMPUTED_VALUE"""),"RF-00003465-MCG")</f>
        <v>RF-00003465-MCG</v>
      </c>
    </row>
    <row r="5635" spans="1:2" ht="12.5" x14ac:dyDescent="0.25">
      <c r="A5635" t="str">
        <f ca="1">IFERROR(__xludf.DUMMYFUNCTION("""COMPUTED_VALUE"""),"Salmonella - S. Typhimurium, monophasic - FT 351")</f>
        <v>Salmonella - S. Typhimurium, monophasic - FT 351</v>
      </c>
      <c r="B5635" t="str">
        <f ca="1">IFERROR(__xludf.DUMMYFUNCTION("""COMPUTED_VALUE"""),"RF-00003466-MCG")</f>
        <v>RF-00003466-MCG</v>
      </c>
    </row>
    <row r="5636" spans="1:2" ht="12.5" x14ac:dyDescent="0.25">
      <c r="A5636" t="str">
        <f ca="1">IFERROR(__xludf.DUMMYFUNCTION("""COMPUTED_VALUE"""),"Salmonella - S. Typhimurium, monophasic - FT 353")</f>
        <v>Salmonella - S. Typhimurium, monophasic - FT 353</v>
      </c>
      <c r="B5636" t="str">
        <f ca="1">IFERROR(__xludf.DUMMYFUNCTION("""COMPUTED_VALUE"""),"RF-00003467-MCG")</f>
        <v>RF-00003467-MCG</v>
      </c>
    </row>
    <row r="5637" spans="1:2" ht="12.5" x14ac:dyDescent="0.25">
      <c r="A5637" t="str">
        <f ca="1">IFERROR(__xludf.DUMMYFUNCTION("""COMPUTED_VALUE"""),"Salmonella - S. Typhimurium, monophasic - FT 380")</f>
        <v>Salmonella - S. Typhimurium, monophasic - FT 380</v>
      </c>
      <c r="B5637" t="str">
        <f ca="1">IFERROR(__xludf.DUMMYFUNCTION("""COMPUTED_VALUE"""),"RF-00003468-MCG")</f>
        <v>RF-00003468-MCG</v>
      </c>
    </row>
    <row r="5638" spans="1:2" ht="12.5" x14ac:dyDescent="0.25">
      <c r="A5638" t="str">
        <f ca="1">IFERROR(__xludf.DUMMYFUNCTION("""COMPUTED_VALUE"""),"Salmonella - S. Typhimurium, monophasic - FT 401")</f>
        <v>Salmonella - S. Typhimurium, monophasic - FT 401</v>
      </c>
      <c r="B5638" t="str">
        <f ca="1">IFERROR(__xludf.DUMMYFUNCTION("""COMPUTED_VALUE"""),"RF-00003469-MCG")</f>
        <v>RF-00003469-MCG</v>
      </c>
    </row>
    <row r="5639" spans="1:2" ht="12.5" x14ac:dyDescent="0.25">
      <c r="A5639" t="str">
        <f ca="1">IFERROR(__xludf.DUMMYFUNCTION("""COMPUTED_VALUE"""),"Salmonella - S. Typhimurium, monophasic - FT 450")</f>
        <v>Salmonella - S. Typhimurium, monophasic - FT 450</v>
      </c>
      <c r="B5639" t="str">
        <f ca="1">IFERROR(__xludf.DUMMYFUNCTION("""COMPUTED_VALUE"""),"RF-00003470-MCG")</f>
        <v>RF-00003470-MCG</v>
      </c>
    </row>
    <row r="5640" spans="1:2" ht="12.5" x14ac:dyDescent="0.25">
      <c r="A5640" t="str">
        <f ca="1">IFERROR(__xludf.DUMMYFUNCTION("""COMPUTED_VALUE"""),"Salmonella - S. Typhimurium, monophasic - FT 461")</f>
        <v>Salmonella - S. Typhimurium, monophasic - FT 461</v>
      </c>
      <c r="B5640" t="str">
        <f ca="1">IFERROR(__xludf.DUMMYFUNCTION("""COMPUTED_VALUE"""),"RF-00003471-MCG")</f>
        <v>RF-00003471-MCG</v>
      </c>
    </row>
    <row r="5641" spans="1:2" ht="12.5" x14ac:dyDescent="0.25">
      <c r="A5641" t="str">
        <f ca="1">IFERROR(__xludf.DUMMYFUNCTION("""COMPUTED_VALUE"""),"Salmonella - S. Typhimurium, monophasic - FT 505")</f>
        <v>Salmonella - S. Typhimurium, monophasic - FT 505</v>
      </c>
      <c r="B5641" t="str">
        <f ca="1">IFERROR(__xludf.DUMMYFUNCTION("""COMPUTED_VALUE"""),"RF-00003472-MCG")</f>
        <v>RF-00003472-MCG</v>
      </c>
    </row>
    <row r="5642" spans="1:2" ht="12.5" x14ac:dyDescent="0.25">
      <c r="A5642" t="str">
        <f ca="1">IFERROR(__xludf.DUMMYFUNCTION("""COMPUTED_VALUE"""),"Salmonella - S. Typhimurium, monophasic - FT 506")</f>
        <v>Salmonella - S. Typhimurium, monophasic - FT 506</v>
      </c>
      <c r="B5642" t="str">
        <f ca="1">IFERROR(__xludf.DUMMYFUNCTION("""COMPUTED_VALUE"""),"RF-00003473-MCG")</f>
        <v>RF-00003473-MCG</v>
      </c>
    </row>
    <row r="5643" spans="1:2" ht="12.5" x14ac:dyDescent="0.25">
      <c r="A5643" t="str">
        <f ca="1">IFERROR(__xludf.DUMMYFUNCTION("""COMPUTED_VALUE"""),"Salmonella - S. Typhimurium, monophasic - FT 507")</f>
        <v>Salmonella - S. Typhimurium, monophasic - FT 507</v>
      </c>
      <c r="B5643" t="str">
        <f ca="1">IFERROR(__xludf.DUMMYFUNCTION("""COMPUTED_VALUE"""),"RF-00003474-MCG")</f>
        <v>RF-00003474-MCG</v>
      </c>
    </row>
    <row r="5644" spans="1:2" ht="12.5" x14ac:dyDescent="0.25">
      <c r="A5644" t="str">
        <f ca="1">IFERROR(__xludf.DUMMYFUNCTION("""COMPUTED_VALUE"""),"Salmonella - S. Typhimurium, monophasic - FT 508")</f>
        <v>Salmonella - S. Typhimurium, monophasic - FT 508</v>
      </c>
      <c r="B5644" t="str">
        <f ca="1">IFERROR(__xludf.DUMMYFUNCTION("""COMPUTED_VALUE"""),"RF-00003475-MCG")</f>
        <v>RF-00003475-MCG</v>
      </c>
    </row>
    <row r="5645" spans="1:2" ht="12.5" x14ac:dyDescent="0.25">
      <c r="A5645" t="str">
        <f ca="1">IFERROR(__xludf.DUMMYFUNCTION("""COMPUTED_VALUE"""),"Salmonella - S. Typhimurium, monophasic - FT 510")</f>
        <v>Salmonella - S. Typhimurium, monophasic - FT 510</v>
      </c>
      <c r="B5645" t="str">
        <f ca="1">IFERROR(__xludf.DUMMYFUNCTION("""COMPUTED_VALUE"""),"RF-00003476-MCG")</f>
        <v>RF-00003476-MCG</v>
      </c>
    </row>
    <row r="5646" spans="1:2" ht="12.5" x14ac:dyDescent="0.25">
      <c r="A5646" t="str">
        <f ca="1">IFERROR(__xludf.DUMMYFUNCTION("""COMPUTED_VALUE"""),"Salmonella - S. Typhimurium, monophasic - FT 530")</f>
        <v>Salmonella - S. Typhimurium, monophasic - FT 530</v>
      </c>
      <c r="B5646" t="str">
        <f ca="1">IFERROR(__xludf.DUMMYFUNCTION("""COMPUTED_VALUE"""),"RF-00003477-MCG")</f>
        <v>RF-00003477-MCG</v>
      </c>
    </row>
    <row r="5647" spans="1:2" ht="12.5" x14ac:dyDescent="0.25">
      <c r="A5647" t="str">
        <f ca="1">IFERROR(__xludf.DUMMYFUNCTION("""COMPUTED_VALUE"""),"Salmonella - S. Typhimurium, monophasic - FT 560")</f>
        <v>Salmonella - S. Typhimurium, monophasic - FT 560</v>
      </c>
      <c r="B5647" t="str">
        <f ca="1">IFERROR(__xludf.DUMMYFUNCTION("""COMPUTED_VALUE"""),"RF-00003478-MCG")</f>
        <v>RF-00003478-MCG</v>
      </c>
    </row>
    <row r="5648" spans="1:2" ht="12.5" x14ac:dyDescent="0.25">
      <c r="A5648" t="str">
        <f ca="1">IFERROR(__xludf.DUMMYFUNCTION("""COMPUTED_VALUE"""),"Salmonella - S. Typhimurium, monophasic - FT 60")</f>
        <v>Salmonella - S. Typhimurium, monophasic - FT 60</v>
      </c>
      <c r="B5648" t="str">
        <f ca="1">IFERROR(__xludf.DUMMYFUNCTION("""COMPUTED_VALUE"""),"RF-00003479-MCG")</f>
        <v>RF-00003479-MCG</v>
      </c>
    </row>
    <row r="5649" spans="1:2" ht="12.5" x14ac:dyDescent="0.25">
      <c r="A5649" t="str">
        <f ca="1">IFERROR(__xludf.DUMMYFUNCTION("""COMPUTED_VALUE"""),"Salmonella - S. Typhimurium, monophasic - FT 61")</f>
        <v>Salmonella - S. Typhimurium, monophasic - FT 61</v>
      </c>
      <c r="B5649" t="str">
        <f ca="1">IFERROR(__xludf.DUMMYFUNCTION("""COMPUTED_VALUE"""),"RF-00003480-MCG")</f>
        <v>RF-00003480-MCG</v>
      </c>
    </row>
    <row r="5650" spans="1:2" ht="12.5" x14ac:dyDescent="0.25">
      <c r="A5650" t="str">
        <f ca="1">IFERROR(__xludf.DUMMYFUNCTION("""COMPUTED_VALUE"""),"Salmonella - S. Typhimurium, monophasic - FT 655")</f>
        <v>Salmonella - S. Typhimurium, monophasic - FT 655</v>
      </c>
      <c r="B5650" t="str">
        <f ca="1">IFERROR(__xludf.DUMMYFUNCTION("""COMPUTED_VALUE"""),"RF-00003481-MCG")</f>
        <v>RF-00003481-MCG</v>
      </c>
    </row>
    <row r="5651" spans="1:2" ht="12.5" x14ac:dyDescent="0.25">
      <c r="A5651" t="str">
        <f ca="1">IFERROR(__xludf.DUMMYFUNCTION("""COMPUTED_VALUE"""),"Salmonella - S. Typhimurium, monophasic - FT 656")</f>
        <v>Salmonella - S. Typhimurium, monophasic - FT 656</v>
      </c>
      <c r="B5651" t="str">
        <f ca="1">IFERROR(__xludf.DUMMYFUNCTION("""COMPUTED_VALUE"""),"RF-00003482-MCG")</f>
        <v>RF-00003482-MCG</v>
      </c>
    </row>
    <row r="5652" spans="1:2" ht="12.5" x14ac:dyDescent="0.25">
      <c r="A5652" t="str">
        <f ca="1">IFERROR(__xludf.DUMMYFUNCTION("""COMPUTED_VALUE"""),"Salmonella - S. Typhimurium, monophasic - FT 658")</f>
        <v>Salmonella - S. Typhimurium, monophasic - FT 658</v>
      </c>
      <c r="B5652" t="str">
        <f ca="1">IFERROR(__xludf.DUMMYFUNCTION("""COMPUTED_VALUE"""),"RF-00003483-MCG")</f>
        <v>RF-00003483-MCG</v>
      </c>
    </row>
    <row r="5653" spans="1:2" ht="12.5" x14ac:dyDescent="0.25">
      <c r="A5653" t="str">
        <f ca="1">IFERROR(__xludf.DUMMYFUNCTION("""COMPUTED_VALUE"""),"Salmonella - S. Typhimurium, monophasic - FT 80")</f>
        <v>Salmonella - S. Typhimurium, monophasic - FT 80</v>
      </c>
      <c r="B5653" t="str">
        <f ca="1">IFERROR(__xludf.DUMMYFUNCTION("""COMPUTED_VALUE"""),"RF-00003484-MCG")</f>
        <v>RF-00003484-MCG</v>
      </c>
    </row>
    <row r="5654" spans="1:2" ht="12.5" x14ac:dyDescent="0.25">
      <c r="A5654" t="str">
        <f ca="1">IFERROR(__xludf.DUMMYFUNCTION("""COMPUTED_VALUE"""),"Salmonella - S. Typhimurium, monophasic - FT 90")</f>
        <v>Salmonella - S. Typhimurium, monophasic - FT 90</v>
      </c>
      <c r="B5654" t="str">
        <f ca="1">IFERROR(__xludf.DUMMYFUNCTION("""COMPUTED_VALUE"""),"RF-00003485-MCG")</f>
        <v>RF-00003485-MCG</v>
      </c>
    </row>
    <row r="5655" spans="1:2" ht="12.5" x14ac:dyDescent="0.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x14ac:dyDescent="0.25">
      <c r="A5656" t="str">
        <f ca="1">IFERROR(__xludf.DUMMYFUNCTION("""COMPUTED_VALUE"""),"Salmonella - S. Typhimurium, monophasic - Nt-L30")</f>
        <v>Salmonella - S. Typhimurium, monophasic - Nt-L30</v>
      </c>
      <c r="B5656" t="str">
        <f ca="1">IFERROR(__xludf.DUMMYFUNCTION("""COMPUTED_VALUE"""),"RF-00003487-MCG")</f>
        <v>RF-00003487-MCG</v>
      </c>
    </row>
    <row r="5657" spans="1:2" ht="12.5" x14ac:dyDescent="0.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x14ac:dyDescent="0.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x14ac:dyDescent="0.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x14ac:dyDescent="0.25">
      <c r="A5660" t="str">
        <f ca="1">IFERROR(__xludf.DUMMYFUNCTION("""COMPUTED_VALUE"""),"Salmonella - S. Typhimurium, monophasic - Nt-L31")</f>
        <v>Salmonella - S. Typhimurium, monophasic - Nt-L31</v>
      </c>
      <c r="B5660" t="str">
        <f ca="1">IFERROR(__xludf.DUMMYFUNCTION("""COMPUTED_VALUE"""),"RF-00003491-MCG")</f>
        <v>RF-00003491-MCG</v>
      </c>
    </row>
    <row r="5661" spans="1:2" ht="12.5" x14ac:dyDescent="0.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x14ac:dyDescent="0.25">
      <c r="A5662" t="str">
        <f ca="1">IFERROR(__xludf.DUMMYFUNCTION("""COMPUTED_VALUE"""),"Salmonella - S. Typhimurium, monophasic - Nt-L37")</f>
        <v>Salmonella - S. Typhimurium, monophasic - Nt-L37</v>
      </c>
      <c r="B5662" t="str">
        <f ca="1">IFERROR(__xludf.DUMMYFUNCTION("""COMPUTED_VALUE"""),"RF-00003493-MCG")</f>
        <v>RF-00003493-MCG</v>
      </c>
    </row>
    <row r="5663" spans="1:2" ht="12.5" x14ac:dyDescent="0.25">
      <c r="A5663" t="str">
        <f ca="1">IFERROR(__xludf.DUMMYFUNCTION("""COMPUTED_VALUE"""),"Salmonella - S. Typhimurium, monophasic - Other")</f>
        <v>Salmonella - S. Typhimurium, monophasic - Other</v>
      </c>
      <c r="B5663" t="str">
        <f ca="1">IFERROR(__xludf.DUMMYFUNCTION("""COMPUTED_VALUE"""),"RF-00003494-MCG")</f>
        <v>RF-00003494-MCG</v>
      </c>
    </row>
    <row r="5664" spans="1:2" ht="12.5" x14ac:dyDescent="0.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x14ac:dyDescent="0.25">
      <c r="A5665" t="str">
        <f ca="1">IFERROR(__xludf.DUMMYFUNCTION("""COMPUTED_VALUE"""),"Salmonella - S. Typhimurium, monophasic - PT 193")</f>
        <v>Salmonella - S. Typhimurium, monophasic - PT 193</v>
      </c>
      <c r="B5665" t="str">
        <f ca="1">IFERROR(__xludf.DUMMYFUNCTION("""COMPUTED_VALUE"""),"RF-00003495-MCG")</f>
        <v>RF-00003495-MCG</v>
      </c>
    </row>
    <row r="5666" spans="1:2" ht="12.5" x14ac:dyDescent="0.25">
      <c r="A5666" t="str">
        <f ca="1">IFERROR(__xludf.DUMMYFUNCTION("""COMPUTED_VALUE"""),"Salmonella - S. Typhimurium, monophasic - RDNC")</f>
        <v>Salmonella - S. Typhimurium, monophasic - RDNC</v>
      </c>
      <c r="B5666" t="str">
        <f ca="1">IFERROR(__xludf.DUMMYFUNCTION("""COMPUTED_VALUE"""),"RF-00003497-MCG")</f>
        <v>RF-00003497-MCG</v>
      </c>
    </row>
    <row r="5667" spans="1:2" ht="12.5" x14ac:dyDescent="0.25">
      <c r="A5667" t="str">
        <f ca="1">IFERROR(__xludf.DUMMYFUNCTION("""COMPUTED_VALUE"""),"Salmonella - S. Typhimurium, monophasic - U")</f>
        <v>Salmonella - S. Typhimurium, monophasic - U</v>
      </c>
      <c r="B5667" t="str">
        <f ca="1">IFERROR(__xludf.DUMMYFUNCTION("""COMPUTED_VALUE"""),"RF-00003498-MCG")</f>
        <v>RF-00003498-MCG</v>
      </c>
    </row>
    <row r="5668" spans="1:2" ht="12.5" x14ac:dyDescent="0.25">
      <c r="A5668" t="str">
        <f ca="1">IFERROR(__xludf.DUMMYFUNCTION("""COMPUTED_VALUE"""),"Salmonella - S. Typhimurium, monophasic - U 276")</f>
        <v>Salmonella - S. Typhimurium, monophasic - U 276</v>
      </c>
      <c r="B5668" t="str">
        <f ca="1">IFERROR(__xludf.DUMMYFUNCTION("""COMPUTED_VALUE"""),"RF-00003499-MCG")</f>
        <v>RF-00003499-MCG</v>
      </c>
    </row>
    <row r="5669" spans="1:2" ht="12.5" x14ac:dyDescent="0.25">
      <c r="A5669" t="str">
        <f ca="1">IFERROR(__xludf.DUMMYFUNCTION("""COMPUTED_VALUE"""),"Salmonella - S. Typhimurium, monophasic - U 277")</f>
        <v>Salmonella - S. Typhimurium, monophasic - U 277</v>
      </c>
      <c r="B5669" t="str">
        <f ca="1">IFERROR(__xludf.DUMMYFUNCTION("""COMPUTED_VALUE"""),"RF-00003500-MCG")</f>
        <v>RF-00003500-MCG</v>
      </c>
    </row>
    <row r="5670" spans="1:2" ht="12.5" x14ac:dyDescent="0.25">
      <c r="A5670" t="str">
        <f ca="1">IFERROR(__xludf.DUMMYFUNCTION("""COMPUTED_VALUE"""),"Salmonella - S. Typhimurium, monophasic - U 278")</f>
        <v>Salmonella - S. Typhimurium, monophasic - U 278</v>
      </c>
      <c r="B5670" t="str">
        <f ca="1">IFERROR(__xludf.DUMMYFUNCTION("""COMPUTED_VALUE"""),"RF-00003501-MCG")</f>
        <v>RF-00003501-MCG</v>
      </c>
    </row>
    <row r="5671" spans="1:2" ht="12.5" x14ac:dyDescent="0.25">
      <c r="A5671" t="str">
        <f ca="1">IFERROR(__xludf.DUMMYFUNCTION("""COMPUTED_VALUE"""),"Salmonella - S. Typhimurium, monophasic - U 288")</f>
        <v>Salmonella - S. Typhimurium, monophasic - U 288</v>
      </c>
      <c r="B5671" t="str">
        <f ca="1">IFERROR(__xludf.DUMMYFUNCTION("""COMPUTED_VALUE"""),"RF-00003502-MCG")</f>
        <v>RF-00003502-MCG</v>
      </c>
    </row>
    <row r="5672" spans="1:2" ht="12.5" x14ac:dyDescent="0.25">
      <c r="A5672" t="str">
        <f ca="1">IFERROR(__xludf.DUMMYFUNCTION("""COMPUTED_VALUE"""),"Salmonella - S. Typhimurium, monophasic - U 289")</f>
        <v>Salmonella - S. Typhimurium, monophasic - U 289</v>
      </c>
      <c r="B5672" t="str">
        <f ca="1">IFERROR(__xludf.DUMMYFUNCTION("""COMPUTED_VALUE"""),"RF-00003503-MCG")</f>
        <v>RF-00003503-MCG</v>
      </c>
    </row>
    <row r="5673" spans="1:2" ht="12.5" x14ac:dyDescent="0.25">
      <c r="A5673" t="str">
        <f ca="1">IFERROR(__xludf.DUMMYFUNCTION("""COMPUTED_VALUE"""),"Salmonella - S. Typhimurium, monophasic - U 291")</f>
        <v>Salmonella - S. Typhimurium, monophasic - U 291</v>
      </c>
      <c r="B5673" t="str">
        <f ca="1">IFERROR(__xludf.DUMMYFUNCTION("""COMPUTED_VALUE"""),"RF-00003504-MCG")</f>
        <v>RF-00003504-MCG</v>
      </c>
    </row>
    <row r="5674" spans="1:2" ht="12.5" x14ac:dyDescent="0.25">
      <c r="A5674" t="str">
        <f ca="1">IFERROR(__xludf.DUMMYFUNCTION("""COMPUTED_VALUE"""),"Salmonella - S. Typhimurium, monophasic - U 292")</f>
        <v>Salmonella - S. Typhimurium, monophasic - U 292</v>
      </c>
      <c r="B5674" t="str">
        <f ca="1">IFERROR(__xludf.DUMMYFUNCTION("""COMPUTED_VALUE"""),"RF-00003505-MCG")</f>
        <v>RF-00003505-MCG</v>
      </c>
    </row>
    <row r="5675" spans="1:2" ht="12.5" x14ac:dyDescent="0.25">
      <c r="A5675" t="str">
        <f ca="1">IFERROR(__xludf.DUMMYFUNCTION("""COMPUTED_VALUE"""),"Salmonella - S. Typhimurium, monophasic - U 302")</f>
        <v>Salmonella - S. Typhimurium, monophasic - U 302</v>
      </c>
      <c r="B5675" t="str">
        <f ca="1">IFERROR(__xludf.DUMMYFUNCTION("""COMPUTED_VALUE"""),"RF-00003506-MCG")</f>
        <v>RF-00003506-MCG</v>
      </c>
    </row>
    <row r="5676" spans="1:2" ht="12.5" x14ac:dyDescent="0.25">
      <c r="A5676" t="str">
        <f ca="1">IFERROR(__xludf.DUMMYFUNCTION("""COMPUTED_VALUE"""),"Salmonella - S. Typhimurium, monophasic - U 307")</f>
        <v>Salmonella - S. Typhimurium, monophasic - U 307</v>
      </c>
      <c r="B5676" t="str">
        <f ca="1">IFERROR(__xludf.DUMMYFUNCTION("""COMPUTED_VALUE"""),"RF-00003507-MCG")</f>
        <v>RF-00003507-MCG</v>
      </c>
    </row>
    <row r="5677" spans="1:2" ht="12.5" x14ac:dyDescent="0.25">
      <c r="A5677" t="str">
        <f ca="1">IFERROR(__xludf.DUMMYFUNCTION("""COMPUTED_VALUE"""),"Salmonella - S. Typhimurium, monophasic - U 308")</f>
        <v>Salmonella - S. Typhimurium, monophasic - U 308</v>
      </c>
      <c r="B5677" t="str">
        <f ca="1">IFERROR(__xludf.DUMMYFUNCTION("""COMPUTED_VALUE"""),"RF-00003508-MCG")</f>
        <v>RF-00003508-MCG</v>
      </c>
    </row>
    <row r="5678" spans="1:2" ht="12.5" x14ac:dyDescent="0.25">
      <c r="A5678" t="str">
        <f ca="1">IFERROR(__xludf.DUMMYFUNCTION("""COMPUTED_VALUE"""),"Salmonella - S. Typhimurium, monophasic - U 308b")</f>
        <v>Salmonella - S. Typhimurium, monophasic - U 308b</v>
      </c>
      <c r="B5678" t="str">
        <f ca="1">IFERROR(__xludf.DUMMYFUNCTION("""COMPUTED_VALUE"""),"RF-00003509-MCG")</f>
        <v>RF-00003509-MCG</v>
      </c>
    </row>
    <row r="5679" spans="1:2" ht="12.5" x14ac:dyDescent="0.25">
      <c r="A5679" t="str">
        <f ca="1">IFERROR(__xludf.DUMMYFUNCTION("""COMPUTED_VALUE"""),"Salmonella - S. Typhimurium, monophasic - U 309")</f>
        <v>Salmonella - S. Typhimurium, monophasic - U 309</v>
      </c>
      <c r="B5679" t="str">
        <f ca="1">IFERROR(__xludf.DUMMYFUNCTION("""COMPUTED_VALUE"""),"RF-00003510-MCG")</f>
        <v>RF-00003510-MCG</v>
      </c>
    </row>
    <row r="5680" spans="1:2" ht="12.5" x14ac:dyDescent="0.25">
      <c r="A5680" t="str">
        <f ca="1">IFERROR(__xludf.DUMMYFUNCTION("""COMPUTED_VALUE"""),"Salmonella - S. Typhimurium, monophasic - U 310")</f>
        <v>Salmonella - S. Typhimurium, monophasic - U 310</v>
      </c>
      <c r="B5680" t="str">
        <f ca="1">IFERROR(__xludf.DUMMYFUNCTION("""COMPUTED_VALUE"""),"RF-00003511-MCG")</f>
        <v>RF-00003511-MCG</v>
      </c>
    </row>
    <row r="5681" spans="1:2" ht="12.5" x14ac:dyDescent="0.25">
      <c r="A5681" t="str">
        <f ca="1">IFERROR(__xludf.DUMMYFUNCTION("""COMPUTED_VALUE"""),"Salmonella - S. Typhimurium, monophasic - U 311")</f>
        <v>Salmonella - S. Typhimurium, monophasic - U 311</v>
      </c>
      <c r="B5681" t="str">
        <f ca="1">IFERROR(__xludf.DUMMYFUNCTION("""COMPUTED_VALUE"""),"RF-00003512-MCG")</f>
        <v>RF-00003512-MCG</v>
      </c>
    </row>
    <row r="5682" spans="1:2" ht="12.5" x14ac:dyDescent="0.25">
      <c r="A5682" t="str">
        <f ca="1">IFERROR(__xludf.DUMMYFUNCTION("""COMPUTED_VALUE"""),"Salmonella - S. Typhimurium, monophasic - U 312")</f>
        <v>Salmonella - S. Typhimurium, monophasic - U 312</v>
      </c>
      <c r="B5682" t="str">
        <f ca="1">IFERROR(__xludf.DUMMYFUNCTION("""COMPUTED_VALUE"""),"RF-00003513-MCG")</f>
        <v>RF-00003513-MCG</v>
      </c>
    </row>
    <row r="5683" spans="1:2" ht="12.5" x14ac:dyDescent="0.25">
      <c r="A5683" t="str">
        <f ca="1">IFERROR(__xludf.DUMMYFUNCTION("""COMPUTED_VALUE"""),"Salmonella - S. Typhimurium, monophasic - U 313")</f>
        <v>Salmonella - S. Typhimurium, monophasic - U 313</v>
      </c>
      <c r="B5683" t="str">
        <f ca="1">IFERROR(__xludf.DUMMYFUNCTION("""COMPUTED_VALUE"""),"RF-00003514-MCG")</f>
        <v>RF-00003514-MCG</v>
      </c>
    </row>
    <row r="5684" spans="1:2" ht="12.5" x14ac:dyDescent="0.25">
      <c r="A5684" t="str">
        <f ca="1">IFERROR(__xludf.DUMMYFUNCTION("""COMPUTED_VALUE"""),"Salmonella - S. Typhimurium, monophasic - U 314")</f>
        <v>Salmonella - S. Typhimurium, monophasic - U 314</v>
      </c>
      <c r="B5684" t="str">
        <f ca="1">IFERROR(__xludf.DUMMYFUNCTION("""COMPUTED_VALUE"""),"RF-00003515-MCG")</f>
        <v>RF-00003515-MCG</v>
      </c>
    </row>
    <row r="5685" spans="1:2" ht="12.5" x14ac:dyDescent="0.25">
      <c r="A5685" t="str">
        <f ca="1">IFERROR(__xludf.DUMMYFUNCTION("""COMPUTED_VALUE"""),"Salmonella - S. Typhimurium, monophasic - U 322")</f>
        <v>Salmonella - S. Typhimurium, monophasic - U 322</v>
      </c>
      <c r="B5685" t="str">
        <f ca="1">IFERROR(__xludf.DUMMYFUNCTION("""COMPUTED_VALUE"""),"RF-00003516-MCG")</f>
        <v>RF-00003516-MCG</v>
      </c>
    </row>
    <row r="5686" spans="1:2" ht="12.5" x14ac:dyDescent="0.25">
      <c r="A5686" t="str">
        <f ca="1">IFERROR(__xludf.DUMMYFUNCTION("""COMPUTED_VALUE"""),"Salmonella - S. Virchow - PT 31")</f>
        <v>Salmonella - S. Virchow - PT 31</v>
      </c>
      <c r="B5686" t="str">
        <f ca="1">IFERROR(__xludf.DUMMYFUNCTION("""COMPUTED_VALUE"""),"RF-00003517-MCG")</f>
        <v>RF-00003517-MCG</v>
      </c>
    </row>
    <row r="5687" spans="1:2" ht="12.5" x14ac:dyDescent="0.25">
      <c r="A5687" t="str">
        <f ca="1">IFERROR(__xludf.DUMMYFUNCTION("""COMPUTED_VALUE"""),"Salmonella 1,13,23:-:-")</f>
        <v>Salmonella 1,13,23:-:-</v>
      </c>
      <c r="B5687" t="str">
        <f ca="1">IFERROR(__xludf.DUMMYFUNCTION("""COMPUTED_VALUE"""),"RF-00000506-MCG")</f>
        <v>RF-00000506-MCG</v>
      </c>
    </row>
    <row r="5688" spans="1:2" ht="12.5" x14ac:dyDescent="0.25">
      <c r="A5688" t="str">
        <f ca="1">IFERROR(__xludf.DUMMYFUNCTION("""COMPUTED_VALUE"""),"Salmonella 1,13,23:i:-")</f>
        <v>Salmonella 1,13,23:i:-</v>
      </c>
      <c r="B5688" t="str">
        <f ca="1">IFERROR(__xludf.DUMMYFUNCTION("""COMPUTED_VALUE"""),"RF-00000492-MCG")</f>
        <v>RF-00000492-MCG</v>
      </c>
    </row>
    <row r="5689" spans="1:2" ht="12.5" x14ac:dyDescent="0.25">
      <c r="A5689" t="str">
        <f ca="1">IFERROR(__xludf.DUMMYFUNCTION("""COMPUTED_VALUE"""),"Salmonella 1,13,23:z:-")</f>
        <v>Salmonella 1,13,23:z:-</v>
      </c>
      <c r="B5689" t="str">
        <f ca="1">IFERROR(__xludf.DUMMYFUNCTION("""COMPUTED_VALUE"""),"RF-00000478-MCG")</f>
        <v>RF-00000478-MCG</v>
      </c>
    </row>
    <row r="5690" spans="1:2" ht="12.5" x14ac:dyDescent="0.25">
      <c r="A5690" t="str">
        <f ca="1">IFERROR(__xludf.DUMMYFUNCTION("""COMPUTED_VALUE"""),"Salmonella 1,13,23:z29:z27")</f>
        <v>Salmonella 1,13,23:z29:z27</v>
      </c>
      <c r="B5690" t="str">
        <f ca="1">IFERROR(__xludf.DUMMYFUNCTION("""COMPUTED_VALUE"""),"RF-00000494-MCG")</f>
        <v>RF-00000494-MCG</v>
      </c>
    </row>
    <row r="5691" spans="1:2" ht="12.5" x14ac:dyDescent="0.25">
      <c r="A5691" t="str">
        <f ca="1">IFERROR(__xludf.DUMMYFUNCTION("""COMPUTED_VALUE"""),"Salmonella 1,3,19:-:-")</f>
        <v>Salmonella 1,3,19:-:-</v>
      </c>
      <c r="B5691" t="str">
        <f ca="1">IFERROR(__xludf.DUMMYFUNCTION("""COMPUTED_VALUE"""),"RF-00000495-MCG")</f>
        <v>RF-00000495-MCG</v>
      </c>
    </row>
    <row r="5692" spans="1:2" ht="12.5" x14ac:dyDescent="0.25">
      <c r="A5692" t="str">
        <f ca="1">IFERROR(__xludf.DUMMYFUNCTION("""COMPUTED_VALUE"""),"Salmonella 1,3,19:-:e,n,z15")</f>
        <v>Salmonella 1,3,19:-:e,n,z15</v>
      </c>
      <c r="B5692" t="str">
        <f ca="1">IFERROR(__xludf.DUMMYFUNCTION("""COMPUTED_VALUE"""),"RF-00000496-MCG")</f>
        <v>RF-00000496-MCG</v>
      </c>
    </row>
    <row r="5693" spans="1:2" ht="12.5" x14ac:dyDescent="0.25">
      <c r="A5693" t="str">
        <f ca="1">IFERROR(__xludf.DUMMYFUNCTION("""COMPUTED_VALUE"""),"Salmonella 1,3,19:c:-")</f>
        <v>Salmonella 1,3,19:c:-</v>
      </c>
      <c r="B5693" t="str">
        <f ca="1">IFERROR(__xludf.DUMMYFUNCTION("""COMPUTED_VALUE"""),"RF-00000497-MCG")</f>
        <v>RF-00000497-MCG</v>
      </c>
    </row>
    <row r="5694" spans="1:2" ht="12.5" x14ac:dyDescent="0.25">
      <c r="A5694" t="str">
        <f ca="1">IFERROR(__xludf.DUMMYFUNCTION("""COMPUTED_VALUE"""),"Salmonella 1,3,19:d:-")</f>
        <v>Salmonella 1,3,19:d:-</v>
      </c>
      <c r="B5694" t="str">
        <f ca="1">IFERROR(__xludf.DUMMYFUNCTION("""COMPUTED_VALUE"""),"RF-00000498-MCG")</f>
        <v>RF-00000498-MCG</v>
      </c>
    </row>
    <row r="5695" spans="1:2" ht="12.5" x14ac:dyDescent="0.25">
      <c r="A5695" t="str">
        <f ca="1">IFERROR(__xludf.DUMMYFUNCTION("""COMPUTED_VALUE"""),"Salmonella 1,3,19:i:-")</f>
        <v>Salmonella 1,3,19:i:-</v>
      </c>
      <c r="B5695" t="str">
        <f ca="1">IFERROR(__xludf.DUMMYFUNCTION("""COMPUTED_VALUE"""),"RF-00000499-MCG")</f>
        <v>RF-00000499-MCG</v>
      </c>
    </row>
    <row r="5696" spans="1:2" ht="12.5" x14ac:dyDescent="0.25">
      <c r="A5696" t="str">
        <f ca="1">IFERROR(__xludf.DUMMYFUNCTION("""COMPUTED_VALUE"""),"Salmonella 1,3,19:z:-")</f>
        <v>Salmonella 1,3,19:z:-</v>
      </c>
      <c r="B5696" t="str">
        <f ca="1">IFERROR(__xludf.DUMMYFUNCTION("""COMPUTED_VALUE"""),"RF-00000500-MCG")</f>
        <v>RF-00000500-MCG</v>
      </c>
    </row>
    <row r="5697" spans="1:2" ht="12.5" x14ac:dyDescent="0.25">
      <c r="A5697" t="str">
        <f ca="1">IFERROR(__xludf.DUMMYFUNCTION("""COMPUTED_VALUE"""),"Salmonella 1,4,[5],12:i:-")</f>
        <v>Salmonella 1,4,[5],12:i:-</v>
      </c>
      <c r="B5697" t="str">
        <f ca="1">IFERROR(__xludf.DUMMYFUNCTION("""COMPUTED_VALUE"""),"RF-00000504-MCG")</f>
        <v>RF-00000504-MCG</v>
      </c>
    </row>
    <row r="5698" spans="1:2" ht="12.5" x14ac:dyDescent="0.25">
      <c r="A5698" t="str">
        <f ca="1">IFERROR(__xludf.DUMMYFUNCTION("""COMPUTED_VALUE"""),"Salmonella 1,4,12:-:1,2")</f>
        <v>Salmonella 1,4,12:-:1,2</v>
      </c>
      <c r="B5698" t="str">
        <f ca="1">IFERROR(__xludf.DUMMYFUNCTION("""COMPUTED_VALUE"""),"RF-00000501-MCG")</f>
        <v>RF-00000501-MCG</v>
      </c>
    </row>
    <row r="5699" spans="1:2" ht="12.5" x14ac:dyDescent="0.25">
      <c r="A5699" t="str">
        <f ca="1">IFERROR(__xludf.DUMMYFUNCTION("""COMPUTED_VALUE"""),"Salmonella 1,4,12:d:-")</f>
        <v>Salmonella 1,4,12:d:-</v>
      </c>
      <c r="B5699" t="str">
        <f ca="1">IFERROR(__xludf.DUMMYFUNCTION("""COMPUTED_VALUE"""),"RF-00000502-MCG")</f>
        <v>RF-00000502-MCG</v>
      </c>
    </row>
    <row r="5700" spans="1:2" ht="12.5" x14ac:dyDescent="0.25">
      <c r="A5700" t="str">
        <f ca="1">IFERROR(__xludf.DUMMYFUNCTION("""COMPUTED_VALUE"""),"Salmonella 1,40:z4,z24:-")</f>
        <v>Salmonella 1,40:z4,z24:-</v>
      </c>
      <c r="B5700" t="str">
        <f ca="1">IFERROR(__xludf.DUMMYFUNCTION("""COMPUTED_VALUE"""),"RF-00000505-MCG")</f>
        <v>RF-00000505-MCG</v>
      </c>
    </row>
    <row r="5701" spans="1:2" ht="12.5" x14ac:dyDescent="0.25">
      <c r="A5701" t="str">
        <f ca="1">IFERROR(__xludf.DUMMYFUNCTION("""COMPUTED_VALUE"""),"Salmonella 1,9,12:-:-")</f>
        <v>Salmonella 1,9,12:-:-</v>
      </c>
      <c r="B5701" t="str">
        <f ca="1">IFERROR(__xludf.DUMMYFUNCTION("""COMPUTED_VALUE"""),"RF-00000508-MCG")</f>
        <v>RF-00000508-MCG</v>
      </c>
    </row>
    <row r="5702" spans="1:2" ht="12.5" x14ac:dyDescent="0.25">
      <c r="A5702" t="str">
        <f ca="1">IFERROR(__xludf.DUMMYFUNCTION("""COMPUTED_VALUE"""),"Salmonella 1,9,12:l,v:-")</f>
        <v>Salmonella 1,9,12:l,v:-</v>
      </c>
      <c r="B5702" t="str">
        <f ca="1">IFERROR(__xludf.DUMMYFUNCTION("""COMPUTED_VALUE"""),"RF-00000396-MCG")</f>
        <v>RF-00000396-MCG</v>
      </c>
    </row>
    <row r="5703" spans="1:2" ht="12.5" x14ac:dyDescent="0.25">
      <c r="A5703" t="str">
        <f ca="1">IFERROR(__xludf.DUMMYFUNCTION("""COMPUTED_VALUE"""),"Salmonella 13,22:-:-")</f>
        <v>Salmonella 13,22:-:-</v>
      </c>
      <c r="B5703" t="str">
        <f ca="1">IFERROR(__xludf.DUMMYFUNCTION("""COMPUTED_VALUE"""),"RF-00000343-MCG")</f>
        <v>RF-00000343-MCG</v>
      </c>
    </row>
    <row r="5704" spans="1:2" ht="12.5" x14ac:dyDescent="0.25">
      <c r="A5704" t="str">
        <f ca="1">IFERROR(__xludf.DUMMYFUNCTION("""COMPUTED_VALUE"""),"Salmonella 13,22:-:1,6")</f>
        <v>Salmonella 13,22:-:1,6</v>
      </c>
      <c r="B5704" t="str">
        <f ca="1">IFERROR(__xludf.DUMMYFUNCTION("""COMPUTED_VALUE"""),"RF-00000342-MCG")</f>
        <v>RF-00000342-MCG</v>
      </c>
    </row>
    <row r="5705" spans="1:2" ht="12.5" x14ac:dyDescent="0.25">
      <c r="A5705" t="str">
        <f ca="1">IFERROR(__xludf.DUMMYFUNCTION("""COMPUTED_VALUE"""),"Salmonella 13,22:z29:1,5")</f>
        <v>Salmonella 13,22:z29:1,5</v>
      </c>
      <c r="B5705" t="str">
        <f ca="1">IFERROR(__xludf.DUMMYFUNCTION("""COMPUTED_VALUE"""),"RF-00000341-MCG")</f>
        <v>RF-00000341-MCG</v>
      </c>
    </row>
    <row r="5706" spans="1:2" ht="12.5" x14ac:dyDescent="0.25">
      <c r="A5706" t="str">
        <f ca="1">IFERROR(__xludf.DUMMYFUNCTION("""COMPUTED_VALUE"""),"Salmonella 13,23:-:-")</f>
        <v>Salmonella 13,23:-:-</v>
      </c>
      <c r="B5706" t="str">
        <f ca="1">IFERROR(__xludf.DUMMYFUNCTION("""COMPUTED_VALUE"""),"RF-00000340-MCG")</f>
        <v>RF-00000340-MCG</v>
      </c>
    </row>
    <row r="5707" spans="1:2" ht="12.5" x14ac:dyDescent="0.25">
      <c r="A5707" t="str">
        <f ca="1">IFERROR(__xludf.DUMMYFUNCTION("""COMPUTED_VALUE"""),"Salmonella 13,23:-:l,w:-")</f>
        <v>Salmonella 13,23:-:l,w:-</v>
      </c>
      <c r="B5707" t="str">
        <f ca="1">IFERROR(__xludf.DUMMYFUNCTION("""COMPUTED_VALUE"""),"RF-00000339-MCG")</f>
        <v>RF-00000339-MCG</v>
      </c>
    </row>
    <row r="5708" spans="1:2" ht="12.5" x14ac:dyDescent="0.25">
      <c r="A5708" t="str">
        <f ca="1">IFERROR(__xludf.DUMMYFUNCTION("""COMPUTED_VALUE"""),"Salmonella 13,23:d:-")</f>
        <v>Salmonella 13,23:d:-</v>
      </c>
      <c r="B5708" t="str">
        <f ca="1">IFERROR(__xludf.DUMMYFUNCTION("""COMPUTED_VALUE"""),"RF-00000338-MCG")</f>
        <v>RF-00000338-MCG</v>
      </c>
    </row>
    <row r="5709" spans="1:2" ht="12.5" x14ac:dyDescent="0.25">
      <c r="A5709" t="str">
        <f ca="1">IFERROR(__xludf.DUMMYFUNCTION("""COMPUTED_VALUE"""),"Salmonella 13,23:i:-")</f>
        <v>Salmonella 13,23:i:-</v>
      </c>
      <c r="B5709" t="str">
        <f ca="1">IFERROR(__xludf.DUMMYFUNCTION("""COMPUTED_VALUE"""),"RF-00000337-MCG")</f>
        <v>RF-00000337-MCG</v>
      </c>
    </row>
    <row r="5710" spans="1:2" ht="12.5" x14ac:dyDescent="0.25">
      <c r="A5710" t="str">
        <f ca="1">IFERROR(__xludf.DUMMYFUNCTION("""COMPUTED_VALUE"""),"Salmonella 13,23:z:-")</f>
        <v>Salmonella 13,23:z:-</v>
      </c>
      <c r="B5710" t="str">
        <f ca="1">IFERROR(__xludf.DUMMYFUNCTION("""COMPUTED_VALUE"""),"RF-00000336-MCG")</f>
        <v>RF-00000336-MCG</v>
      </c>
    </row>
    <row r="5711" spans="1:2" ht="12.5" x14ac:dyDescent="0.25">
      <c r="A5711" t="str">
        <f ca="1">IFERROR(__xludf.DUMMYFUNCTION("""COMPUTED_VALUE"""),"Salmonella 13:-:-")</f>
        <v>Salmonella 13:-:-</v>
      </c>
      <c r="B5711" t="str">
        <f ca="1">IFERROR(__xludf.DUMMYFUNCTION("""COMPUTED_VALUE"""),"RF-00000324-MCG")</f>
        <v>RF-00000324-MCG</v>
      </c>
    </row>
    <row r="5712" spans="1:2" ht="12.5" x14ac:dyDescent="0.25">
      <c r="A5712" t="str">
        <f ca="1">IFERROR(__xludf.DUMMYFUNCTION("""COMPUTED_VALUE"""),"Salmonella 16:-:1,5")</f>
        <v>Salmonella 16:-:1,5</v>
      </c>
      <c r="B5712" t="str">
        <f ca="1">IFERROR(__xludf.DUMMYFUNCTION("""COMPUTED_VALUE"""),"RF-00000334-MCG")</f>
        <v>RF-00000334-MCG</v>
      </c>
    </row>
    <row r="5713" spans="1:2" ht="12.5" x14ac:dyDescent="0.25">
      <c r="A5713" t="str">
        <f ca="1">IFERROR(__xludf.DUMMYFUNCTION("""COMPUTED_VALUE"""),"Salmonella 16:d:-")</f>
        <v>Salmonella 16:d:-</v>
      </c>
      <c r="B5713" t="str">
        <f ca="1">IFERROR(__xludf.DUMMYFUNCTION("""COMPUTED_VALUE"""),"RF-00000345-MCG")</f>
        <v>RF-00000345-MCG</v>
      </c>
    </row>
    <row r="5714" spans="1:2" ht="12.5" x14ac:dyDescent="0.25">
      <c r="A5714" t="str">
        <f ca="1">IFERROR(__xludf.DUMMYFUNCTION("""COMPUTED_VALUE"""),"Salmonella 18:-:-")</f>
        <v>Salmonella 18:-:-</v>
      </c>
      <c r="B5714" t="str">
        <f ca="1">IFERROR(__xludf.DUMMYFUNCTION("""COMPUTED_VALUE"""),"RF-00000332-MCG")</f>
        <v>RF-00000332-MCG</v>
      </c>
    </row>
    <row r="5715" spans="1:2" ht="12.5" x14ac:dyDescent="0.25">
      <c r="A5715" t="str">
        <f ca="1">IFERROR(__xludf.DUMMYFUNCTION("""COMPUTED_VALUE"""),"Salmonella 21:-:-")</f>
        <v>Salmonella 21:-:-</v>
      </c>
      <c r="B5715" t="str">
        <f ca="1">IFERROR(__xludf.DUMMYFUNCTION("""COMPUTED_VALUE"""),"RF-00000331-MCG")</f>
        <v>RF-00000331-MCG</v>
      </c>
    </row>
    <row r="5716" spans="1:2" ht="12.5" x14ac:dyDescent="0.25">
      <c r="A5716" t="str">
        <f ca="1">IFERROR(__xludf.DUMMYFUNCTION("""COMPUTED_VALUE"""),"Salmonella 21:l,v:z")</f>
        <v>Salmonella 21:l,v:z</v>
      </c>
      <c r="B5716" t="str">
        <f ca="1">IFERROR(__xludf.DUMMYFUNCTION("""COMPUTED_VALUE"""),"RF-00000330-MCG")</f>
        <v>RF-00000330-MCG</v>
      </c>
    </row>
    <row r="5717" spans="1:2" ht="12.5" x14ac:dyDescent="0.25">
      <c r="A5717" t="str">
        <f ca="1">IFERROR(__xludf.DUMMYFUNCTION("""COMPUTED_VALUE"""),"Salmonella 3,10: y:-")</f>
        <v>Salmonella 3,10: y:-</v>
      </c>
      <c r="B5717" t="str">
        <f ca="1">IFERROR(__xludf.DUMMYFUNCTION("""COMPUTED_VALUE"""),"RF-00000329-MCG")</f>
        <v>RF-00000329-MCG</v>
      </c>
    </row>
    <row r="5718" spans="1:2" ht="12.5" x14ac:dyDescent="0.25">
      <c r="A5718" t="str">
        <f ca="1">IFERROR(__xludf.DUMMYFUNCTION("""COMPUTED_VALUE"""),"Salmonella 3,10:-:-")</f>
        <v>Salmonella 3,10:-:-</v>
      </c>
      <c r="B5718" t="str">
        <f ca="1">IFERROR(__xludf.DUMMYFUNCTION("""COMPUTED_VALUE"""),"RF-00000328-MCG")</f>
        <v>RF-00000328-MCG</v>
      </c>
    </row>
    <row r="5719" spans="1:2" ht="12.5" x14ac:dyDescent="0.25">
      <c r="A5719" t="str">
        <f ca="1">IFERROR(__xludf.DUMMYFUNCTION("""COMPUTED_VALUE"""),"Salmonella 3,10:-:1,5")</f>
        <v>Salmonella 3,10:-:1,5</v>
      </c>
      <c r="B5719" t="str">
        <f ca="1">IFERROR(__xludf.DUMMYFUNCTION("""COMPUTED_VALUE"""),"RF-00000326-MCG")</f>
        <v>RF-00000326-MCG</v>
      </c>
    </row>
    <row r="5720" spans="1:2" ht="12.5" x14ac:dyDescent="0.25">
      <c r="A5720" t="str">
        <f ca="1">IFERROR(__xludf.DUMMYFUNCTION("""COMPUTED_VALUE"""),"Salmonella 3,10:-:1,6")</f>
        <v>Salmonella 3,10:-:1,6</v>
      </c>
      <c r="B5720" t="str">
        <f ca="1">IFERROR(__xludf.DUMMYFUNCTION("""COMPUTED_VALUE"""),"RF-00000344-MCG")</f>
        <v>RF-00000344-MCG</v>
      </c>
    </row>
    <row r="5721" spans="1:2" ht="12.5" x14ac:dyDescent="0.25">
      <c r="A5721" t="str">
        <f ca="1">IFERROR(__xludf.DUMMYFUNCTION("""COMPUTED_VALUE"""),"Salmonella 3,10:-:1,7")</f>
        <v>Salmonella 3,10:-:1,7</v>
      </c>
      <c r="B5721" t="str">
        <f ca="1">IFERROR(__xludf.DUMMYFUNCTION("""COMPUTED_VALUE"""),"RF-00000314-MCG")</f>
        <v>RF-00000314-MCG</v>
      </c>
    </row>
    <row r="5722" spans="1:2" ht="12.5" x14ac:dyDescent="0.25">
      <c r="A5722" t="str">
        <f ca="1">IFERROR(__xludf.DUMMYFUNCTION("""COMPUTED_VALUE"""),"Salmonella 3,10:d:-")</f>
        <v>Salmonella 3,10:d:-</v>
      </c>
      <c r="B5722" t="str">
        <f ca="1">IFERROR(__xludf.DUMMYFUNCTION("""COMPUTED_VALUE"""),"RF-00000335-MCG")</f>
        <v>RF-00000335-MCG</v>
      </c>
    </row>
    <row r="5723" spans="1:2" ht="12.5" x14ac:dyDescent="0.25">
      <c r="A5723" t="str">
        <f ca="1">IFERROR(__xludf.DUMMYFUNCTION("""COMPUTED_VALUE"""),"Salmonella 3,10:i:-")</f>
        <v>Salmonella 3,10:i:-</v>
      </c>
      <c r="B5723" t="str">
        <f ca="1">IFERROR(__xludf.DUMMYFUNCTION("""COMPUTED_VALUE"""),"RF-00000333-MCG")</f>
        <v>RF-00000333-MCG</v>
      </c>
    </row>
    <row r="5724" spans="1:2" ht="12.5" x14ac:dyDescent="0.25">
      <c r="A5724" t="str">
        <f ca="1">IFERROR(__xludf.DUMMYFUNCTION("""COMPUTED_VALUE"""),"Salmonella 3,10:l,v:-")</f>
        <v>Salmonella 3,10:l,v:-</v>
      </c>
      <c r="B5724" t="str">
        <f ca="1">IFERROR(__xludf.DUMMYFUNCTION("""COMPUTED_VALUE"""),"RF-00000306-MCG")</f>
        <v>RF-00000306-MCG</v>
      </c>
    </row>
    <row r="5725" spans="1:2" ht="12.5" x14ac:dyDescent="0.25">
      <c r="A5725" t="str">
        <f ca="1">IFERROR(__xludf.DUMMYFUNCTION("""COMPUTED_VALUE"""),"Salmonella 3,15:-:-")</f>
        <v>Salmonella 3,15:-:-</v>
      </c>
      <c r="B5725" t="str">
        <f ca="1">IFERROR(__xludf.DUMMYFUNCTION("""COMPUTED_VALUE"""),"RF-00000307-MCG")</f>
        <v>RF-00000307-MCG</v>
      </c>
    </row>
    <row r="5726" spans="1:2" ht="12.5" x14ac:dyDescent="0.25">
      <c r="A5726" t="str">
        <f ca="1">IFERROR(__xludf.DUMMYFUNCTION("""COMPUTED_VALUE"""),"Salmonella 3,15:y:-")</f>
        <v>Salmonella 3,15:y:-</v>
      </c>
      <c r="B5726" t="str">
        <f ca="1">IFERROR(__xludf.DUMMYFUNCTION("""COMPUTED_VALUE"""),"RF-00000308-MCG")</f>
        <v>RF-00000308-MCG</v>
      </c>
    </row>
    <row r="5727" spans="1:2" ht="12.5" x14ac:dyDescent="0.25">
      <c r="A5727" t="str">
        <f ca="1">IFERROR(__xludf.DUMMYFUNCTION("""COMPUTED_VALUE"""),"Salmonella 3,19:-:-")</f>
        <v>Salmonella 3,19:-:-</v>
      </c>
      <c r="B5727" t="str">
        <f ca="1">IFERROR(__xludf.DUMMYFUNCTION("""COMPUTED_VALUE"""),"RF-00000309-MCG")</f>
        <v>RF-00000309-MCG</v>
      </c>
    </row>
    <row r="5728" spans="1:2" ht="12.5" x14ac:dyDescent="0.25">
      <c r="A5728" t="str">
        <f ca="1">IFERROR(__xludf.DUMMYFUNCTION("""COMPUTED_VALUE"""),"Salmonella 3.10:r:-")</f>
        <v>Salmonella 3.10:r:-</v>
      </c>
      <c r="B5728" t="str">
        <f ca="1">IFERROR(__xludf.DUMMYFUNCTION("""COMPUTED_VALUE"""),"RF-00000310-MCG")</f>
        <v>RF-00000310-MCG</v>
      </c>
    </row>
    <row r="5729" spans="1:2" ht="12.5" x14ac:dyDescent="0.25">
      <c r="A5729" t="str">
        <f ca="1">IFERROR(__xludf.DUMMYFUNCTION("""COMPUTED_VALUE"""),"Salmonella 38:z4,z23:-")</f>
        <v>Salmonella 38:z4,z23:-</v>
      </c>
      <c r="B5729" t="str">
        <f ca="1">IFERROR(__xludf.DUMMYFUNCTION("""COMPUTED_VALUE"""),"RF-00000311-MCG")</f>
        <v>RF-00000311-MCG</v>
      </c>
    </row>
    <row r="5730" spans="1:2" ht="12.5" x14ac:dyDescent="0.25">
      <c r="A5730" t="str">
        <f ca="1">IFERROR(__xludf.DUMMYFUNCTION("""COMPUTED_VALUE"""),"Salmonella 4,12:-:-")</f>
        <v>Salmonella 4,12:-:-</v>
      </c>
      <c r="B5730" t="str">
        <f ca="1">IFERROR(__xludf.DUMMYFUNCTION("""COMPUTED_VALUE"""),"RF-00000312-MCG")</f>
        <v>RF-00000312-MCG</v>
      </c>
    </row>
    <row r="5731" spans="1:2" ht="12.5" x14ac:dyDescent="0.25">
      <c r="A5731" t="str">
        <f ca="1">IFERROR(__xludf.DUMMYFUNCTION("""COMPUTED_VALUE"""),"Salmonella 4,12:-:1,2")</f>
        <v>Salmonella 4,12:-:1,2</v>
      </c>
      <c r="B5731" t="str">
        <f ca="1">IFERROR(__xludf.DUMMYFUNCTION("""COMPUTED_VALUE"""),"RF-00000323-MCG")</f>
        <v>RF-00000323-MCG</v>
      </c>
    </row>
    <row r="5732" spans="1:2" ht="12.5" x14ac:dyDescent="0.25">
      <c r="A5732" t="str">
        <f ca="1">IFERROR(__xludf.DUMMYFUNCTION("""COMPUTED_VALUE"""),"Salmonella 4,12:-:1,7")</f>
        <v>Salmonella 4,12:-:1,7</v>
      </c>
      <c r="B5732" t="str">
        <f ca="1">IFERROR(__xludf.DUMMYFUNCTION("""COMPUTED_VALUE"""),"RF-00000313-MCG")</f>
        <v>RF-00000313-MCG</v>
      </c>
    </row>
    <row r="5733" spans="1:2" ht="12.5" x14ac:dyDescent="0.25">
      <c r="A5733" t="str">
        <f ca="1">IFERROR(__xludf.DUMMYFUNCTION("""COMPUTED_VALUE"""),"Salmonella 4,12:a:-")</f>
        <v>Salmonella 4,12:a:-</v>
      </c>
      <c r="B5733" t="str">
        <f ca="1">IFERROR(__xludf.DUMMYFUNCTION("""COMPUTED_VALUE"""),"RF-00000305-MCG")</f>
        <v>RF-00000305-MCG</v>
      </c>
    </row>
    <row r="5734" spans="1:2" ht="12.5" x14ac:dyDescent="0.25">
      <c r="A5734" t="str">
        <f ca="1">IFERROR(__xludf.DUMMYFUNCTION("""COMPUTED_VALUE"""),"Salmonella 4,12:b:-")</f>
        <v>Salmonella 4,12:b:-</v>
      </c>
      <c r="B5734" t="str">
        <f ca="1">IFERROR(__xludf.DUMMYFUNCTION("""COMPUTED_VALUE"""),"RF-00000315-MCG")</f>
        <v>RF-00000315-MCG</v>
      </c>
    </row>
    <row r="5735" spans="1:2" ht="12.5" x14ac:dyDescent="0.25">
      <c r="A5735" t="str">
        <f ca="1">IFERROR(__xludf.DUMMYFUNCTION("""COMPUTED_VALUE"""),"Salmonella 4,12:c:-")</f>
        <v>Salmonella 4,12:c:-</v>
      </c>
      <c r="B5735" t="str">
        <f ca="1">IFERROR(__xludf.DUMMYFUNCTION("""COMPUTED_VALUE"""),"RF-00000316-MCG")</f>
        <v>RF-00000316-MCG</v>
      </c>
    </row>
    <row r="5736" spans="1:2" ht="12.5" x14ac:dyDescent="0.25">
      <c r="A5736" t="str">
        <f ca="1">IFERROR(__xludf.DUMMYFUNCTION("""COMPUTED_VALUE"""),"Salmonella 4,12:d:-")</f>
        <v>Salmonella 4,12:d:-</v>
      </c>
      <c r="B5736" t="str">
        <f ca="1">IFERROR(__xludf.DUMMYFUNCTION("""COMPUTED_VALUE"""),"RF-00000317-MCG")</f>
        <v>RF-00000317-MCG</v>
      </c>
    </row>
    <row r="5737" spans="1:2" ht="12.5" x14ac:dyDescent="0.25">
      <c r="A5737" t="str">
        <f ca="1">IFERROR(__xludf.DUMMYFUNCTION("""COMPUTED_VALUE"""),"Salmonella 4,12:e,h:-")</f>
        <v>Salmonella 4,12:e,h:-</v>
      </c>
      <c r="B5737" t="str">
        <f ca="1">IFERROR(__xludf.DUMMYFUNCTION("""COMPUTED_VALUE"""),"RF-00000318-MCG")</f>
        <v>RF-00000318-MCG</v>
      </c>
    </row>
    <row r="5738" spans="1:2" ht="12.5" x14ac:dyDescent="0.25">
      <c r="A5738" t="str">
        <f ca="1">IFERROR(__xludf.DUMMYFUNCTION("""COMPUTED_VALUE"""),"Salmonella 4,12:i:-")</f>
        <v>Salmonella 4,12:i:-</v>
      </c>
      <c r="B5738" t="str">
        <f ca="1">IFERROR(__xludf.DUMMYFUNCTION("""COMPUTED_VALUE"""),"RF-00000319-MCG")</f>
        <v>RF-00000319-MCG</v>
      </c>
    </row>
    <row r="5739" spans="1:2" ht="12.5" x14ac:dyDescent="0.25">
      <c r="A5739" t="str">
        <f ca="1">IFERROR(__xludf.DUMMYFUNCTION("""COMPUTED_VALUE"""),"Salmonella 4,12:l,v:-")</f>
        <v>Salmonella 4,12:l,v:-</v>
      </c>
      <c r="B5739" t="str">
        <f ca="1">IFERROR(__xludf.DUMMYFUNCTION("""COMPUTED_VALUE"""),"RF-00000320-MCG")</f>
        <v>RF-00000320-MCG</v>
      </c>
    </row>
    <row r="5740" spans="1:2" ht="12.5" x14ac:dyDescent="0.25">
      <c r="A5740" t="str">
        <f ca="1">IFERROR(__xludf.DUMMYFUNCTION("""COMPUTED_VALUE"""),"Salmonella 4,12:r:-")</f>
        <v>Salmonella 4,12:r:-</v>
      </c>
      <c r="B5740" t="str">
        <f ca="1">IFERROR(__xludf.DUMMYFUNCTION("""COMPUTED_VALUE"""),"RF-00000321-MCG")</f>
        <v>RF-00000321-MCG</v>
      </c>
    </row>
    <row r="5741" spans="1:2" ht="12.5" x14ac:dyDescent="0.25">
      <c r="A5741" t="str">
        <f ca="1">IFERROR(__xludf.DUMMYFUNCTION("""COMPUTED_VALUE"""),"Salmonella 4,12:z:-")</f>
        <v>Salmonella 4,12:z:-</v>
      </c>
      <c r="B5741" t="str">
        <f ca="1">IFERROR(__xludf.DUMMYFUNCTION("""COMPUTED_VALUE"""),"RF-00000322-MCG")</f>
        <v>RF-00000322-MCG</v>
      </c>
    </row>
    <row r="5742" spans="1:2" ht="12.5" x14ac:dyDescent="0.25">
      <c r="A5742" t="str">
        <f ca="1">IFERROR(__xludf.DUMMYFUNCTION("""COMPUTED_VALUE"""),"Salmonella 4,5,12:-:-")</f>
        <v>Salmonella 4,5,12:-:-</v>
      </c>
      <c r="B5742" t="str">
        <f ca="1">IFERROR(__xludf.DUMMYFUNCTION("""COMPUTED_VALUE"""),"RF-00000327-MCG")</f>
        <v>RF-00000327-MCG</v>
      </c>
    </row>
    <row r="5743" spans="1:2" ht="12.5" x14ac:dyDescent="0.25">
      <c r="A5743" t="str">
        <f ca="1">IFERROR(__xludf.DUMMYFUNCTION("""COMPUTED_VALUE"""),"Salmonella 4,5,12:-:1,2")</f>
        <v>Salmonella 4,5,12:-:1,2</v>
      </c>
      <c r="B5743" t="str">
        <f ca="1">IFERROR(__xludf.DUMMYFUNCTION("""COMPUTED_VALUE"""),"RF-00000418-MCG")</f>
        <v>RF-00000418-MCG</v>
      </c>
    </row>
    <row r="5744" spans="1:2" ht="12.5" x14ac:dyDescent="0.25">
      <c r="A5744" t="str">
        <f ca="1">IFERROR(__xludf.DUMMYFUNCTION("""COMPUTED_VALUE"""),"Salmonella 4,5,12:-:1,5")</f>
        <v>Salmonella 4,5,12:-:1,5</v>
      </c>
      <c r="B5744" t="str">
        <f ca="1">IFERROR(__xludf.DUMMYFUNCTION("""COMPUTED_VALUE"""),"RF-00000399-MCG")</f>
        <v>RF-00000399-MCG</v>
      </c>
    </row>
    <row r="5745" spans="1:2" ht="12.5" x14ac:dyDescent="0.25">
      <c r="A5745" t="str">
        <f ca="1">IFERROR(__xludf.DUMMYFUNCTION("""COMPUTED_VALUE"""),"Salmonella 4,5,12:b:-")</f>
        <v>Salmonella 4,5,12:b:-</v>
      </c>
      <c r="B5745" t="str">
        <f ca="1">IFERROR(__xludf.DUMMYFUNCTION("""COMPUTED_VALUE"""),"RF-00000398-MCG")</f>
        <v>RF-00000398-MCG</v>
      </c>
    </row>
    <row r="5746" spans="1:2" ht="12.5" x14ac:dyDescent="0.25">
      <c r="A5746" t="str">
        <f ca="1">IFERROR(__xludf.DUMMYFUNCTION("""COMPUTED_VALUE"""),"Salmonella 4,5,12:d:-")</f>
        <v>Salmonella 4,5,12:d:-</v>
      </c>
      <c r="B5746" t="str">
        <f ca="1">IFERROR(__xludf.DUMMYFUNCTION("""COMPUTED_VALUE"""),"RF-00000397-MCG")</f>
        <v>RF-00000397-MCG</v>
      </c>
    </row>
    <row r="5747" spans="1:2" ht="12.5" x14ac:dyDescent="0.25">
      <c r="A5747" t="str">
        <f ca="1">IFERROR(__xludf.DUMMYFUNCTION("""COMPUTED_VALUE"""),"Salmonella 4,5,12:e,h:-")</f>
        <v>Salmonella 4,5,12:e,h:-</v>
      </c>
      <c r="B5747" t="str">
        <f ca="1">IFERROR(__xludf.DUMMYFUNCTION("""COMPUTED_VALUE"""),"RF-00000362-MCG")</f>
        <v>RF-00000362-MCG</v>
      </c>
    </row>
    <row r="5748" spans="1:2" ht="12.5" x14ac:dyDescent="0.25">
      <c r="A5748" t="str">
        <f ca="1">IFERROR(__xludf.DUMMYFUNCTION("""COMPUTED_VALUE"""),"Salmonella 4,5,12:i:-")</f>
        <v>Salmonella 4,5,12:i:-</v>
      </c>
      <c r="B5748" t="str">
        <f ca="1">IFERROR(__xludf.DUMMYFUNCTION("""COMPUTED_VALUE"""),"RF-00000395-MCG")</f>
        <v>RF-00000395-MCG</v>
      </c>
    </row>
    <row r="5749" spans="1:2" ht="12.5" x14ac:dyDescent="0.25">
      <c r="A5749" t="str">
        <f ca="1">IFERROR(__xludf.DUMMYFUNCTION("""COMPUTED_VALUE"""),"Salmonella 4,5:i:-")</f>
        <v>Salmonella 4,5:i:-</v>
      </c>
      <c r="B5749" t="str">
        <f ca="1">IFERROR(__xludf.DUMMYFUNCTION("""COMPUTED_VALUE"""),"RF-00000325-MCG")</f>
        <v>RF-00000325-MCG</v>
      </c>
    </row>
    <row r="5750" spans="1:2" ht="12.5" x14ac:dyDescent="0.25">
      <c r="A5750" t="str">
        <f ca="1">IFERROR(__xludf.DUMMYFUNCTION("""COMPUTED_VALUE"""),"Salmonella 4:b:-")</f>
        <v>Salmonella 4:b:-</v>
      </c>
      <c r="B5750" t="str">
        <f ca="1">IFERROR(__xludf.DUMMYFUNCTION("""COMPUTED_VALUE"""),"RF-00001316-PAR")</f>
        <v>RF-00001316-PAR</v>
      </c>
    </row>
    <row r="5751" spans="1:2" ht="12.5" x14ac:dyDescent="0.25">
      <c r="A5751" t="str">
        <f ca="1">IFERROR(__xludf.DUMMYFUNCTION("""COMPUTED_VALUE"""),"Salmonella 40:z4,z24:-")</f>
        <v>Salmonella 40:z4,z24:-</v>
      </c>
      <c r="B5751" t="str">
        <f ca="1">IFERROR(__xludf.DUMMYFUNCTION("""COMPUTED_VALUE"""),"RF-00000394-MCG")</f>
        <v>RF-00000394-MCG</v>
      </c>
    </row>
    <row r="5752" spans="1:2" ht="12.5" x14ac:dyDescent="0.25">
      <c r="A5752" t="str">
        <f ca="1">IFERROR(__xludf.DUMMYFUNCTION("""COMPUTED_VALUE"""),"Salmonella 41:z4,z24:-")</f>
        <v>Salmonella 41:z4,z24:-</v>
      </c>
      <c r="B5752" t="str">
        <f ca="1">IFERROR(__xludf.DUMMYFUNCTION("""COMPUTED_VALUE"""),"RF-00000393-MCG")</f>
        <v>RF-00000393-MCG</v>
      </c>
    </row>
    <row r="5753" spans="1:2" ht="12.5" x14ac:dyDescent="0.25">
      <c r="A5753" t="str">
        <f ca="1">IFERROR(__xludf.DUMMYFUNCTION("""COMPUTED_VALUE"""),"Salmonella 42:-:-")</f>
        <v>Salmonella 42:-:-</v>
      </c>
      <c r="B5753" t="str">
        <f ca="1">IFERROR(__xludf.DUMMYFUNCTION("""COMPUTED_VALUE"""),"RF-00000383-MCG")</f>
        <v>RF-00000383-MCG</v>
      </c>
    </row>
    <row r="5754" spans="1:2" ht="12.5" x14ac:dyDescent="0.25">
      <c r="A5754" t="str">
        <f ca="1">IFERROR(__xludf.DUMMYFUNCTION("""COMPUTED_VALUE"""),"Salmonella 44:d:-")</f>
        <v>Salmonella 44:d:-</v>
      </c>
      <c r="B5754" t="str">
        <f ca="1">IFERROR(__xludf.DUMMYFUNCTION("""COMPUTED_VALUE"""),"RF-00000391-MCG")</f>
        <v>RF-00000391-MCG</v>
      </c>
    </row>
    <row r="5755" spans="1:2" ht="12.5" x14ac:dyDescent="0.25">
      <c r="A5755" t="str">
        <f ca="1">IFERROR(__xludf.DUMMYFUNCTION("""COMPUTED_VALUE"""),"Salmonella 45:z4,z24:-")</f>
        <v>Salmonella 45:z4,z24:-</v>
      </c>
      <c r="B5755" t="str">
        <f ca="1">IFERROR(__xludf.DUMMYFUNCTION("""COMPUTED_VALUE"""),"RF-00000400-MCG")</f>
        <v>RF-00000400-MCG</v>
      </c>
    </row>
    <row r="5756" spans="1:2" ht="12.5" x14ac:dyDescent="0.25">
      <c r="A5756" t="str">
        <f ca="1">IFERROR(__xludf.DUMMYFUNCTION("""COMPUTED_VALUE"""),"Salmonella 47:z4z23:-")</f>
        <v>Salmonella 47:z4z23:-</v>
      </c>
      <c r="B5756" t="str">
        <f ca="1">IFERROR(__xludf.DUMMYFUNCTION("""COMPUTED_VALUE"""),"RF-00000389-MCG")</f>
        <v>RF-00000389-MCG</v>
      </c>
    </row>
    <row r="5757" spans="1:2" ht="12.5" x14ac:dyDescent="0.25">
      <c r="A5757" t="str">
        <f ca="1">IFERROR(__xludf.DUMMYFUNCTION("""COMPUTED_VALUE"""),"Salmonella 48:a:-")</f>
        <v>Salmonella 48:a:-</v>
      </c>
      <c r="B5757" t="str">
        <f ca="1">IFERROR(__xludf.DUMMYFUNCTION("""COMPUTED_VALUE"""),"RF-00000388-MCG")</f>
        <v>RF-00000388-MCG</v>
      </c>
    </row>
    <row r="5758" spans="1:2" ht="12.5" x14ac:dyDescent="0.25">
      <c r="A5758" t="str">
        <f ca="1">IFERROR(__xludf.DUMMYFUNCTION("""COMPUTED_VALUE"""),"Salmonella 48:z4z,24:-")</f>
        <v>Salmonella 48:z4z,24:-</v>
      </c>
      <c r="B5758" t="str">
        <f ca="1">IFERROR(__xludf.DUMMYFUNCTION("""COMPUTED_VALUE"""),"RF-00000387-MCG")</f>
        <v>RF-00000387-MCG</v>
      </c>
    </row>
    <row r="5759" spans="1:2" ht="12.5" x14ac:dyDescent="0.25">
      <c r="A5759" t="str">
        <f ca="1">IFERROR(__xludf.DUMMYFUNCTION("""COMPUTED_VALUE"""),"Salmonella 58:-:-")</f>
        <v>Salmonella 58:-:-</v>
      </c>
      <c r="B5759" t="str">
        <f ca="1">IFERROR(__xludf.DUMMYFUNCTION("""COMPUTED_VALUE"""),"RF-00000386-MCG")</f>
        <v>RF-00000386-MCG</v>
      </c>
    </row>
    <row r="5760" spans="1:2" ht="12.5" x14ac:dyDescent="0.25">
      <c r="A5760" t="str">
        <f ca="1">IFERROR(__xludf.DUMMYFUNCTION("""COMPUTED_VALUE"""),"Salmonella 6,14:l,v:z")</f>
        <v>Salmonella 6,14:l,v:z</v>
      </c>
      <c r="B5760" t="str">
        <f ca="1">IFERROR(__xludf.DUMMYFUNCTION("""COMPUTED_VALUE"""),"RF-00000385-MCG")</f>
        <v>RF-00000385-MCG</v>
      </c>
    </row>
    <row r="5761" spans="1:2" ht="12.5" x14ac:dyDescent="0.25">
      <c r="A5761" t="str">
        <f ca="1">IFERROR(__xludf.DUMMYFUNCTION("""COMPUTED_VALUE"""),"Salmonella 6,7:-:-")</f>
        <v>Salmonella 6,7:-:-</v>
      </c>
      <c r="B5761" t="str">
        <f ca="1">IFERROR(__xludf.DUMMYFUNCTION("""COMPUTED_VALUE"""),"RF-00000384-MCG")</f>
        <v>RF-00000384-MCG</v>
      </c>
    </row>
    <row r="5762" spans="1:2" ht="12.5" x14ac:dyDescent="0.25">
      <c r="A5762" t="str">
        <f ca="1">IFERROR(__xludf.DUMMYFUNCTION("""COMPUTED_VALUE"""),"Salmonella 6,7:-:1,5")</f>
        <v>Salmonella 6,7:-:1,5</v>
      </c>
      <c r="B5762" t="str">
        <f ca="1">IFERROR(__xludf.DUMMYFUNCTION("""COMPUTED_VALUE"""),"RF-00000409-MCG")</f>
        <v>RF-00000409-MCG</v>
      </c>
    </row>
    <row r="5763" spans="1:2" ht="12.5" x14ac:dyDescent="0.25">
      <c r="A5763" t="str">
        <f ca="1">IFERROR(__xludf.DUMMYFUNCTION("""COMPUTED_VALUE"""),"Salmonella 6,7:-:e,n,z15")</f>
        <v>Salmonella 6,7:-:e,n,z15</v>
      </c>
      <c r="B5763" t="str">
        <f ca="1">IFERROR(__xludf.DUMMYFUNCTION("""COMPUTED_VALUE"""),"RF-00000411-MCG")</f>
        <v>RF-00000411-MCG</v>
      </c>
    </row>
    <row r="5764" spans="1:2" ht="12.5" x14ac:dyDescent="0.25">
      <c r="A5764" t="str">
        <f ca="1">IFERROR(__xludf.DUMMYFUNCTION("""COMPUTED_VALUE"""),"Salmonella 6,7:-:l,w")</f>
        <v>Salmonella 6,7:-:l,w</v>
      </c>
      <c r="B5764" t="str">
        <f ca="1">IFERROR(__xludf.DUMMYFUNCTION("""COMPUTED_VALUE"""),"RF-00000392-MCG")</f>
        <v>RF-00000392-MCG</v>
      </c>
    </row>
    <row r="5765" spans="1:2" ht="12.5" x14ac:dyDescent="0.25">
      <c r="A5765" t="str">
        <f ca="1">IFERROR(__xludf.DUMMYFUNCTION("""COMPUTED_VALUE"""),"Salmonella 6,7:b:-")</f>
        <v>Salmonella 6,7:b:-</v>
      </c>
      <c r="B5765" t="str">
        <f ca="1">IFERROR(__xludf.DUMMYFUNCTION("""COMPUTED_VALUE"""),"RF-00000417-MCG")</f>
        <v>RF-00000417-MCG</v>
      </c>
    </row>
    <row r="5766" spans="1:2" ht="12.5" x14ac:dyDescent="0.25">
      <c r="A5766" t="str">
        <f ca="1">IFERROR(__xludf.DUMMYFUNCTION("""COMPUTED_VALUE"""),"Salmonella 6,7:d:-")</f>
        <v>Salmonella 6,7:d:-</v>
      </c>
      <c r="B5766" t="str">
        <f ca="1">IFERROR(__xludf.DUMMYFUNCTION("""COMPUTED_VALUE"""),"RF-00000416-MCG")</f>
        <v>RF-00000416-MCG</v>
      </c>
    </row>
    <row r="5767" spans="1:2" ht="12.5" x14ac:dyDescent="0.25">
      <c r="A5767" t="str">
        <f ca="1">IFERROR(__xludf.DUMMYFUNCTION("""COMPUTED_VALUE"""),"Salmonella 6,7:i:-")</f>
        <v>Salmonella 6,7:i:-</v>
      </c>
      <c r="B5767" t="str">
        <f ca="1">IFERROR(__xludf.DUMMYFUNCTION("""COMPUTED_VALUE"""),"RF-00000415-MCG")</f>
        <v>RF-00000415-MCG</v>
      </c>
    </row>
    <row r="5768" spans="1:2" ht="12.5" x14ac:dyDescent="0.25">
      <c r="A5768" t="str">
        <f ca="1">IFERROR(__xludf.DUMMYFUNCTION("""COMPUTED_VALUE"""),"Salmonella 6,7:r:-")</f>
        <v>Salmonella 6,7:r:-</v>
      </c>
      <c r="B5768" t="str">
        <f ca="1">IFERROR(__xludf.DUMMYFUNCTION("""COMPUTED_VALUE"""),"RF-00000414-MCG")</f>
        <v>RF-00000414-MCG</v>
      </c>
    </row>
    <row r="5769" spans="1:2" ht="12.5" x14ac:dyDescent="0.25">
      <c r="A5769" t="str">
        <f ca="1">IFERROR(__xludf.DUMMYFUNCTION("""COMPUTED_VALUE"""),"Salmonella 6,7:y:-")</f>
        <v>Salmonella 6,7:y:-</v>
      </c>
      <c r="B5769" t="str">
        <f ca="1">IFERROR(__xludf.DUMMYFUNCTION("""COMPUTED_VALUE"""),"RF-00001317-PAR")</f>
        <v>RF-00001317-PAR</v>
      </c>
    </row>
    <row r="5770" spans="1:2" ht="12.5" x14ac:dyDescent="0.25">
      <c r="A5770" t="str">
        <f ca="1">IFERROR(__xludf.DUMMYFUNCTION("""COMPUTED_VALUE"""),"Salmonella 6,7:z10:-")</f>
        <v>Salmonella 6,7:z10:-</v>
      </c>
      <c r="B5770" t="str">
        <f ca="1">IFERROR(__xludf.DUMMYFUNCTION("""COMPUTED_VALUE"""),"RF-00000413-MCG")</f>
        <v>RF-00000413-MCG</v>
      </c>
    </row>
    <row r="5771" spans="1:2" ht="12.5" x14ac:dyDescent="0.25">
      <c r="A5771" t="str">
        <f ca="1">IFERROR(__xludf.DUMMYFUNCTION("""COMPUTED_VALUE"""),"Salmonella 6,7:z24")</f>
        <v>Salmonella 6,7:z24</v>
      </c>
      <c r="B5771" t="str">
        <f ca="1">IFERROR(__xludf.DUMMYFUNCTION("""COMPUTED_VALUE"""),"RF-00000412-MCG")</f>
        <v>RF-00000412-MCG</v>
      </c>
    </row>
    <row r="5772" spans="1:2" ht="12.5" x14ac:dyDescent="0.25">
      <c r="A5772" t="str">
        <f ca="1">IFERROR(__xludf.DUMMYFUNCTION("""COMPUTED_VALUE"""),"Salmonella 6,8,20:r:-")</f>
        <v>Salmonella 6,8,20:r:-</v>
      </c>
      <c r="B5772" t="str">
        <f ca="1">IFERROR(__xludf.DUMMYFUNCTION("""COMPUTED_VALUE"""),"RF-00000401-MCG")</f>
        <v>RF-00000401-MCG</v>
      </c>
    </row>
    <row r="5773" spans="1:2" ht="12.5" x14ac:dyDescent="0.25">
      <c r="A5773" t="str">
        <f ca="1">IFERROR(__xludf.DUMMYFUNCTION("""COMPUTED_VALUE"""),"Salmonella 6,8:-:-")</f>
        <v>Salmonella 6,8:-:-</v>
      </c>
      <c r="B5773" t="str">
        <f ca="1">IFERROR(__xludf.DUMMYFUNCTION("""COMPUTED_VALUE"""),"RF-00000410-MCG")</f>
        <v>RF-00000410-MCG</v>
      </c>
    </row>
    <row r="5774" spans="1:2" ht="12.5" x14ac:dyDescent="0.25">
      <c r="A5774" t="str">
        <f ca="1">IFERROR(__xludf.DUMMYFUNCTION("""COMPUTED_VALUE"""),"Salmonella 6,8:-:1,5")</f>
        <v>Salmonella 6,8:-:1,5</v>
      </c>
      <c r="B5774" t="str">
        <f ca="1">IFERROR(__xludf.DUMMYFUNCTION("""COMPUTED_VALUE"""),"RF-00000419-MCG")</f>
        <v>RF-00000419-MCG</v>
      </c>
    </row>
    <row r="5775" spans="1:2" ht="12.5" x14ac:dyDescent="0.25">
      <c r="A5775" t="str">
        <f ca="1">IFERROR(__xludf.DUMMYFUNCTION("""COMPUTED_VALUE"""),"Salmonella 6,8:d:-")</f>
        <v>Salmonella 6,8:d:-</v>
      </c>
      <c r="B5775" t="str">
        <f ca="1">IFERROR(__xludf.DUMMYFUNCTION("""COMPUTED_VALUE"""),"RF-00000408-MCG")</f>
        <v>RF-00000408-MCG</v>
      </c>
    </row>
    <row r="5776" spans="1:2" ht="12.5" x14ac:dyDescent="0.25">
      <c r="A5776" t="str">
        <f ca="1">IFERROR(__xludf.DUMMYFUNCTION("""COMPUTED_VALUE"""),"Salmonella 6,8:e,h:-")</f>
        <v>Salmonella 6,8:e,h:-</v>
      </c>
      <c r="B5776" t="str">
        <f ca="1">IFERROR(__xludf.DUMMYFUNCTION("""COMPUTED_VALUE"""),"RF-00000407-MCG")</f>
        <v>RF-00000407-MCG</v>
      </c>
    </row>
    <row r="5777" spans="1:2" ht="12.5" x14ac:dyDescent="0.25">
      <c r="A5777" t="str">
        <f ca="1">IFERROR(__xludf.DUMMYFUNCTION("""COMPUTED_VALUE"""),"Salmonella 6,8:z10:-")</f>
        <v>Salmonella 6,8:z10:-</v>
      </c>
      <c r="B5777" t="str">
        <f ca="1">IFERROR(__xludf.DUMMYFUNCTION("""COMPUTED_VALUE"""),"RF-00000406-MCG")</f>
        <v>RF-00000406-MCG</v>
      </c>
    </row>
    <row r="5778" spans="1:2" ht="12.5" x14ac:dyDescent="0.25">
      <c r="A5778" t="str">
        <f ca="1">IFERROR(__xludf.DUMMYFUNCTION("""COMPUTED_VALUE"""),"Salmonella 8,20:-:-")</f>
        <v>Salmonella 8,20:-:-</v>
      </c>
      <c r="B5778" t="str">
        <f ca="1">IFERROR(__xludf.DUMMYFUNCTION("""COMPUTED_VALUE"""),"RF-00000405-MCG")</f>
        <v>RF-00000405-MCG</v>
      </c>
    </row>
    <row r="5779" spans="1:2" ht="12.5" x14ac:dyDescent="0.25">
      <c r="A5779" t="str">
        <f ca="1">IFERROR(__xludf.DUMMYFUNCTION("""COMPUTED_VALUE"""),"Salmonella 8,20:-:z6")</f>
        <v>Salmonella 8,20:-:z6</v>
      </c>
      <c r="B5779" t="str">
        <f ca="1">IFERROR(__xludf.DUMMYFUNCTION("""COMPUTED_VALUE"""),"RF-00000404-MCG")</f>
        <v>RF-00000404-MCG</v>
      </c>
    </row>
    <row r="5780" spans="1:2" ht="12.5" x14ac:dyDescent="0.25">
      <c r="A5780" t="str">
        <f ca="1">IFERROR(__xludf.DUMMYFUNCTION("""COMPUTED_VALUE"""),"Salmonella 8:i:-")</f>
        <v>Salmonella 8:i:-</v>
      </c>
      <c r="B5780" t="str">
        <f ca="1">IFERROR(__xludf.DUMMYFUNCTION("""COMPUTED_VALUE"""),"RF-00000403-MCG")</f>
        <v>RF-00000403-MCG</v>
      </c>
    </row>
    <row r="5781" spans="1:2" ht="12.5" x14ac:dyDescent="0.25">
      <c r="A5781" t="str">
        <f ca="1">IFERROR(__xludf.DUMMYFUNCTION("""COMPUTED_VALUE"""),"Salmonella 9 (DO)")</f>
        <v>Salmonella 9 (DO)</v>
      </c>
      <c r="B5781" t="str">
        <f ca="1">IFERROR(__xludf.DUMMYFUNCTION("""COMPUTED_VALUE"""),"RF-00000402-MCG")</f>
        <v>RF-00000402-MCG</v>
      </c>
    </row>
    <row r="5782" spans="1:2" ht="12.5" x14ac:dyDescent="0.25">
      <c r="A5782" t="str">
        <f ca="1">IFERROR(__xludf.DUMMYFUNCTION("""COMPUTED_VALUE"""),"Salmonella 9,12:-:-")</f>
        <v>Salmonella 9,12:-:-</v>
      </c>
      <c r="B5782" t="str">
        <f ca="1">IFERROR(__xludf.DUMMYFUNCTION("""COMPUTED_VALUE"""),"RF-00000381-MCG")</f>
        <v>RF-00000381-MCG</v>
      </c>
    </row>
    <row r="5783" spans="1:2" ht="12.5" x14ac:dyDescent="0.25">
      <c r="A5783" t="str">
        <f ca="1">IFERROR(__xludf.DUMMYFUNCTION("""COMPUTED_VALUE"""),"Salmonella 9,12:-:1,5")</f>
        <v>Salmonella 9,12:-:1,5</v>
      </c>
      <c r="B5783" t="str">
        <f ca="1">IFERROR(__xludf.DUMMYFUNCTION("""COMPUTED_VALUE"""),"RF-00000353-MCG")</f>
        <v>RF-00000353-MCG</v>
      </c>
    </row>
    <row r="5784" spans="1:2" ht="12.5" x14ac:dyDescent="0.25">
      <c r="A5784" t="str">
        <f ca="1">IFERROR(__xludf.DUMMYFUNCTION("""COMPUTED_VALUE"""),"Salmonella 9,12:lv:-")</f>
        <v>Salmonella 9,12:lv:-</v>
      </c>
      <c r="B5784" t="str">
        <f ca="1">IFERROR(__xludf.DUMMYFUNCTION("""COMPUTED_VALUE"""),"RF-00000390-MCG")</f>
        <v>RF-00000390-MCG</v>
      </c>
    </row>
    <row r="5785" spans="1:2" ht="12.5" x14ac:dyDescent="0.25">
      <c r="A5785" t="str">
        <f ca="1">IFERROR(__xludf.DUMMYFUNCTION("""COMPUTED_VALUE"""),"Salmonella 9,46:-:-")</f>
        <v>Salmonella 9,46:-:-</v>
      </c>
      <c r="B5785" t="str">
        <f ca="1">IFERROR(__xludf.DUMMYFUNCTION("""COMPUTED_VALUE"""),"RF-00000361-MCG")</f>
        <v>RF-00000361-MCG</v>
      </c>
    </row>
    <row r="5786" spans="1:2" ht="12.5" x14ac:dyDescent="0.25">
      <c r="A5786" t="str">
        <f ca="1">IFERROR(__xludf.DUMMYFUNCTION("""COMPUTED_VALUE"""),"Salmonella 9:-:-")</f>
        <v>Salmonella 9:-:-</v>
      </c>
      <c r="B5786" t="str">
        <f ca="1">IFERROR(__xludf.DUMMYFUNCTION("""COMPUTED_VALUE"""),"RF-00000360-MCG")</f>
        <v>RF-00000360-MCG</v>
      </c>
    </row>
    <row r="5787" spans="1:2" ht="12.5" x14ac:dyDescent="0.25">
      <c r="A5787" t="str">
        <f ca="1">IFERROR(__xludf.DUMMYFUNCTION("""COMPUTED_VALUE"""),"Salmonella a 41,z4,z24")</f>
        <v>Salmonella a 41,z4,z24</v>
      </c>
      <c r="B5787" t="str">
        <f ca="1">IFERROR(__xludf.DUMMYFUNCTION("""COMPUTED_VALUE"""),"RF-00000359-MCG")</f>
        <v>RF-00000359-MCG</v>
      </c>
    </row>
    <row r="5788" spans="1:2" ht="12.5" x14ac:dyDescent="0.25">
      <c r="A5788" t="str">
        <f ca="1">IFERROR(__xludf.DUMMYFUNCTION("""COMPUTED_VALUE"""),"Salmonella a 48:z4,z24:-")</f>
        <v>Salmonella a 48:z4,z24:-</v>
      </c>
      <c r="B5788" t="str">
        <f ca="1">IFERROR(__xludf.DUMMYFUNCTION("""COMPUTED_VALUE"""),"RF-00000358-MCG")</f>
        <v>RF-00000358-MCG</v>
      </c>
    </row>
    <row r="5789" spans="1:2" ht="12.5" x14ac:dyDescent="0.25">
      <c r="A5789" t="str">
        <f ca="1">IFERROR(__xludf.DUMMYFUNCTION("""COMPUTED_VALUE"""),"Salmonella Aachen")</f>
        <v>Salmonella Aachen</v>
      </c>
      <c r="B5789" t="str">
        <f ca="1">IFERROR(__xludf.DUMMYFUNCTION("""COMPUTED_VALUE"""),"RF-00000357-MCG")</f>
        <v>RF-00000357-MCG</v>
      </c>
    </row>
    <row r="5790" spans="1:2" ht="12.5" x14ac:dyDescent="0.25">
      <c r="A5790" t="str">
        <f ca="1">IFERROR(__xludf.DUMMYFUNCTION("""COMPUTED_VALUE"""),"Salmonella Aarhus")</f>
        <v>Salmonella Aarhus</v>
      </c>
      <c r="B5790" t="str">
        <f ca="1">IFERROR(__xludf.DUMMYFUNCTION("""COMPUTED_VALUE"""),"RF-00000356-MCG")</f>
        <v>RF-00000356-MCG</v>
      </c>
    </row>
    <row r="5791" spans="1:2" ht="12.5" x14ac:dyDescent="0.25">
      <c r="A5791" t="str">
        <f ca="1">IFERROR(__xludf.DUMMYFUNCTION("""COMPUTED_VALUE"""),"Salmonella Aba")</f>
        <v>Salmonella Aba</v>
      </c>
      <c r="B5791" t="str">
        <f ca="1">IFERROR(__xludf.DUMMYFUNCTION("""COMPUTED_VALUE"""),"RF-00000346-MCG")</f>
        <v>RF-00000346-MCG</v>
      </c>
    </row>
    <row r="5792" spans="1:2" ht="12.5" x14ac:dyDescent="0.25">
      <c r="A5792" t="str">
        <f ca="1">IFERROR(__xludf.DUMMYFUNCTION("""COMPUTED_VALUE"""),"Salmonella Abadina")</f>
        <v>Salmonella Abadina</v>
      </c>
      <c r="B5792" t="str">
        <f ca="1">IFERROR(__xludf.DUMMYFUNCTION("""COMPUTED_VALUE"""),"RF-00000354-MCG")</f>
        <v>RF-00000354-MCG</v>
      </c>
    </row>
    <row r="5793" spans="1:2" ht="12.5" x14ac:dyDescent="0.25">
      <c r="A5793" t="str">
        <f ca="1">IFERROR(__xludf.DUMMYFUNCTION("""COMPUTED_VALUE"""),"Salmonella Abaetetuba")</f>
        <v>Salmonella Abaetetuba</v>
      </c>
      <c r="B5793" t="str">
        <f ca="1">IFERROR(__xludf.DUMMYFUNCTION("""COMPUTED_VALUE"""),"RF-00000363-MCG")</f>
        <v>RF-00000363-MCG</v>
      </c>
    </row>
    <row r="5794" spans="1:2" ht="12.5" x14ac:dyDescent="0.25">
      <c r="A5794" t="str">
        <f ca="1">IFERROR(__xludf.DUMMYFUNCTION("""COMPUTED_VALUE"""),"Salmonella Aberdeen")</f>
        <v>Salmonella Aberdeen</v>
      </c>
      <c r="B5794" t="str">
        <f ca="1">IFERROR(__xludf.DUMMYFUNCTION("""COMPUTED_VALUE"""),"RF-00000352-MCG")</f>
        <v>RF-00000352-MCG</v>
      </c>
    </row>
    <row r="5795" spans="1:2" ht="12.5" x14ac:dyDescent="0.25">
      <c r="A5795" t="str">
        <f ca="1">IFERROR(__xludf.DUMMYFUNCTION("""COMPUTED_VALUE"""),"Salmonella Abidjan")</f>
        <v>Salmonella Abidjan</v>
      </c>
      <c r="B5795" t="str">
        <f ca="1">IFERROR(__xludf.DUMMYFUNCTION("""COMPUTED_VALUE"""),"RF-00000351-MCG")</f>
        <v>RF-00000351-MCG</v>
      </c>
    </row>
    <row r="5796" spans="1:2" ht="12.5" x14ac:dyDescent="0.25">
      <c r="A5796" t="str">
        <f ca="1">IFERROR(__xludf.DUMMYFUNCTION("""COMPUTED_VALUE"""),"Salmonella Ablogame")</f>
        <v>Salmonella Ablogame</v>
      </c>
      <c r="B5796" t="str">
        <f ca="1">IFERROR(__xludf.DUMMYFUNCTION("""COMPUTED_VALUE"""),"RF-00000350-MCG")</f>
        <v>RF-00000350-MCG</v>
      </c>
    </row>
    <row r="5797" spans="1:2" ht="12.5" x14ac:dyDescent="0.25">
      <c r="A5797" t="str">
        <f ca="1">IFERROR(__xludf.DUMMYFUNCTION("""COMPUTED_VALUE"""),"Salmonella Abobo")</f>
        <v>Salmonella Abobo</v>
      </c>
      <c r="B5797" t="str">
        <f ca="1">IFERROR(__xludf.DUMMYFUNCTION("""COMPUTED_VALUE"""),"RF-00000349-MCG")</f>
        <v>RF-00000349-MCG</v>
      </c>
    </row>
    <row r="5798" spans="1:2" ht="12.5" x14ac:dyDescent="0.25">
      <c r="A5798" t="str">
        <f ca="1">IFERROR(__xludf.DUMMYFUNCTION("""COMPUTED_VALUE"""),"Salmonella Abony")</f>
        <v>Salmonella Abony</v>
      </c>
      <c r="B5798" t="str">
        <f ca="1">IFERROR(__xludf.DUMMYFUNCTION("""COMPUTED_VALUE"""),"RF-00000348-MCG")</f>
        <v>RF-00000348-MCG</v>
      </c>
    </row>
    <row r="5799" spans="1:2" ht="12.5" x14ac:dyDescent="0.25">
      <c r="A5799" t="str">
        <f ca="1">IFERROR(__xludf.DUMMYFUNCTION("""COMPUTED_VALUE"""),"Salmonella Abortusequi")</f>
        <v>Salmonella Abortusequi</v>
      </c>
      <c r="B5799" t="str">
        <f ca="1">IFERROR(__xludf.DUMMYFUNCTION("""COMPUTED_VALUE"""),"RF-00000347-MCG")</f>
        <v>RF-00000347-MCG</v>
      </c>
    </row>
    <row r="5800" spans="1:2" ht="12.5" x14ac:dyDescent="0.25">
      <c r="A5800" t="str">
        <f ca="1">IFERROR(__xludf.DUMMYFUNCTION("""COMPUTED_VALUE"""),"Salmonella Abortusovis")</f>
        <v>Salmonella Abortusovis</v>
      </c>
      <c r="B5800" t="str">
        <f ca="1">IFERROR(__xludf.DUMMYFUNCTION("""COMPUTED_VALUE"""),"RF-00000372-MCG")</f>
        <v>RF-00000372-MCG</v>
      </c>
    </row>
    <row r="5801" spans="1:2" ht="12.5" x14ac:dyDescent="0.25">
      <c r="A5801" t="str">
        <f ca="1">IFERROR(__xludf.DUMMYFUNCTION("""COMPUTED_VALUE"""),"Salmonella Abuja")</f>
        <v>Salmonella Abuja</v>
      </c>
      <c r="B5801" t="str">
        <f ca="1">IFERROR(__xludf.DUMMYFUNCTION("""COMPUTED_VALUE"""),"RF-00000374-MCG")</f>
        <v>RF-00000374-MCG</v>
      </c>
    </row>
    <row r="5802" spans="1:2" ht="12.5" x14ac:dyDescent="0.25">
      <c r="A5802" t="str">
        <f ca="1">IFERROR(__xludf.DUMMYFUNCTION("""COMPUTED_VALUE"""),"Salmonella Accra")</f>
        <v>Salmonella Accra</v>
      </c>
      <c r="B5802" t="str">
        <f ca="1">IFERROR(__xludf.DUMMYFUNCTION("""COMPUTED_VALUE"""),"RF-00000355-MCG")</f>
        <v>RF-00000355-MCG</v>
      </c>
    </row>
    <row r="5803" spans="1:2" ht="12.5" x14ac:dyDescent="0.25">
      <c r="A5803" t="str">
        <f ca="1">IFERROR(__xludf.DUMMYFUNCTION("""COMPUTED_VALUE"""),"Salmonella Ackwepe")</f>
        <v>Salmonella Ackwepe</v>
      </c>
      <c r="B5803" t="str">
        <f ca="1">IFERROR(__xludf.DUMMYFUNCTION("""COMPUTED_VALUE"""),"RF-00000380-MCG")</f>
        <v>RF-00000380-MCG</v>
      </c>
    </row>
    <row r="5804" spans="1:2" ht="12.5" x14ac:dyDescent="0.25">
      <c r="A5804" t="str">
        <f ca="1">IFERROR(__xludf.DUMMYFUNCTION("""COMPUTED_VALUE"""),"Salmonella Adabraka")</f>
        <v>Salmonella Adabraka</v>
      </c>
      <c r="B5804" t="str">
        <f ca="1">IFERROR(__xludf.DUMMYFUNCTION("""COMPUTED_VALUE"""),"RF-00000379-MCG")</f>
        <v>RF-00000379-MCG</v>
      </c>
    </row>
    <row r="5805" spans="1:2" ht="12.5" x14ac:dyDescent="0.25">
      <c r="A5805" t="str">
        <f ca="1">IFERROR(__xludf.DUMMYFUNCTION("""COMPUTED_VALUE"""),"Salmonella Adamstown")</f>
        <v>Salmonella Adamstown</v>
      </c>
      <c r="B5805" t="str">
        <f ca="1">IFERROR(__xludf.DUMMYFUNCTION("""COMPUTED_VALUE"""),"RF-00000378-MCG")</f>
        <v>RF-00000378-MCG</v>
      </c>
    </row>
    <row r="5806" spans="1:2" ht="12.5" x14ac:dyDescent="0.25">
      <c r="A5806" t="str">
        <f ca="1">IFERROR(__xludf.DUMMYFUNCTION("""COMPUTED_VALUE"""),"Salmonella Adamstua")</f>
        <v>Salmonella Adamstua</v>
      </c>
      <c r="B5806" t="str">
        <f ca="1">IFERROR(__xludf.DUMMYFUNCTION("""COMPUTED_VALUE"""),"RF-00000377-MCG")</f>
        <v>RF-00000377-MCG</v>
      </c>
    </row>
    <row r="5807" spans="1:2" ht="12.5" x14ac:dyDescent="0.25">
      <c r="A5807" t="str">
        <f ca="1">IFERROR(__xludf.DUMMYFUNCTION("""COMPUTED_VALUE"""),"Salmonella Adana")</f>
        <v>Salmonella Adana</v>
      </c>
      <c r="B5807" t="str">
        <f ca="1">IFERROR(__xludf.DUMMYFUNCTION("""COMPUTED_VALUE"""),"RF-00000376-MCG")</f>
        <v>RF-00000376-MCG</v>
      </c>
    </row>
    <row r="5808" spans="1:2" ht="12.5" x14ac:dyDescent="0.25">
      <c r="A5808" t="str">
        <f ca="1">IFERROR(__xludf.DUMMYFUNCTION("""COMPUTED_VALUE"""),"Salmonella Adelaide")</f>
        <v>Salmonella Adelaide</v>
      </c>
      <c r="B5808" t="str">
        <f ca="1">IFERROR(__xludf.DUMMYFUNCTION("""COMPUTED_VALUE"""),"RF-00000375-MCG")</f>
        <v>RF-00000375-MCG</v>
      </c>
    </row>
    <row r="5809" spans="1:2" ht="12.5" x14ac:dyDescent="0.25">
      <c r="A5809" t="str">
        <f ca="1">IFERROR(__xludf.DUMMYFUNCTION("""COMPUTED_VALUE"""),"Salmonella Adeoyo")</f>
        <v>Salmonella Adeoyo</v>
      </c>
      <c r="B5809" t="str">
        <f ca="1">IFERROR(__xludf.DUMMYFUNCTION("""COMPUTED_VALUE"""),"RF-00000364-MCG")</f>
        <v>RF-00000364-MCG</v>
      </c>
    </row>
    <row r="5810" spans="1:2" ht="12.5" x14ac:dyDescent="0.25">
      <c r="A5810" t="str">
        <f ca="1">IFERROR(__xludf.DUMMYFUNCTION("""COMPUTED_VALUE"""),"Salmonella Aderike")</f>
        <v>Salmonella Aderike</v>
      </c>
      <c r="B5810" t="str">
        <f ca="1">IFERROR(__xludf.DUMMYFUNCTION("""COMPUTED_VALUE"""),"RF-00000373-MCG")</f>
        <v>RF-00000373-MCG</v>
      </c>
    </row>
    <row r="5811" spans="1:2" ht="12.5" x14ac:dyDescent="0.25">
      <c r="A5811" t="str">
        <f ca="1">IFERROR(__xludf.DUMMYFUNCTION("""COMPUTED_VALUE"""),"Salmonella Adime")</f>
        <v>Salmonella Adime</v>
      </c>
      <c r="B5811" t="str">
        <f ca="1">IFERROR(__xludf.DUMMYFUNCTION("""COMPUTED_VALUE"""),"RF-00000382-MCG")</f>
        <v>RF-00000382-MCG</v>
      </c>
    </row>
    <row r="5812" spans="1:2" ht="12.5" x14ac:dyDescent="0.25">
      <c r="A5812" t="str">
        <f ca="1">IFERROR(__xludf.DUMMYFUNCTION("""COMPUTED_VALUE"""),"Salmonella Adjame")</f>
        <v>Salmonella Adjame</v>
      </c>
      <c r="B5812" t="str">
        <f ca="1">IFERROR(__xludf.DUMMYFUNCTION("""COMPUTED_VALUE"""),"RF-00000371-MCG")</f>
        <v>RF-00000371-MCG</v>
      </c>
    </row>
    <row r="5813" spans="1:2" ht="12.5" x14ac:dyDescent="0.25">
      <c r="A5813" t="str">
        <f ca="1">IFERROR(__xludf.DUMMYFUNCTION("""COMPUTED_VALUE"""),"Salmonella Aequatoria")</f>
        <v>Salmonella Aequatoria</v>
      </c>
      <c r="B5813" t="str">
        <f ca="1">IFERROR(__xludf.DUMMYFUNCTION("""COMPUTED_VALUE"""),"RF-00000370-MCG")</f>
        <v>RF-00000370-MCG</v>
      </c>
    </row>
    <row r="5814" spans="1:2" ht="12.5" x14ac:dyDescent="0.25">
      <c r="A5814" t="str">
        <f ca="1">IFERROR(__xludf.DUMMYFUNCTION("""COMPUTED_VALUE"""),"Salmonella Aesch")</f>
        <v>Salmonella Aesch</v>
      </c>
      <c r="B5814" t="str">
        <f ca="1">IFERROR(__xludf.DUMMYFUNCTION("""COMPUTED_VALUE"""),"RF-00000369-MCG")</f>
        <v>RF-00000369-MCG</v>
      </c>
    </row>
    <row r="5815" spans="1:2" ht="12.5" x14ac:dyDescent="0.25">
      <c r="A5815" t="str">
        <f ca="1">IFERROR(__xludf.DUMMYFUNCTION("""COMPUTED_VALUE"""),"Salmonella Aflao")</f>
        <v>Salmonella Aflao</v>
      </c>
      <c r="B5815" t="str">
        <f ca="1">IFERROR(__xludf.DUMMYFUNCTION("""COMPUTED_VALUE"""),"RF-00000368-MCG")</f>
        <v>RF-00000368-MCG</v>
      </c>
    </row>
    <row r="5816" spans="1:2" ht="12.5" x14ac:dyDescent="0.25">
      <c r="A5816" t="str">
        <f ca="1">IFERROR(__xludf.DUMMYFUNCTION("""COMPUTED_VALUE"""),"Salmonella Africana")</f>
        <v>Salmonella Africana</v>
      </c>
      <c r="B5816" t="str">
        <f ca="1">IFERROR(__xludf.DUMMYFUNCTION("""COMPUTED_VALUE"""),"RF-00000367-MCG")</f>
        <v>RF-00000367-MCG</v>
      </c>
    </row>
    <row r="5817" spans="1:2" ht="12.5" x14ac:dyDescent="0.25">
      <c r="A5817" t="str">
        <f ca="1">IFERROR(__xludf.DUMMYFUNCTION("""COMPUTED_VALUE"""),"Salmonella Afula")</f>
        <v>Salmonella Afula</v>
      </c>
      <c r="B5817" t="str">
        <f ca="1">IFERROR(__xludf.DUMMYFUNCTION("""COMPUTED_VALUE"""),"RF-00000366-MCG")</f>
        <v>RF-00000366-MCG</v>
      </c>
    </row>
    <row r="5818" spans="1:2" ht="12.5" x14ac:dyDescent="0.25">
      <c r="A5818" t="str">
        <f ca="1">IFERROR(__xludf.DUMMYFUNCTION("""COMPUTED_VALUE"""),"Salmonella Agama")</f>
        <v>Salmonella Agama</v>
      </c>
      <c r="B5818" t="str">
        <f ca="1">IFERROR(__xludf.DUMMYFUNCTION("""COMPUTED_VALUE"""),"RF-00000365-MCG")</f>
        <v>RF-00000365-MCG</v>
      </c>
    </row>
    <row r="5819" spans="1:2" ht="12.5" x14ac:dyDescent="0.25">
      <c r="A5819" t="str">
        <f ca="1">IFERROR(__xludf.DUMMYFUNCTION("""COMPUTED_VALUE"""),"Salmonella Agbara")</f>
        <v>Salmonella Agbara</v>
      </c>
      <c r="B5819" t="str">
        <f ca="1">IFERROR(__xludf.DUMMYFUNCTION("""COMPUTED_VALUE"""),"RF-00000421-MCG")</f>
        <v>RF-00000421-MCG</v>
      </c>
    </row>
    <row r="5820" spans="1:2" ht="12.5" x14ac:dyDescent="0.25">
      <c r="A5820" t="str">
        <f ca="1">IFERROR(__xludf.DUMMYFUNCTION("""COMPUTED_VALUE"""),"Salmonella Agbeni")</f>
        <v>Salmonella Agbeni</v>
      </c>
      <c r="B5820" t="str">
        <f ca="1">IFERROR(__xludf.DUMMYFUNCTION("""COMPUTED_VALUE"""),"RF-00000921-MCG")</f>
        <v>RF-00000921-MCG</v>
      </c>
    </row>
    <row r="5821" spans="1:2" ht="12.5" x14ac:dyDescent="0.25">
      <c r="A5821" t="str">
        <f ca="1">IFERROR(__xludf.DUMMYFUNCTION("""COMPUTED_VALUE"""),"Salmonella Agege")</f>
        <v>Salmonella Agege</v>
      </c>
      <c r="B5821" t="str">
        <f ca="1">IFERROR(__xludf.DUMMYFUNCTION("""COMPUTED_VALUE"""),"RF-00001670-MCG")</f>
        <v>RF-00001670-MCG</v>
      </c>
    </row>
    <row r="5822" spans="1:2" ht="12.5" x14ac:dyDescent="0.25">
      <c r="A5822" t="str">
        <f ca="1">IFERROR(__xludf.DUMMYFUNCTION("""COMPUTED_VALUE"""),"Salmonella Ago")</f>
        <v>Salmonella Ago</v>
      </c>
      <c r="B5822" t="str">
        <f ca="1">IFERROR(__xludf.DUMMYFUNCTION("""COMPUTED_VALUE"""),"RF-00001669-MCG")</f>
        <v>RF-00001669-MCG</v>
      </c>
    </row>
    <row r="5823" spans="1:2" ht="12.5" x14ac:dyDescent="0.25">
      <c r="A5823" t="str">
        <f ca="1">IFERROR(__xludf.DUMMYFUNCTION("""COMPUTED_VALUE"""),"Salmonella Agodi")</f>
        <v>Salmonella Agodi</v>
      </c>
      <c r="B5823" t="str">
        <f ca="1">IFERROR(__xludf.DUMMYFUNCTION("""COMPUTED_VALUE"""),"RF-00001668-MCG")</f>
        <v>RF-00001668-MCG</v>
      </c>
    </row>
    <row r="5824" spans="1:2" ht="12.5" x14ac:dyDescent="0.25">
      <c r="A5824" t="str">
        <f ca="1">IFERROR(__xludf.DUMMYFUNCTION("""COMPUTED_VALUE"""),"Salmonella Agona")</f>
        <v>Salmonella Agona</v>
      </c>
      <c r="B5824" t="str">
        <f ca="1">IFERROR(__xludf.DUMMYFUNCTION("""COMPUTED_VALUE"""),"RF-00001667-MCG")</f>
        <v>RF-00001667-MCG</v>
      </c>
    </row>
    <row r="5825" spans="1:2" ht="12.5" x14ac:dyDescent="0.25">
      <c r="A5825" t="str">
        <f ca="1">IFERROR(__xludf.DUMMYFUNCTION("""COMPUTED_VALUE"""),"Salmonella Agoueve")</f>
        <v>Salmonella Agoueve</v>
      </c>
      <c r="B5825" t="str">
        <f ca="1">IFERROR(__xludf.DUMMYFUNCTION("""COMPUTED_VALUE"""),"RF-00001666-MCG")</f>
        <v>RF-00001666-MCG</v>
      </c>
    </row>
    <row r="5826" spans="1:2" ht="12.5" x14ac:dyDescent="0.25">
      <c r="A5826" t="str">
        <f ca="1">IFERROR(__xludf.DUMMYFUNCTION("""COMPUTED_VALUE"""),"Salmonella Ahanou")</f>
        <v>Salmonella Ahanou</v>
      </c>
      <c r="B5826" t="str">
        <f ca="1">IFERROR(__xludf.DUMMYFUNCTION("""COMPUTED_VALUE"""),"RF-00001665-MCG")</f>
        <v>RF-00001665-MCG</v>
      </c>
    </row>
    <row r="5827" spans="1:2" ht="12.5" x14ac:dyDescent="0.25">
      <c r="A5827" t="str">
        <f ca="1">IFERROR(__xludf.DUMMYFUNCTION("""COMPUTED_VALUE"""),"Salmonella Ahepe")</f>
        <v>Salmonella Ahepe</v>
      </c>
      <c r="B5827" t="str">
        <f ca="1">IFERROR(__xludf.DUMMYFUNCTION("""COMPUTED_VALUE"""),"RF-00001664-MCG")</f>
        <v>RF-00001664-MCG</v>
      </c>
    </row>
    <row r="5828" spans="1:2" ht="12.5" x14ac:dyDescent="0.25">
      <c r="A5828" t="str">
        <f ca="1">IFERROR(__xludf.DUMMYFUNCTION("""COMPUTED_VALUE"""),"Salmonella Ahmadi")</f>
        <v>Salmonella Ahmadi</v>
      </c>
      <c r="B5828" t="str">
        <f ca="1">IFERROR(__xludf.DUMMYFUNCTION("""COMPUTED_VALUE"""),"RF-00001663-MCG")</f>
        <v>RF-00001663-MCG</v>
      </c>
    </row>
    <row r="5829" spans="1:2" ht="12.5" x14ac:dyDescent="0.25">
      <c r="A5829" t="str">
        <f ca="1">IFERROR(__xludf.DUMMYFUNCTION("""COMPUTED_VALUE"""),"Salmonella Ahoutoue")</f>
        <v>Salmonella Ahoutoue</v>
      </c>
      <c r="B5829" t="str">
        <f ca="1">IFERROR(__xludf.DUMMYFUNCTION("""COMPUTED_VALUE"""),"RF-00001662-MCG")</f>
        <v>RF-00001662-MCG</v>
      </c>
    </row>
    <row r="5830" spans="1:2" ht="12.5" x14ac:dyDescent="0.25">
      <c r="A5830" t="str">
        <f ca="1">IFERROR(__xludf.DUMMYFUNCTION("""COMPUTED_VALUE"""),"Salmonella Ahuza")</f>
        <v>Salmonella Ahuza</v>
      </c>
      <c r="B5830" t="str">
        <f ca="1">IFERROR(__xludf.DUMMYFUNCTION("""COMPUTED_VALUE"""),"RF-00001661-MCG")</f>
        <v>RF-00001661-MCG</v>
      </c>
    </row>
    <row r="5831" spans="1:2" ht="12.5" x14ac:dyDescent="0.25">
      <c r="A5831" t="str">
        <f ca="1">IFERROR(__xludf.DUMMYFUNCTION("""COMPUTED_VALUE"""),"Salmonella Ajiobo")</f>
        <v>Salmonella Ajiobo</v>
      </c>
      <c r="B5831" t="str">
        <f ca="1">IFERROR(__xludf.DUMMYFUNCTION("""COMPUTED_VALUE"""),"RF-00001648-MCG")</f>
        <v>RF-00001648-MCG</v>
      </c>
    </row>
    <row r="5832" spans="1:2" ht="12.5" x14ac:dyDescent="0.25">
      <c r="A5832" t="str">
        <f ca="1">IFERROR(__xludf.DUMMYFUNCTION("""COMPUTED_VALUE"""),"Salmonella Akanji")</f>
        <v>Salmonella Akanji</v>
      </c>
      <c r="B5832" t="str">
        <f ca="1">IFERROR(__xludf.DUMMYFUNCTION("""COMPUTED_VALUE"""),"RF-00001659-MCG")</f>
        <v>RF-00001659-MCG</v>
      </c>
    </row>
    <row r="5833" spans="1:2" ht="12.5" x14ac:dyDescent="0.25">
      <c r="A5833" t="str">
        <f ca="1">IFERROR(__xludf.DUMMYFUNCTION("""COMPUTED_VALUE"""),"Salmonella Akuafo")</f>
        <v>Salmonella Akuafo</v>
      </c>
      <c r="B5833" t="str">
        <f ca="1">IFERROR(__xludf.DUMMYFUNCTION("""COMPUTED_VALUE"""),"RF-00001671-MCG")</f>
        <v>RF-00001671-MCG</v>
      </c>
    </row>
    <row r="5834" spans="1:2" ht="12.5" x14ac:dyDescent="0.25">
      <c r="A5834" t="str">
        <f ca="1">IFERROR(__xludf.DUMMYFUNCTION("""COMPUTED_VALUE"""),"Salmonella Alabama")</f>
        <v>Salmonella Alabama</v>
      </c>
      <c r="B5834" t="str">
        <f ca="1">IFERROR(__xludf.DUMMYFUNCTION("""COMPUTED_VALUE"""),"RF-00001657-MCG")</f>
        <v>RF-00001657-MCG</v>
      </c>
    </row>
    <row r="5835" spans="1:2" ht="12.5" x14ac:dyDescent="0.25">
      <c r="A5835" t="str">
        <f ca="1">IFERROR(__xludf.DUMMYFUNCTION("""COMPUTED_VALUE"""),"Salmonella Alachua")</f>
        <v>Salmonella Alachua</v>
      </c>
      <c r="B5835" t="str">
        <f ca="1">IFERROR(__xludf.DUMMYFUNCTION("""COMPUTED_VALUE"""),"RF-00001656-MCG")</f>
        <v>RF-00001656-MCG</v>
      </c>
    </row>
    <row r="5836" spans="1:2" ht="12.5" x14ac:dyDescent="0.25">
      <c r="A5836" t="str">
        <f ca="1">IFERROR(__xludf.DUMMYFUNCTION("""COMPUTED_VALUE"""),"Salmonella Alagbon")</f>
        <v>Salmonella Alagbon</v>
      </c>
      <c r="B5836" t="str">
        <f ca="1">IFERROR(__xludf.DUMMYFUNCTION("""COMPUTED_VALUE"""),"RF-00001655-MCG")</f>
        <v>RF-00001655-MCG</v>
      </c>
    </row>
    <row r="5837" spans="1:2" ht="12.5" x14ac:dyDescent="0.25">
      <c r="A5837" t="str">
        <f ca="1">IFERROR(__xludf.DUMMYFUNCTION("""COMPUTED_VALUE"""),"Salmonella Alamo")</f>
        <v>Salmonella Alamo</v>
      </c>
      <c r="B5837" t="str">
        <f ca="1">IFERROR(__xludf.DUMMYFUNCTION("""COMPUTED_VALUE"""),"RF-00001654-MCG")</f>
        <v>RF-00001654-MCG</v>
      </c>
    </row>
    <row r="5838" spans="1:2" ht="12.5" x14ac:dyDescent="0.25">
      <c r="A5838" t="str">
        <f ca="1">IFERROR(__xludf.DUMMYFUNCTION("""COMPUTED_VALUE"""),"Salmonella Albany")</f>
        <v>Salmonella Albany</v>
      </c>
      <c r="B5838" t="str">
        <f ca="1">IFERROR(__xludf.DUMMYFUNCTION("""COMPUTED_VALUE"""),"RF-00001653-MCG")</f>
        <v>RF-00001653-MCG</v>
      </c>
    </row>
    <row r="5839" spans="1:2" ht="12.5" x14ac:dyDescent="0.25">
      <c r="A5839" t="str">
        <f ca="1">IFERROR(__xludf.DUMMYFUNCTION("""COMPUTED_VALUE"""),"Salmonella Albert")</f>
        <v>Salmonella Albert</v>
      </c>
      <c r="B5839" t="str">
        <f ca="1">IFERROR(__xludf.DUMMYFUNCTION("""COMPUTED_VALUE"""),"RF-00001652-MCG")</f>
        <v>RF-00001652-MCG</v>
      </c>
    </row>
    <row r="5840" spans="1:2" ht="12.5" x14ac:dyDescent="0.25">
      <c r="A5840" t="str">
        <f ca="1">IFERROR(__xludf.DUMMYFUNCTION("""COMPUTED_VALUE"""),"Salmonella Albertslund")</f>
        <v>Salmonella Albertslund</v>
      </c>
      <c r="B5840" t="str">
        <f ca="1">IFERROR(__xludf.DUMMYFUNCTION("""COMPUTED_VALUE"""),"RF-00001651-MCG")</f>
        <v>RF-00001651-MCG</v>
      </c>
    </row>
    <row r="5841" spans="1:2" ht="12.5" x14ac:dyDescent="0.25">
      <c r="A5841" t="str">
        <f ca="1">IFERROR(__xludf.DUMMYFUNCTION("""COMPUTED_VALUE"""),"Salmonella Albuquerque")</f>
        <v>Salmonella Albuquerque</v>
      </c>
      <c r="B5841" t="str">
        <f ca="1">IFERROR(__xludf.DUMMYFUNCTION("""COMPUTED_VALUE"""),"RF-00001650-MCG")</f>
        <v>RF-00001650-MCG</v>
      </c>
    </row>
    <row r="5842" spans="1:2" ht="12.5" x14ac:dyDescent="0.25">
      <c r="A5842" t="str">
        <f ca="1">IFERROR(__xludf.DUMMYFUNCTION("""COMPUTED_VALUE"""),"Salmonella Alexanderplatz")</f>
        <v>Salmonella Alexanderplatz</v>
      </c>
      <c r="B5842" t="str">
        <f ca="1">IFERROR(__xludf.DUMMYFUNCTION("""COMPUTED_VALUE"""),"RF-00001649-MCG")</f>
        <v>RF-00001649-MCG</v>
      </c>
    </row>
    <row r="5843" spans="1:2" ht="12.5" x14ac:dyDescent="0.25">
      <c r="A5843" t="str">
        <f ca="1">IFERROR(__xludf.DUMMYFUNCTION("""COMPUTED_VALUE"""),"Salmonella Alexanderpolder")</f>
        <v>Salmonella Alexanderpolder</v>
      </c>
      <c r="B5843" t="str">
        <f ca="1">IFERROR(__xludf.DUMMYFUNCTION("""COMPUTED_VALUE"""),"RF-00001683-MCG")</f>
        <v>RF-00001683-MCG</v>
      </c>
    </row>
    <row r="5844" spans="1:2" ht="12.5" x14ac:dyDescent="0.25">
      <c r="A5844" t="str">
        <f ca="1">IFERROR(__xludf.DUMMYFUNCTION("""COMPUTED_VALUE"""),"Salmonella Alfort")</f>
        <v>Salmonella Alfort</v>
      </c>
      <c r="B5844" t="str">
        <f ca="1">IFERROR(__xludf.DUMMYFUNCTION("""COMPUTED_VALUE"""),"RF-00001685-MCG")</f>
        <v>RF-00001685-MCG</v>
      </c>
    </row>
    <row r="5845" spans="1:2" ht="12.5" x14ac:dyDescent="0.25">
      <c r="A5845" t="str">
        <f ca="1">IFERROR(__xludf.DUMMYFUNCTION("""COMPUTED_VALUE"""),"Salmonella Alger")</f>
        <v>Salmonella Alger</v>
      </c>
      <c r="B5845" t="str">
        <f ca="1">IFERROR(__xludf.DUMMYFUNCTION("""COMPUTED_VALUE"""),"RF-00001660-MCG")</f>
        <v>RF-00001660-MCG</v>
      </c>
    </row>
    <row r="5846" spans="1:2" ht="12.5" x14ac:dyDescent="0.25">
      <c r="A5846" t="str">
        <f ca="1">IFERROR(__xludf.DUMMYFUNCTION("""COMPUTED_VALUE"""),"Salmonella Alkmaar")</f>
        <v>Salmonella Alkmaar</v>
      </c>
      <c r="B5846" t="str">
        <f ca="1">IFERROR(__xludf.DUMMYFUNCTION("""COMPUTED_VALUE"""),"RF-00001694-MCG")</f>
        <v>RF-00001694-MCG</v>
      </c>
    </row>
    <row r="5847" spans="1:2" ht="12.5" x14ac:dyDescent="0.25">
      <c r="A5847" t="str">
        <f ca="1">IFERROR(__xludf.DUMMYFUNCTION("""COMPUTED_VALUE"""),"Salmonella Allandale")</f>
        <v>Salmonella Allandale</v>
      </c>
      <c r="B5847" t="str">
        <f ca="1">IFERROR(__xludf.DUMMYFUNCTION("""COMPUTED_VALUE"""),"RF-00001693-MCG")</f>
        <v>RF-00001693-MCG</v>
      </c>
    </row>
    <row r="5848" spans="1:2" ht="12.5" x14ac:dyDescent="0.25">
      <c r="A5848" t="str">
        <f ca="1">IFERROR(__xludf.DUMMYFUNCTION("""COMPUTED_VALUE"""),"Salmonella Allerton")</f>
        <v>Salmonella Allerton</v>
      </c>
      <c r="B5848" t="str">
        <f ca="1">IFERROR(__xludf.DUMMYFUNCTION("""COMPUTED_VALUE"""),"RF-00001692-MCG")</f>
        <v>RF-00001692-MCG</v>
      </c>
    </row>
    <row r="5849" spans="1:2" ht="12.5" x14ac:dyDescent="0.25">
      <c r="A5849" t="str">
        <f ca="1">IFERROR(__xludf.DUMMYFUNCTION("""COMPUTED_VALUE"""),"Salmonella Alma")</f>
        <v>Salmonella Alma</v>
      </c>
      <c r="B5849" t="str">
        <f ca="1">IFERROR(__xludf.DUMMYFUNCTION("""COMPUTED_VALUE"""),"RF-00001691-MCG")</f>
        <v>RF-00001691-MCG</v>
      </c>
    </row>
    <row r="5850" spans="1:2" ht="12.5" x14ac:dyDescent="0.25">
      <c r="A5850" t="str">
        <f ca="1">IFERROR(__xludf.DUMMYFUNCTION("""COMPUTED_VALUE"""),"Salmonella Alminko")</f>
        <v>Salmonella Alminko</v>
      </c>
      <c r="B5850" t="str">
        <f ca="1">IFERROR(__xludf.DUMMYFUNCTION("""COMPUTED_VALUE"""),"RF-00001690-MCG")</f>
        <v>RF-00001690-MCG</v>
      </c>
    </row>
    <row r="5851" spans="1:2" ht="12.5" x14ac:dyDescent="0.25">
      <c r="A5851" t="str">
        <f ca="1">IFERROR(__xludf.DUMMYFUNCTION("""COMPUTED_VALUE"""),"Salmonella Altendorf")</f>
        <v>Salmonella Altendorf</v>
      </c>
      <c r="B5851" t="str">
        <f ca="1">IFERROR(__xludf.DUMMYFUNCTION("""COMPUTED_VALUE"""),"RF-00001689-MCG")</f>
        <v>RF-00001689-MCG</v>
      </c>
    </row>
    <row r="5852" spans="1:2" ht="12.5" x14ac:dyDescent="0.25">
      <c r="A5852" t="str">
        <f ca="1">IFERROR(__xludf.DUMMYFUNCTION("""COMPUTED_VALUE"""),"Salmonella Altona")</f>
        <v>Salmonella Altona</v>
      </c>
      <c r="B5852" t="str">
        <f ca="1">IFERROR(__xludf.DUMMYFUNCTION("""COMPUTED_VALUE"""),"RF-00001688-MCG")</f>
        <v>RF-00001688-MCG</v>
      </c>
    </row>
    <row r="5853" spans="1:2" ht="12.5" x14ac:dyDescent="0.25">
      <c r="A5853" t="str">
        <f ca="1">IFERROR(__xludf.DUMMYFUNCTION("""COMPUTED_VALUE"""),"Salmonella Amager")</f>
        <v>Salmonella Amager</v>
      </c>
      <c r="B5853" t="str">
        <f ca="1">IFERROR(__xludf.DUMMYFUNCTION("""COMPUTED_VALUE"""),"RF-00001687-MCG")</f>
        <v>RF-00001687-MCG</v>
      </c>
    </row>
    <row r="5854" spans="1:2" ht="12.5" x14ac:dyDescent="0.25">
      <c r="A5854" t="str">
        <f ca="1">IFERROR(__xludf.DUMMYFUNCTION("""COMPUTED_VALUE"""),"Salmonella Amager var. 15")</f>
        <v>Salmonella Amager var. 15</v>
      </c>
      <c r="B5854" t="str">
        <f ca="1">IFERROR(__xludf.DUMMYFUNCTION("""COMPUTED_VALUE"""),"RF-00001686-MCG")</f>
        <v>RF-00001686-MCG</v>
      </c>
    </row>
    <row r="5855" spans="1:2" ht="12.5" x14ac:dyDescent="0.25">
      <c r="A5855" t="str">
        <f ca="1">IFERROR(__xludf.DUMMYFUNCTION("""COMPUTED_VALUE"""),"Salmonella Amba")</f>
        <v>Salmonella Amba</v>
      </c>
      <c r="B5855" t="str">
        <f ca="1">IFERROR(__xludf.DUMMYFUNCTION("""COMPUTED_VALUE"""),"RF-00001672-MCG")</f>
        <v>RF-00001672-MCG</v>
      </c>
    </row>
    <row r="5856" spans="1:2" ht="12.5" x14ac:dyDescent="0.25">
      <c r="A5856" t="str">
        <f ca="1">IFERROR(__xludf.DUMMYFUNCTION("""COMPUTED_VALUE"""),"Salmonella Amersfoort")</f>
        <v>Salmonella Amersfoort</v>
      </c>
      <c r="B5856" t="str">
        <f ca="1">IFERROR(__xludf.DUMMYFUNCTION("""COMPUTED_VALUE"""),"RF-00001684-MCG")</f>
        <v>RF-00001684-MCG</v>
      </c>
    </row>
    <row r="5857" spans="1:2" ht="12.5" x14ac:dyDescent="0.25">
      <c r="A5857" t="str">
        <f ca="1">IFERROR(__xludf.DUMMYFUNCTION("""COMPUTED_VALUE"""),"Salmonella Amersfoort var. 14")</f>
        <v>Salmonella Amersfoort var. 14</v>
      </c>
      <c r="B5857" t="str">
        <f ca="1">IFERROR(__xludf.DUMMYFUNCTION("""COMPUTED_VALUE"""),"RF-00001696-MCG")</f>
        <v>RF-00001696-MCG</v>
      </c>
    </row>
    <row r="5858" spans="1:2" ht="12.5" x14ac:dyDescent="0.25">
      <c r="A5858" t="str">
        <f ca="1">IFERROR(__xludf.DUMMYFUNCTION("""COMPUTED_VALUE"""),"Salmonella Amherstiana")</f>
        <v>Salmonella Amherstiana</v>
      </c>
      <c r="B5858" t="str">
        <f ca="1">IFERROR(__xludf.DUMMYFUNCTION("""COMPUTED_VALUE"""),"RF-00001682-MCG")</f>
        <v>RF-00001682-MCG</v>
      </c>
    </row>
    <row r="5859" spans="1:2" ht="12.5" x14ac:dyDescent="0.25">
      <c r="A5859" t="str">
        <f ca="1">IFERROR(__xludf.DUMMYFUNCTION("""COMPUTED_VALUE"""),"Salmonella Amina")</f>
        <v>Salmonella Amina</v>
      </c>
      <c r="B5859" t="str">
        <f ca="1">IFERROR(__xludf.DUMMYFUNCTION("""COMPUTED_VALUE"""),"RF-00001681-MCG")</f>
        <v>RF-00001681-MCG</v>
      </c>
    </row>
    <row r="5860" spans="1:2" ht="12.5" x14ac:dyDescent="0.25">
      <c r="A5860" t="str">
        <f ca="1">IFERROR(__xludf.DUMMYFUNCTION("""COMPUTED_VALUE"""),"Salmonella Aminatu")</f>
        <v>Salmonella Aminatu</v>
      </c>
      <c r="B5860" t="str">
        <f ca="1">IFERROR(__xludf.DUMMYFUNCTION("""COMPUTED_VALUE"""),"RF-00001680-MCG")</f>
        <v>RF-00001680-MCG</v>
      </c>
    </row>
    <row r="5861" spans="1:2" ht="12.5" x14ac:dyDescent="0.25">
      <c r="A5861" t="str">
        <f ca="1">IFERROR(__xludf.DUMMYFUNCTION("""COMPUTED_VALUE"""),"Salmonella Amounderness")</f>
        <v>Salmonella Amounderness</v>
      </c>
      <c r="B5861" t="str">
        <f ca="1">IFERROR(__xludf.DUMMYFUNCTION("""COMPUTED_VALUE"""),"RF-00001679-MCG")</f>
        <v>RF-00001679-MCG</v>
      </c>
    </row>
    <row r="5862" spans="1:2" ht="12.5" x14ac:dyDescent="0.25">
      <c r="A5862" t="str">
        <f ca="1">IFERROR(__xludf.DUMMYFUNCTION("""COMPUTED_VALUE"""),"Salmonella Amoutive")</f>
        <v>Salmonella Amoutive</v>
      </c>
      <c r="B5862" t="str">
        <f ca="1">IFERROR(__xludf.DUMMYFUNCTION("""COMPUTED_VALUE"""),"RF-00001678-MCG")</f>
        <v>RF-00001678-MCG</v>
      </c>
    </row>
    <row r="5863" spans="1:2" ht="12.5" x14ac:dyDescent="0.25">
      <c r="A5863" t="str">
        <f ca="1">IFERROR(__xludf.DUMMYFUNCTION("""COMPUTED_VALUE"""),"Salmonella Amsterdam")</f>
        <v>Salmonella Amsterdam</v>
      </c>
      <c r="B5863" t="str">
        <f ca="1">IFERROR(__xludf.DUMMYFUNCTION("""COMPUTED_VALUE"""),"RF-00001677-MCG")</f>
        <v>RF-00001677-MCG</v>
      </c>
    </row>
    <row r="5864" spans="1:2" ht="12.5" x14ac:dyDescent="0.25">
      <c r="A5864" t="str">
        <f ca="1">IFERROR(__xludf.DUMMYFUNCTION("""COMPUTED_VALUE"""),"Salmonella Amsterdam var. 15")</f>
        <v>Salmonella Amsterdam var. 15</v>
      </c>
      <c r="B5864" t="str">
        <f ca="1">IFERROR(__xludf.DUMMYFUNCTION("""COMPUTED_VALUE"""),"RF-00001676-MCG")</f>
        <v>RF-00001676-MCG</v>
      </c>
    </row>
    <row r="5865" spans="1:2" ht="12.5" x14ac:dyDescent="0.25">
      <c r="A5865" t="str">
        <f ca="1">IFERROR(__xludf.DUMMYFUNCTION("""COMPUTED_VALUE"""),"Salmonella Amunigun")</f>
        <v>Salmonella Amunigun</v>
      </c>
      <c r="B5865" t="str">
        <f ca="1">IFERROR(__xludf.DUMMYFUNCTION("""COMPUTED_VALUE"""),"RF-00001675-MCG")</f>
        <v>RF-00001675-MCG</v>
      </c>
    </row>
    <row r="5866" spans="1:2" ht="12.5" x14ac:dyDescent="0.25">
      <c r="A5866" t="str">
        <f ca="1">IFERROR(__xludf.DUMMYFUNCTION("""COMPUTED_VALUE"""),"Salmonella Anatum")</f>
        <v>Salmonella Anatum</v>
      </c>
      <c r="B5866" t="str">
        <f ca="1">IFERROR(__xludf.DUMMYFUNCTION("""COMPUTED_VALUE"""),"RF-00001674-MCG")</f>
        <v>RF-00001674-MCG</v>
      </c>
    </row>
    <row r="5867" spans="1:2" ht="12.5" x14ac:dyDescent="0.25">
      <c r="A5867" t="str">
        <f ca="1">IFERROR(__xludf.DUMMYFUNCTION("""COMPUTED_VALUE"""),"Salmonella Anatum var. 15")</f>
        <v>Salmonella Anatum var. 15</v>
      </c>
      <c r="B5867" t="str">
        <f ca="1">IFERROR(__xludf.DUMMYFUNCTION("""COMPUTED_VALUE"""),"RF-00001636-MCG")</f>
        <v>RF-00001636-MCG</v>
      </c>
    </row>
    <row r="5868" spans="1:2" ht="12.5" x14ac:dyDescent="0.25">
      <c r="A5868" t="str">
        <f ca="1">IFERROR(__xludf.DUMMYFUNCTION("""COMPUTED_VALUE"""),"Salmonella Anatum var. 15,34")</f>
        <v>Salmonella Anatum var. 15,34</v>
      </c>
      <c r="B5868" t="str">
        <f ca="1">IFERROR(__xludf.DUMMYFUNCTION("""COMPUTED_VALUE"""),"RF-00001695-MCG")</f>
        <v>RF-00001695-MCG</v>
      </c>
    </row>
    <row r="5869" spans="1:2" ht="12.5" x14ac:dyDescent="0.25">
      <c r="A5869" t="str">
        <f ca="1">IFERROR(__xludf.DUMMYFUNCTION("""COMPUTED_VALUE"""),"Salmonella Anderlecht")</f>
        <v>Salmonella Anderlecht</v>
      </c>
      <c r="B5869" t="str">
        <f ca="1">IFERROR(__xludf.DUMMYFUNCTION("""COMPUTED_VALUE"""),"RF-00001658-MCG")</f>
        <v>RF-00001658-MCG</v>
      </c>
    </row>
    <row r="5870" spans="1:2" ht="12.5" x14ac:dyDescent="0.25">
      <c r="A5870" t="str">
        <f ca="1">IFERROR(__xludf.DUMMYFUNCTION("""COMPUTED_VALUE"""),"Salmonella Anecho")</f>
        <v>Salmonella Anecho</v>
      </c>
      <c r="B5870" t="str">
        <f ca="1">IFERROR(__xludf.DUMMYFUNCTION("""COMPUTED_VALUE"""),"RF-00001622-MCG")</f>
        <v>RF-00001622-MCG</v>
      </c>
    </row>
    <row r="5871" spans="1:2" ht="12.5" x14ac:dyDescent="0.25">
      <c r="A5871" t="str">
        <f ca="1">IFERROR(__xludf.DUMMYFUNCTION("""COMPUTED_VALUE"""),"Salmonella Anfo")</f>
        <v>Salmonella Anfo</v>
      </c>
      <c r="B5871" t="str">
        <f ca="1">IFERROR(__xludf.DUMMYFUNCTION("""COMPUTED_VALUE"""),"RF-00001621-MCG")</f>
        <v>RF-00001621-MCG</v>
      </c>
    </row>
    <row r="5872" spans="1:2" ht="12.5" x14ac:dyDescent="0.25">
      <c r="A5872" t="str">
        <f ca="1">IFERROR(__xludf.DUMMYFUNCTION("""COMPUTED_VALUE"""),"Salmonella Angers")</f>
        <v>Salmonella Angers</v>
      </c>
      <c r="B5872" t="str">
        <f ca="1">IFERROR(__xludf.DUMMYFUNCTION("""COMPUTED_VALUE"""),"RF-00001620-MCG")</f>
        <v>RF-00001620-MCG</v>
      </c>
    </row>
    <row r="5873" spans="1:2" ht="12.5" x14ac:dyDescent="0.25">
      <c r="A5873" t="str">
        <f ca="1">IFERROR(__xludf.DUMMYFUNCTION("""COMPUTED_VALUE"""),"Salmonella Angoda")</f>
        <v>Salmonella Angoda</v>
      </c>
      <c r="B5873" t="str">
        <f ca="1">IFERROR(__xludf.DUMMYFUNCTION("""COMPUTED_VALUE"""),"RF-00001619-MCG")</f>
        <v>RF-00001619-MCG</v>
      </c>
    </row>
    <row r="5874" spans="1:2" ht="12.5" x14ac:dyDescent="0.25">
      <c r="A5874" t="str">
        <f ca="1">IFERROR(__xludf.DUMMYFUNCTION("""COMPUTED_VALUE"""),"Salmonella Angouleme")</f>
        <v>Salmonella Angouleme</v>
      </c>
      <c r="B5874" t="str">
        <f ca="1">IFERROR(__xludf.DUMMYFUNCTION("""COMPUTED_VALUE"""),"RF-00001618-MCG")</f>
        <v>RF-00001618-MCG</v>
      </c>
    </row>
    <row r="5875" spans="1:2" ht="12.5" x14ac:dyDescent="0.25">
      <c r="A5875" t="str">
        <f ca="1">IFERROR(__xludf.DUMMYFUNCTION("""COMPUTED_VALUE"""),"Salmonella Ank")</f>
        <v>Salmonella Ank</v>
      </c>
      <c r="B5875" t="str">
        <f ca="1">IFERROR(__xludf.DUMMYFUNCTION("""COMPUTED_VALUE"""),"RF-00001617-MCG")</f>
        <v>RF-00001617-MCG</v>
      </c>
    </row>
    <row r="5876" spans="1:2" ht="12.5" x14ac:dyDescent="0.25">
      <c r="A5876" t="str">
        <f ca="1">IFERROR(__xludf.DUMMYFUNCTION("""COMPUTED_VALUE"""),"Salmonella Anna")</f>
        <v>Salmonella Anna</v>
      </c>
      <c r="B5876" t="str">
        <f ca="1">IFERROR(__xludf.DUMMYFUNCTION("""COMPUTED_VALUE"""),"RF-00001616-MCG")</f>
        <v>RF-00001616-MCG</v>
      </c>
    </row>
    <row r="5877" spans="1:2" ht="12.5" x14ac:dyDescent="0.25">
      <c r="A5877" t="str">
        <f ca="1">IFERROR(__xludf.DUMMYFUNCTION("""COMPUTED_VALUE"""),"Salmonella Annedal")</f>
        <v>Salmonella Annedal</v>
      </c>
      <c r="B5877" t="str">
        <f ca="1">IFERROR(__xludf.DUMMYFUNCTION("""COMPUTED_VALUE"""),"RF-00001615-MCG")</f>
        <v>RF-00001615-MCG</v>
      </c>
    </row>
    <row r="5878" spans="1:2" ht="12.5" x14ac:dyDescent="0.25">
      <c r="A5878" t="str">
        <f ca="1">IFERROR(__xludf.DUMMYFUNCTION("""COMPUTED_VALUE"""),"Salmonella Antarctica")</f>
        <v>Salmonella Antarctica</v>
      </c>
      <c r="B5878" t="str">
        <f ca="1">IFERROR(__xludf.DUMMYFUNCTION("""COMPUTED_VALUE"""),"RF-00001614-MCG")</f>
        <v>RF-00001614-MCG</v>
      </c>
    </row>
    <row r="5879" spans="1:2" ht="12.5" x14ac:dyDescent="0.25">
      <c r="A5879" t="str">
        <f ca="1">IFERROR(__xludf.DUMMYFUNCTION("""COMPUTED_VALUE"""),"Salmonella Antonio")</f>
        <v>Salmonella Antonio</v>
      </c>
      <c r="B5879" t="str">
        <f ca="1">IFERROR(__xludf.DUMMYFUNCTION("""COMPUTED_VALUE"""),"RF-00001613-MCG")</f>
        <v>RF-00001613-MCG</v>
      </c>
    </row>
    <row r="5880" spans="1:2" ht="12.5" x14ac:dyDescent="0.25">
      <c r="A5880" t="str">
        <f ca="1">IFERROR(__xludf.DUMMYFUNCTION("""COMPUTED_VALUE"""),"Salmonella Antsalova")</f>
        <v>Salmonella Antsalova</v>
      </c>
      <c r="B5880" t="str">
        <f ca="1">IFERROR(__xludf.DUMMYFUNCTION("""COMPUTED_VALUE"""),"RF-00001600-MCG")</f>
        <v>RF-00001600-MCG</v>
      </c>
    </row>
    <row r="5881" spans="1:2" ht="12.5" x14ac:dyDescent="0.25">
      <c r="A5881" t="str">
        <f ca="1">IFERROR(__xludf.DUMMYFUNCTION("""COMPUTED_VALUE"""),"Salmonella Antwerpen")</f>
        <v>Salmonella Antwerpen</v>
      </c>
      <c r="B5881" t="str">
        <f ca="1">IFERROR(__xludf.DUMMYFUNCTION("""COMPUTED_VALUE"""),"RF-00001611-MCG")</f>
        <v>RF-00001611-MCG</v>
      </c>
    </row>
    <row r="5882" spans="1:2" ht="12.5" x14ac:dyDescent="0.25">
      <c r="A5882" t="str">
        <f ca="1">IFERROR(__xludf.DUMMYFUNCTION("""COMPUTED_VALUE"""),"Salmonella Apapa")</f>
        <v>Salmonella Apapa</v>
      </c>
      <c r="B5882" t="str">
        <f ca="1">IFERROR(__xludf.DUMMYFUNCTION("""COMPUTED_VALUE"""),"RF-00001623-MCG")</f>
        <v>RF-00001623-MCG</v>
      </c>
    </row>
    <row r="5883" spans="1:2" ht="12.5" x14ac:dyDescent="0.25">
      <c r="A5883" t="str">
        <f ca="1">IFERROR(__xludf.DUMMYFUNCTION("""COMPUTED_VALUE"""),"Salmonella Apeyeme")</f>
        <v>Salmonella Apeyeme</v>
      </c>
      <c r="B5883" t="str">
        <f ca="1">IFERROR(__xludf.DUMMYFUNCTION("""COMPUTED_VALUE"""),"RF-00001609-MCG")</f>
        <v>RF-00001609-MCG</v>
      </c>
    </row>
    <row r="5884" spans="1:2" ht="12.5" x14ac:dyDescent="0.25">
      <c r="A5884" t="str">
        <f ca="1">IFERROR(__xludf.DUMMYFUNCTION("""COMPUTED_VALUE"""),"Salmonella Aprad")</f>
        <v>Salmonella Aprad</v>
      </c>
      <c r="B5884" t="str">
        <f ca="1">IFERROR(__xludf.DUMMYFUNCTION("""COMPUTED_VALUE"""),"RF-00001608-MCG")</f>
        <v>RF-00001608-MCG</v>
      </c>
    </row>
    <row r="5885" spans="1:2" ht="12.5" x14ac:dyDescent="0.25">
      <c r="A5885" t="str">
        <f ca="1">IFERROR(__xludf.DUMMYFUNCTION("""COMPUTED_VALUE"""),"Salmonella Aqua")</f>
        <v>Salmonella Aqua</v>
      </c>
      <c r="B5885" t="str">
        <f ca="1">IFERROR(__xludf.DUMMYFUNCTION("""COMPUTED_VALUE"""),"RF-00001607-MCG")</f>
        <v>RF-00001607-MCG</v>
      </c>
    </row>
    <row r="5886" spans="1:2" ht="12.5" x14ac:dyDescent="0.25">
      <c r="A5886" t="str">
        <f ca="1">IFERROR(__xludf.DUMMYFUNCTION("""COMPUTED_VALUE"""),"Salmonella Aragua")</f>
        <v>Salmonella Aragua</v>
      </c>
      <c r="B5886" t="str">
        <f ca="1">IFERROR(__xludf.DUMMYFUNCTION("""COMPUTED_VALUE"""),"RF-00001606-MCG")</f>
        <v>RF-00001606-MCG</v>
      </c>
    </row>
    <row r="5887" spans="1:2" ht="12.5" x14ac:dyDescent="0.25">
      <c r="A5887" t="str">
        <f ca="1">IFERROR(__xludf.DUMMYFUNCTION("""COMPUTED_VALUE"""),"Salmonella Arapahoe")</f>
        <v>Salmonella Arapahoe</v>
      </c>
      <c r="B5887" t="str">
        <f ca="1">IFERROR(__xludf.DUMMYFUNCTION("""COMPUTED_VALUE"""),"RF-00001605-MCG")</f>
        <v>RF-00001605-MCG</v>
      </c>
    </row>
    <row r="5888" spans="1:2" ht="12.5" x14ac:dyDescent="0.25">
      <c r="A5888" t="str">
        <f ca="1">IFERROR(__xludf.DUMMYFUNCTION("""COMPUTED_VALUE"""),"Salmonella Arechavaleta")</f>
        <v>Salmonella Arechavaleta</v>
      </c>
      <c r="B5888" t="str">
        <f ca="1">IFERROR(__xludf.DUMMYFUNCTION("""COMPUTED_VALUE"""),"RF-00001604-MCG")</f>
        <v>RF-00001604-MCG</v>
      </c>
    </row>
    <row r="5889" spans="1:2" ht="12.5" x14ac:dyDescent="0.25">
      <c r="A5889" t="str">
        <f ca="1">IFERROR(__xludf.DUMMYFUNCTION("""COMPUTED_VALUE"""),"Salmonella Arusha")</f>
        <v>Salmonella Arusha</v>
      </c>
      <c r="B5889" t="str">
        <f ca="1">IFERROR(__xludf.DUMMYFUNCTION("""COMPUTED_VALUE"""),"RF-00001603-MCG")</f>
        <v>RF-00001603-MCG</v>
      </c>
    </row>
    <row r="5890" spans="1:2" ht="12.5" x14ac:dyDescent="0.25">
      <c r="A5890" t="str">
        <f ca="1">IFERROR(__xludf.DUMMYFUNCTION("""COMPUTED_VALUE"""),"Salmonella Aschersleben")</f>
        <v>Salmonella Aschersleben</v>
      </c>
      <c r="B5890" t="str">
        <f ca="1">IFERROR(__xludf.DUMMYFUNCTION("""COMPUTED_VALUE"""),"RF-00001602-MCG")</f>
        <v>RF-00001602-MCG</v>
      </c>
    </row>
    <row r="5891" spans="1:2" ht="12.5" x14ac:dyDescent="0.25">
      <c r="A5891" t="str">
        <f ca="1">IFERROR(__xludf.DUMMYFUNCTION("""COMPUTED_VALUE"""),"Salmonella Ashanti")</f>
        <v>Salmonella Ashanti</v>
      </c>
      <c r="B5891" t="str">
        <f ca="1">IFERROR(__xludf.DUMMYFUNCTION("""COMPUTED_VALUE"""),"RF-00001634-MCG")</f>
        <v>RF-00001634-MCG</v>
      </c>
    </row>
    <row r="5892" spans="1:2" ht="12.5" x14ac:dyDescent="0.25">
      <c r="A5892" t="str">
        <f ca="1">IFERROR(__xludf.DUMMYFUNCTION("""COMPUTED_VALUE"""),"Salmonella Assen")</f>
        <v>Salmonella Assen</v>
      </c>
      <c r="B5892" t="str">
        <f ca="1">IFERROR(__xludf.DUMMYFUNCTION("""COMPUTED_VALUE"""),"RF-00001610-MCG")</f>
        <v>RF-00001610-MCG</v>
      </c>
    </row>
    <row r="5893" spans="1:2" ht="12.5" x14ac:dyDescent="0.25">
      <c r="A5893" t="str">
        <f ca="1">IFERROR(__xludf.DUMMYFUNCTION("""COMPUTED_VALUE"""),"Salmonella Assinie")</f>
        <v>Salmonella Assinie</v>
      </c>
      <c r="B5893" t="str">
        <f ca="1">IFERROR(__xludf.DUMMYFUNCTION("""COMPUTED_VALUE"""),"RF-00001612-MCG")</f>
        <v>RF-00001612-MCG</v>
      </c>
    </row>
    <row r="5894" spans="1:2" ht="12.5" x14ac:dyDescent="0.25">
      <c r="A5894" t="str">
        <f ca="1">IFERROR(__xludf.DUMMYFUNCTION("""COMPUTED_VALUE"""),"Salmonella Asylanta")</f>
        <v>Salmonella Asylanta</v>
      </c>
      <c r="B5894" t="str">
        <f ca="1">IFERROR(__xludf.DUMMYFUNCTION("""COMPUTED_VALUE"""),"RF-00001646-MCG")</f>
        <v>RF-00001646-MCG</v>
      </c>
    </row>
    <row r="5895" spans="1:2" ht="12.5" x14ac:dyDescent="0.25">
      <c r="A5895" t="str">
        <f ca="1">IFERROR(__xludf.DUMMYFUNCTION("""COMPUTED_VALUE"""),"Salmonella Atakpame")</f>
        <v>Salmonella Atakpame</v>
      </c>
      <c r="B5895" t="str">
        <f ca="1">IFERROR(__xludf.DUMMYFUNCTION("""COMPUTED_VALUE"""),"RF-00001645-MCG")</f>
        <v>RF-00001645-MCG</v>
      </c>
    </row>
    <row r="5896" spans="1:2" ht="12.5" x14ac:dyDescent="0.25">
      <c r="A5896" t="str">
        <f ca="1">IFERROR(__xludf.DUMMYFUNCTION("""COMPUTED_VALUE"""),"Salmonella Atento")</f>
        <v>Salmonella Atento</v>
      </c>
      <c r="B5896" t="str">
        <f ca="1">IFERROR(__xludf.DUMMYFUNCTION("""COMPUTED_VALUE"""),"RF-00001644-MCG")</f>
        <v>RF-00001644-MCG</v>
      </c>
    </row>
    <row r="5897" spans="1:2" ht="12.5" x14ac:dyDescent="0.25">
      <c r="A5897" t="str">
        <f ca="1">IFERROR(__xludf.DUMMYFUNCTION("""COMPUTED_VALUE"""),"Salmonella Athinai")</f>
        <v>Salmonella Athinai</v>
      </c>
      <c r="B5897" t="str">
        <f ca="1">IFERROR(__xludf.DUMMYFUNCTION("""COMPUTED_VALUE"""),"RF-00001643-MCG")</f>
        <v>RF-00001643-MCG</v>
      </c>
    </row>
    <row r="5898" spans="1:2" ht="12.5" x14ac:dyDescent="0.25">
      <c r="A5898" t="str">
        <f ca="1">IFERROR(__xludf.DUMMYFUNCTION("""COMPUTED_VALUE"""),"Salmonella Ati")</f>
        <v>Salmonella Ati</v>
      </c>
      <c r="B5898" t="str">
        <f ca="1">IFERROR(__xludf.DUMMYFUNCTION("""COMPUTED_VALUE"""),"RF-00001642-MCG")</f>
        <v>RF-00001642-MCG</v>
      </c>
    </row>
    <row r="5899" spans="1:2" ht="12.5" x14ac:dyDescent="0.25">
      <c r="A5899" t="str">
        <f ca="1">IFERROR(__xludf.DUMMYFUNCTION("""COMPUTED_VALUE"""),"Salmonella Augustenborg")</f>
        <v>Salmonella Augustenborg</v>
      </c>
      <c r="B5899" t="str">
        <f ca="1">IFERROR(__xludf.DUMMYFUNCTION("""COMPUTED_VALUE"""),"RF-00001641-MCG")</f>
        <v>RF-00001641-MCG</v>
      </c>
    </row>
    <row r="5900" spans="1:2" ht="12.5" x14ac:dyDescent="0.25">
      <c r="A5900" t="str">
        <f ca="1">IFERROR(__xludf.DUMMYFUNCTION("""COMPUTED_VALUE"""),"Salmonella Austin")</f>
        <v>Salmonella Austin</v>
      </c>
      <c r="B5900" t="str">
        <f ca="1">IFERROR(__xludf.DUMMYFUNCTION("""COMPUTED_VALUE"""),"RF-00001640-MCG")</f>
        <v>RF-00001640-MCG</v>
      </c>
    </row>
    <row r="5901" spans="1:2" ht="12.5" x14ac:dyDescent="0.25">
      <c r="A5901" t="str">
        <f ca="1">IFERROR(__xludf.DUMMYFUNCTION("""COMPUTED_VALUE"""),"Salmonella Australia")</f>
        <v>Salmonella Australia</v>
      </c>
      <c r="B5901" t="str">
        <f ca="1">IFERROR(__xludf.DUMMYFUNCTION("""COMPUTED_VALUE"""),"RF-00001639-MCG")</f>
        <v>RF-00001639-MCG</v>
      </c>
    </row>
    <row r="5902" spans="1:2" ht="12.5" x14ac:dyDescent="0.25">
      <c r="A5902" t="str">
        <f ca="1">IFERROR(__xludf.DUMMYFUNCTION("""COMPUTED_VALUE"""),"Salmonella Avignon")</f>
        <v>Salmonella Avignon</v>
      </c>
      <c r="B5902" t="str">
        <f ca="1">IFERROR(__xludf.DUMMYFUNCTION("""COMPUTED_VALUE"""),"RF-00001638-MCG")</f>
        <v>RF-00001638-MCG</v>
      </c>
    </row>
    <row r="5903" spans="1:2" ht="12.5" x14ac:dyDescent="0.25">
      <c r="A5903" t="str">
        <f ca="1">IFERROR(__xludf.DUMMYFUNCTION("""COMPUTED_VALUE"""),"Salmonella Avonmouth")</f>
        <v>Salmonella Avonmouth</v>
      </c>
      <c r="B5903" t="str">
        <f ca="1">IFERROR(__xludf.DUMMYFUNCTION("""COMPUTED_VALUE"""),"RF-00001637-MCG")</f>
        <v>RF-00001637-MCG</v>
      </c>
    </row>
    <row r="5904" spans="1:2" ht="12.5" x14ac:dyDescent="0.25">
      <c r="A5904" t="str">
        <f ca="1">IFERROR(__xludf.DUMMYFUNCTION("""COMPUTED_VALUE"""),"Salmonella Ayinde")</f>
        <v>Salmonella Ayinde</v>
      </c>
      <c r="B5904" t="str">
        <f ca="1">IFERROR(__xludf.DUMMYFUNCTION("""COMPUTED_VALUE"""),"RF-00001624-MCG")</f>
        <v>RF-00001624-MCG</v>
      </c>
    </row>
    <row r="5905" spans="1:2" ht="12.5" x14ac:dyDescent="0.25">
      <c r="A5905" t="str">
        <f ca="1">IFERROR(__xludf.DUMMYFUNCTION("""COMPUTED_VALUE"""),"Salmonella Ayton")</f>
        <v>Salmonella Ayton</v>
      </c>
      <c r="B5905" t="str">
        <f ca="1">IFERROR(__xludf.DUMMYFUNCTION("""COMPUTED_VALUE"""),"RF-00001635-MCG")</f>
        <v>RF-00001635-MCG</v>
      </c>
    </row>
    <row r="5906" spans="1:2" ht="12.5" x14ac:dyDescent="0.25">
      <c r="A5906" t="str">
        <f ca="1">IFERROR(__xludf.DUMMYFUNCTION("""COMPUTED_VALUE"""),"Salmonella Azteca")</f>
        <v>Salmonella Azteca</v>
      </c>
      <c r="B5906" t="str">
        <f ca="1">IFERROR(__xludf.DUMMYFUNCTION("""COMPUTED_VALUE"""),"RF-00001647-MCG")</f>
        <v>RF-00001647-MCG</v>
      </c>
    </row>
    <row r="5907" spans="1:2" ht="12.5" x14ac:dyDescent="0.25">
      <c r="A5907" t="str">
        <f ca="1">IFERROR(__xludf.DUMMYFUNCTION("""COMPUTED_VALUE"""),"Salmonella Babelsberg")</f>
        <v>Salmonella Babelsberg</v>
      </c>
      <c r="B5907" t="str">
        <f ca="1">IFERROR(__xludf.DUMMYFUNCTION("""COMPUTED_VALUE"""),"RF-00001633-MCG")</f>
        <v>RF-00001633-MCG</v>
      </c>
    </row>
    <row r="5908" spans="1:2" ht="12.5" x14ac:dyDescent="0.25">
      <c r="A5908" t="str">
        <f ca="1">IFERROR(__xludf.DUMMYFUNCTION("""COMPUTED_VALUE"""),"Salmonella Babili")</f>
        <v>Salmonella Babili</v>
      </c>
      <c r="B5908" t="str">
        <f ca="1">IFERROR(__xludf.DUMMYFUNCTION("""COMPUTED_VALUE"""),"RF-00001632-MCG")</f>
        <v>RF-00001632-MCG</v>
      </c>
    </row>
    <row r="5909" spans="1:2" ht="12.5" x14ac:dyDescent="0.25">
      <c r="A5909" t="str">
        <f ca="1">IFERROR(__xludf.DUMMYFUNCTION("""COMPUTED_VALUE"""),"Salmonella Badagry")</f>
        <v>Salmonella Badagry</v>
      </c>
      <c r="B5909" t="str">
        <f ca="1">IFERROR(__xludf.DUMMYFUNCTION("""COMPUTED_VALUE"""),"RF-00001631-MCG")</f>
        <v>RF-00001631-MCG</v>
      </c>
    </row>
    <row r="5910" spans="1:2" ht="12.5" x14ac:dyDescent="0.25">
      <c r="A5910" t="str">
        <f ca="1">IFERROR(__xludf.DUMMYFUNCTION("""COMPUTED_VALUE"""),"Salmonella Baguida")</f>
        <v>Salmonella Baguida</v>
      </c>
      <c r="B5910" t="str">
        <f ca="1">IFERROR(__xludf.DUMMYFUNCTION("""COMPUTED_VALUE"""),"RF-00001630-MCG")</f>
        <v>RF-00001630-MCG</v>
      </c>
    </row>
    <row r="5911" spans="1:2" ht="12.5" x14ac:dyDescent="0.25">
      <c r="A5911" t="str">
        <f ca="1">IFERROR(__xludf.DUMMYFUNCTION("""COMPUTED_VALUE"""),"Salmonella Baguirmi")</f>
        <v>Salmonella Baguirmi</v>
      </c>
      <c r="B5911" t="str">
        <f ca="1">IFERROR(__xludf.DUMMYFUNCTION("""COMPUTED_VALUE"""),"RF-00001629-MCG")</f>
        <v>RF-00001629-MCG</v>
      </c>
    </row>
    <row r="5912" spans="1:2" ht="12.5" x14ac:dyDescent="0.25">
      <c r="A5912" t="str">
        <f ca="1">IFERROR(__xludf.DUMMYFUNCTION("""COMPUTED_VALUE"""),"Salmonella Bahati")</f>
        <v>Salmonella Bahati</v>
      </c>
      <c r="B5912" t="str">
        <f ca="1">IFERROR(__xludf.DUMMYFUNCTION("""COMPUTED_VALUE"""),"RF-00001628-MCG")</f>
        <v>RF-00001628-MCG</v>
      </c>
    </row>
    <row r="5913" spans="1:2" ht="12.5" x14ac:dyDescent="0.25">
      <c r="A5913" t="str">
        <f ca="1">IFERROR(__xludf.DUMMYFUNCTION("""COMPUTED_VALUE"""),"Salmonella Bahrenfeld")</f>
        <v>Salmonella Bahrenfeld</v>
      </c>
      <c r="B5913" t="str">
        <f ca="1">IFERROR(__xludf.DUMMYFUNCTION("""COMPUTED_VALUE"""),"RF-00001627-MCG")</f>
        <v>RF-00001627-MCG</v>
      </c>
    </row>
    <row r="5914" spans="1:2" ht="12.5" x14ac:dyDescent="0.25">
      <c r="A5914" t="str">
        <f ca="1">IFERROR(__xludf.DUMMYFUNCTION("""COMPUTED_VALUE"""),"Salmonella Baiboukoum")</f>
        <v>Salmonella Baiboukoum</v>
      </c>
      <c r="B5914" t="str">
        <f ca="1">IFERROR(__xludf.DUMMYFUNCTION("""COMPUTED_VALUE"""),"RF-00001626-MCG")</f>
        <v>RF-00001626-MCG</v>
      </c>
    </row>
    <row r="5915" spans="1:2" ht="12.5" x14ac:dyDescent="0.25">
      <c r="A5915" t="str">
        <f ca="1">IFERROR(__xludf.DUMMYFUNCTION("""COMPUTED_VALUE"""),"Salmonella Baildon")</f>
        <v>Salmonella Baildon</v>
      </c>
      <c r="B5915" t="str">
        <f ca="1">IFERROR(__xludf.DUMMYFUNCTION("""COMPUTED_VALUE"""),"RF-00001698-MCG")</f>
        <v>RF-00001698-MCG</v>
      </c>
    </row>
    <row r="5916" spans="1:2" ht="12.5" x14ac:dyDescent="0.25">
      <c r="A5916" t="str">
        <f ca="1">IFERROR(__xludf.DUMMYFUNCTION("""COMPUTED_VALUE"""),"Salmonella Bakau")</f>
        <v>Salmonella Bakau</v>
      </c>
      <c r="B5916" t="str">
        <f ca="1">IFERROR(__xludf.DUMMYFUNCTION("""COMPUTED_VALUE"""),"RF-00001601-MCG")</f>
        <v>RF-00001601-MCG</v>
      </c>
    </row>
    <row r="5917" spans="1:2" ht="12.5" x14ac:dyDescent="0.25">
      <c r="A5917" t="str">
        <f ca="1">IFERROR(__xludf.DUMMYFUNCTION("""COMPUTED_VALUE"""),"Salmonella Balcones")</f>
        <v>Salmonella Balcones</v>
      </c>
      <c r="B5917" t="str">
        <f ca="1">IFERROR(__xludf.DUMMYFUNCTION("""COMPUTED_VALUE"""),"RF-00001673-MCG")</f>
        <v>RF-00001673-MCG</v>
      </c>
    </row>
    <row r="5918" spans="1:2" ht="12.5" x14ac:dyDescent="0.25">
      <c r="A5918" t="str">
        <f ca="1">IFERROR(__xludf.DUMMYFUNCTION("""COMPUTED_VALUE"""),"Salmonella Ball")</f>
        <v>Salmonella Ball</v>
      </c>
      <c r="B5918" t="str">
        <f ca="1">IFERROR(__xludf.DUMMYFUNCTION("""COMPUTED_VALUE"""),"RF-00001767-MCG")</f>
        <v>RF-00001767-MCG</v>
      </c>
    </row>
    <row r="5919" spans="1:2" ht="12.5" x14ac:dyDescent="0.25">
      <c r="A5919" t="str">
        <f ca="1">IFERROR(__xludf.DUMMYFUNCTION("""COMPUTED_VALUE"""),"Salmonella Bama")</f>
        <v>Salmonella Bama</v>
      </c>
      <c r="B5919" t="str">
        <f ca="1">IFERROR(__xludf.DUMMYFUNCTION("""COMPUTED_VALUE"""),"RF-00001766-MCG")</f>
        <v>RF-00001766-MCG</v>
      </c>
    </row>
    <row r="5920" spans="1:2" ht="12.5" x14ac:dyDescent="0.25">
      <c r="A5920" t="str">
        <f ca="1">IFERROR(__xludf.DUMMYFUNCTION("""COMPUTED_VALUE"""),"Salmonella Bamboye")</f>
        <v>Salmonella Bamboye</v>
      </c>
      <c r="B5920" t="str">
        <f ca="1">IFERROR(__xludf.DUMMYFUNCTION("""COMPUTED_VALUE"""),"RF-00001765-MCG")</f>
        <v>RF-00001765-MCG</v>
      </c>
    </row>
    <row r="5921" spans="1:2" ht="12.5" x14ac:dyDescent="0.25">
      <c r="A5921" t="str">
        <f ca="1">IFERROR(__xludf.DUMMYFUNCTION("""COMPUTED_VALUE"""),"Salmonella Bambylor")</f>
        <v>Salmonella Bambylor</v>
      </c>
      <c r="B5921" t="str">
        <f ca="1">IFERROR(__xludf.DUMMYFUNCTION("""COMPUTED_VALUE"""),"RF-00001764-MCG")</f>
        <v>RF-00001764-MCG</v>
      </c>
    </row>
    <row r="5922" spans="1:2" ht="12.5" x14ac:dyDescent="0.25">
      <c r="A5922" t="str">
        <f ca="1">IFERROR(__xludf.DUMMYFUNCTION("""COMPUTED_VALUE"""),"Salmonella Banalia")</f>
        <v>Salmonella Banalia</v>
      </c>
      <c r="B5922" t="str">
        <f ca="1">IFERROR(__xludf.DUMMYFUNCTION("""COMPUTED_VALUE"""),"RF-00001763-MCG")</f>
        <v>RF-00001763-MCG</v>
      </c>
    </row>
    <row r="5923" spans="1:2" ht="12.5" x14ac:dyDescent="0.25">
      <c r="A5923" t="str">
        <f ca="1">IFERROR(__xludf.DUMMYFUNCTION("""COMPUTED_VALUE"""),"Salmonella Banana")</f>
        <v>Salmonella Banana</v>
      </c>
      <c r="B5923" t="str">
        <f ca="1">IFERROR(__xludf.DUMMYFUNCTION("""COMPUTED_VALUE"""),"RF-00001762-MCG")</f>
        <v>RF-00001762-MCG</v>
      </c>
    </row>
    <row r="5924" spans="1:2" ht="12.5" x14ac:dyDescent="0.25">
      <c r="A5924" t="str">
        <f ca="1">IFERROR(__xludf.DUMMYFUNCTION("""COMPUTED_VALUE"""),"Salmonella Banco")</f>
        <v>Salmonella Banco</v>
      </c>
      <c r="B5924" t="str">
        <f ca="1">IFERROR(__xludf.DUMMYFUNCTION("""COMPUTED_VALUE"""),"RF-00001761-MCG")</f>
        <v>RF-00001761-MCG</v>
      </c>
    </row>
    <row r="5925" spans="1:2" ht="12.5" x14ac:dyDescent="0.25">
      <c r="A5925" t="str">
        <f ca="1">IFERROR(__xludf.DUMMYFUNCTION("""COMPUTED_VALUE"""),"Salmonella Bandia")</f>
        <v>Salmonella Bandia</v>
      </c>
      <c r="B5925" t="str">
        <f ca="1">IFERROR(__xludf.DUMMYFUNCTION("""COMPUTED_VALUE"""),"RF-00001760-MCG")</f>
        <v>RF-00001760-MCG</v>
      </c>
    </row>
    <row r="5926" spans="1:2" ht="12.5" x14ac:dyDescent="0.25">
      <c r="A5926" t="str">
        <f ca="1">IFERROR(__xludf.DUMMYFUNCTION("""COMPUTED_VALUE"""),"Salmonella Bangkok")</f>
        <v>Salmonella Bangkok</v>
      </c>
      <c r="B5926" t="str">
        <f ca="1">IFERROR(__xludf.DUMMYFUNCTION("""COMPUTED_VALUE"""),"RF-00001759-MCG")</f>
        <v>RF-00001759-MCG</v>
      </c>
    </row>
    <row r="5927" spans="1:2" ht="12.5" x14ac:dyDescent="0.25">
      <c r="A5927" t="str">
        <f ca="1">IFERROR(__xludf.DUMMYFUNCTION("""COMPUTED_VALUE"""),"Salmonella Bangui")</f>
        <v>Salmonella Bangui</v>
      </c>
      <c r="B5927" t="str">
        <f ca="1">IFERROR(__xludf.DUMMYFUNCTION("""COMPUTED_VALUE"""),"RF-00001758-MCG")</f>
        <v>RF-00001758-MCG</v>
      </c>
    </row>
    <row r="5928" spans="1:2" ht="12.5" x14ac:dyDescent="0.25">
      <c r="A5928" t="str">
        <f ca="1">IFERROR(__xludf.DUMMYFUNCTION("""COMPUTED_VALUE"""),"Salmonella Banjul")</f>
        <v>Salmonella Banjul</v>
      </c>
      <c r="B5928" t="str">
        <f ca="1">IFERROR(__xludf.DUMMYFUNCTION("""COMPUTED_VALUE"""),"RF-00001745-MCG")</f>
        <v>RF-00001745-MCG</v>
      </c>
    </row>
    <row r="5929" spans="1:2" ht="12.5" x14ac:dyDescent="0.25">
      <c r="A5929" t="str">
        <f ca="1">IFERROR(__xludf.DUMMYFUNCTION("""COMPUTED_VALUE"""),"Salmonella Bardo")</f>
        <v>Salmonella Bardo</v>
      </c>
      <c r="B5929" t="str">
        <f ca="1">IFERROR(__xludf.DUMMYFUNCTION("""COMPUTED_VALUE"""),"RF-00001756-MCG")</f>
        <v>RF-00001756-MCG</v>
      </c>
    </row>
    <row r="5930" spans="1:2" ht="12.5" x14ac:dyDescent="0.25">
      <c r="A5930" t="str">
        <f ca="1">IFERROR(__xludf.DUMMYFUNCTION("""COMPUTED_VALUE"""),"Salmonella Bareilly")</f>
        <v>Salmonella Bareilly</v>
      </c>
      <c r="B5930" t="str">
        <f ca="1">IFERROR(__xludf.DUMMYFUNCTION("""COMPUTED_VALUE"""),"RF-00001768-MCG")</f>
        <v>RF-00001768-MCG</v>
      </c>
    </row>
    <row r="5931" spans="1:2" ht="12.5" x14ac:dyDescent="0.25">
      <c r="A5931" t="str">
        <f ca="1">IFERROR(__xludf.DUMMYFUNCTION("""COMPUTED_VALUE"""),"Salmonella Bargny")</f>
        <v>Salmonella Bargny</v>
      </c>
      <c r="B5931" t="str">
        <f ca="1">IFERROR(__xludf.DUMMYFUNCTION("""COMPUTED_VALUE"""),"RF-00001754-MCG")</f>
        <v>RF-00001754-MCG</v>
      </c>
    </row>
    <row r="5932" spans="1:2" ht="12.5" x14ac:dyDescent="0.25">
      <c r="A5932" t="str">
        <f ca="1">IFERROR(__xludf.DUMMYFUNCTION("""COMPUTED_VALUE"""),"Salmonella Barmbek")</f>
        <v>Salmonella Barmbek</v>
      </c>
      <c r="B5932" t="str">
        <f ca="1">IFERROR(__xludf.DUMMYFUNCTION("""COMPUTED_VALUE"""),"RF-00001753-MCG")</f>
        <v>RF-00001753-MCG</v>
      </c>
    </row>
    <row r="5933" spans="1:2" ht="12.5" x14ac:dyDescent="0.25">
      <c r="A5933" t="str">
        <f ca="1">IFERROR(__xludf.DUMMYFUNCTION("""COMPUTED_VALUE"""),"Salmonella Barranquilla")</f>
        <v>Salmonella Barranquilla</v>
      </c>
      <c r="B5933" t="str">
        <f ca="1">IFERROR(__xludf.DUMMYFUNCTION("""COMPUTED_VALUE"""),"RF-00001752-MCG")</f>
        <v>RF-00001752-MCG</v>
      </c>
    </row>
    <row r="5934" spans="1:2" ht="12.5" x14ac:dyDescent="0.25">
      <c r="A5934" t="str">
        <f ca="1">IFERROR(__xludf.DUMMYFUNCTION("""COMPUTED_VALUE"""),"Salmonella Barry")</f>
        <v>Salmonella Barry</v>
      </c>
      <c r="B5934" t="str">
        <f ca="1">IFERROR(__xludf.DUMMYFUNCTION("""COMPUTED_VALUE"""),"RF-00001751-MCG")</f>
        <v>RF-00001751-MCG</v>
      </c>
    </row>
    <row r="5935" spans="1:2" ht="12.5" x14ac:dyDescent="0.25">
      <c r="A5935" t="str">
        <f ca="1">IFERROR(__xludf.DUMMYFUNCTION("""COMPUTED_VALUE"""),"Salmonella Basingstoke")</f>
        <v>Salmonella Basingstoke</v>
      </c>
      <c r="B5935" t="str">
        <f ca="1">IFERROR(__xludf.DUMMYFUNCTION("""COMPUTED_VALUE"""),"RF-00001750-MCG")</f>
        <v>RF-00001750-MCG</v>
      </c>
    </row>
    <row r="5936" spans="1:2" ht="12.5" x14ac:dyDescent="0.25">
      <c r="A5936" t="str">
        <f ca="1">IFERROR(__xludf.DUMMYFUNCTION("""COMPUTED_VALUE"""),"Salmonella Bassa")</f>
        <v>Salmonella Bassa</v>
      </c>
      <c r="B5936" t="str">
        <f ca="1">IFERROR(__xludf.DUMMYFUNCTION("""COMPUTED_VALUE"""),"RF-00001749-MCG")</f>
        <v>RF-00001749-MCG</v>
      </c>
    </row>
    <row r="5937" spans="1:2" ht="12.5" x14ac:dyDescent="0.25">
      <c r="A5937" t="str">
        <f ca="1">IFERROR(__xludf.DUMMYFUNCTION("""COMPUTED_VALUE"""),"Salmonella Bassadji")</f>
        <v>Salmonella Bassadji</v>
      </c>
      <c r="B5937" t="str">
        <f ca="1">IFERROR(__xludf.DUMMYFUNCTION("""COMPUTED_VALUE"""),"RF-00001748-MCG")</f>
        <v>RF-00001748-MCG</v>
      </c>
    </row>
    <row r="5938" spans="1:2" ht="12.5" x14ac:dyDescent="0.25">
      <c r="A5938" t="str">
        <f ca="1">IFERROR(__xludf.DUMMYFUNCTION("""COMPUTED_VALUE"""),"Salmonella Batonrouge")</f>
        <v>Salmonella Batonrouge</v>
      </c>
      <c r="B5938" t="str">
        <f ca="1">IFERROR(__xludf.DUMMYFUNCTION("""COMPUTED_VALUE"""),"RF-00001747-MCG")</f>
        <v>RF-00001747-MCG</v>
      </c>
    </row>
    <row r="5939" spans="1:2" ht="12.5" x14ac:dyDescent="0.25">
      <c r="A5939" t="str">
        <f ca="1">IFERROR(__xludf.DUMMYFUNCTION("""COMPUTED_VALUE"""),"Salmonella Battle")</f>
        <v>Salmonella Battle</v>
      </c>
      <c r="B5939" t="str">
        <f ca="1">IFERROR(__xludf.DUMMYFUNCTION("""COMPUTED_VALUE"""),"RF-00001746-MCG")</f>
        <v>RF-00001746-MCG</v>
      </c>
    </row>
    <row r="5940" spans="1:2" ht="12.5" x14ac:dyDescent="0.25">
      <c r="A5940" t="str">
        <f ca="1">IFERROR(__xludf.DUMMYFUNCTION("""COMPUTED_VALUE"""),"Salmonella Bazenheid")</f>
        <v>Salmonella Bazenheid</v>
      </c>
      <c r="B5940" t="str">
        <f ca="1">IFERROR(__xludf.DUMMYFUNCTION("""COMPUTED_VALUE"""),"RF-00001780-MCG")</f>
        <v>RF-00001780-MCG</v>
      </c>
    </row>
    <row r="5941" spans="1:2" ht="12.5" x14ac:dyDescent="0.25">
      <c r="A5941" t="str">
        <f ca="1">IFERROR(__xludf.DUMMYFUNCTION("""COMPUTED_VALUE"""),"Salmonella Be")</f>
        <v>Salmonella Be</v>
      </c>
      <c r="B5941" t="str">
        <f ca="1">IFERROR(__xludf.DUMMYFUNCTION("""COMPUTED_VALUE"""),"RF-00001782-MCG")</f>
        <v>RF-00001782-MCG</v>
      </c>
    </row>
    <row r="5942" spans="1:2" ht="12.5" x14ac:dyDescent="0.25">
      <c r="A5942" t="str">
        <f ca="1">IFERROR(__xludf.DUMMYFUNCTION("""COMPUTED_VALUE"""),"Salmonella Beaudesert")</f>
        <v>Salmonella Beaudesert</v>
      </c>
      <c r="B5942" t="str">
        <f ca="1">IFERROR(__xludf.DUMMYFUNCTION("""COMPUTED_VALUE"""),"RF-00000450-MCG")</f>
        <v>RF-00000450-MCG</v>
      </c>
    </row>
    <row r="5943" spans="1:2" ht="12.5" x14ac:dyDescent="0.25">
      <c r="A5943" t="str">
        <f ca="1">IFERROR(__xludf.DUMMYFUNCTION("""COMPUTED_VALUE"""),"Salmonella Bedford")</f>
        <v>Salmonella Bedford</v>
      </c>
      <c r="B5943" t="str">
        <f ca="1">IFERROR(__xludf.DUMMYFUNCTION("""COMPUTED_VALUE"""),"RF-00000451-MCG")</f>
        <v>RF-00000451-MCG</v>
      </c>
    </row>
    <row r="5944" spans="1:2" ht="12.5" x14ac:dyDescent="0.25">
      <c r="A5944" t="str">
        <f ca="1">IFERROR(__xludf.DUMMYFUNCTION("""COMPUTED_VALUE"""),"Salmonella Belem")</f>
        <v>Salmonella Belem</v>
      </c>
      <c r="B5944" t="str">
        <f ca="1">IFERROR(__xludf.DUMMYFUNCTION("""COMPUTED_VALUE"""),"RF-00000452-MCG")</f>
        <v>RF-00000452-MCG</v>
      </c>
    </row>
    <row r="5945" spans="1:2" ht="12.5" x14ac:dyDescent="0.25">
      <c r="A5945" t="str">
        <f ca="1">IFERROR(__xludf.DUMMYFUNCTION("""COMPUTED_VALUE"""),"Salmonella Belfast")</f>
        <v>Salmonella Belfast</v>
      </c>
      <c r="B5945" t="str">
        <f ca="1">IFERROR(__xludf.DUMMYFUNCTION("""COMPUTED_VALUE"""),"RF-00000453-MCG")</f>
        <v>RF-00000453-MCG</v>
      </c>
    </row>
    <row r="5946" spans="1:2" ht="12.5" x14ac:dyDescent="0.25">
      <c r="A5946" t="str">
        <f ca="1">IFERROR(__xludf.DUMMYFUNCTION("""COMPUTED_VALUE"""),"Salmonella Bellevue")</f>
        <v>Salmonella Bellevue</v>
      </c>
      <c r="B5946" t="str">
        <f ca="1">IFERROR(__xludf.DUMMYFUNCTION("""COMPUTED_VALUE"""),"RF-00000454-MCG")</f>
        <v>RF-00000454-MCG</v>
      </c>
    </row>
    <row r="5947" spans="1:2" ht="12.5" x14ac:dyDescent="0.25">
      <c r="A5947" t="str">
        <f ca="1">IFERROR(__xludf.DUMMYFUNCTION("""COMPUTED_VALUE"""),"Salmonella Benfica")</f>
        <v>Salmonella Benfica</v>
      </c>
      <c r="B5947" t="str">
        <f ca="1">IFERROR(__xludf.DUMMYFUNCTION("""COMPUTED_VALUE"""),"RF-00000455-MCG")</f>
        <v>RF-00000455-MCG</v>
      </c>
    </row>
    <row r="5948" spans="1:2" ht="12.5" x14ac:dyDescent="0.25">
      <c r="A5948" t="str">
        <f ca="1">IFERROR(__xludf.DUMMYFUNCTION("""COMPUTED_VALUE"""),"Salmonella Benguella")</f>
        <v>Salmonella Benguella</v>
      </c>
      <c r="B5948" t="str">
        <f ca="1">IFERROR(__xludf.DUMMYFUNCTION("""COMPUTED_VALUE"""),"RF-00000456-MCG")</f>
        <v>RF-00000456-MCG</v>
      </c>
    </row>
    <row r="5949" spans="1:2" ht="12.5" x14ac:dyDescent="0.25">
      <c r="A5949" t="str">
        <f ca="1">IFERROR(__xludf.DUMMYFUNCTION("""COMPUTED_VALUE"""),"Salmonella Benin")</f>
        <v>Salmonella Benin</v>
      </c>
      <c r="B5949" t="str">
        <f ca="1">IFERROR(__xludf.DUMMYFUNCTION("""COMPUTED_VALUE"""),"RF-00000457-MCG")</f>
        <v>RF-00000457-MCG</v>
      </c>
    </row>
    <row r="5950" spans="1:2" ht="12.5" x14ac:dyDescent="0.25">
      <c r="A5950" t="str">
        <f ca="1">IFERROR(__xludf.DUMMYFUNCTION("""COMPUTED_VALUE"""),"Salmonella Benue")</f>
        <v>Salmonella Benue</v>
      </c>
      <c r="B5950" t="str">
        <f ca="1">IFERROR(__xludf.DUMMYFUNCTION("""COMPUTED_VALUE"""),"RF-00000458-MCG")</f>
        <v>RF-00000458-MCG</v>
      </c>
    </row>
    <row r="5951" spans="1:2" ht="12.5" x14ac:dyDescent="0.25">
      <c r="A5951" t="str">
        <f ca="1">IFERROR(__xludf.DUMMYFUNCTION("""COMPUTED_VALUE"""),"Salmonella Bere")</f>
        <v>Salmonella Bere</v>
      </c>
      <c r="B5951" t="str">
        <f ca="1">IFERROR(__xludf.DUMMYFUNCTION("""COMPUTED_VALUE"""),"RF-00000459-MCG")</f>
        <v>RF-00000459-MCG</v>
      </c>
    </row>
    <row r="5952" spans="1:2" ht="12.5" x14ac:dyDescent="0.25">
      <c r="A5952" t="str">
        <f ca="1">IFERROR(__xludf.DUMMYFUNCTION("""COMPUTED_VALUE"""),"Salmonella Bergedorf")</f>
        <v>Salmonella Bergedorf</v>
      </c>
      <c r="B5952" t="str">
        <f ca="1">IFERROR(__xludf.DUMMYFUNCTION("""COMPUTED_VALUE"""),"RF-00000460-MCG")</f>
        <v>RF-00000460-MCG</v>
      </c>
    </row>
    <row r="5953" spans="1:2" ht="12.5" x14ac:dyDescent="0.25">
      <c r="A5953" t="str">
        <f ca="1">IFERROR(__xludf.DUMMYFUNCTION("""COMPUTED_VALUE"""),"Salmonella Bergen")</f>
        <v>Salmonella Bergen</v>
      </c>
      <c r="B5953" t="str">
        <f ca="1">IFERROR(__xludf.DUMMYFUNCTION("""COMPUTED_VALUE"""),"RF-00000461-MCG")</f>
        <v>RF-00000461-MCG</v>
      </c>
    </row>
    <row r="5954" spans="1:2" ht="12.5" x14ac:dyDescent="0.25">
      <c r="A5954" t="str">
        <f ca="1">IFERROR(__xludf.DUMMYFUNCTION("""COMPUTED_VALUE"""),"Salmonella Bergues")</f>
        <v>Salmonella Bergues</v>
      </c>
      <c r="B5954" t="str">
        <f ca="1">IFERROR(__xludf.DUMMYFUNCTION("""COMPUTED_VALUE"""),"RF-00000477-MCG")</f>
        <v>RF-00000477-MCG</v>
      </c>
    </row>
    <row r="5955" spans="1:2" ht="12.5" x14ac:dyDescent="0.25">
      <c r="A5955" t="str">
        <f ca="1">IFERROR(__xludf.DUMMYFUNCTION("""COMPUTED_VALUE"""),"Salmonella Berkeley")</f>
        <v>Salmonella Berkeley</v>
      </c>
      <c r="B5955" t="str">
        <f ca="1">IFERROR(__xludf.DUMMYFUNCTION("""COMPUTED_VALUE"""),"RF-00000463-MCG")</f>
        <v>RF-00000463-MCG</v>
      </c>
    </row>
    <row r="5956" spans="1:2" ht="12.5" x14ac:dyDescent="0.25">
      <c r="A5956" t="str">
        <f ca="1">IFERROR(__xludf.DUMMYFUNCTION("""COMPUTED_VALUE"""),"Salmonella Berlin")</f>
        <v>Salmonella Berlin</v>
      </c>
      <c r="B5956" t="str">
        <f ca="1">IFERROR(__xludf.DUMMYFUNCTION("""COMPUTED_VALUE"""),"RF-00000449-MCG")</f>
        <v>RF-00000449-MCG</v>
      </c>
    </row>
    <row r="5957" spans="1:2" ht="12.5" x14ac:dyDescent="0.25">
      <c r="A5957" t="str">
        <f ca="1">IFERROR(__xludf.DUMMYFUNCTION("""COMPUTED_VALUE"""),"Salmonella Berta")</f>
        <v>Salmonella Berta</v>
      </c>
      <c r="B5957" t="str">
        <f ca="1">IFERROR(__xludf.DUMMYFUNCTION("""COMPUTED_VALUE"""),"RF-00000465-MCG")</f>
        <v>RF-00000465-MCG</v>
      </c>
    </row>
    <row r="5958" spans="1:2" ht="12.5" x14ac:dyDescent="0.25">
      <c r="A5958" t="str">
        <f ca="1">IFERROR(__xludf.DUMMYFUNCTION("""COMPUTED_VALUE"""),"Salmonella Bessi")</f>
        <v>Salmonella Bessi</v>
      </c>
      <c r="B5958" t="str">
        <f ca="1">IFERROR(__xludf.DUMMYFUNCTION("""COMPUTED_VALUE"""),"RF-00000466-MCG")</f>
        <v>RF-00000466-MCG</v>
      </c>
    </row>
    <row r="5959" spans="1:2" ht="12.5" x14ac:dyDescent="0.25">
      <c r="A5959" t="str">
        <f ca="1">IFERROR(__xludf.DUMMYFUNCTION("""COMPUTED_VALUE"""),"Salmonella Bethune")</f>
        <v>Salmonella Bethune</v>
      </c>
      <c r="B5959" t="str">
        <f ca="1">IFERROR(__xludf.DUMMYFUNCTION("""COMPUTED_VALUE"""),"RF-00000467-MCG")</f>
        <v>RF-00000467-MCG</v>
      </c>
    </row>
    <row r="5960" spans="1:2" ht="12.5" x14ac:dyDescent="0.25">
      <c r="A5960" t="str">
        <f ca="1">IFERROR(__xludf.DUMMYFUNCTION("""COMPUTED_VALUE"""),"Salmonella Biafra")</f>
        <v>Salmonella Biafra</v>
      </c>
      <c r="B5960" t="str">
        <f ca="1">IFERROR(__xludf.DUMMYFUNCTION("""COMPUTED_VALUE"""),"RF-00000468-MCG")</f>
        <v>RF-00000468-MCG</v>
      </c>
    </row>
    <row r="5961" spans="1:2" ht="12.5" x14ac:dyDescent="0.25">
      <c r="A5961" t="str">
        <f ca="1">IFERROR(__xludf.DUMMYFUNCTION("""COMPUTED_VALUE"""),"Salmonella Bida")</f>
        <v>Salmonella Bida</v>
      </c>
      <c r="B5961" t="str">
        <f ca="1">IFERROR(__xludf.DUMMYFUNCTION("""COMPUTED_VALUE"""),"RF-00000469-MCG")</f>
        <v>RF-00000469-MCG</v>
      </c>
    </row>
    <row r="5962" spans="1:2" ht="12.5" x14ac:dyDescent="0.25">
      <c r="A5962" t="str">
        <f ca="1">IFERROR(__xludf.DUMMYFUNCTION("""COMPUTED_VALUE"""),"Salmonella Bietri")</f>
        <v>Salmonella Bietri</v>
      </c>
      <c r="B5962" t="str">
        <f ca="1">IFERROR(__xludf.DUMMYFUNCTION("""COMPUTED_VALUE"""),"RF-00000470-MCG")</f>
        <v>RF-00000470-MCG</v>
      </c>
    </row>
    <row r="5963" spans="1:2" ht="12.5" x14ac:dyDescent="0.25">
      <c r="A5963" t="str">
        <f ca="1">IFERROR(__xludf.DUMMYFUNCTION("""COMPUTED_VALUE"""),"Salmonella Bignona")</f>
        <v>Salmonella Bignona</v>
      </c>
      <c r="B5963" t="str">
        <f ca="1">IFERROR(__xludf.DUMMYFUNCTION("""COMPUTED_VALUE"""),"RF-00000471-MCG")</f>
        <v>RF-00000471-MCG</v>
      </c>
    </row>
    <row r="5964" spans="1:2" ht="12.5" x14ac:dyDescent="0.25">
      <c r="A5964" t="str">
        <f ca="1">IFERROR(__xludf.DUMMYFUNCTION("""COMPUTED_VALUE"""),"Salmonella Bijlmer")</f>
        <v>Salmonella Bijlmer</v>
      </c>
      <c r="B5964" t="str">
        <f ca="1">IFERROR(__xludf.DUMMYFUNCTION("""COMPUTED_VALUE"""),"RF-00000472-MCG")</f>
        <v>RF-00000472-MCG</v>
      </c>
    </row>
    <row r="5965" spans="1:2" ht="12.5" x14ac:dyDescent="0.25">
      <c r="A5965" t="str">
        <f ca="1">IFERROR(__xludf.DUMMYFUNCTION("""COMPUTED_VALUE"""),"Salmonella Bilu")</f>
        <v>Salmonella Bilu</v>
      </c>
      <c r="B5965" t="str">
        <f ca="1">IFERROR(__xludf.DUMMYFUNCTION("""COMPUTED_VALUE"""),"RF-00000473-MCG")</f>
        <v>RF-00000473-MCG</v>
      </c>
    </row>
    <row r="5966" spans="1:2" ht="12.5" x14ac:dyDescent="0.25">
      <c r="A5966" t="str">
        <f ca="1">IFERROR(__xludf.DUMMYFUNCTION("""COMPUTED_VALUE"""),"Salmonella Binche")</f>
        <v>Salmonella Binche</v>
      </c>
      <c r="B5966" t="str">
        <f ca="1">IFERROR(__xludf.DUMMYFUNCTION("""COMPUTED_VALUE"""),"RF-00000474-MCG")</f>
        <v>RF-00000474-MCG</v>
      </c>
    </row>
    <row r="5967" spans="1:2" ht="12.5" x14ac:dyDescent="0.25">
      <c r="A5967" t="str">
        <f ca="1">IFERROR(__xludf.DUMMYFUNCTION("""COMPUTED_VALUE"""),"Salmonella Bingerville")</f>
        <v>Salmonella Bingerville</v>
      </c>
      <c r="B5967" t="str">
        <f ca="1">IFERROR(__xludf.DUMMYFUNCTION("""COMPUTED_VALUE"""),"RF-00000475-MCG")</f>
        <v>RF-00000475-MCG</v>
      </c>
    </row>
    <row r="5968" spans="1:2" ht="12.5" x14ac:dyDescent="0.25">
      <c r="A5968" t="str">
        <f ca="1">IFERROR(__xludf.DUMMYFUNCTION("""COMPUTED_VALUE"""),"Salmonella Binningen")</f>
        <v>Salmonella Binningen</v>
      </c>
      <c r="B5968" t="str">
        <f ca="1">IFERROR(__xludf.DUMMYFUNCTION("""COMPUTED_VALUE"""),"RF-00000476-MCG")</f>
        <v>RF-00000476-MCG</v>
      </c>
    </row>
    <row r="5969" spans="1:2" ht="12.5" x14ac:dyDescent="0.25">
      <c r="A5969" t="str">
        <f ca="1">IFERROR(__xludf.DUMMYFUNCTION("""COMPUTED_VALUE"""),"Salmonella Binza")</f>
        <v>Salmonella Binza</v>
      </c>
      <c r="B5969" t="str">
        <f ca="1">IFERROR(__xludf.DUMMYFUNCTION("""COMPUTED_VALUE"""),"RF-00000435-MCG")</f>
        <v>RF-00000435-MCG</v>
      </c>
    </row>
    <row r="5970" spans="1:2" ht="12.5" x14ac:dyDescent="0.25">
      <c r="A5970" t="str">
        <f ca="1">IFERROR(__xludf.DUMMYFUNCTION("""COMPUTED_VALUE"""),"Salmonella Birkenhead")</f>
        <v>Salmonella Birkenhead</v>
      </c>
      <c r="B5970" t="str">
        <f ca="1">IFERROR(__xludf.DUMMYFUNCTION("""COMPUTED_VALUE"""),"RF-00000433-MCG")</f>
        <v>RF-00000433-MCG</v>
      </c>
    </row>
    <row r="5971" spans="1:2" ht="12.5" x14ac:dyDescent="0.25">
      <c r="A5971" t="str">
        <f ca="1">IFERROR(__xludf.DUMMYFUNCTION("""COMPUTED_VALUE"""),"Salmonella Birmingham")</f>
        <v>Salmonella Birmingham</v>
      </c>
      <c r="B5971" t="str">
        <f ca="1">IFERROR(__xludf.DUMMYFUNCTION("""COMPUTED_VALUE"""),"RF-00000462-MCG")</f>
        <v>RF-00000462-MCG</v>
      </c>
    </row>
    <row r="5972" spans="1:2" ht="12.5" x14ac:dyDescent="0.25">
      <c r="A5972" t="str">
        <f ca="1">IFERROR(__xludf.DUMMYFUNCTION("""COMPUTED_VALUE"""),"Salmonella Bispebjerg")</f>
        <v>Salmonella Bispebjerg</v>
      </c>
      <c r="B5972" t="str">
        <f ca="1">IFERROR(__xludf.DUMMYFUNCTION("""COMPUTED_VALUE"""),"RF-00000422-MCG")</f>
        <v>RF-00000422-MCG</v>
      </c>
    </row>
    <row r="5973" spans="1:2" ht="12.5" x14ac:dyDescent="0.25">
      <c r="A5973" t="str">
        <f ca="1">IFERROR(__xludf.DUMMYFUNCTION("""COMPUTED_VALUE"""),"Salmonella Bissau")</f>
        <v>Salmonella Bissau</v>
      </c>
      <c r="B5973" t="str">
        <f ca="1">IFERROR(__xludf.DUMMYFUNCTION("""COMPUTED_VALUE"""),"RF-00000423-MCG")</f>
        <v>RF-00000423-MCG</v>
      </c>
    </row>
    <row r="5974" spans="1:2" ht="12.5" x14ac:dyDescent="0.25">
      <c r="A5974" t="str">
        <f ca="1">IFERROR(__xludf.DUMMYFUNCTION("""COMPUTED_VALUE"""),"Salmonella Blegdam")</f>
        <v>Salmonella Blegdam</v>
      </c>
      <c r="B5974" t="str">
        <f ca="1">IFERROR(__xludf.DUMMYFUNCTION("""COMPUTED_VALUE"""),"RF-00000424-MCG")</f>
        <v>RF-00000424-MCG</v>
      </c>
    </row>
    <row r="5975" spans="1:2" ht="12.5" x14ac:dyDescent="0.25">
      <c r="A5975" t="str">
        <f ca="1">IFERROR(__xludf.DUMMYFUNCTION("""COMPUTED_VALUE"""),"Salmonella Blijdorp")</f>
        <v>Salmonella Blijdorp</v>
      </c>
      <c r="B5975" t="str">
        <f ca="1">IFERROR(__xludf.DUMMYFUNCTION("""COMPUTED_VALUE"""),"RF-00000425-MCG")</f>
        <v>RF-00000425-MCG</v>
      </c>
    </row>
    <row r="5976" spans="1:2" ht="12.5" x14ac:dyDescent="0.25">
      <c r="A5976" t="str">
        <f ca="1">IFERROR(__xludf.DUMMYFUNCTION("""COMPUTED_VALUE"""),"Salmonella Blitta")</f>
        <v>Salmonella Blitta</v>
      </c>
      <c r="B5976" t="str">
        <f ca="1">IFERROR(__xludf.DUMMYFUNCTION("""COMPUTED_VALUE"""),"RF-00000426-MCG")</f>
        <v>RF-00000426-MCG</v>
      </c>
    </row>
    <row r="5977" spans="1:2" ht="12.5" x14ac:dyDescent="0.25">
      <c r="A5977" t="str">
        <f ca="1">IFERROR(__xludf.DUMMYFUNCTION("""COMPUTED_VALUE"""),"Salmonella Blockley")</f>
        <v>Salmonella Blockley</v>
      </c>
      <c r="B5977" t="str">
        <f ca="1">IFERROR(__xludf.DUMMYFUNCTION("""COMPUTED_VALUE"""),"RF-00000427-MCG")</f>
        <v>RF-00000427-MCG</v>
      </c>
    </row>
    <row r="5978" spans="1:2" ht="12.5" x14ac:dyDescent="0.25">
      <c r="A5978" t="str">
        <f ca="1">IFERROR(__xludf.DUMMYFUNCTION("""COMPUTED_VALUE"""),"Salmonella Bloomsbury")</f>
        <v>Salmonella Bloomsbury</v>
      </c>
      <c r="B5978" t="str">
        <f ca="1">IFERROR(__xludf.DUMMYFUNCTION("""COMPUTED_VALUE"""),"RF-00000428-MCG")</f>
        <v>RF-00000428-MCG</v>
      </c>
    </row>
    <row r="5979" spans="1:2" ht="12.5" x14ac:dyDescent="0.25">
      <c r="A5979" t="str">
        <f ca="1">IFERROR(__xludf.DUMMYFUNCTION("""COMPUTED_VALUE"""),"Salmonella Blukwa")</f>
        <v>Salmonella Blukwa</v>
      </c>
      <c r="B5979" t="str">
        <f ca="1">IFERROR(__xludf.DUMMYFUNCTION("""COMPUTED_VALUE"""),"RF-00000429-MCG")</f>
        <v>RF-00000429-MCG</v>
      </c>
    </row>
    <row r="5980" spans="1:2" ht="12.5" x14ac:dyDescent="0.25">
      <c r="A5980" t="str">
        <f ca="1">IFERROR(__xludf.DUMMYFUNCTION("""COMPUTED_VALUE"""),"Salmonella Bobo")</f>
        <v>Salmonella Bobo</v>
      </c>
      <c r="B5980" t="str">
        <f ca="1">IFERROR(__xludf.DUMMYFUNCTION("""COMPUTED_VALUE"""),"RF-00000430-MCG")</f>
        <v>RF-00000430-MCG</v>
      </c>
    </row>
    <row r="5981" spans="1:2" ht="12.5" x14ac:dyDescent="0.25">
      <c r="A5981" t="str">
        <f ca="1">IFERROR(__xludf.DUMMYFUNCTION("""COMPUTED_VALUE"""),"Salmonella Bochum")</f>
        <v>Salmonella Bochum</v>
      </c>
      <c r="B5981" t="str">
        <f ca="1">IFERROR(__xludf.DUMMYFUNCTION("""COMPUTED_VALUE"""),"RF-00000431-MCG")</f>
        <v>RF-00000431-MCG</v>
      </c>
    </row>
    <row r="5982" spans="1:2" ht="12.5" x14ac:dyDescent="0.25">
      <c r="A5982" t="str">
        <f ca="1">IFERROR(__xludf.DUMMYFUNCTION("""COMPUTED_VALUE"""),"Salmonella Bodjonegoro")</f>
        <v>Salmonella Bodjonegoro</v>
      </c>
      <c r="B5982" t="str">
        <f ca="1">IFERROR(__xludf.DUMMYFUNCTION("""COMPUTED_VALUE"""),"RF-00000432-MCG")</f>
        <v>RF-00000432-MCG</v>
      </c>
    </row>
    <row r="5983" spans="1:2" ht="12.5" x14ac:dyDescent="0.25">
      <c r="A5983" t="str">
        <f ca="1">IFERROR(__xludf.DUMMYFUNCTION("""COMPUTED_VALUE"""),"Salmonella Boecker")</f>
        <v>Salmonella Boecker</v>
      </c>
      <c r="B5983" t="str">
        <f ca="1">IFERROR(__xludf.DUMMYFUNCTION("""COMPUTED_VALUE"""),"RF-00000448-MCG")</f>
        <v>RF-00000448-MCG</v>
      </c>
    </row>
    <row r="5984" spans="1:2" ht="12.5" x14ac:dyDescent="0.25">
      <c r="A5984" t="str">
        <f ca="1">IFERROR(__xludf.DUMMYFUNCTION("""COMPUTED_VALUE"""),"Salmonella Bofflens")</f>
        <v>Salmonella Bofflens</v>
      </c>
      <c r="B5984" t="str">
        <f ca="1">IFERROR(__xludf.DUMMYFUNCTION("""COMPUTED_VALUE"""),"RF-00000434-MCG")</f>
        <v>RF-00000434-MCG</v>
      </c>
    </row>
    <row r="5985" spans="1:2" ht="12.5" x14ac:dyDescent="0.25">
      <c r="A5985" t="str">
        <f ca="1">IFERROR(__xludf.DUMMYFUNCTION("""COMPUTED_VALUE"""),"Salmonella Bokanjac")</f>
        <v>Salmonella Bokanjac</v>
      </c>
      <c r="B5985" t="str">
        <f ca="1">IFERROR(__xludf.DUMMYFUNCTION("""COMPUTED_VALUE"""),"RF-00000420-MCG")</f>
        <v>RF-00000420-MCG</v>
      </c>
    </row>
    <row r="5986" spans="1:2" ht="12.5" x14ac:dyDescent="0.25">
      <c r="A5986" t="str">
        <f ca="1">IFERROR(__xludf.DUMMYFUNCTION("""COMPUTED_VALUE"""),"Salmonella Bolama")</f>
        <v>Salmonella Bolama</v>
      </c>
      <c r="B5986" t="str">
        <f ca="1">IFERROR(__xludf.DUMMYFUNCTION("""COMPUTED_VALUE"""),"RF-00000436-MCG")</f>
        <v>RF-00000436-MCG</v>
      </c>
    </row>
    <row r="5987" spans="1:2" ht="12.5" x14ac:dyDescent="0.25">
      <c r="A5987" t="str">
        <f ca="1">IFERROR(__xludf.DUMMYFUNCTION("""COMPUTED_VALUE"""),"Salmonella Bolombo")</f>
        <v>Salmonella Bolombo</v>
      </c>
      <c r="B5987" t="str">
        <f ca="1">IFERROR(__xludf.DUMMYFUNCTION("""COMPUTED_VALUE"""),"RF-00000437-MCG")</f>
        <v>RF-00000437-MCG</v>
      </c>
    </row>
    <row r="5988" spans="1:2" ht="12.5" x14ac:dyDescent="0.25">
      <c r="A5988" t="str">
        <f ca="1">IFERROR(__xludf.DUMMYFUNCTION("""COMPUTED_VALUE"""),"Salmonella Bolton")</f>
        <v>Salmonella Bolton</v>
      </c>
      <c r="B5988" t="str">
        <f ca="1">IFERROR(__xludf.DUMMYFUNCTION("""COMPUTED_VALUE"""),"RF-00000438-MCG")</f>
        <v>RF-00000438-MCG</v>
      </c>
    </row>
    <row r="5989" spans="1:2" ht="12.5" x14ac:dyDescent="0.25">
      <c r="A5989" t="str">
        <f ca="1">IFERROR(__xludf.DUMMYFUNCTION("""COMPUTED_VALUE"""),"Salmonella Bonames")</f>
        <v>Salmonella Bonames</v>
      </c>
      <c r="B5989" t="str">
        <f ca="1">IFERROR(__xludf.DUMMYFUNCTION("""COMPUTED_VALUE"""),"RF-00000439-MCG")</f>
        <v>RF-00000439-MCG</v>
      </c>
    </row>
    <row r="5990" spans="1:2" ht="12.5" x14ac:dyDescent="0.25">
      <c r="A5990" t="str">
        <f ca="1">IFERROR(__xludf.DUMMYFUNCTION("""COMPUTED_VALUE"""),"Salmonella Bonariensis")</f>
        <v>Salmonella Bonariensis</v>
      </c>
      <c r="B5990" t="str">
        <f ca="1">IFERROR(__xludf.DUMMYFUNCTION("""COMPUTED_VALUE"""),"RF-00000440-MCG")</f>
        <v>RF-00000440-MCG</v>
      </c>
    </row>
    <row r="5991" spans="1:2" ht="12.5" x14ac:dyDescent="0.25">
      <c r="A5991" t="str">
        <f ca="1">IFERROR(__xludf.DUMMYFUNCTION("""COMPUTED_VALUE"""),"Salmonella Bongori")</f>
        <v>Salmonella Bongori</v>
      </c>
      <c r="B5991" t="str">
        <f ca="1">IFERROR(__xludf.DUMMYFUNCTION("""COMPUTED_VALUE"""),"RF-00001328-PAR")</f>
        <v>RF-00001328-PAR</v>
      </c>
    </row>
    <row r="5992" spans="1:2" ht="12.5" x14ac:dyDescent="0.25">
      <c r="A5992" t="str">
        <f ca="1">IFERROR(__xludf.DUMMYFUNCTION("""COMPUTED_VALUE"""),"Salmonella Bonn")</f>
        <v>Salmonella Bonn</v>
      </c>
      <c r="B5992" t="str">
        <f ca="1">IFERROR(__xludf.DUMMYFUNCTION("""COMPUTED_VALUE"""),"RF-00000441-MCG")</f>
        <v>RF-00000441-MCG</v>
      </c>
    </row>
    <row r="5993" spans="1:2" ht="12.5" x14ac:dyDescent="0.25">
      <c r="A5993" t="str">
        <f ca="1">IFERROR(__xludf.DUMMYFUNCTION("""COMPUTED_VALUE"""),"Salmonella Bootle")</f>
        <v>Salmonella Bootle</v>
      </c>
      <c r="B5993" t="str">
        <f ca="1">IFERROR(__xludf.DUMMYFUNCTION("""COMPUTED_VALUE"""),"RF-00000442-MCG")</f>
        <v>RF-00000442-MCG</v>
      </c>
    </row>
    <row r="5994" spans="1:2" ht="12.5" x14ac:dyDescent="0.25">
      <c r="A5994" t="str">
        <f ca="1">IFERROR(__xludf.DUMMYFUNCTION("""COMPUTED_VALUE"""),"Salmonella Borbeck")</f>
        <v>Salmonella Borbeck</v>
      </c>
      <c r="B5994" t="str">
        <f ca="1">IFERROR(__xludf.DUMMYFUNCTION("""COMPUTED_VALUE"""),"RF-00000443-MCG")</f>
        <v>RF-00000443-MCG</v>
      </c>
    </row>
    <row r="5995" spans="1:2" ht="12.5" x14ac:dyDescent="0.25">
      <c r="A5995" t="str">
        <f ca="1">IFERROR(__xludf.DUMMYFUNCTION("""COMPUTED_VALUE"""),"Salmonella Bordeaux")</f>
        <v>Salmonella Bordeaux</v>
      </c>
      <c r="B5995" t="str">
        <f ca="1">IFERROR(__xludf.DUMMYFUNCTION("""COMPUTED_VALUE"""),"RF-00000444-MCG")</f>
        <v>RF-00000444-MCG</v>
      </c>
    </row>
    <row r="5996" spans="1:2" ht="12.5" x14ac:dyDescent="0.25">
      <c r="A5996" t="str">
        <f ca="1">IFERROR(__xludf.DUMMYFUNCTION("""COMPUTED_VALUE"""),"Salmonella Borreze")</f>
        <v>Salmonella Borreze</v>
      </c>
      <c r="B5996" t="str">
        <f ca="1">IFERROR(__xludf.DUMMYFUNCTION("""COMPUTED_VALUE"""),"RF-00000445-MCG")</f>
        <v>RF-00000445-MCG</v>
      </c>
    </row>
    <row r="5997" spans="1:2" ht="12.5" x14ac:dyDescent="0.25">
      <c r="A5997" t="str">
        <f ca="1">IFERROR(__xludf.DUMMYFUNCTION("""COMPUTED_VALUE"""),"Salmonella Borromea")</f>
        <v>Salmonella Borromea</v>
      </c>
      <c r="B5997" t="str">
        <f ca="1">IFERROR(__xludf.DUMMYFUNCTION("""COMPUTED_VALUE"""),"RF-00000446-MCG")</f>
        <v>RF-00000446-MCG</v>
      </c>
    </row>
    <row r="5998" spans="1:2" ht="12.5" x14ac:dyDescent="0.25">
      <c r="A5998" t="str">
        <f ca="1">IFERROR(__xludf.DUMMYFUNCTION("""COMPUTED_VALUE"""),"Salmonella Bouake")</f>
        <v>Salmonella Bouake</v>
      </c>
      <c r="B5998" t="str">
        <f ca="1">IFERROR(__xludf.DUMMYFUNCTION("""COMPUTED_VALUE"""),"RF-00000447-MCG")</f>
        <v>RF-00000447-MCG</v>
      </c>
    </row>
    <row r="5999" spans="1:2" ht="12.5" x14ac:dyDescent="0.25">
      <c r="A5999" t="str">
        <f ca="1">IFERROR(__xludf.DUMMYFUNCTION("""COMPUTED_VALUE"""),"Salmonella Bournemouth")</f>
        <v>Salmonella Bournemouth</v>
      </c>
      <c r="B5999" t="str">
        <f ca="1">IFERROR(__xludf.DUMMYFUNCTION("""COMPUTED_VALUE"""),"RF-00000491-MCG")</f>
        <v>RF-00000491-MCG</v>
      </c>
    </row>
    <row r="6000" spans="1:2" ht="12.5" x14ac:dyDescent="0.25">
      <c r="A6000" t="str">
        <f ca="1">IFERROR(__xludf.DUMMYFUNCTION("""COMPUTED_VALUE"""),"Salmonella Bousso")</f>
        <v>Salmonella Bousso</v>
      </c>
      <c r="B6000" t="str">
        <f ca="1">IFERROR(__xludf.DUMMYFUNCTION("""COMPUTED_VALUE"""),"RF-00000535-MCG")</f>
        <v>RF-00000535-MCG</v>
      </c>
    </row>
    <row r="6001" spans="1:2" ht="12.5" x14ac:dyDescent="0.25">
      <c r="A6001" t="str">
        <f ca="1">IFERROR(__xludf.DUMMYFUNCTION("""COMPUTED_VALUE"""),"Salmonella Bovismorbificans")</f>
        <v>Salmonella Bovismorbificans</v>
      </c>
      <c r="B6001" t="str">
        <f ca="1">IFERROR(__xludf.DUMMYFUNCTION("""COMPUTED_VALUE"""),"RF-00000464-MCG")</f>
        <v>RF-00000464-MCG</v>
      </c>
    </row>
    <row r="6002" spans="1:2" ht="12.5" x14ac:dyDescent="0.25">
      <c r="A6002" t="str">
        <f ca="1">IFERROR(__xludf.DUMMYFUNCTION("""COMPUTED_VALUE"""),"Salmonella Bracknell")</f>
        <v>Salmonella Bracknell</v>
      </c>
      <c r="B6002" t="str">
        <f ca="1">IFERROR(__xludf.DUMMYFUNCTION("""COMPUTED_VALUE"""),"RF-00000509-MCG")</f>
        <v>RF-00000509-MCG</v>
      </c>
    </row>
    <row r="6003" spans="1:2" ht="12.5" x14ac:dyDescent="0.25">
      <c r="A6003" t="str">
        <f ca="1">IFERROR(__xludf.DUMMYFUNCTION("""COMPUTED_VALUE"""),"Salmonella Bradford")</f>
        <v>Salmonella Bradford</v>
      </c>
      <c r="B6003" t="str">
        <f ca="1">IFERROR(__xludf.DUMMYFUNCTION("""COMPUTED_VALUE"""),"RF-00000510-MCG")</f>
        <v>RF-00000510-MCG</v>
      </c>
    </row>
    <row r="6004" spans="1:2" ht="12.5" x14ac:dyDescent="0.25">
      <c r="A6004" t="str">
        <f ca="1">IFERROR(__xludf.DUMMYFUNCTION("""COMPUTED_VALUE"""),"Salmonella Braenderup")</f>
        <v>Salmonella Braenderup</v>
      </c>
      <c r="B6004" t="str">
        <f ca="1">IFERROR(__xludf.DUMMYFUNCTION("""COMPUTED_VALUE"""),"RF-00000511-MCG")</f>
        <v>RF-00000511-MCG</v>
      </c>
    </row>
    <row r="6005" spans="1:2" ht="12.5" x14ac:dyDescent="0.25">
      <c r="A6005" t="str">
        <f ca="1">IFERROR(__xludf.DUMMYFUNCTION("""COMPUTED_VALUE"""),"Salmonella Brancaster")</f>
        <v>Salmonella Brancaster</v>
      </c>
      <c r="B6005" t="str">
        <f ca="1">IFERROR(__xludf.DUMMYFUNCTION("""COMPUTED_VALUE"""),"RF-00000512-MCG")</f>
        <v>RF-00000512-MCG</v>
      </c>
    </row>
    <row r="6006" spans="1:2" ht="12.5" x14ac:dyDescent="0.25">
      <c r="A6006" t="str">
        <f ca="1">IFERROR(__xludf.DUMMYFUNCTION("""COMPUTED_VALUE"""),"Salmonella Brandenburg")</f>
        <v>Salmonella Brandenburg</v>
      </c>
      <c r="B6006" t="str">
        <f ca="1">IFERROR(__xludf.DUMMYFUNCTION("""COMPUTED_VALUE"""),"RF-00000513-MCG")</f>
        <v>RF-00000513-MCG</v>
      </c>
    </row>
    <row r="6007" spans="1:2" ht="12.5" x14ac:dyDescent="0.25">
      <c r="A6007" t="str">
        <f ca="1">IFERROR(__xludf.DUMMYFUNCTION("""COMPUTED_VALUE"""),"Salmonella Brazil")</f>
        <v>Salmonella Brazil</v>
      </c>
      <c r="B6007" t="str">
        <f ca="1">IFERROR(__xludf.DUMMYFUNCTION("""COMPUTED_VALUE"""),"RF-00000514-MCG")</f>
        <v>RF-00000514-MCG</v>
      </c>
    </row>
    <row r="6008" spans="1:2" ht="12.5" x14ac:dyDescent="0.25">
      <c r="A6008" t="str">
        <f ca="1">IFERROR(__xludf.DUMMYFUNCTION("""COMPUTED_VALUE"""),"Salmonella Brazos")</f>
        <v>Salmonella Brazos</v>
      </c>
      <c r="B6008" t="str">
        <f ca="1">IFERROR(__xludf.DUMMYFUNCTION("""COMPUTED_VALUE"""),"RF-00000515-MCG")</f>
        <v>RF-00000515-MCG</v>
      </c>
    </row>
    <row r="6009" spans="1:2" ht="12.5" x14ac:dyDescent="0.25">
      <c r="A6009" t="str">
        <f ca="1">IFERROR(__xludf.DUMMYFUNCTION("""COMPUTED_VALUE"""),"Salmonella Brazzaville")</f>
        <v>Salmonella Brazzaville</v>
      </c>
      <c r="B6009" t="str">
        <f ca="1">IFERROR(__xludf.DUMMYFUNCTION("""COMPUTED_VALUE"""),"RF-00000516-MCG")</f>
        <v>RF-00000516-MCG</v>
      </c>
    </row>
    <row r="6010" spans="1:2" ht="12.5" x14ac:dyDescent="0.25">
      <c r="A6010" t="str">
        <f ca="1">IFERROR(__xludf.DUMMYFUNCTION("""COMPUTED_VALUE"""),"Salmonella Breda")</f>
        <v>Salmonella Breda</v>
      </c>
      <c r="B6010" t="str">
        <f ca="1">IFERROR(__xludf.DUMMYFUNCTION("""COMPUTED_VALUE"""),"RF-00000517-MCG")</f>
        <v>RF-00000517-MCG</v>
      </c>
    </row>
    <row r="6011" spans="1:2" ht="12.5" x14ac:dyDescent="0.25">
      <c r="A6011" t="str">
        <f ca="1">IFERROR(__xludf.DUMMYFUNCTION("""COMPUTED_VALUE"""),"Salmonella Bredeney")</f>
        <v>Salmonella Bredeney</v>
      </c>
      <c r="B6011" t="str">
        <f ca="1">IFERROR(__xludf.DUMMYFUNCTION("""COMPUTED_VALUE"""),"RF-00000518-MCG")</f>
        <v>RF-00000518-MCG</v>
      </c>
    </row>
    <row r="6012" spans="1:2" ht="12.5" x14ac:dyDescent="0.25">
      <c r="A6012" t="str">
        <f ca="1">IFERROR(__xludf.DUMMYFUNCTION("""COMPUTED_VALUE"""),"Salmonella Brefet")</f>
        <v>Salmonella Brefet</v>
      </c>
      <c r="B6012" t="str">
        <f ca="1">IFERROR(__xludf.DUMMYFUNCTION("""COMPUTED_VALUE"""),"RF-00000519-MCG")</f>
        <v>RF-00000519-MCG</v>
      </c>
    </row>
    <row r="6013" spans="1:2" ht="12.5" x14ac:dyDescent="0.25">
      <c r="A6013" t="str">
        <f ca="1">IFERROR(__xludf.DUMMYFUNCTION("""COMPUTED_VALUE"""),"Salmonella Breukelen")</f>
        <v>Salmonella Breukelen</v>
      </c>
      <c r="B6013" t="str">
        <f ca="1">IFERROR(__xludf.DUMMYFUNCTION("""COMPUTED_VALUE"""),"RF-00000536-MCG")</f>
        <v>RF-00000536-MCG</v>
      </c>
    </row>
    <row r="6014" spans="1:2" ht="12.5" x14ac:dyDescent="0.25">
      <c r="A6014" t="str">
        <f ca="1">IFERROR(__xludf.DUMMYFUNCTION("""COMPUTED_VALUE"""),"Salmonella Brevik")</f>
        <v>Salmonella Brevik</v>
      </c>
      <c r="B6014" t="str">
        <f ca="1">IFERROR(__xludf.DUMMYFUNCTION("""COMPUTED_VALUE"""),"RF-00000521-MCG")</f>
        <v>RF-00000521-MCG</v>
      </c>
    </row>
    <row r="6015" spans="1:2" ht="12.5" x14ac:dyDescent="0.25">
      <c r="A6015" t="str">
        <f ca="1">IFERROR(__xludf.DUMMYFUNCTION("""COMPUTED_VALUE"""),"Salmonella Brezany")</f>
        <v>Salmonella Brezany</v>
      </c>
      <c r="B6015" t="str">
        <f ca="1">IFERROR(__xludf.DUMMYFUNCTION("""COMPUTED_VALUE"""),"RF-00000507-MCG")</f>
        <v>RF-00000507-MCG</v>
      </c>
    </row>
    <row r="6016" spans="1:2" ht="12.5" x14ac:dyDescent="0.25">
      <c r="A6016" t="str">
        <f ca="1">IFERROR(__xludf.DUMMYFUNCTION("""COMPUTED_VALUE"""),"Salmonella Brijbhumi")</f>
        <v>Salmonella Brijbhumi</v>
      </c>
      <c r="B6016" t="str">
        <f ca="1">IFERROR(__xludf.DUMMYFUNCTION("""COMPUTED_VALUE"""),"RF-00000523-MCG")</f>
        <v>RF-00000523-MCG</v>
      </c>
    </row>
    <row r="6017" spans="1:2" ht="12.5" x14ac:dyDescent="0.25">
      <c r="A6017" t="str">
        <f ca="1">IFERROR(__xludf.DUMMYFUNCTION("""COMPUTED_VALUE"""),"Salmonella Brikama")</f>
        <v>Salmonella Brikama</v>
      </c>
      <c r="B6017" t="str">
        <f ca="1">IFERROR(__xludf.DUMMYFUNCTION("""COMPUTED_VALUE"""),"RF-00000524-MCG")</f>
        <v>RF-00000524-MCG</v>
      </c>
    </row>
    <row r="6018" spans="1:2" ht="12.5" x14ac:dyDescent="0.25">
      <c r="A6018" t="str">
        <f ca="1">IFERROR(__xludf.DUMMYFUNCTION("""COMPUTED_VALUE"""),"Salmonella Brindisi")</f>
        <v>Salmonella Brindisi</v>
      </c>
      <c r="B6018" t="str">
        <f ca="1">IFERROR(__xludf.DUMMYFUNCTION("""COMPUTED_VALUE"""),"RF-00000525-MCG")</f>
        <v>RF-00000525-MCG</v>
      </c>
    </row>
    <row r="6019" spans="1:2" ht="12.5" x14ac:dyDescent="0.25">
      <c r="A6019" t="str">
        <f ca="1">IFERROR(__xludf.DUMMYFUNCTION("""COMPUTED_VALUE"""),"Salmonella Brisbane")</f>
        <v>Salmonella Brisbane</v>
      </c>
      <c r="B6019" t="str">
        <f ca="1">IFERROR(__xludf.DUMMYFUNCTION("""COMPUTED_VALUE"""),"RF-00000526-MCG")</f>
        <v>RF-00000526-MCG</v>
      </c>
    </row>
    <row r="6020" spans="1:2" ht="12.5" x14ac:dyDescent="0.25">
      <c r="A6020" t="str">
        <f ca="1">IFERROR(__xludf.DUMMYFUNCTION("""COMPUTED_VALUE"""),"Salmonella Bristol")</f>
        <v>Salmonella Bristol</v>
      </c>
      <c r="B6020" t="str">
        <f ca="1">IFERROR(__xludf.DUMMYFUNCTION("""COMPUTED_VALUE"""),"RF-00000527-MCG")</f>
        <v>RF-00000527-MCG</v>
      </c>
    </row>
    <row r="6021" spans="1:2" ht="12.5" x14ac:dyDescent="0.25">
      <c r="A6021" t="str">
        <f ca="1">IFERROR(__xludf.DUMMYFUNCTION("""COMPUTED_VALUE"""),"Salmonella Brive")</f>
        <v>Salmonella Brive</v>
      </c>
      <c r="B6021" t="str">
        <f ca="1">IFERROR(__xludf.DUMMYFUNCTION("""COMPUTED_VALUE"""),"RF-00000528-MCG")</f>
        <v>RF-00000528-MCG</v>
      </c>
    </row>
    <row r="6022" spans="1:2" ht="12.5" x14ac:dyDescent="0.25">
      <c r="A6022" t="str">
        <f ca="1">IFERROR(__xludf.DUMMYFUNCTION("""COMPUTED_VALUE"""),"Salmonella Bron")</f>
        <v>Salmonella Bron</v>
      </c>
      <c r="B6022" t="str">
        <f ca="1">IFERROR(__xludf.DUMMYFUNCTION("""COMPUTED_VALUE"""),"RF-00000529-MCG")</f>
        <v>RF-00000529-MCG</v>
      </c>
    </row>
    <row r="6023" spans="1:2" ht="12.5" x14ac:dyDescent="0.25">
      <c r="A6023" t="str">
        <f ca="1">IFERROR(__xludf.DUMMYFUNCTION("""COMPUTED_VALUE"""),"Salmonella Bronx")</f>
        <v>Salmonella Bronx</v>
      </c>
      <c r="B6023" t="str">
        <f ca="1">IFERROR(__xludf.DUMMYFUNCTION("""COMPUTED_VALUE"""),"RF-00000530-MCG")</f>
        <v>RF-00000530-MCG</v>
      </c>
    </row>
    <row r="6024" spans="1:2" ht="12.5" x14ac:dyDescent="0.25">
      <c r="A6024" t="str">
        <f ca="1">IFERROR(__xludf.DUMMYFUNCTION("""COMPUTED_VALUE"""),"Salmonella Brooklyn")</f>
        <v>Salmonella Brooklyn</v>
      </c>
      <c r="B6024" t="str">
        <f ca="1">IFERROR(__xludf.DUMMYFUNCTION("""COMPUTED_VALUE"""),"RF-00000531-MCG")</f>
        <v>RF-00000531-MCG</v>
      </c>
    </row>
    <row r="6025" spans="1:2" ht="12.5" x14ac:dyDescent="0.25">
      <c r="A6025" t="str">
        <f ca="1">IFERROR(__xludf.DUMMYFUNCTION("""COMPUTED_VALUE"""),"Salmonella Broughton")</f>
        <v>Salmonella Broughton</v>
      </c>
      <c r="B6025" t="str">
        <f ca="1">IFERROR(__xludf.DUMMYFUNCTION("""COMPUTED_VALUE"""),"RF-00000532-MCG")</f>
        <v>RF-00000532-MCG</v>
      </c>
    </row>
    <row r="6026" spans="1:2" ht="12.5" x14ac:dyDescent="0.25">
      <c r="A6026" t="str">
        <f ca="1">IFERROR(__xludf.DUMMYFUNCTION("""COMPUTED_VALUE"""),"Salmonella Bruck")</f>
        <v>Salmonella Bruck</v>
      </c>
      <c r="B6026" t="str">
        <f ca="1">IFERROR(__xludf.DUMMYFUNCTION("""COMPUTED_VALUE"""),"RF-00000533-MCG")</f>
        <v>RF-00000533-MCG</v>
      </c>
    </row>
    <row r="6027" spans="1:2" ht="12.5" x14ac:dyDescent="0.25">
      <c r="A6027" t="str">
        <f ca="1">IFERROR(__xludf.DUMMYFUNCTION("""COMPUTED_VALUE"""),"Salmonella Brunei")</f>
        <v>Salmonella Brunei</v>
      </c>
      <c r="B6027" t="str">
        <f ca="1">IFERROR(__xludf.DUMMYFUNCTION("""COMPUTED_VALUE"""),"RF-00000534-MCG")</f>
        <v>RF-00000534-MCG</v>
      </c>
    </row>
    <row r="6028" spans="1:2" ht="12.5" x14ac:dyDescent="0.25">
      <c r="A6028" t="str">
        <f ca="1">IFERROR(__xludf.DUMMYFUNCTION("""COMPUTED_VALUE"""),"Salmonella Brunflo")</f>
        <v>Salmonella Brunflo</v>
      </c>
      <c r="B6028" t="str">
        <f ca="1">IFERROR(__xludf.DUMMYFUNCTION("""COMPUTED_VALUE"""),"RF-00000493-MCG")</f>
        <v>RF-00000493-MCG</v>
      </c>
    </row>
    <row r="6029" spans="1:2" ht="12.5" x14ac:dyDescent="0.25">
      <c r="A6029" t="str">
        <f ca="1">IFERROR(__xludf.DUMMYFUNCTION("""COMPUTED_VALUE"""),"Salmonella Bsilla")</f>
        <v>Salmonella Bsilla</v>
      </c>
      <c r="B6029" t="str">
        <f ca="1">IFERROR(__xludf.DUMMYFUNCTION("""COMPUTED_VALUE"""),"RF-00000522-MCG")</f>
        <v>RF-00000522-MCG</v>
      </c>
    </row>
    <row r="6030" spans="1:2" ht="12.5" x14ac:dyDescent="0.25">
      <c r="A6030" t="str">
        <f ca="1">IFERROR(__xludf.DUMMYFUNCTION("""COMPUTED_VALUE"""),"Salmonella Buckeye")</f>
        <v>Salmonella Buckeye</v>
      </c>
      <c r="B6030" t="str">
        <f ca="1">IFERROR(__xludf.DUMMYFUNCTION("""COMPUTED_VALUE"""),"RF-00000520-MCG")</f>
        <v>RF-00000520-MCG</v>
      </c>
    </row>
    <row r="6031" spans="1:2" ht="12.5" x14ac:dyDescent="0.25">
      <c r="A6031" t="str">
        <f ca="1">IFERROR(__xludf.DUMMYFUNCTION("""COMPUTED_VALUE"""),"Salmonella Budapest")</f>
        <v>Salmonella Budapest</v>
      </c>
      <c r="B6031" t="str">
        <f ca="1">IFERROR(__xludf.DUMMYFUNCTION("""COMPUTED_VALUE"""),"RF-00000479-MCG")</f>
        <v>RF-00000479-MCG</v>
      </c>
    </row>
    <row r="6032" spans="1:2" ht="12.5" x14ac:dyDescent="0.25">
      <c r="A6032" t="str">
        <f ca="1">IFERROR(__xludf.DUMMYFUNCTION("""COMPUTED_VALUE"""),"Salmonella Bukavu")</f>
        <v>Salmonella Bukavu</v>
      </c>
      <c r="B6032" t="str">
        <f ca="1">IFERROR(__xludf.DUMMYFUNCTION("""COMPUTED_VALUE"""),"RF-00000480-MCG")</f>
        <v>RF-00000480-MCG</v>
      </c>
    </row>
    <row r="6033" spans="1:2" ht="12.5" x14ac:dyDescent="0.25">
      <c r="A6033" t="str">
        <f ca="1">IFERROR(__xludf.DUMMYFUNCTION("""COMPUTED_VALUE"""),"Salmonella Bukuru")</f>
        <v>Salmonella Bukuru</v>
      </c>
      <c r="B6033" t="str">
        <f ca="1">IFERROR(__xludf.DUMMYFUNCTION("""COMPUTED_VALUE"""),"RF-00000481-MCG")</f>
        <v>RF-00000481-MCG</v>
      </c>
    </row>
    <row r="6034" spans="1:2" ht="12.5" x14ac:dyDescent="0.25">
      <c r="A6034" t="str">
        <f ca="1">IFERROR(__xludf.DUMMYFUNCTION("""COMPUTED_VALUE"""),"Salmonella Bulgaria")</f>
        <v>Salmonella Bulgaria</v>
      </c>
      <c r="B6034" t="str">
        <f ca="1">IFERROR(__xludf.DUMMYFUNCTION("""COMPUTED_VALUE"""),"RF-00000482-MCG")</f>
        <v>RF-00000482-MCG</v>
      </c>
    </row>
    <row r="6035" spans="1:2" ht="12.5" x14ac:dyDescent="0.25">
      <c r="A6035" t="str">
        <f ca="1">IFERROR(__xludf.DUMMYFUNCTION("""COMPUTED_VALUE"""),"Salmonella Bullbay")</f>
        <v>Salmonella Bullbay</v>
      </c>
      <c r="B6035" t="str">
        <f ca="1">IFERROR(__xludf.DUMMYFUNCTION("""COMPUTED_VALUE"""),"RF-00000483-MCG")</f>
        <v>RF-00000483-MCG</v>
      </c>
    </row>
    <row r="6036" spans="1:2" ht="12.5" x14ac:dyDescent="0.25">
      <c r="A6036" t="str">
        <f ca="1">IFERROR(__xludf.DUMMYFUNCTION("""COMPUTED_VALUE"""),"Salmonella Bulovka")</f>
        <v>Salmonella Bulovka</v>
      </c>
      <c r="B6036" t="str">
        <f ca="1">IFERROR(__xludf.DUMMYFUNCTION("""COMPUTED_VALUE"""),"RF-00000484-MCG")</f>
        <v>RF-00000484-MCG</v>
      </c>
    </row>
    <row r="6037" spans="1:2" ht="12.5" x14ac:dyDescent="0.25">
      <c r="A6037" t="str">
        <f ca="1">IFERROR(__xludf.DUMMYFUNCTION("""COMPUTED_VALUE"""),"Salmonella Burgas")</f>
        <v>Salmonella Burgas</v>
      </c>
      <c r="B6037" t="str">
        <f ca="1">IFERROR(__xludf.DUMMYFUNCTION("""COMPUTED_VALUE"""),"RF-00000485-MCG")</f>
        <v>RF-00000485-MCG</v>
      </c>
    </row>
    <row r="6038" spans="1:2" ht="12.5" x14ac:dyDescent="0.25">
      <c r="A6038" t="str">
        <f ca="1">IFERROR(__xludf.DUMMYFUNCTION("""COMPUTED_VALUE"""),"Salmonella Burundi")</f>
        <v>Salmonella Burundi</v>
      </c>
      <c r="B6038" t="str">
        <f ca="1">IFERROR(__xludf.DUMMYFUNCTION("""COMPUTED_VALUE"""),"RF-00000486-MCG")</f>
        <v>RF-00000486-MCG</v>
      </c>
    </row>
    <row r="6039" spans="1:2" ht="12.5" x14ac:dyDescent="0.25">
      <c r="A6039" t="str">
        <f ca="1">IFERROR(__xludf.DUMMYFUNCTION("""COMPUTED_VALUE"""),"Salmonella Bury")</f>
        <v>Salmonella Bury</v>
      </c>
      <c r="B6039" t="str">
        <f ca="1">IFERROR(__xludf.DUMMYFUNCTION("""COMPUTED_VALUE"""),"RF-00000487-MCG")</f>
        <v>RF-00000487-MCG</v>
      </c>
    </row>
    <row r="6040" spans="1:2" ht="12.5" x14ac:dyDescent="0.25">
      <c r="A6040" t="str">
        <f ca="1">IFERROR(__xludf.DUMMYFUNCTION("""COMPUTED_VALUE"""),"Salmonella Businga")</f>
        <v>Salmonella Businga</v>
      </c>
      <c r="B6040" t="str">
        <f ca="1">IFERROR(__xludf.DUMMYFUNCTION("""COMPUTED_VALUE"""),"RF-00001455-MCG")</f>
        <v>RF-00001455-MCG</v>
      </c>
    </row>
    <row r="6041" spans="1:2" ht="12.5" x14ac:dyDescent="0.25">
      <c r="A6041" t="str">
        <f ca="1">IFERROR(__xludf.DUMMYFUNCTION("""COMPUTED_VALUE"""),"Salmonella Butantan")</f>
        <v>Salmonella Butantan</v>
      </c>
      <c r="B6041" t="str">
        <f ca="1">IFERROR(__xludf.DUMMYFUNCTION("""COMPUTED_VALUE"""),"RF-00001489-MCG")</f>
        <v>RF-00001489-MCG</v>
      </c>
    </row>
    <row r="6042" spans="1:2" ht="12.5" x14ac:dyDescent="0.25">
      <c r="A6042" t="str">
        <f ca="1">IFERROR(__xludf.DUMMYFUNCTION("""COMPUTED_VALUE"""),"Salmonella Butantan var. 15,34")</f>
        <v>Salmonella Butantan var. 15,34</v>
      </c>
      <c r="B6042" t="str">
        <f ca="1">IFERROR(__xludf.DUMMYFUNCTION("""COMPUTED_VALUE"""),"RF-00001491-MCG")</f>
        <v>RF-00001491-MCG</v>
      </c>
    </row>
    <row r="6043" spans="1:2" ht="12.5" x14ac:dyDescent="0.25">
      <c r="A6043" t="str">
        <f ca="1">IFERROR(__xludf.DUMMYFUNCTION("""COMPUTED_VALUE"""),"Salmonella Butare")</f>
        <v>Salmonella Butare</v>
      </c>
      <c r="B6043" t="str">
        <f ca="1">IFERROR(__xludf.DUMMYFUNCTION("""COMPUTED_VALUE"""),"RF-00001466-MCG")</f>
        <v>RF-00001466-MCG</v>
      </c>
    </row>
    <row r="6044" spans="1:2" ht="12.5" x14ac:dyDescent="0.25">
      <c r="A6044" t="str">
        <f ca="1">IFERROR(__xludf.DUMMYFUNCTION("""COMPUTED_VALUE"""),"Salmonella Buzu")</f>
        <v>Salmonella Buzu</v>
      </c>
      <c r="B6044" t="str">
        <f ca="1">IFERROR(__xludf.DUMMYFUNCTION("""COMPUTED_VALUE"""),"RF-00001500-MCG")</f>
        <v>RF-00001500-MCG</v>
      </c>
    </row>
    <row r="6045" spans="1:2" ht="12.5" x14ac:dyDescent="0.25">
      <c r="A6045" t="str">
        <f ca="1">IFERROR(__xludf.DUMMYFUNCTION("""COMPUTED_VALUE"""),"Salmonella Caen")</f>
        <v>Salmonella Caen</v>
      </c>
      <c r="B6045" t="str">
        <f ca="1">IFERROR(__xludf.DUMMYFUNCTION("""COMPUTED_VALUE"""),"RF-00001499-MCG")</f>
        <v>RF-00001499-MCG</v>
      </c>
    </row>
    <row r="6046" spans="1:2" ht="12.5" x14ac:dyDescent="0.25">
      <c r="A6046" t="str">
        <f ca="1">IFERROR(__xludf.DUMMYFUNCTION("""COMPUTED_VALUE"""),"Salmonella Cairina")</f>
        <v>Salmonella Cairina</v>
      </c>
      <c r="B6046" t="str">
        <f ca="1">IFERROR(__xludf.DUMMYFUNCTION("""COMPUTED_VALUE"""),"RF-00001498-MCG")</f>
        <v>RF-00001498-MCG</v>
      </c>
    </row>
    <row r="6047" spans="1:2" ht="12.5" x14ac:dyDescent="0.25">
      <c r="A6047" t="str">
        <f ca="1">IFERROR(__xludf.DUMMYFUNCTION("""COMPUTED_VALUE"""),"Salmonella Cairns")</f>
        <v>Salmonella Cairns</v>
      </c>
      <c r="B6047" t="str">
        <f ca="1">IFERROR(__xludf.DUMMYFUNCTION("""COMPUTED_VALUE"""),"RF-00001497-MCG")</f>
        <v>RF-00001497-MCG</v>
      </c>
    </row>
    <row r="6048" spans="1:2" ht="12.5" x14ac:dyDescent="0.25">
      <c r="A6048" t="str">
        <f ca="1">IFERROR(__xludf.DUMMYFUNCTION("""COMPUTED_VALUE"""),"Salmonella Calabar")</f>
        <v>Salmonella Calabar</v>
      </c>
      <c r="B6048" t="str">
        <f ca="1">IFERROR(__xludf.DUMMYFUNCTION("""COMPUTED_VALUE"""),"RF-00001496-MCG")</f>
        <v>RF-00001496-MCG</v>
      </c>
    </row>
    <row r="6049" spans="1:2" ht="12.5" x14ac:dyDescent="0.25">
      <c r="A6049" t="str">
        <f ca="1">IFERROR(__xludf.DUMMYFUNCTION("""COMPUTED_VALUE"""),"Salmonella California")</f>
        <v>Salmonella California</v>
      </c>
      <c r="B6049" t="str">
        <f ca="1">IFERROR(__xludf.DUMMYFUNCTION("""COMPUTED_VALUE"""),"RF-00001495-MCG")</f>
        <v>RF-00001495-MCG</v>
      </c>
    </row>
    <row r="6050" spans="1:2" ht="12.5" x14ac:dyDescent="0.25">
      <c r="A6050" t="str">
        <f ca="1">IFERROR(__xludf.DUMMYFUNCTION("""COMPUTED_VALUE"""),"Salmonella Camberene")</f>
        <v>Salmonella Camberene</v>
      </c>
      <c r="B6050" t="str">
        <f ca="1">IFERROR(__xludf.DUMMYFUNCTION("""COMPUTED_VALUE"""),"RF-00001494-MCG")</f>
        <v>RF-00001494-MCG</v>
      </c>
    </row>
    <row r="6051" spans="1:2" ht="12.5" x14ac:dyDescent="0.25">
      <c r="A6051" t="str">
        <f ca="1">IFERROR(__xludf.DUMMYFUNCTION("""COMPUTED_VALUE"""),"Salmonella Camberwell")</f>
        <v>Salmonella Camberwell</v>
      </c>
      <c r="B6051" t="str">
        <f ca="1">IFERROR(__xludf.DUMMYFUNCTION("""COMPUTED_VALUE"""),"RF-00001493-MCG")</f>
        <v>RF-00001493-MCG</v>
      </c>
    </row>
    <row r="6052" spans="1:2" ht="12.5" x14ac:dyDescent="0.25">
      <c r="A6052" t="str">
        <f ca="1">IFERROR(__xludf.DUMMYFUNCTION("""COMPUTED_VALUE"""),"Salmonella Cambridge")</f>
        <v>Salmonella Cambridge</v>
      </c>
      <c r="B6052" t="str">
        <f ca="1">IFERROR(__xludf.DUMMYFUNCTION("""COMPUTED_VALUE"""),"RF-00001492-MCG")</f>
        <v>RF-00001492-MCG</v>
      </c>
    </row>
    <row r="6053" spans="1:2" ht="12.5" x14ac:dyDescent="0.25">
      <c r="A6053" t="str">
        <f ca="1">IFERROR(__xludf.DUMMYFUNCTION("""COMPUTED_VALUE"""),"Salmonella Campinense")</f>
        <v>Salmonella Campinense</v>
      </c>
      <c r="B6053" t="str">
        <f ca="1">IFERROR(__xludf.DUMMYFUNCTION("""COMPUTED_VALUE"""),"RF-00001478-MCG")</f>
        <v>RF-00001478-MCG</v>
      </c>
    </row>
    <row r="6054" spans="1:2" ht="12.5" x14ac:dyDescent="0.25">
      <c r="A6054" t="str">
        <f ca="1">IFERROR(__xludf.DUMMYFUNCTION("""COMPUTED_VALUE"""),"Salmonella Canada")</f>
        <v>Salmonella Canada</v>
      </c>
      <c r="B6054" t="str">
        <f ca="1">IFERROR(__xludf.DUMMYFUNCTION("""COMPUTED_VALUE"""),"RF-00001490-MCG")</f>
        <v>RF-00001490-MCG</v>
      </c>
    </row>
    <row r="6055" spans="1:2" ht="12.5" x14ac:dyDescent="0.25">
      <c r="A6055" t="str">
        <f ca="1">IFERROR(__xludf.DUMMYFUNCTION("""COMPUTED_VALUE"""),"Salmonella Canary")</f>
        <v>Salmonella Canary</v>
      </c>
      <c r="B6055" t="str">
        <f ca="1">IFERROR(__xludf.DUMMYFUNCTION("""COMPUTED_VALUE"""),"RF-00001502-MCG")</f>
        <v>RF-00001502-MCG</v>
      </c>
    </row>
    <row r="6056" spans="1:2" ht="12.5" x14ac:dyDescent="0.25">
      <c r="A6056" t="str">
        <f ca="1">IFERROR(__xludf.DUMMYFUNCTION("""COMPUTED_VALUE"""),"Salmonella Cannobio")</f>
        <v>Salmonella Cannobio</v>
      </c>
      <c r="B6056" t="str">
        <f ca="1">IFERROR(__xludf.DUMMYFUNCTION("""COMPUTED_VALUE"""),"RF-00001488-MCG")</f>
        <v>RF-00001488-MCG</v>
      </c>
    </row>
    <row r="6057" spans="1:2" ht="12.5" x14ac:dyDescent="0.25">
      <c r="A6057" t="str">
        <f ca="1">IFERROR(__xludf.DUMMYFUNCTION("""COMPUTED_VALUE"""),"Salmonella Cannonhill")</f>
        <v>Salmonella Cannonhill</v>
      </c>
      <c r="B6057" t="str">
        <f ca="1">IFERROR(__xludf.DUMMYFUNCTION("""COMPUTED_VALUE"""),"RF-00001487-MCG")</f>
        <v>RF-00001487-MCG</v>
      </c>
    </row>
    <row r="6058" spans="1:2" ht="12.5" x14ac:dyDescent="0.25">
      <c r="A6058" t="str">
        <f ca="1">IFERROR(__xludf.DUMMYFUNCTION("""COMPUTED_VALUE"""),"Salmonella Cannstatt")</f>
        <v>Salmonella Cannstatt</v>
      </c>
      <c r="B6058" t="str">
        <f ca="1">IFERROR(__xludf.DUMMYFUNCTION("""COMPUTED_VALUE"""),"RF-00001486-MCG")</f>
        <v>RF-00001486-MCG</v>
      </c>
    </row>
    <row r="6059" spans="1:2" ht="12.5" x14ac:dyDescent="0.25">
      <c r="A6059" t="str">
        <f ca="1">IFERROR(__xludf.DUMMYFUNCTION("""COMPUTED_VALUE"""),"Salmonella Canton")</f>
        <v>Salmonella Canton</v>
      </c>
      <c r="B6059" t="str">
        <f ca="1">IFERROR(__xludf.DUMMYFUNCTION("""COMPUTED_VALUE"""),"RF-00001485-MCG")</f>
        <v>RF-00001485-MCG</v>
      </c>
    </row>
    <row r="6060" spans="1:2" ht="12.5" x14ac:dyDescent="0.25">
      <c r="A6060" t="str">
        <f ca="1">IFERROR(__xludf.DUMMYFUNCTION("""COMPUTED_VALUE"""),"Salmonella Caracas")</f>
        <v>Salmonella Caracas</v>
      </c>
      <c r="B6060" t="str">
        <f ca="1">IFERROR(__xludf.DUMMYFUNCTION("""COMPUTED_VALUE"""),"RF-00001484-MCG")</f>
        <v>RF-00001484-MCG</v>
      </c>
    </row>
    <row r="6061" spans="1:2" ht="12.5" x14ac:dyDescent="0.25">
      <c r="A6061" t="str">
        <f ca="1">IFERROR(__xludf.DUMMYFUNCTION("""COMPUTED_VALUE"""),"Salmonella Cardoner")</f>
        <v>Salmonella Cardoner</v>
      </c>
      <c r="B6061" t="str">
        <f ca="1">IFERROR(__xludf.DUMMYFUNCTION("""COMPUTED_VALUE"""),"RF-00001483-MCG")</f>
        <v>RF-00001483-MCG</v>
      </c>
    </row>
    <row r="6062" spans="1:2" ht="12.5" x14ac:dyDescent="0.25">
      <c r="A6062" t="str">
        <f ca="1">IFERROR(__xludf.DUMMYFUNCTION("""COMPUTED_VALUE"""),"Salmonella Carmel")</f>
        <v>Salmonella Carmel</v>
      </c>
      <c r="B6062" t="str">
        <f ca="1">IFERROR(__xludf.DUMMYFUNCTION("""COMPUTED_VALUE"""),"RF-00001482-MCG")</f>
        <v>RF-00001482-MCG</v>
      </c>
    </row>
    <row r="6063" spans="1:2" ht="12.5" x14ac:dyDescent="0.25">
      <c r="A6063" t="str">
        <f ca="1">IFERROR(__xludf.DUMMYFUNCTION("""COMPUTED_VALUE"""),"Salmonella Carnac")</f>
        <v>Salmonella Carnac</v>
      </c>
      <c r="B6063" t="str">
        <f ca="1">IFERROR(__xludf.DUMMYFUNCTION("""COMPUTED_VALUE"""),"RF-00001481-MCG")</f>
        <v>RF-00001481-MCG</v>
      </c>
    </row>
    <row r="6064" spans="1:2" ht="12.5" x14ac:dyDescent="0.25">
      <c r="A6064" t="str">
        <f ca="1">IFERROR(__xludf.DUMMYFUNCTION("""COMPUTED_VALUE"""),"Salmonella Carno")</f>
        <v>Salmonella Carno</v>
      </c>
      <c r="B6064" t="str">
        <f ca="1">IFERROR(__xludf.DUMMYFUNCTION("""COMPUTED_VALUE"""),"RF-00001480-MCG")</f>
        <v>RF-00001480-MCG</v>
      </c>
    </row>
    <row r="6065" spans="1:2" ht="12.5" x14ac:dyDescent="0.25">
      <c r="A6065" t="str">
        <f ca="1">IFERROR(__xludf.DUMMYFUNCTION("""COMPUTED_VALUE"""),"Salmonella Carrau")</f>
        <v>Salmonella Carrau</v>
      </c>
      <c r="B6065" t="str">
        <f ca="1">IFERROR(__xludf.DUMMYFUNCTION("""COMPUTED_VALUE"""),"RF-00001442-MCG")</f>
        <v>RF-00001442-MCG</v>
      </c>
    </row>
    <row r="6066" spans="1:2" ht="12.5" x14ac:dyDescent="0.25">
      <c r="A6066" t="str">
        <f ca="1">IFERROR(__xludf.DUMMYFUNCTION("""COMPUTED_VALUE"""),"Salmonella Carswell")</f>
        <v>Salmonella Carswell</v>
      </c>
      <c r="B6066" t="str">
        <f ca="1">IFERROR(__xludf.DUMMYFUNCTION("""COMPUTED_VALUE"""),"RF-00001501-MCG")</f>
        <v>RF-00001501-MCG</v>
      </c>
    </row>
    <row r="6067" spans="1:2" ht="12.5" x14ac:dyDescent="0.25">
      <c r="A6067" t="str">
        <f ca="1">IFERROR(__xludf.DUMMYFUNCTION("""COMPUTED_VALUE"""),"Salmonella Casablanca")</f>
        <v>Salmonella Casablanca</v>
      </c>
      <c r="B6067" t="str">
        <f ca="1">IFERROR(__xludf.DUMMYFUNCTION("""COMPUTED_VALUE"""),"RF-00001464-MCG")</f>
        <v>RF-00001464-MCG</v>
      </c>
    </row>
    <row r="6068" spans="1:2" ht="12.5" x14ac:dyDescent="0.25">
      <c r="A6068" t="str">
        <f ca="1">IFERROR(__xludf.DUMMYFUNCTION("""COMPUTED_VALUE"""),"Salmonella Casamance")</f>
        <v>Salmonella Casamance</v>
      </c>
      <c r="B6068" t="str">
        <f ca="1">IFERROR(__xludf.DUMMYFUNCTION("""COMPUTED_VALUE"""),"RF-00001428-MCG")</f>
        <v>RF-00001428-MCG</v>
      </c>
    </row>
    <row r="6069" spans="1:2" ht="12.5" x14ac:dyDescent="0.25">
      <c r="A6069" t="str">
        <f ca="1">IFERROR(__xludf.DUMMYFUNCTION("""COMPUTED_VALUE"""),"Salmonella Catalunia")</f>
        <v>Salmonella Catalunia</v>
      </c>
      <c r="B6069" t="str">
        <f ca="1">IFERROR(__xludf.DUMMYFUNCTION("""COMPUTED_VALUE"""),"RF-00001427-MCG")</f>
        <v>RF-00001427-MCG</v>
      </c>
    </row>
    <row r="6070" spans="1:2" ht="12.5" x14ac:dyDescent="0.25">
      <c r="A6070" t="str">
        <f ca="1">IFERROR(__xludf.DUMMYFUNCTION("""COMPUTED_VALUE"""),"Salmonella Catanzaro")</f>
        <v>Salmonella Catanzaro</v>
      </c>
      <c r="B6070" t="str">
        <f ca="1">IFERROR(__xludf.DUMMYFUNCTION("""COMPUTED_VALUE"""),"RF-00001426-MCG")</f>
        <v>RF-00001426-MCG</v>
      </c>
    </row>
    <row r="6071" spans="1:2" ht="12.5" x14ac:dyDescent="0.25">
      <c r="A6071" t="str">
        <f ca="1">IFERROR(__xludf.DUMMYFUNCTION("""COMPUTED_VALUE"""),"Salmonella Cayar")</f>
        <v>Salmonella Cayar</v>
      </c>
      <c r="B6071" t="str">
        <f ca="1">IFERROR(__xludf.DUMMYFUNCTION("""COMPUTED_VALUE"""),"RF-00001425-MCG")</f>
        <v>RF-00001425-MCG</v>
      </c>
    </row>
    <row r="6072" spans="1:2" ht="12.5" x14ac:dyDescent="0.25">
      <c r="A6072" t="str">
        <f ca="1">IFERROR(__xludf.DUMMYFUNCTION("""COMPUTED_VALUE"""),"Salmonella Cerro")</f>
        <v>Salmonella Cerro</v>
      </c>
      <c r="B6072" t="str">
        <f ca="1">IFERROR(__xludf.DUMMYFUNCTION("""COMPUTED_VALUE"""),"RF-00001424-MCG")</f>
        <v>RF-00001424-MCG</v>
      </c>
    </row>
    <row r="6073" spans="1:2" ht="12.5" x14ac:dyDescent="0.25">
      <c r="A6073" t="str">
        <f ca="1">IFERROR(__xludf.DUMMYFUNCTION("""COMPUTED_VALUE"""),"Salmonella Ceyco")</f>
        <v>Salmonella Ceyco</v>
      </c>
      <c r="B6073" t="str">
        <f ca="1">IFERROR(__xludf.DUMMYFUNCTION("""COMPUTED_VALUE"""),"RF-00001423-MCG")</f>
        <v>RF-00001423-MCG</v>
      </c>
    </row>
    <row r="6074" spans="1:2" ht="12.5" x14ac:dyDescent="0.25">
      <c r="A6074" t="str">
        <f ca="1">IFERROR(__xludf.DUMMYFUNCTION("""COMPUTED_VALUE"""),"Salmonella Chagoua")</f>
        <v>Salmonella Chagoua</v>
      </c>
      <c r="B6074" t="str">
        <f ca="1">IFERROR(__xludf.DUMMYFUNCTION("""COMPUTED_VALUE"""),"RF-00001422-MCG")</f>
        <v>RF-00001422-MCG</v>
      </c>
    </row>
    <row r="6075" spans="1:2" ht="12.5" x14ac:dyDescent="0.25">
      <c r="A6075" t="str">
        <f ca="1">IFERROR(__xludf.DUMMYFUNCTION("""COMPUTED_VALUE"""),"Salmonella Chailey")</f>
        <v>Salmonella Chailey</v>
      </c>
      <c r="B6075" t="str">
        <f ca="1">IFERROR(__xludf.DUMMYFUNCTION("""COMPUTED_VALUE"""),"RF-00001421-MCG")</f>
        <v>RF-00001421-MCG</v>
      </c>
    </row>
    <row r="6076" spans="1:2" ht="12.5" x14ac:dyDescent="0.25">
      <c r="A6076" t="str">
        <f ca="1">IFERROR(__xludf.DUMMYFUNCTION("""COMPUTED_VALUE"""),"Salmonella Champaign")</f>
        <v>Salmonella Champaign</v>
      </c>
      <c r="B6076" t="str">
        <f ca="1">IFERROR(__xludf.DUMMYFUNCTION("""COMPUTED_VALUE"""),"RF-00001420-MCG")</f>
        <v>RF-00001420-MCG</v>
      </c>
    </row>
    <row r="6077" spans="1:2" ht="12.5" x14ac:dyDescent="0.25">
      <c r="A6077" t="str">
        <f ca="1">IFERROR(__xludf.DUMMYFUNCTION("""COMPUTED_VALUE"""),"Salmonella Chandans")</f>
        <v>Salmonella Chandans</v>
      </c>
      <c r="B6077" t="str">
        <f ca="1">IFERROR(__xludf.DUMMYFUNCTION("""COMPUTED_VALUE"""),"RF-00001419-MCG")</f>
        <v>RF-00001419-MCG</v>
      </c>
    </row>
    <row r="6078" spans="1:2" ht="12.5" x14ac:dyDescent="0.25">
      <c r="A6078" t="str">
        <f ca="1">IFERROR(__xludf.DUMMYFUNCTION("""COMPUTED_VALUE"""),"Salmonella Charity")</f>
        <v>Salmonella Charity</v>
      </c>
      <c r="B6078" t="str">
        <f ca="1">IFERROR(__xludf.DUMMYFUNCTION("""COMPUTED_VALUE"""),"RF-00001406-MCG")</f>
        <v>RF-00001406-MCG</v>
      </c>
    </row>
    <row r="6079" spans="1:2" ht="12.5" x14ac:dyDescent="0.25">
      <c r="A6079" t="str">
        <f ca="1">IFERROR(__xludf.DUMMYFUNCTION("""COMPUTED_VALUE"""),"Salmonella Charlottenburg")</f>
        <v>Salmonella Charlottenburg</v>
      </c>
      <c r="B6079" t="str">
        <f ca="1">IFERROR(__xludf.DUMMYFUNCTION("""COMPUTED_VALUE"""),"RF-00001417-MCG")</f>
        <v>RF-00001417-MCG</v>
      </c>
    </row>
    <row r="6080" spans="1:2" ht="12.5" x14ac:dyDescent="0.25">
      <c r="A6080" t="str">
        <f ca="1">IFERROR(__xludf.DUMMYFUNCTION("""COMPUTED_VALUE"""),"Salmonella Chartres")</f>
        <v>Salmonella Chartres</v>
      </c>
      <c r="B6080" t="str">
        <f ca="1">IFERROR(__xludf.DUMMYFUNCTION("""COMPUTED_VALUE"""),"RF-00001429-MCG")</f>
        <v>RF-00001429-MCG</v>
      </c>
    </row>
    <row r="6081" spans="1:2" ht="12.5" x14ac:dyDescent="0.25">
      <c r="A6081" t="str">
        <f ca="1">IFERROR(__xludf.DUMMYFUNCTION("""COMPUTED_VALUE"""),"Salmonella Cheltenham")</f>
        <v>Salmonella Cheltenham</v>
      </c>
      <c r="B6081" t="str">
        <f ca="1">IFERROR(__xludf.DUMMYFUNCTION("""COMPUTED_VALUE"""),"RF-00001415-MCG")</f>
        <v>RF-00001415-MCG</v>
      </c>
    </row>
    <row r="6082" spans="1:2" ht="12.5" x14ac:dyDescent="0.25">
      <c r="A6082" t="str">
        <f ca="1">IFERROR(__xludf.DUMMYFUNCTION("""COMPUTED_VALUE"""),"Salmonella Chester")</f>
        <v>Salmonella Chester</v>
      </c>
      <c r="B6082" t="str">
        <f ca="1">IFERROR(__xludf.DUMMYFUNCTION("""COMPUTED_VALUE"""),"RF-00001414-MCG")</f>
        <v>RF-00001414-MCG</v>
      </c>
    </row>
    <row r="6083" spans="1:2" ht="12.5" x14ac:dyDescent="0.25">
      <c r="A6083" t="str">
        <f ca="1">IFERROR(__xludf.DUMMYFUNCTION("""COMPUTED_VALUE"""),"Salmonella Chicago")</f>
        <v>Salmonella Chicago</v>
      </c>
      <c r="B6083" t="str">
        <f ca="1">IFERROR(__xludf.DUMMYFUNCTION("""COMPUTED_VALUE"""),"RF-00001413-MCG")</f>
        <v>RF-00001413-MCG</v>
      </c>
    </row>
    <row r="6084" spans="1:2" ht="12.5" x14ac:dyDescent="0.25">
      <c r="A6084" t="str">
        <f ca="1">IFERROR(__xludf.DUMMYFUNCTION("""COMPUTED_VALUE"""),"Salmonella Chichester")</f>
        <v>Salmonella Chichester</v>
      </c>
      <c r="B6084" t="str">
        <f ca="1">IFERROR(__xludf.DUMMYFUNCTION("""COMPUTED_VALUE"""),"RF-00001412-MCG")</f>
        <v>RF-00001412-MCG</v>
      </c>
    </row>
    <row r="6085" spans="1:2" ht="12.5" x14ac:dyDescent="0.25">
      <c r="A6085" t="str">
        <f ca="1">IFERROR(__xludf.DUMMYFUNCTION("""COMPUTED_VALUE"""),"Salmonella Chichiri")</f>
        <v>Salmonella Chichiri</v>
      </c>
      <c r="B6085" t="str">
        <f ca="1">IFERROR(__xludf.DUMMYFUNCTION("""COMPUTED_VALUE"""),"RF-00001411-MCG")</f>
        <v>RF-00001411-MCG</v>
      </c>
    </row>
    <row r="6086" spans="1:2" ht="12.5" x14ac:dyDescent="0.25">
      <c r="A6086" t="str">
        <f ca="1">IFERROR(__xludf.DUMMYFUNCTION("""COMPUTED_VALUE"""),"Salmonella Chile")</f>
        <v>Salmonella Chile</v>
      </c>
      <c r="B6086" t="str">
        <f ca="1">IFERROR(__xludf.DUMMYFUNCTION("""COMPUTED_VALUE"""),"RF-00001410-MCG")</f>
        <v>RF-00001410-MCG</v>
      </c>
    </row>
    <row r="6087" spans="1:2" ht="12.5" x14ac:dyDescent="0.25">
      <c r="A6087" t="str">
        <f ca="1">IFERROR(__xludf.DUMMYFUNCTION("""COMPUTED_VALUE"""),"Salmonella Chincol")</f>
        <v>Salmonella Chincol</v>
      </c>
      <c r="B6087" t="str">
        <f ca="1">IFERROR(__xludf.DUMMYFUNCTION("""COMPUTED_VALUE"""),"RF-00001409-MCG")</f>
        <v>RF-00001409-MCG</v>
      </c>
    </row>
    <row r="6088" spans="1:2" ht="12.5" x14ac:dyDescent="0.25">
      <c r="A6088" t="str">
        <f ca="1">IFERROR(__xludf.DUMMYFUNCTION("""COMPUTED_VALUE"""),"Salmonella Chingola")</f>
        <v>Salmonella Chingola</v>
      </c>
      <c r="B6088" t="str">
        <f ca="1">IFERROR(__xludf.DUMMYFUNCTION("""COMPUTED_VALUE"""),"RF-00001408-MCG")</f>
        <v>RF-00001408-MCG</v>
      </c>
    </row>
    <row r="6089" spans="1:2" ht="12.5" x14ac:dyDescent="0.25">
      <c r="A6089" t="str">
        <f ca="1">IFERROR(__xludf.DUMMYFUNCTION("""COMPUTED_VALUE"""),"Salmonella Chiredzi")</f>
        <v>Salmonella Chiredzi</v>
      </c>
      <c r="B6089" t="str">
        <f ca="1">IFERROR(__xludf.DUMMYFUNCTION("""COMPUTED_VALUE"""),"RF-00001440-MCG")</f>
        <v>RF-00001440-MCG</v>
      </c>
    </row>
    <row r="6090" spans="1:2" ht="12.5" x14ac:dyDescent="0.25">
      <c r="A6090" t="str">
        <f ca="1">IFERROR(__xludf.DUMMYFUNCTION("""COMPUTED_VALUE"""),"Salmonella Chittagong")</f>
        <v>Salmonella Chittagong</v>
      </c>
      <c r="B6090" t="str">
        <f ca="1">IFERROR(__xludf.DUMMYFUNCTION("""COMPUTED_VALUE"""),"RF-00001416-MCG")</f>
        <v>RF-00001416-MCG</v>
      </c>
    </row>
    <row r="6091" spans="1:2" ht="12.5" x14ac:dyDescent="0.25">
      <c r="A6091" t="str">
        <f ca="1">IFERROR(__xludf.DUMMYFUNCTION("""COMPUTED_VALUE"""),"Salmonella Choleraesuis")</f>
        <v>Salmonella Choleraesuis</v>
      </c>
      <c r="B6091" t="str">
        <f ca="1">IFERROR(__xludf.DUMMYFUNCTION("""COMPUTED_VALUE"""),"RF-00001418-MCG")</f>
        <v>RF-00001418-MCG</v>
      </c>
    </row>
    <row r="6092" spans="1:2" ht="12.5" x14ac:dyDescent="0.25">
      <c r="A6092" t="str">
        <f ca="1">IFERROR(__xludf.DUMMYFUNCTION("""COMPUTED_VALUE"""),"Salmonella Choleraesuis var. Kunzendorf")</f>
        <v>Salmonella Choleraesuis var. Kunzendorf</v>
      </c>
      <c r="B6092" t="str">
        <f ca="1">IFERROR(__xludf.DUMMYFUNCTION("""COMPUTED_VALUE"""),"RF-00001315-PAR")</f>
        <v>RF-00001315-PAR</v>
      </c>
    </row>
    <row r="6093" spans="1:2" ht="12.5" x14ac:dyDescent="0.25">
      <c r="A6093" t="str">
        <f ca="1">IFERROR(__xludf.DUMMYFUNCTION("""COMPUTED_VALUE"""),"Salmonella Chomedy")</f>
        <v>Salmonella Chomedy</v>
      </c>
      <c r="B6093" t="str">
        <f ca="1">IFERROR(__xludf.DUMMYFUNCTION("""COMPUTED_VALUE"""),"RF-00001452-MCG")</f>
        <v>RF-00001452-MCG</v>
      </c>
    </row>
    <row r="6094" spans="1:2" ht="12.5" x14ac:dyDescent="0.25">
      <c r="A6094" t="str">
        <f ca="1">IFERROR(__xludf.DUMMYFUNCTION("""COMPUTED_VALUE"""),"Salmonella Christiansborg")</f>
        <v>Salmonella Christiansborg</v>
      </c>
      <c r="B6094" t="str">
        <f ca="1">IFERROR(__xludf.DUMMYFUNCTION("""COMPUTED_VALUE"""),"RF-00001451-MCG")</f>
        <v>RF-00001451-MCG</v>
      </c>
    </row>
    <row r="6095" spans="1:2" ht="12.5" x14ac:dyDescent="0.25">
      <c r="A6095" t="str">
        <f ca="1">IFERROR(__xludf.DUMMYFUNCTION("""COMPUTED_VALUE"""),"Salmonella Clackamas")</f>
        <v>Salmonella Clackamas</v>
      </c>
      <c r="B6095" t="str">
        <f ca="1">IFERROR(__xludf.DUMMYFUNCTION("""COMPUTED_VALUE"""),"RF-00001450-MCG")</f>
        <v>RF-00001450-MCG</v>
      </c>
    </row>
    <row r="6096" spans="1:2" ht="12.5" x14ac:dyDescent="0.25">
      <c r="A6096" t="str">
        <f ca="1">IFERROR(__xludf.DUMMYFUNCTION("""COMPUTED_VALUE"""),"Salmonella Claibornei")</f>
        <v>Salmonella Claibornei</v>
      </c>
      <c r="B6096" t="str">
        <f ca="1">IFERROR(__xludf.DUMMYFUNCTION("""COMPUTED_VALUE"""),"RF-00001449-MCG")</f>
        <v>RF-00001449-MCG</v>
      </c>
    </row>
    <row r="6097" spans="1:2" ht="12.5" x14ac:dyDescent="0.25">
      <c r="A6097" t="str">
        <f ca="1">IFERROR(__xludf.DUMMYFUNCTION("""COMPUTED_VALUE"""),"Salmonella Clanvillian")</f>
        <v>Salmonella Clanvillian</v>
      </c>
      <c r="B6097" t="str">
        <f ca="1">IFERROR(__xludf.DUMMYFUNCTION("""COMPUTED_VALUE"""),"RF-00001448-MCG")</f>
        <v>RF-00001448-MCG</v>
      </c>
    </row>
    <row r="6098" spans="1:2" ht="12.5" x14ac:dyDescent="0.25">
      <c r="A6098" t="str">
        <f ca="1">IFERROR(__xludf.DUMMYFUNCTION("""COMPUTED_VALUE"""),"Salmonella Clerkenwell")</f>
        <v>Salmonella Clerkenwell</v>
      </c>
      <c r="B6098" t="str">
        <f ca="1">IFERROR(__xludf.DUMMYFUNCTION("""COMPUTED_VALUE"""),"RF-00001447-MCG")</f>
        <v>RF-00001447-MCG</v>
      </c>
    </row>
    <row r="6099" spans="1:2" ht="12.5" x14ac:dyDescent="0.25">
      <c r="A6099" t="str">
        <f ca="1">IFERROR(__xludf.DUMMYFUNCTION("""COMPUTED_VALUE"""),"Salmonella Cleveland")</f>
        <v>Salmonella Cleveland</v>
      </c>
      <c r="B6099" t="str">
        <f ca="1">IFERROR(__xludf.DUMMYFUNCTION("""COMPUTED_VALUE"""),"RF-00001446-MCG")</f>
        <v>RF-00001446-MCG</v>
      </c>
    </row>
    <row r="6100" spans="1:2" ht="12.5" x14ac:dyDescent="0.25">
      <c r="A6100" t="str">
        <f ca="1">IFERROR(__xludf.DUMMYFUNCTION("""COMPUTED_VALUE"""),"Salmonella Cochin")</f>
        <v>Salmonella Cochin</v>
      </c>
      <c r="B6100" t="str">
        <f ca="1">IFERROR(__xludf.DUMMYFUNCTION("""COMPUTED_VALUE"""),"RF-00001445-MCG")</f>
        <v>RF-00001445-MCG</v>
      </c>
    </row>
    <row r="6101" spans="1:2" ht="12.5" x14ac:dyDescent="0.25">
      <c r="A6101" t="str">
        <f ca="1">IFERROR(__xludf.DUMMYFUNCTION("""COMPUTED_VALUE"""),"Salmonella Cocody")</f>
        <v>Salmonella Cocody</v>
      </c>
      <c r="B6101" t="str">
        <f ca="1">IFERROR(__xludf.DUMMYFUNCTION("""COMPUTED_VALUE"""),"RF-00001444-MCG")</f>
        <v>RF-00001444-MCG</v>
      </c>
    </row>
    <row r="6102" spans="1:2" ht="12.5" x14ac:dyDescent="0.25">
      <c r="A6102" t="str">
        <f ca="1">IFERROR(__xludf.DUMMYFUNCTION("""COMPUTED_VALUE"""),"Salmonella Coeln")</f>
        <v>Salmonella Coeln</v>
      </c>
      <c r="B6102" t="str">
        <f ca="1">IFERROR(__xludf.DUMMYFUNCTION("""COMPUTED_VALUE"""),"RF-00001443-MCG")</f>
        <v>RF-00001443-MCG</v>
      </c>
    </row>
    <row r="6103" spans="1:2" ht="12.5" x14ac:dyDescent="0.25">
      <c r="A6103" t="str">
        <f ca="1">IFERROR(__xludf.DUMMYFUNCTION("""COMPUTED_VALUE"""),"Salmonella Coleypark")</f>
        <v>Salmonella Coleypark</v>
      </c>
      <c r="B6103" t="str">
        <f ca="1">IFERROR(__xludf.DUMMYFUNCTION("""COMPUTED_VALUE"""),"RF-00001430-MCG")</f>
        <v>RF-00001430-MCG</v>
      </c>
    </row>
    <row r="6104" spans="1:2" ht="12.5" x14ac:dyDescent="0.25">
      <c r="A6104" t="str">
        <f ca="1">IFERROR(__xludf.DUMMYFUNCTION("""COMPUTED_VALUE"""),"Salmonella Colindale")</f>
        <v>Salmonella Colindale</v>
      </c>
      <c r="B6104" t="str">
        <f ca="1">IFERROR(__xludf.DUMMYFUNCTION("""COMPUTED_VALUE"""),"RF-00001441-MCG")</f>
        <v>RF-00001441-MCG</v>
      </c>
    </row>
    <row r="6105" spans="1:2" ht="12.5" x14ac:dyDescent="0.25">
      <c r="A6105" t="str">
        <f ca="1">IFERROR(__xludf.DUMMYFUNCTION("""COMPUTED_VALUE"""),"Salmonella Colobane")</f>
        <v>Salmonella Colobane</v>
      </c>
      <c r="B6105" t="str">
        <f ca="1">IFERROR(__xludf.DUMMYFUNCTION("""COMPUTED_VALUE"""),"RF-00001453-MCG")</f>
        <v>RF-00001453-MCG</v>
      </c>
    </row>
    <row r="6106" spans="1:2" ht="12.5" x14ac:dyDescent="0.25">
      <c r="A6106" t="str">
        <f ca="1">IFERROR(__xludf.DUMMYFUNCTION("""COMPUTED_VALUE"""),"Salmonella Colombo")</f>
        <v>Salmonella Colombo</v>
      </c>
      <c r="B6106" t="str">
        <f ca="1">IFERROR(__xludf.DUMMYFUNCTION("""COMPUTED_VALUE"""),"RF-00001439-MCG")</f>
        <v>RF-00001439-MCG</v>
      </c>
    </row>
    <row r="6107" spans="1:2" ht="12.5" x14ac:dyDescent="0.25">
      <c r="A6107" t="str">
        <f ca="1">IFERROR(__xludf.DUMMYFUNCTION("""COMPUTED_VALUE"""),"Salmonella Colorado")</f>
        <v>Salmonella Colorado</v>
      </c>
      <c r="B6107" t="str">
        <f ca="1">IFERROR(__xludf.DUMMYFUNCTION("""COMPUTED_VALUE"""),"RF-00001438-MCG")</f>
        <v>RF-00001438-MCG</v>
      </c>
    </row>
    <row r="6108" spans="1:2" ht="12.5" x14ac:dyDescent="0.25">
      <c r="A6108" t="str">
        <f ca="1">IFERROR(__xludf.DUMMYFUNCTION("""COMPUTED_VALUE"""),"Salmonella Concord")</f>
        <v>Salmonella Concord</v>
      </c>
      <c r="B6108" t="str">
        <f ca="1">IFERROR(__xludf.DUMMYFUNCTION("""COMPUTED_VALUE"""),"RF-00001437-MCG")</f>
        <v>RF-00001437-MCG</v>
      </c>
    </row>
    <row r="6109" spans="1:2" ht="12.5" x14ac:dyDescent="0.25">
      <c r="A6109" t="str">
        <f ca="1">IFERROR(__xludf.DUMMYFUNCTION("""COMPUTED_VALUE"""),"Salmonella Congo")</f>
        <v>Salmonella Congo</v>
      </c>
      <c r="B6109" t="str">
        <f ca="1">IFERROR(__xludf.DUMMYFUNCTION("""COMPUTED_VALUE"""),"RF-00001436-MCG")</f>
        <v>RF-00001436-MCG</v>
      </c>
    </row>
    <row r="6110" spans="1:2" ht="12.5" x14ac:dyDescent="0.25">
      <c r="A6110" t="str">
        <f ca="1">IFERROR(__xludf.DUMMYFUNCTION("""COMPUTED_VALUE"""),"Salmonella Connecticut")</f>
        <v>Salmonella Connecticut</v>
      </c>
      <c r="B6110" t="str">
        <f ca="1">IFERROR(__xludf.DUMMYFUNCTION("""COMPUTED_VALUE"""),"RF-00001435-MCG")</f>
        <v>RF-00001435-MCG</v>
      </c>
    </row>
    <row r="6111" spans="1:2" ht="12.5" x14ac:dyDescent="0.25">
      <c r="A6111" t="str">
        <f ca="1">IFERROR(__xludf.DUMMYFUNCTION("""COMPUTED_VALUE"""),"Salmonella Coogee")</f>
        <v>Salmonella Coogee</v>
      </c>
      <c r="B6111" t="str">
        <f ca="1">IFERROR(__xludf.DUMMYFUNCTION("""COMPUTED_VALUE"""),"RF-00001434-MCG")</f>
        <v>RF-00001434-MCG</v>
      </c>
    </row>
    <row r="6112" spans="1:2" ht="12.5" x14ac:dyDescent="0.25">
      <c r="A6112" t="str">
        <f ca="1">IFERROR(__xludf.DUMMYFUNCTION("""COMPUTED_VALUE"""),"Salmonella Coquilhatville")</f>
        <v>Salmonella Coquilhatville</v>
      </c>
      <c r="B6112" t="str">
        <f ca="1">IFERROR(__xludf.DUMMYFUNCTION("""COMPUTED_VALUE"""),"RF-00001433-MCG")</f>
        <v>RF-00001433-MCG</v>
      </c>
    </row>
    <row r="6113" spans="1:2" ht="12.5" x14ac:dyDescent="0.25">
      <c r="A6113" t="str">
        <f ca="1">IFERROR(__xludf.DUMMYFUNCTION("""COMPUTED_VALUE"""),"Salmonella Coromandel")</f>
        <v>Salmonella Coromandel</v>
      </c>
      <c r="B6113" t="str">
        <f ca="1">IFERROR(__xludf.DUMMYFUNCTION("""COMPUTED_VALUE"""),"RF-00001432-MCG")</f>
        <v>RF-00001432-MCG</v>
      </c>
    </row>
    <row r="6114" spans="1:2" ht="12.5" x14ac:dyDescent="0.25">
      <c r="A6114" t="str">
        <f ca="1">IFERROR(__xludf.DUMMYFUNCTION("""COMPUTED_VALUE"""),"Salmonella Corvallis")</f>
        <v>Salmonella Corvallis</v>
      </c>
      <c r="B6114" t="str">
        <f ca="1">IFERROR(__xludf.DUMMYFUNCTION("""COMPUTED_VALUE"""),"RF-00001504-MCG")</f>
        <v>RF-00001504-MCG</v>
      </c>
    </row>
    <row r="6115" spans="1:2" ht="12.5" x14ac:dyDescent="0.25">
      <c r="A6115" t="str">
        <f ca="1">IFERROR(__xludf.DUMMYFUNCTION("""COMPUTED_VALUE"""),"Salmonella Cotham")</f>
        <v>Salmonella Cotham</v>
      </c>
      <c r="B6115" t="str">
        <f ca="1">IFERROR(__xludf.DUMMYFUNCTION("""COMPUTED_VALUE"""),"RF-00001407-MCG")</f>
        <v>RF-00001407-MCG</v>
      </c>
    </row>
    <row r="6116" spans="1:2" ht="12.5" x14ac:dyDescent="0.25">
      <c r="A6116" t="str">
        <f ca="1">IFERROR(__xludf.DUMMYFUNCTION("""COMPUTED_VALUE"""),"Salmonella Cotia")</f>
        <v>Salmonella Cotia</v>
      </c>
      <c r="B6116" t="str">
        <f ca="1">IFERROR(__xludf.DUMMYFUNCTION("""COMPUTED_VALUE"""),"RF-00001479-MCG")</f>
        <v>RF-00001479-MCG</v>
      </c>
    </row>
    <row r="6117" spans="1:2" ht="12.5" x14ac:dyDescent="0.25">
      <c r="A6117" t="str">
        <f ca="1">IFERROR(__xludf.DUMMYFUNCTION("""COMPUTED_VALUE"""),"Salmonella Cremieu")</f>
        <v>Salmonella Cremieu</v>
      </c>
      <c r="B6117" t="str">
        <f ca="1">IFERROR(__xludf.DUMMYFUNCTION("""COMPUTED_VALUE"""),"RF-00001573-MCG")</f>
        <v>RF-00001573-MCG</v>
      </c>
    </row>
    <row r="6118" spans="1:2" ht="12.5" x14ac:dyDescent="0.25">
      <c r="A6118" t="str">
        <f ca="1">IFERROR(__xludf.DUMMYFUNCTION("""COMPUTED_VALUE"""),"Salmonella Crewe")</f>
        <v>Salmonella Crewe</v>
      </c>
      <c r="B6118" t="str">
        <f ca="1">IFERROR(__xludf.DUMMYFUNCTION("""COMPUTED_VALUE"""),"RF-00001572-MCG")</f>
        <v>RF-00001572-MCG</v>
      </c>
    </row>
    <row r="6119" spans="1:2" ht="12.5" x14ac:dyDescent="0.25">
      <c r="A6119" t="str">
        <f ca="1">IFERROR(__xludf.DUMMYFUNCTION("""COMPUTED_VALUE"""),"Salmonella Croft")</f>
        <v>Salmonella Croft</v>
      </c>
      <c r="B6119" t="str">
        <f ca="1">IFERROR(__xludf.DUMMYFUNCTION("""COMPUTED_VALUE"""),"RF-00001571-MCG")</f>
        <v>RF-00001571-MCG</v>
      </c>
    </row>
    <row r="6120" spans="1:2" ht="12.5" x14ac:dyDescent="0.25">
      <c r="A6120" t="str">
        <f ca="1">IFERROR(__xludf.DUMMYFUNCTION("""COMPUTED_VALUE"""),"Salmonella Crossness")</f>
        <v>Salmonella Crossness</v>
      </c>
      <c r="B6120" t="str">
        <f ca="1">IFERROR(__xludf.DUMMYFUNCTION("""COMPUTED_VALUE"""),"RF-00001570-MCG")</f>
        <v>RF-00001570-MCG</v>
      </c>
    </row>
    <row r="6121" spans="1:2" ht="12.5" x14ac:dyDescent="0.25">
      <c r="A6121" t="str">
        <f ca="1">IFERROR(__xludf.DUMMYFUNCTION("""COMPUTED_VALUE"""),"Salmonella Cubana")</f>
        <v>Salmonella Cubana</v>
      </c>
      <c r="B6121" t="str">
        <f ca="1">IFERROR(__xludf.DUMMYFUNCTION("""COMPUTED_VALUE"""),"RF-00001569-MCG")</f>
        <v>RF-00001569-MCG</v>
      </c>
    </row>
    <row r="6122" spans="1:2" ht="12.5" x14ac:dyDescent="0.25">
      <c r="A6122" t="str">
        <f ca="1">IFERROR(__xludf.DUMMYFUNCTION("""COMPUTED_VALUE"""),"Salmonella Cuckmere")</f>
        <v>Salmonella Cuckmere</v>
      </c>
      <c r="B6122" t="str">
        <f ca="1">IFERROR(__xludf.DUMMYFUNCTION("""COMPUTED_VALUE"""),"RF-00001568-MCG")</f>
        <v>RF-00001568-MCG</v>
      </c>
    </row>
    <row r="6123" spans="1:2" ht="12.5" x14ac:dyDescent="0.25">
      <c r="A6123" t="str">
        <f ca="1">IFERROR(__xludf.DUMMYFUNCTION("""COMPUTED_VALUE"""),"Salmonella Cullingworth")</f>
        <v>Salmonella Cullingworth</v>
      </c>
      <c r="B6123" t="str">
        <f ca="1">IFERROR(__xludf.DUMMYFUNCTION("""COMPUTED_VALUE"""),"RF-00001567-MCG")</f>
        <v>RF-00001567-MCG</v>
      </c>
    </row>
    <row r="6124" spans="1:2" ht="12.5" x14ac:dyDescent="0.25">
      <c r="A6124" t="str">
        <f ca="1">IFERROR(__xludf.DUMMYFUNCTION("""COMPUTED_VALUE"""),"Salmonella Cumberland")</f>
        <v>Salmonella Cumberland</v>
      </c>
      <c r="B6124" t="str">
        <f ca="1">IFERROR(__xludf.DUMMYFUNCTION("""COMPUTED_VALUE"""),"RF-00001566-MCG")</f>
        <v>RF-00001566-MCG</v>
      </c>
    </row>
    <row r="6125" spans="1:2" ht="12.5" x14ac:dyDescent="0.25">
      <c r="A6125" t="str">
        <f ca="1">IFERROR(__xludf.DUMMYFUNCTION("""COMPUTED_VALUE"""),"Salmonella Curacao")</f>
        <v>Salmonella Curacao</v>
      </c>
      <c r="B6125" t="str">
        <f ca="1">IFERROR(__xludf.DUMMYFUNCTION("""COMPUTED_VALUE"""),"RF-00001565-MCG")</f>
        <v>RF-00001565-MCG</v>
      </c>
    </row>
    <row r="6126" spans="1:2" ht="12.5" x14ac:dyDescent="0.25">
      <c r="A6126" t="str">
        <f ca="1">IFERROR(__xludf.DUMMYFUNCTION("""COMPUTED_VALUE"""),"Salmonella Cyprus")</f>
        <v>Salmonella Cyprus</v>
      </c>
      <c r="B6126" t="str">
        <f ca="1">IFERROR(__xludf.DUMMYFUNCTION("""COMPUTED_VALUE"""),"RF-00001564-MCG")</f>
        <v>RF-00001564-MCG</v>
      </c>
    </row>
    <row r="6127" spans="1:2" ht="12.5" x14ac:dyDescent="0.25">
      <c r="A6127" t="str">
        <f ca="1">IFERROR(__xludf.DUMMYFUNCTION("""COMPUTED_VALUE"""),"Salmonella Czernyring")</f>
        <v>Salmonella Czernyring</v>
      </c>
      <c r="B6127" t="str">
        <f ca="1">IFERROR(__xludf.DUMMYFUNCTION("""COMPUTED_VALUE"""),"RF-00001551-MCG")</f>
        <v>RF-00001551-MCG</v>
      </c>
    </row>
    <row r="6128" spans="1:2" ht="12.5" x14ac:dyDescent="0.25">
      <c r="A6128" t="str">
        <f ca="1">IFERROR(__xludf.DUMMYFUNCTION("""COMPUTED_VALUE"""),"Salmonella Daarle")</f>
        <v>Salmonella Daarle</v>
      </c>
      <c r="B6128" t="str">
        <f ca="1">IFERROR(__xludf.DUMMYFUNCTION("""COMPUTED_VALUE"""),"RF-00001562-MCG")</f>
        <v>RF-00001562-MCG</v>
      </c>
    </row>
    <row r="6129" spans="1:2" ht="12.5" x14ac:dyDescent="0.25">
      <c r="A6129" t="str">
        <f ca="1">IFERROR(__xludf.DUMMYFUNCTION("""COMPUTED_VALUE"""),"Salmonella Dabou")</f>
        <v>Salmonella Dabou</v>
      </c>
      <c r="B6129" t="str">
        <f ca="1">IFERROR(__xludf.DUMMYFUNCTION("""COMPUTED_VALUE"""),"RF-00001574-MCG")</f>
        <v>RF-00001574-MCG</v>
      </c>
    </row>
    <row r="6130" spans="1:2" ht="12.5" x14ac:dyDescent="0.25">
      <c r="A6130" t="str">
        <f ca="1">IFERROR(__xludf.DUMMYFUNCTION("""COMPUTED_VALUE"""),"Salmonella Dadzie")</f>
        <v>Salmonella Dadzie</v>
      </c>
      <c r="B6130" t="str">
        <f ca="1">IFERROR(__xludf.DUMMYFUNCTION("""COMPUTED_VALUE"""),"RF-00001560-MCG")</f>
        <v>RF-00001560-MCG</v>
      </c>
    </row>
    <row r="6131" spans="1:2" ht="12.5" x14ac:dyDescent="0.25">
      <c r="A6131" t="str">
        <f ca="1">IFERROR(__xludf.DUMMYFUNCTION("""COMPUTED_VALUE"""),"Salmonella Dahlem")</f>
        <v>Salmonella Dahlem</v>
      </c>
      <c r="B6131" t="str">
        <f ca="1">IFERROR(__xludf.DUMMYFUNCTION("""COMPUTED_VALUE"""),"RF-00001559-MCG")</f>
        <v>RF-00001559-MCG</v>
      </c>
    </row>
    <row r="6132" spans="1:2" ht="12.5" x14ac:dyDescent="0.25">
      <c r="A6132" t="str">
        <f ca="1">IFERROR(__xludf.DUMMYFUNCTION("""COMPUTED_VALUE"""),"Salmonella Dahomey")</f>
        <v>Salmonella Dahomey</v>
      </c>
      <c r="B6132" t="str">
        <f ca="1">IFERROR(__xludf.DUMMYFUNCTION("""COMPUTED_VALUE"""),"RF-00001981-MCG")</f>
        <v>RF-00001981-MCG</v>
      </c>
    </row>
    <row r="6133" spans="1:2" ht="12.5" x14ac:dyDescent="0.25">
      <c r="A6133" t="str">
        <f ca="1">IFERROR(__xludf.DUMMYFUNCTION("""COMPUTED_VALUE"""),"Salmonella Dahra")</f>
        <v>Salmonella Dahra</v>
      </c>
      <c r="B6133" t="str">
        <f ca="1">IFERROR(__xludf.DUMMYFUNCTION("""COMPUTED_VALUE"""),"RF-00001557-MCG")</f>
        <v>RF-00001557-MCG</v>
      </c>
    </row>
    <row r="6134" spans="1:2" ht="12.5" x14ac:dyDescent="0.25">
      <c r="A6134" t="str">
        <f ca="1">IFERROR(__xludf.DUMMYFUNCTION("""COMPUTED_VALUE"""),"Salmonella Dakar")</f>
        <v>Salmonella Dakar</v>
      </c>
      <c r="B6134" t="str">
        <f ca="1">IFERROR(__xludf.DUMMYFUNCTION("""COMPUTED_VALUE"""),"RF-00001770-MCG")</f>
        <v>RF-00001770-MCG</v>
      </c>
    </row>
    <row r="6135" spans="1:2" ht="12.5" x14ac:dyDescent="0.25">
      <c r="A6135" t="str">
        <f ca="1">IFERROR(__xludf.DUMMYFUNCTION("""COMPUTED_VALUE"""),"Salmonella Dakota")</f>
        <v>Salmonella Dakota</v>
      </c>
      <c r="B6135" t="str">
        <f ca="1">IFERROR(__xludf.DUMMYFUNCTION("""COMPUTED_VALUE"""),"RF-00001555-MCG")</f>
        <v>RF-00001555-MCG</v>
      </c>
    </row>
    <row r="6136" spans="1:2" ht="12.5" x14ac:dyDescent="0.25">
      <c r="A6136" t="str">
        <f ca="1">IFERROR(__xludf.DUMMYFUNCTION("""COMPUTED_VALUE"""),"Salmonella Dallgow")</f>
        <v>Salmonella Dallgow</v>
      </c>
      <c r="B6136" t="str">
        <f ca="1">IFERROR(__xludf.DUMMYFUNCTION("""COMPUTED_VALUE"""),"RF-00001554-MCG")</f>
        <v>RF-00001554-MCG</v>
      </c>
    </row>
    <row r="6137" spans="1:2" ht="12.5" x14ac:dyDescent="0.25">
      <c r="A6137" t="str">
        <f ca="1">IFERROR(__xludf.DUMMYFUNCTION("""COMPUTED_VALUE"""),"Salmonella Damman")</f>
        <v>Salmonella Damman</v>
      </c>
      <c r="B6137" t="str">
        <f ca="1">IFERROR(__xludf.DUMMYFUNCTION("""COMPUTED_VALUE"""),"RF-00001553-MCG")</f>
        <v>RF-00001553-MCG</v>
      </c>
    </row>
    <row r="6138" spans="1:2" ht="12.5" x14ac:dyDescent="0.25">
      <c r="A6138" t="str">
        <f ca="1">IFERROR(__xludf.DUMMYFUNCTION("""COMPUTED_VALUE"""),"Salmonella Dan")</f>
        <v>Salmonella Dan</v>
      </c>
      <c r="B6138" t="str">
        <f ca="1">IFERROR(__xludf.DUMMYFUNCTION("""COMPUTED_VALUE"""),"RF-00001552-MCG")</f>
        <v>RF-00001552-MCG</v>
      </c>
    </row>
    <row r="6139" spans="1:2" ht="12.5" x14ac:dyDescent="0.25">
      <c r="A6139" t="str">
        <f ca="1">IFERROR(__xludf.DUMMYFUNCTION("""COMPUTED_VALUE"""),"Salmonella Dapango")</f>
        <v>Salmonella Dapango</v>
      </c>
      <c r="B6139" t="str">
        <f ca="1">IFERROR(__xludf.DUMMYFUNCTION("""COMPUTED_VALUE"""),"RF-00001586-MCG")</f>
        <v>RF-00001586-MCG</v>
      </c>
    </row>
    <row r="6140" spans="1:2" ht="12.5" x14ac:dyDescent="0.25">
      <c r="A6140" t="str">
        <f ca="1">IFERROR(__xludf.DUMMYFUNCTION("""COMPUTED_VALUE"""),"Salmonella Daula")</f>
        <v>Salmonella Daula</v>
      </c>
      <c r="B6140" t="str">
        <f ca="1">IFERROR(__xludf.DUMMYFUNCTION("""COMPUTED_VALUE"""),"RF-00001588-MCG")</f>
        <v>RF-00001588-MCG</v>
      </c>
    </row>
    <row r="6141" spans="1:2" ht="12.5" x14ac:dyDescent="0.25">
      <c r="A6141" t="str">
        <f ca="1">IFERROR(__xludf.DUMMYFUNCTION("""COMPUTED_VALUE"""),"Salmonella Daytona")</f>
        <v>Salmonella Daytona</v>
      </c>
      <c r="B6141" t="str">
        <f ca="1">IFERROR(__xludf.DUMMYFUNCTION("""COMPUTED_VALUE"""),"RF-00001563-MCG")</f>
        <v>RF-00001563-MCG</v>
      </c>
    </row>
    <row r="6142" spans="1:2" ht="12.5" x14ac:dyDescent="0.25">
      <c r="A6142" t="str">
        <f ca="1">IFERROR(__xludf.DUMMYFUNCTION("""COMPUTED_VALUE"""),"Salmonella Deckstein")</f>
        <v>Salmonella Deckstein</v>
      </c>
      <c r="B6142" t="str">
        <f ca="1">IFERROR(__xludf.DUMMYFUNCTION("""COMPUTED_VALUE"""),"RF-00001597-MCG")</f>
        <v>RF-00001597-MCG</v>
      </c>
    </row>
    <row r="6143" spans="1:2" ht="12.5" x14ac:dyDescent="0.25">
      <c r="A6143" t="str">
        <f ca="1">IFERROR(__xludf.DUMMYFUNCTION("""COMPUTED_VALUE"""),"Salmonella Delmenhorst")</f>
        <v>Salmonella Delmenhorst</v>
      </c>
      <c r="B6143" t="str">
        <f ca="1">IFERROR(__xludf.DUMMYFUNCTION("""COMPUTED_VALUE"""),"RF-00001596-MCG")</f>
        <v>RF-00001596-MCG</v>
      </c>
    </row>
    <row r="6144" spans="1:2" ht="12.5" x14ac:dyDescent="0.25">
      <c r="A6144" t="str">
        <f ca="1">IFERROR(__xludf.DUMMYFUNCTION("""COMPUTED_VALUE"""),"Salmonella Dembe")</f>
        <v>Salmonella Dembe</v>
      </c>
      <c r="B6144" t="str">
        <f ca="1">IFERROR(__xludf.DUMMYFUNCTION("""COMPUTED_VALUE"""),"RF-00001595-MCG")</f>
        <v>RF-00001595-MCG</v>
      </c>
    </row>
    <row r="6145" spans="1:2" ht="12.5" x14ac:dyDescent="0.25">
      <c r="A6145" t="str">
        <f ca="1">IFERROR(__xludf.DUMMYFUNCTION("""COMPUTED_VALUE"""),"Salmonella Demerara")</f>
        <v>Salmonella Demerara</v>
      </c>
      <c r="B6145" t="str">
        <f ca="1">IFERROR(__xludf.DUMMYFUNCTION("""COMPUTED_VALUE"""),"RF-00001594-MCG")</f>
        <v>RF-00001594-MCG</v>
      </c>
    </row>
    <row r="6146" spans="1:2" ht="12.5" x14ac:dyDescent="0.25">
      <c r="A6146" t="str">
        <f ca="1">IFERROR(__xludf.DUMMYFUNCTION("""COMPUTED_VALUE"""),"Salmonella Denver")</f>
        <v>Salmonella Denver</v>
      </c>
      <c r="B6146" t="str">
        <f ca="1">IFERROR(__xludf.DUMMYFUNCTION("""COMPUTED_VALUE"""),"RF-00001593-MCG")</f>
        <v>RF-00001593-MCG</v>
      </c>
    </row>
    <row r="6147" spans="1:2" ht="12.5" x14ac:dyDescent="0.25">
      <c r="A6147" t="str">
        <f ca="1">IFERROR(__xludf.DUMMYFUNCTION("""COMPUTED_VALUE"""),"Salmonella Derby")</f>
        <v>Salmonella Derby</v>
      </c>
      <c r="B6147" t="str">
        <f ca="1">IFERROR(__xludf.DUMMYFUNCTION("""COMPUTED_VALUE"""),"RF-00001592-MCG")</f>
        <v>RF-00001592-MCG</v>
      </c>
    </row>
    <row r="6148" spans="1:2" ht="12.5" x14ac:dyDescent="0.25">
      <c r="A6148" t="str">
        <f ca="1">IFERROR(__xludf.DUMMYFUNCTION("""COMPUTED_VALUE"""),"Salmonella Derkle")</f>
        <v>Salmonella Derkle</v>
      </c>
      <c r="B6148" t="str">
        <f ca="1">IFERROR(__xludf.DUMMYFUNCTION("""COMPUTED_VALUE"""),"RF-00001591-MCG")</f>
        <v>RF-00001591-MCG</v>
      </c>
    </row>
    <row r="6149" spans="1:2" ht="12.5" x14ac:dyDescent="0.25">
      <c r="A6149" t="str">
        <f ca="1">IFERROR(__xludf.DUMMYFUNCTION("""COMPUTED_VALUE"""),"Salmonella Dessau")</f>
        <v>Salmonella Dessau</v>
      </c>
      <c r="B6149" t="str">
        <f ca="1">IFERROR(__xludf.DUMMYFUNCTION("""COMPUTED_VALUE"""),"RF-00001590-MCG")</f>
        <v>RF-00001590-MCG</v>
      </c>
    </row>
    <row r="6150" spans="1:2" ht="12.5" x14ac:dyDescent="0.25">
      <c r="A6150" t="str">
        <f ca="1">IFERROR(__xludf.DUMMYFUNCTION("""COMPUTED_VALUE"""),"Salmonella Deversoir")</f>
        <v>Salmonella Deversoir</v>
      </c>
      <c r="B6150" t="str">
        <f ca="1">IFERROR(__xludf.DUMMYFUNCTION("""COMPUTED_VALUE"""),"RF-00001589-MCG")</f>
        <v>RF-00001589-MCG</v>
      </c>
    </row>
    <row r="6151" spans="1:2" ht="12.5" x14ac:dyDescent="0.25">
      <c r="A6151" t="str">
        <f ca="1">IFERROR(__xludf.DUMMYFUNCTION("""COMPUTED_VALUE"""),"Salmonella Dibra")</f>
        <v>Salmonella Dibra</v>
      </c>
      <c r="B6151" t="str">
        <f ca="1">IFERROR(__xludf.DUMMYFUNCTION("""COMPUTED_VALUE"""),"RF-00001575-MCG")</f>
        <v>RF-00001575-MCG</v>
      </c>
    </row>
    <row r="6152" spans="1:2" ht="12.5" x14ac:dyDescent="0.25">
      <c r="A6152" t="str">
        <f ca="1">IFERROR(__xludf.DUMMYFUNCTION("""COMPUTED_VALUE"""),"Salmonella Dieuppeul")</f>
        <v>Salmonella Dieuppeul</v>
      </c>
      <c r="B6152" t="str">
        <f ca="1">IFERROR(__xludf.DUMMYFUNCTION("""COMPUTED_VALUE"""),"RF-00001587-MCG")</f>
        <v>RF-00001587-MCG</v>
      </c>
    </row>
    <row r="6153" spans="1:2" ht="12.5" x14ac:dyDescent="0.25">
      <c r="A6153" t="str">
        <f ca="1">IFERROR(__xludf.DUMMYFUNCTION("""COMPUTED_VALUE"""),"Salmonella Diguel")</f>
        <v>Salmonella Diguel</v>
      </c>
      <c r="B6153" t="str">
        <f ca="1">IFERROR(__xludf.DUMMYFUNCTION("""COMPUTED_VALUE"""),"RF-00001599-MCG")</f>
        <v>RF-00001599-MCG</v>
      </c>
    </row>
    <row r="6154" spans="1:2" ht="12.5" x14ac:dyDescent="0.25">
      <c r="A6154" t="str">
        <f ca="1">IFERROR(__xludf.DUMMYFUNCTION("""COMPUTED_VALUE"""),"Salmonella Diogoye")</f>
        <v>Salmonella Diogoye</v>
      </c>
      <c r="B6154" t="str">
        <f ca="1">IFERROR(__xludf.DUMMYFUNCTION("""COMPUTED_VALUE"""),"RF-00001585-MCG")</f>
        <v>RF-00001585-MCG</v>
      </c>
    </row>
    <row r="6155" spans="1:2" ht="12.5" x14ac:dyDescent="0.25">
      <c r="A6155" t="str">
        <f ca="1">IFERROR(__xludf.DUMMYFUNCTION("""COMPUTED_VALUE"""),"Salmonella Diourbel")</f>
        <v>Salmonella Diourbel</v>
      </c>
      <c r="B6155" t="str">
        <f ca="1">IFERROR(__xludf.DUMMYFUNCTION("""COMPUTED_VALUE"""),"RF-00001584-MCG")</f>
        <v>RF-00001584-MCG</v>
      </c>
    </row>
    <row r="6156" spans="1:2" ht="12.5" x14ac:dyDescent="0.25">
      <c r="A6156" t="str">
        <f ca="1">IFERROR(__xludf.DUMMYFUNCTION("""COMPUTED_VALUE"""),"Salmonella Djakarta")</f>
        <v>Salmonella Djakarta</v>
      </c>
      <c r="B6156" t="str">
        <f ca="1">IFERROR(__xludf.DUMMYFUNCTION("""COMPUTED_VALUE"""),"RF-00001583-MCG")</f>
        <v>RF-00001583-MCG</v>
      </c>
    </row>
    <row r="6157" spans="1:2" ht="12.5" x14ac:dyDescent="0.25">
      <c r="A6157" t="str">
        <f ca="1">IFERROR(__xludf.DUMMYFUNCTION("""COMPUTED_VALUE"""),"Salmonella Djama")</f>
        <v>Salmonella Djama</v>
      </c>
      <c r="B6157" t="str">
        <f ca="1">IFERROR(__xludf.DUMMYFUNCTION("""COMPUTED_VALUE"""),"RF-00001582-MCG")</f>
        <v>RF-00001582-MCG</v>
      </c>
    </row>
    <row r="6158" spans="1:2" ht="12.5" x14ac:dyDescent="0.25">
      <c r="A6158" t="str">
        <f ca="1">IFERROR(__xludf.DUMMYFUNCTION("""COMPUTED_VALUE"""),"Salmonella Djelfa")</f>
        <v>Salmonella Djelfa</v>
      </c>
      <c r="B6158" t="str">
        <f ca="1">IFERROR(__xludf.DUMMYFUNCTION("""COMPUTED_VALUE"""),"RF-00001581-MCG")</f>
        <v>RF-00001581-MCG</v>
      </c>
    </row>
    <row r="6159" spans="1:2" ht="12.5" x14ac:dyDescent="0.25">
      <c r="A6159" t="str">
        <f ca="1">IFERROR(__xludf.DUMMYFUNCTION("""COMPUTED_VALUE"""),"Salmonella Djermaia")</f>
        <v>Salmonella Djermaia</v>
      </c>
      <c r="B6159" t="str">
        <f ca="1">IFERROR(__xludf.DUMMYFUNCTION("""COMPUTED_VALUE"""),"RF-00001580-MCG")</f>
        <v>RF-00001580-MCG</v>
      </c>
    </row>
    <row r="6160" spans="1:2" ht="12.5" x14ac:dyDescent="0.25">
      <c r="A6160" t="str">
        <f ca="1">IFERROR(__xludf.DUMMYFUNCTION("""COMPUTED_VALUE"""),"Salmonella Djibouti")</f>
        <v>Salmonella Djibouti</v>
      </c>
      <c r="B6160" t="str">
        <f ca="1">IFERROR(__xludf.DUMMYFUNCTION("""COMPUTED_VALUE"""),"RF-00001579-MCG")</f>
        <v>RF-00001579-MCG</v>
      </c>
    </row>
    <row r="6161" spans="1:2" ht="12.5" x14ac:dyDescent="0.25">
      <c r="A6161" t="str">
        <f ca="1">IFERROR(__xludf.DUMMYFUNCTION("""COMPUTED_VALUE"""),"Salmonella Djugu")</f>
        <v>Salmonella Djugu</v>
      </c>
      <c r="B6161" t="str">
        <f ca="1">IFERROR(__xludf.DUMMYFUNCTION("""COMPUTED_VALUE"""),"RF-00001578-MCG")</f>
        <v>RF-00001578-MCG</v>
      </c>
    </row>
    <row r="6162" spans="1:2" ht="12.5" x14ac:dyDescent="0.25">
      <c r="A6162" t="str">
        <f ca="1">IFERROR(__xludf.DUMMYFUNCTION("""COMPUTED_VALUE"""),"Salmonella Doba")</f>
        <v>Salmonella Doba</v>
      </c>
      <c r="B6162" t="str">
        <f ca="1">IFERROR(__xludf.DUMMYFUNCTION("""COMPUTED_VALUE"""),"RF-00001577-MCG")</f>
        <v>RF-00001577-MCG</v>
      </c>
    </row>
    <row r="6163" spans="1:2" ht="12.5" x14ac:dyDescent="0.25">
      <c r="A6163" t="str">
        <f ca="1">IFERROR(__xludf.DUMMYFUNCTION("""COMPUTED_VALUE"""),"Salmonella Doel")</f>
        <v>Salmonella Doel</v>
      </c>
      <c r="B6163" t="str">
        <f ca="1">IFERROR(__xludf.DUMMYFUNCTION("""COMPUTED_VALUE"""),"RF-00001539-MCG")</f>
        <v>RF-00001539-MCG</v>
      </c>
    </row>
    <row r="6164" spans="1:2" ht="12.5" x14ac:dyDescent="0.25">
      <c r="A6164" t="str">
        <f ca="1">IFERROR(__xludf.DUMMYFUNCTION("""COMPUTED_VALUE"""),"Salmonella Doncaster")</f>
        <v>Salmonella Doncaster</v>
      </c>
      <c r="B6164" t="str">
        <f ca="1">IFERROR(__xludf.DUMMYFUNCTION("""COMPUTED_VALUE"""),"RF-00001598-MCG")</f>
        <v>RF-00001598-MCG</v>
      </c>
    </row>
    <row r="6165" spans="1:2" ht="12.5" x14ac:dyDescent="0.25">
      <c r="A6165" t="str">
        <f ca="1">IFERROR(__xludf.DUMMYFUNCTION("""COMPUTED_VALUE"""),"Salmonella Donna")</f>
        <v>Salmonella Donna</v>
      </c>
      <c r="B6165" t="str">
        <f ca="1">IFERROR(__xludf.DUMMYFUNCTION("""COMPUTED_VALUE"""),"RF-00001561-MCG")</f>
        <v>RF-00001561-MCG</v>
      </c>
    </row>
    <row r="6166" spans="1:2" ht="12.5" x14ac:dyDescent="0.25">
      <c r="A6166" t="str">
        <f ca="1">IFERROR(__xludf.DUMMYFUNCTION("""COMPUTED_VALUE"""),"Salmonella Doorn")</f>
        <v>Salmonella Doorn</v>
      </c>
      <c r="B6166" t="str">
        <f ca="1">IFERROR(__xludf.DUMMYFUNCTION("""COMPUTED_VALUE"""),"RF-00001525-MCG")</f>
        <v>RF-00001525-MCG</v>
      </c>
    </row>
    <row r="6167" spans="1:2" ht="12.5" x14ac:dyDescent="0.25">
      <c r="A6167" t="str">
        <f ca="1">IFERROR(__xludf.DUMMYFUNCTION("""COMPUTED_VALUE"""),"Salmonella Douala")</f>
        <v>Salmonella Douala</v>
      </c>
      <c r="B6167" t="str">
        <f ca="1">IFERROR(__xludf.DUMMYFUNCTION("""COMPUTED_VALUE"""),"RF-00001524-MCG")</f>
        <v>RF-00001524-MCG</v>
      </c>
    </row>
    <row r="6168" spans="1:2" ht="12.5" x14ac:dyDescent="0.25">
      <c r="A6168" t="str">
        <f ca="1">IFERROR(__xludf.DUMMYFUNCTION("""COMPUTED_VALUE"""),"Salmonella Dougi")</f>
        <v>Salmonella Dougi</v>
      </c>
      <c r="B6168" t="str">
        <f ca="1">IFERROR(__xludf.DUMMYFUNCTION("""COMPUTED_VALUE"""),"RF-00001523-MCG")</f>
        <v>RF-00001523-MCG</v>
      </c>
    </row>
    <row r="6169" spans="1:2" ht="12.5" x14ac:dyDescent="0.25">
      <c r="A6169" t="str">
        <f ca="1">IFERROR(__xludf.DUMMYFUNCTION("""COMPUTED_VALUE"""),"Salmonella Doulassame")</f>
        <v>Salmonella Doulassame</v>
      </c>
      <c r="B6169" t="str">
        <f ca="1">IFERROR(__xludf.DUMMYFUNCTION("""COMPUTED_VALUE"""),"RF-00001522-MCG")</f>
        <v>RF-00001522-MCG</v>
      </c>
    </row>
    <row r="6170" spans="1:2" ht="12.5" x14ac:dyDescent="0.25">
      <c r="A6170" t="str">
        <f ca="1">IFERROR(__xludf.DUMMYFUNCTION("""COMPUTED_VALUE"""),"Salmonella Dresden")</f>
        <v>Salmonella Dresden</v>
      </c>
      <c r="B6170" t="str">
        <f ca="1">IFERROR(__xludf.DUMMYFUNCTION("""COMPUTED_VALUE"""),"RF-00001521-MCG")</f>
        <v>RF-00001521-MCG</v>
      </c>
    </row>
    <row r="6171" spans="1:2" ht="12.5" x14ac:dyDescent="0.25">
      <c r="A6171" t="str">
        <f ca="1">IFERROR(__xludf.DUMMYFUNCTION("""COMPUTED_VALUE"""),"Salmonella Driffield")</f>
        <v>Salmonella Driffield</v>
      </c>
      <c r="B6171" t="str">
        <f ca="1">IFERROR(__xludf.DUMMYFUNCTION("""COMPUTED_VALUE"""),"RF-00001520-MCG")</f>
        <v>RF-00001520-MCG</v>
      </c>
    </row>
    <row r="6172" spans="1:2" ht="12.5" x14ac:dyDescent="0.25">
      <c r="A6172" t="str">
        <f ca="1">IFERROR(__xludf.DUMMYFUNCTION("""COMPUTED_VALUE"""),"Salmonella Drogana")</f>
        <v>Salmonella Drogana</v>
      </c>
      <c r="B6172" t="str">
        <f ca="1">IFERROR(__xludf.DUMMYFUNCTION("""COMPUTED_VALUE"""),"RF-00001519-MCG")</f>
        <v>RF-00001519-MCG</v>
      </c>
    </row>
    <row r="6173" spans="1:2" ht="12.5" x14ac:dyDescent="0.25">
      <c r="A6173" t="str">
        <f ca="1">IFERROR(__xludf.DUMMYFUNCTION("""COMPUTED_VALUE"""),"Salmonella Drypool")</f>
        <v>Salmonella Drypool</v>
      </c>
      <c r="B6173" t="str">
        <f ca="1">IFERROR(__xludf.DUMMYFUNCTION("""COMPUTED_VALUE"""),"RF-00001518-MCG")</f>
        <v>RF-00001518-MCG</v>
      </c>
    </row>
    <row r="6174" spans="1:2" ht="12.5" x14ac:dyDescent="0.25">
      <c r="A6174" t="str">
        <f ca="1">IFERROR(__xludf.DUMMYFUNCTION("""COMPUTED_VALUE"""),"Salmonella Dublin")</f>
        <v>Salmonella Dublin</v>
      </c>
      <c r="B6174" t="str">
        <f ca="1">IFERROR(__xludf.DUMMYFUNCTION("""COMPUTED_VALUE"""),"RF-00001517-MCG")</f>
        <v>RF-00001517-MCG</v>
      </c>
    </row>
    <row r="6175" spans="1:2" ht="12.5" x14ac:dyDescent="0.25">
      <c r="A6175" t="str">
        <f ca="1">IFERROR(__xludf.DUMMYFUNCTION("""COMPUTED_VALUE"""),"Salmonella Duesseldorf")</f>
        <v>Salmonella Duesseldorf</v>
      </c>
      <c r="B6175" t="str">
        <f ca="1">IFERROR(__xludf.DUMMYFUNCTION("""COMPUTED_VALUE"""),"RF-00001516-MCG")</f>
        <v>RF-00001516-MCG</v>
      </c>
    </row>
    <row r="6176" spans="1:2" ht="12.5" x14ac:dyDescent="0.25">
      <c r="A6176" t="str">
        <f ca="1">IFERROR(__xludf.DUMMYFUNCTION("""COMPUTED_VALUE"""),"Salmonella Dugbe")</f>
        <v>Salmonella Dugbe</v>
      </c>
      <c r="B6176" t="str">
        <f ca="1">IFERROR(__xludf.DUMMYFUNCTION("""COMPUTED_VALUE"""),"RF-00001503-MCG")</f>
        <v>RF-00001503-MCG</v>
      </c>
    </row>
    <row r="6177" spans="1:2" ht="12.5" x14ac:dyDescent="0.25">
      <c r="A6177" t="str">
        <f ca="1">IFERROR(__xludf.DUMMYFUNCTION("""COMPUTED_VALUE"""),"Salmonella Duisburg")</f>
        <v>Salmonella Duisburg</v>
      </c>
      <c r="B6177" t="str">
        <f ca="1">IFERROR(__xludf.DUMMYFUNCTION("""COMPUTED_VALUE"""),"RF-00001514-MCG")</f>
        <v>RF-00001514-MCG</v>
      </c>
    </row>
    <row r="6178" spans="1:2" ht="12.5" x14ac:dyDescent="0.25">
      <c r="A6178" t="str">
        <f ca="1">IFERROR(__xludf.DUMMYFUNCTION("""COMPUTED_VALUE"""),"Salmonella Dumfries")</f>
        <v>Salmonella Dumfries</v>
      </c>
      <c r="B6178" t="str">
        <f ca="1">IFERROR(__xludf.DUMMYFUNCTION("""COMPUTED_VALUE"""),"RF-00001526-MCG")</f>
        <v>RF-00001526-MCG</v>
      </c>
    </row>
    <row r="6179" spans="1:2" ht="12.5" x14ac:dyDescent="0.25">
      <c r="A6179" t="str">
        <f ca="1">IFERROR(__xludf.DUMMYFUNCTION("""COMPUTED_VALUE"""),"Salmonella Dunkwa")</f>
        <v>Salmonella Dunkwa</v>
      </c>
      <c r="B6179" t="str">
        <f ca="1">IFERROR(__xludf.DUMMYFUNCTION("""COMPUTED_VALUE"""),"RF-00001512-MCG")</f>
        <v>RF-00001512-MCG</v>
      </c>
    </row>
    <row r="6180" spans="1:2" ht="12.5" x14ac:dyDescent="0.25">
      <c r="A6180" t="str">
        <f ca="1">IFERROR(__xludf.DUMMYFUNCTION("""COMPUTED_VALUE"""),"Salmonella Durban")</f>
        <v>Salmonella Durban</v>
      </c>
      <c r="B6180" t="str">
        <f ca="1">IFERROR(__xludf.DUMMYFUNCTION("""COMPUTED_VALUE"""),"RF-00001511-MCG")</f>
        <v>RF-00001511-MCG</v>
      </c>
    </row>
    <row r="6181" spans="1:2" ht="12.5" x14ac:dyDescent="0.25">
      <c r="A6181" t="str">
        <f ca="1">IFERROR(__xludf.DUMMYFUNCTION("""COMPUTED_VALUE"""),"Salmonella Durham")</f>
        <v>Salmonella Durham</v>
      </c>
      <c r="B6181" t="str">
        <f ca="1">IFERROR(__xludf.DUMMYFUNCTION("""COMPUTED_VALUE"""),"RF-00001510-MCG")</f>
        <v>RF-00001510-MCG</v>
      </c>
    </row>
    <row r="6182" spans="1:2" ht="12.5" x14ac:dyDescent="0.25">
      <c r="A6182" t="str">
        <f ca="1">IFERROR(__xludf.DUMMYFUNCTION("""COMPUTED_VALUE"""),"Salmonella Duval")</f>
        <v>Salmonella Duval</v>
      </c>
      <c r="B6182" t="str">
        <f ca="1">IFERROR(__xludf.DUMMYFUNCTION("""COMPUTED_VALUE"""),"RF-00001509-MCG")</f>
        <v>RF-00001509-MCG</v>
      </c>
    </row>
    <row r="6183" spans="1:2" ht="12.5" x14ac:dyDescent="0.25">
      <c r="A6183" t="str">
        <f ca="1">IFERROR(__xludf.DUMMYFUNCTION("""COMPUTED_VALUE"""),"Salmonella Ealing")</f>
        <v>Salmonella Ealing</v>
      </c>
      <c r="B6183" t="str">
        <f ca="1">IFERROR(__xludf.DUMMYFUNCTION("""COMPUTED_VALUE"""),"RF-00001508-MCG")</f>
        <v>RF-00001508-MCG</v>
      </c>
    </row>
    <row r="6184" spans="1:2" ht="12.5" x14ac:dyDescent="0.25">
      <c r="A6184" t="str">
        <f ca="1">IFERROR(__xludf.DUMMYFUNCTION("""COMPUTED_VALUE"""),"Salmonella Eastbourne")</f>
        <v>Salmonella Eastbourne</v>
      </c>
      <c r="B6184" t="str">
        <f ca="1">IFERROR(__xludf.DUMMYFUNCTION("""COMPUTED_VALUE"""),"RF-00001507-MCG")</f>
        <v>RF-00001507-MCG</v>
      </c>
    </row>
    <row r="6185" spans="1:2" ht="12.5" x14ac:dyDescent="0.25">
      <c r="A6185" t="str">
        <f ca="1">IFERROR(__xludf.DUMMYFUNCTION("""COMPUTED_VALUE"""),"Salmonella Eastglam")</f>
        <v>Salmonella Eastglam</v>
      </c>
      <c r="B6185" t="str">
        <f ca="1">IFERROR(__xludf.DUMMYFUNCTION("""COMPUTED_VALUE"""),"RF-00001506-MCG")</f>
        <v>RF-00001506-MCG</v>
      </c>
    </row>
    <row r="6186" spans="1:2" ht="12.5" x14ac:dyDescent="0.25">
      <c r="A6186" t="str">
        <f ca="1">IFERROR(__xludf.DUMMYFUNCTION("""COMPUTED_VALUE"""),"Salmonella Eberswalde")</f>
        <v>Salmonella Eberswalde</v>
      </c>
      <c r="B6186" t="str">
        <f ca="1">IFERROR(__xludf.DUMMYFUNCTION("""COMPUTED_VALUE"""),"RF-00001505-MCG")</f>
        <v>RF-00001505-MCG</v>
      </c>
    </row>
    <row r="6187" spans="1:2" ht="12.5" x14ac:dyDescent="0.25">
      <c r="A6187" t="str">
        <f ca="1">IFERROR(__xludf.DUMMYFUNCTION("""COMPUTED_VALUE"""),"Salmonella Eboko")</f>
        <v>Salmonella Eboko</v>
      </c>
      <c r="B6187" t="str">
        <f ca="1">IFERROR(__xludf.DUMMYFUNCTION("""COMPUTED_VALUE"""),"RF-00001537-MCG")</f>
        <v>RF-00001537-MCG</v>
      </c>
    </row>
    <row r="6188" spans="1:2" ht="12.5" x14ac:dyDescent="0.25">
      <c r="A6188" t="str">
        <f ca="1">IFERROR(__xludf.DUMMYFUNCTION("""COMPUTED_VALUE"""),"Salmonella Ebrie")</f>
        <v>Salmonella Ebrie</v>
      </c>
      <c r="B6188" t="str">
        <f ca="1">IFERROR(__xludf.DUMMYFUNCTION("""COMPUTED_VALUE"""),"RF-00001513-MCG")</f>
        <v>RF-00001513-MCG</v>
      </c>
    </row>
    <row r="6189" spans="1:2" ht="12.5" x14ac:dyDescent="0.25">
      <c r="A6189" t="str">
        <f ca="1">IFERROR(__xludf.DUMMYFUNCTION("""COMPUTED_VALUE"""),"Salmonella Echa")</f>
        <v>Salmonella Echa</v>
      </c>
      <c r="B6189" t="str">
        <f ca="1">IFERROR(__xludf.DUMMYFUNCTION("""COMPUTED_VALUE"""),"RF-00001515-MCG")</f>
        <v>RF-00001515-MCG</v>
      </c>
    </row>
    <row r="6190" spans="1:2" ht="12.5" x14ac:dyDescent="0.25">
      <c r="A6190" t="str">
        <f ca="1">IFERROR(__xludf.DUMMYFUNCTION("""COMPUTED_VALUE"""),"Salmonella Edinburg")</f>
        <v>Salmonella Edinburg</v>
      </c>
      <c r="B6190" t="str">
        <f ca="1">IFERROR(__xludf.DUMMYFUNCTION("""COMPUTED_VALUE"""),"RF-00001549-MCG")</f>
        <v>RF-00001549-MCG</v>
      </c>
    </row>
    <row r="6191" spans="1:2" ht="12.5" x14ac:dyDescent="0.25">
      <c r="A6191" t="str">
        <f ca="1">IFERROR(__xludf.DUMMYFUNCTION("""COMPUTED_VALUE"""),"Salmonella Edmonton")</f>
        <v>Salmonella Edmonton</v>
      </c>
      <c r="B6191" t="str">
        <f ca="1">IFERROR(__xludf.DUMMYFUNCTION("""COMPUTED_VALUE"""),"RF-00001548-MCG")</f>
        <v>RF-00001548-MCG</v>
      </c>
    </row>
    <row r="6192" spans="1:2" ht="12.5" x14ac:dyDescent="0.25">
      <c r="A6192" t="str">
        <f ca="1">IFERROR(__xludf.DUMMYFUNCTION("""COMPUTED_VALUE"""),"Salmonella Egusi")</f>
        <v>Salmonella Egusi</v>
      </c>
      <c r="B6192" t="str">
        <f ca="1">IFERROR(__xludf.DUMMYFUNCTION("""COMPUTED_VALUE"""),"RF-00001547-MCG")</f>
        <v>RF-00001547-MCG</v>
      </c>
    </row>
    <row r="6193" spans="1:2" ht="12.5" x14ac:dyDescent="0.25">
      <c r="A6193" t="str">
        <f ca="1">IFERROR(__xludf.DUMMYFUNCTION("""COMPUTED_VALUE"""),"Salmonella Egusitoo")</f>
        <v>Salmonella Egusitoo</v>
      </c>
      <c r="B6193" t="str">
        <f ca="1">IFERROR(__xludf.DUMMYFUNCTION("""COMPUTED_VALUE"""),"RF-00001546-MCG")</f>
        <v>RF-00001546-MCG</v>
      </c>
    </row>
    <row r="6194" spans="1:2" ht="12.5" x14ac:dyDescent="0.25">
      <c r="A6194" t="str">
        <f ca="1">IFERROR(__xludf.DUMMYFUNCTION("""COMPUTED_VALUE"""),"Salmonella Eimsbuettel")</f>
        <v>Salmonella Eimsbuettel</v>
      </c>
      <c r="B6194" t="str">
        <f ca="1">IFERROR(__xludf.DUMMYFUNCTION("""COMPUTED_VALUE"""),"RF-00001545-MCG")</f>
        <v>RF-00001545-MCG</v>
      </c>
    </row>
    <row r="6195" spans="1:2" ht="12.5" x14ac:dyDescent="0.25">
      <c r="A6195" t="str">
        <f ca="1">IFERROR(__xludf.DUMMYFUNCTION("""COMPUTED_VALUE"""),"Salmonella Eingedi")</f>
        <v>Salmonella Eingedi</v>
      </c>
      <c r="B6195" t="str">
        <f ca="1">IFERROR(__xludf.DUMMYFUNCTION("""COMPUTED_VALUE"""),"RF-00001544-MCG")</f>
        <v>RF-00001544-MCG</v>
      </c>
    </row>
    <row r="6196" spans="1:2" ht="12.5" x14ac:dyDescent="0.25">
      <c r="A6196" t="str">
        <f ca="1">IFERROR(__xludf.DUMMYFUNCTION("""COMPUTED_VALUE"""),"Salmonella Eko")</f>
        <v>Salmonella Eko</v>
      </c>
      <c r="B6196" t="str">
        <f ca="1">IFERROR(__xludf.DUMMYFUNCTION("""COMPUTED_VALUE"""),"RF-00001543-MCG")</f>
        <v>RF-00001543-MCG</v>
      </c>
    </row>
    <row r="6197" spans="1:2" ht="12.5" x14ac:dyDescent="0.25">
      <c r="A6197" t="str">
        <f ca="1">IFERROR(__xludf.DUMMYFUNCTION("""COMPUTED_VALUE"""),"Salmonella Ekotedo")</f>
        <v>Salmonella Ekotedo</v>
      </c>
      <c r="B6197" t="str">
        <f ca="1">IFERROR(__xludf.DUMMYFUNCTION("""COMPUTED_VALUE"""),"RF-00001542-MCG")</f>
        <v>RF-00001542-MCG</v>
      </c>
    </row>
    <row r="6198" spans="1:2" ht="12.5" x14ac:dyDescent="0.25">
      <c r="A6198" t="str">
        <f ca="1">IFERROR(__xludf.DUMMYFUNCTION("""COMPUTED_VALUE"""),"Salmonella Ekpoui")</f>
        <v>Salmonella Ekpoui</v>
      </c>
      <c r="B6198" t="str">
        <f ca="1">IFERROR(__xludf.DUMMYFUNCTION("""COMPUTED_VALUE"""),"RF-00001541-MCG")</f>
        <v>RF-00001541-MCG</v>
      </c>
    </row>
    <row r="6199" spans="1:2" ht="12.5" x14ac:dyDescent="0.25">
      <c r="A6199" t="str">
        <f ca="1">IFERROR(__xludf.DUMMYFUNCTION("""COMPUTED_VALUE"""),"Salmonella Elisabethville")</f>
        <v>Salmonella Elisabethville</v>
      </c>
      <c r="B6199" t="str">
        <f ca="1">IFERROR(__xludf.DUMMYFUNCTION("""COMPUTED_VALUE"""),"RF-00001540-MCG")</f>
        <v>RF-00001540-MCG</v>
      </c>
    </row>
    <row r="6200" spans="1:2" ht="12.5" x14ac:dyDescent="0.25">
      <c r="A6200" t="str">
        <f ca="1">IFERROR(__xludf.DUMMYFUNCTION("""COMPUTED_VALUE"""),"Salmonella Elokate")</f>
        <v>Salmonella Elokate</v>
      </c>
      <c r="B6200" t="str">
        <f ca="1">IFERROR(__xludf.DUMMYFUNCTION("""COMPUTED_VALUE"""),"RF-00001527-MCG")</f>
        <v>RF-00001527-MCG</v>
      </c>
    </row>
    <row r="6201" spans="1:2" ht="12.5" x14ac:dyDescent="0.25">
      <c r="A6201" t="str">
        <f ca="1">IFERROR(__xludf.DUMMYFUNCTION("""COMPUTED_VALUE"""),"Salmonella Elomrane")</f>
        <v>Salmonella Elomrane</v>
      </c>
      <c r="B6201" t="str">
        <f ca="1">IFERROR(__xludf.DUMMYFUNCTION("""COMPUTED_VALUE"""),"RF-00001538-MCG")</f>
        <v>RF-00001538-MCG</v>
      </c>
    </row>
    <row r="6202" spans="1:2" ht="12.5" x14ac:dyDescent="0.25">
      <c r="A6202" t="str">
        <f ca="1">IFERROR(__xludf.DUMMYFUNCTION("""COMPUTED_VALUE"""),"Salmonella Emek")</f>
        <v>Salmonella Emek</v>
      </c>
      <c r="B6202" t="str">
        <f ca="1">IFERROR(__xludf.DUMMYFUNCTION("""COMPUTED_VALUE"""),"RF-00001550-MCG")</f>
        <v>RF-00001550-MCG</v>
      </c>
    </row>
    <row r="6203" spans="1:2" ht="12.5" x14ac:dyDescent="0.25">
      <c r="A6203" t="str">
        <f ca="1">IFERROR(__xludf.DUMMYFUNCTION("""COMPUTED_VALUE"""),"Salmonella Emmastad")</f>
        <v>Salmonella Emmastad</v>
      </c>
      <c r="B6203" t="str">
        <f ca="1">IFERROR(__xludf.DUMMYFUNCTION("""COMPUTED_VALUE"""),"RF-00001536-MCG")</f>
        <v>RF-00001536-MCG</v>
      </c>
    </row>
    <row r="6204" spans="1:2" ht="12.5" x14ac:dyDescent="0.25">
      <c r="A6204" t="str">
        <f ca="1">IFERROR(__xludf.DUMMYFUNCTION("""COMPUTED_VALUE"""),"Salmonella Encino")</f>
        <v>Salmonella Encino</v>
      </c>
      <c r="B6204" t="str">
        <f ca="1">IFERROR(__xludf.DUMMYFUNCTION("""COMPUTED_VALUE"""),"RF-00001535-MCG")</f>
        <v>RF-00001535-MCG</v>
      </c>
    </row>
    <row r="6205" spans="1:2" ht="12.5" x14ac:dyDescent="0.25">
      <c r="A6205" t="str">
        <f ca="1">IFERROR(__xludf.DUMMYFUNCTION("""COMPUTED_VALUE"""),"Salmonella Enschede")</f>
        <v>Salmonella Enschede</v>
      </c>
      <c r="B6205" t="str">
        <f ca="1">IFERROR(__xludf.DUMMYFUNCTION("""COMPUTED_VALUE"""),"RF-00001534-MCG")</f>
        <v>RF-00001534-MCG</v>
      </c>
    </row>
    <row r="6206" spans="1:2" ht="12.5" x14ac:dyDescent="0.25">
      <c r="A6206" t="str">
        <f ca="1">IFERROR(__xludf.DUMMYFUNCTION("""COMPUTED_VALUE"""),"Salmonella Entebbe")</f>
        <v>Salmonella Entebbe</v>
      </c>
      <c r="B6206" t="str">
        <f ca="1">IFERROR(__xludf.DUMMYFUNCTION("""COMPUTED_VALUE"""),"RF-00001533-MCG")</f>
        <v>RF-00001533-MCG</v>
      </c>
    </row>
    <row r="6207" spans="1:2" ht="12.5" x14ac:dyDescent="0.25">
      <c r="A6207" t="str">
        <f ca="1">IFERROR(__xludf.DUMMYFUNCTION("""COMPUTED_VALUE"""),"Salmonella enterica subsp. arizonae")</f>
        <v>Salmonella enterica subsp. arizonae</v>
      </c>
      <c r="B6207" t="str">
        <f ca="1">IFERROR(__xludf.DUMMYFUNCTION("""COMPUTED_VALUE"""),"RF-00001532-MCG")</f>
        <v>RF-00001532-MCG</v>
      </c>
    </row>
    <row r="6208" spans="1:2" ht="12.5" x14ac:dyDescent="0.25">
      <c r="A6208" t="str">
        <f ca="1">IFERROR(__xludf.DUMMYFUNCTION("""COMPUTED_VALUE"""),"Salmonella enterica subsp. diarizonae")</f>
        <v>Salmonella enterica subsp. diarizonae</v>
      </c>
      <c r="B6208" t="str">
        <f ca="1">IFERROR(__xludf.DUMMYFUNCTION("""COMPUTED_VALUE"""),"RF-00001531-MCG")</f>
        <v>RF-00001531-MCG</v>
      </c>
    </row>
    <row r="6209" spans="1:2" ht="12.5" x14ac:dyDescent="0.25">
      <c r="A6209" t="str">
        <f ca="1">IFERROR(__xludf.DUMMYFUNCTION("""COMPUTED_VALUE"""),"Salmonella enterica subsp. enterica, rough")</f>
        <v>Salmonella enterica subsp. enterica, rough</v>
      </c>
      <c r="B6209" t="str">
        <f ca="1">IFERROR(__xludf.DUMMYFUNCTION("""COMPUTED_VALUE"""),"RF-00001530-MCG")</f>
        <v>RF-00001530-MCG</v>
      </c>
    </row>
    <row r="6210" spans="1:2" ht="12.5" x14ac:dyDescent="0.25">
      <c r="A6210" t="str">
        <f ca="1">IFERROR(__xludf.DUMMYFUNCTION("""COMPUTED_VALUE"""),"Salmonella enterica subsp. houtenae")</f>
        <v>Salmonella enterica subsp. houtenae</v>
      </c>
      <c r="B6210" t="str">
        <f ca="1">IFERROR(__xludf.DUMMYFUNCTION("""COMPUTED_VALUE"""),"RF-00001529-MCG")</f>
        <v>RF-00001529-MCG</v>
      </c>
    </row>
    <row r="6211" spans="1:2" ht="12.5" x14ac:dyDescent="0.25">
      <c r="A6211" t="str">
        <f ca="1">IFERROR(__xludf.DUMMYFUNCTION("""COMPUTED_VALUE"""),"Salmonella enterica subsp. salamae")</f>
        <v>Salmonella enterica subsp. salamae</v>
      </c>
      <c r="B6211" t="str">
        <f ca="1">IFERROR(__xludf.DUMMYFUNCTION("""COMPUTED_VALUE"""),"RF-00001528-MCG")</f>
        <v>RF-00001528-MCG</v>
      </c>
    </row>
    <row r="6212" spans="1:2" ht="12.5" x14ac:dyDescent="0.25">
      <c r="A6212" t="str">
        <f ca="1">IFERROR(__xludf.DUMMYFUNCTION("""COMPUTED_VALUE"""),"Salmonella enterica, monophasic")</f>
        <v>Salmonella enterica, monophasic</v>
      </c>
      <c r="B6212" t="str">
        <f ca="1">IFERROR(__xludf.DUMMYFUNCTION("""COMPUTED_VALUE"""),"RF-00001476-MCG")</f>
        <v>RF-00001476-MCG</v>
      </c>
    </row>
    <row r="6213" spans="1:2" ht="12.5" x14ac:dyDescent="0.25">
      <c r="A6213" t="str">
        <f ca="1">IFERROR(__xludf.DUMMYFUNCTION("""COMPUTED_VALUE"""),"Salmonella Enteritidis")</f>
        <v>Salmonella Enteritidis</v>
      </c>
      <c r="B6213" t="str">
        <f ca="1">IFERROR(__xludf.DUMMYFUNCTION("""COMPUTED_VALUE"""),"RF-00002135-MCG")</f>
        <v>RF-00002135-MCG</v>
      </c>
    </row>
    <row r="6214" spans="1:2" ht="12.5" x14ac:dyDescent="0.25">
      <c r="A6214" t="str">
        <f ca="1">IFERROR(__xludf.DUMMYFUNCTION("""COMPUTED_VALUE"""),"Salmonella Enteritidis 1")</f>
        <v>Salmonella Enteritidis 1</v>
      </c>
      <c r="B6214" t="str">
        <f ca="1">IFERROR(__xludf.DUMMYFUNCTION("""COMPUTED_VALUE"""),"RF-00002253-MCG")</f>
        <v>RF-00002253-MCG</v>
      </c>
    </row>
    <row r="6215" spans="1:2" ht="12.5" x14ac:dyDescent="0.25">
      <c r="A6215" t="str">
        <f ca="1">IFERROR(__xludf.DUMMYFUNCTION("""COMPUTED_VALUE"""),"Salmonella Enteritidis 10")</f>
        <v>Salmonella Enteritidis 10</v>
      </c>
      <c r="B6215" t="str">
        <f ca="1">IFERROR(__xludf.DUMMYFUNCTION("""COMPUTED_VALUE"""),"RF-00002254-MCG")</f>
        <v>RF-00002254-MCG</v>
      </c>
    </row>
    <row r="6216" spans="1:2" ht="12.5" x14ac:dyDescent="0.25">
      <c r="A6216" t="str">
        <f ca="1">IFERROR(__xludf.DUMMYFUNCTION("""COMPUTED_VALUE"""),"Salmonella Enteritidis 10degr.")</f>
        <v>Salmonella Enteritidis 10degr.</v>
      </c>
      <c r="B6216" t="str">
        <f ca="1">IFERROR(__xludf.DUMMYFUNCTION("""COMPUTED_VALUE"""),"RF-00002249-MCG")</f>
        <v>RF-00002249-MCG</v>
      </c>
    </row>
    <row r="6217" spans="1:2" ht="12.5" x14ac:dyDescent="0.25">
      <c r="A6217" t="str">
        <f ca="1">IFERROR(__xludf.DUMMYFUNCTION("""COMPUTED_VALUE"""),"Salmonella Enteritidis 11")</f>
        <v>Salmonella Enteritidis 11</v>
      </c>
      <c r="B6217" t="str">
        <f ca="1">IFERROR(__xludf.DUMMYFUNCTION("""COMPUTED_VALUE"""),"RF-00002256-MCG")</f>
        <v>RF-00002256-MCG</v>
      </c>
    </row>
    <row r="6218" spans="1:2" ht="12.5" x14ac:dyDescent="0.25">
      <c r="A6218" t="str">
        <f ca="1">IFERROR(__xludf.DUMMYFUNCTION("""COMPUTED_VALUE"""),"Salmonella Enteritidis 12")</f>
        <v>Salmonella Enteritidis 12</v>
      </c>
      <c r="B6218" t="str">
        <f ca="1">IFERROR(__xludf.DUMMYFUNCTION("""COMPUTED_VALUE"""),"RF-00002262-MCG")</f>
        <v>RF-00002262-MCG</v>
      </c>
    </row>
    <row r="6219" spans="1:2" ht="12.5" x14ac:dyDescent="0.25">
      <c r="A6219" t="str">
        <f ca="1">IFERROR(__xludf.DUMMYFUNCTION("""COMPUTED_VALUE"""),"Salmonella Enteritidis 13")</f>
        <v>Salmonella Enteritidis 13</v>
      </c>
      <c r="B6219" t="str">
        <f ca="1">IFERROR(__xludf.DUMMYFUNCTION("""COMPUTED_VALUE"""),"RF-00002258-MCG")</f>
        <v>RF-00002258-MCG</v>
      </c>
    </row>
    <row r="6220" spans="1:2" ht="12.5" x14ac:dyDescent="0.25">
      <c r="A6220" t="str">
        <f ca="1">IFERROR(__xludf.DUMMYFUNCTION("""COMPUTED_VALUE"""),"Salmonella Enteritidis 14")</f>
        <v>Salmonella Enteritidis 14</v>
      </c>
      <c r="B6220" t="str">
        <f ca="1">IFERROR(__xludf.DUMMYFUNCTION("""COMPUTED_VALUE"""),"RF-00002259-MCG")</f>
        <v>RF-00002259-MCG</v>
      </c>
    </row>
    <row r="6221" spans="1:2" ht="12.5" x14ac:dyDescent="0.25">
      <c r="A6221" t="str">
        <f ca="1">IFERROR(__xludf.DUMMYFUNCTION("""COMPUTED_VALUE"""),"Salmonella Enteritidis 15")</f>
        <v>Salmonella Enteritidis 15</v>
      </c>
      <c r="B6221" t="str">
        <f ca="1">IFERROR(__xludf.DUMMYFUNCTION("""COMPUTED_VALUE"""),"RF-00002260-MCG")</f>
        <v>RF-00002260-MCG</v>
      </c>
    </row>
    <row r="6222" spans="1:2" ht="12.5" x14ac:dyDescent="0.25">
      <c r="A6222" t="str">
        <f ca="1">IFERROR(__xludf.DUMMYFUNCTION("""COMPUTED_VALUE"""),"Salmonella Enteritidis 15a")</f>
        <v>Salmonella Enteritidis 15a</v>
      </c>
      <c r="B6222" t="str">
        <f ca="1">IFERROR(__xludf.DUMMYFUNCTION("""COMPUTED_VALUE"""),"RF-00002261-MCG")</f>
        <v>RF-00002261-MCG</v>
      </c>
    </row>
    <row r="6223" spans="1:2" ht="12.5" x14ac:dyDescent="0.25">
      <c r="A6223" t="str">
        <f ca="1">IFERROR(__xludf.DUMMYFUNCTION("""COMPUTED_VALUE"""),"Salmonella Enteritidis 15d")</f>
        <v>Salmonella Enteritidis 15d</v>
      </c>
      <c r="B6223" t="str">
        <f ca="1">IFERROR(__xludf.DUMMYFUNCTION("""COMPUTED_VALUE"""),"RF-00002257-MCG")</f>
        <v>RF-00002257-MCG</v>
      </c>
    </row>
    <row r="6224" spans="1:2" ht="12.5" x14ac:dyDescent="0.25">
      <c r="A6224" t="str">
        <f ca="1">IFERROR(__xludf.DUMMYFUNCTION("""COMPUTED_VALUE"""),"Salmonella Enteritidis 16")</f>
        <v>Salmonella Enteritidis 16</v>
      </c>
      <c r="B6224" t="str">
        <f ca="1">IFERROR(__xludf.DUMMYFUNCTION("""COMPUTED_VALUE"""),"RF-00002264-MCG")</f>
        <v>RF-00002264-MCG</v>
      </c>
    </row>
    <row r="6225" spans="1:2" ht="12.5" x14ac:dyDescent="0.25">
      <c r="A6225" t="str">
        <f ca="1">IFERROR(__xludf.DUMMYFUNCTION("""COMPUTED_VALUE"""),"Salmonella Enteritidis 16degr.")</f>
        <v>Salmonella Enteritidis 16degr.</v>
      </c>
      <c r="B6225" t="str">
        <f ca="1">IFERROR(__xludf.DUMMYFUNCTION("""COMPUTED_VALUE"""),"RF-00002263-MCG")</f>
        <v>RF-00002263-MCG</v>
      </c>
    </row>
    <row r="6226" spans="1:2" ht="12.5" x14ac:dyDescent="0.25">
      <c r="A6226" t="str">
        <f ca="1">IFERROR(__xludf.DUMMYFUNCTION("""COMPUTED_VALUE"""),"Salmonella Enteritidis 17")</f>
        <v>Salmonella Enteritidis 17</v>
      </c>
      <c r="B6226" t="str">
        <f ca="1">IFERROR(__xludf.DUMMYFUNCTION("""COMPUTED_VALUE"""),"RF-00002252-MCG")</f>
        <v>RF-00002252-MCG</v>
      </c>
    </row>
    <row r="6227" spans="1:2" ht="12.5" x14ac:dyDescent="0.25">
      <c r="A6227" t="str">
        <f ca="1">IFERROR(__xludf.DUMMYFUNCTION("""COMPUTED_VALUE"""),"Salmonella Enteritidis 18")</f>
        <v>Salmonella Enteritidis 18</v>
      </c>
      <c r="B6227" t="str">
        <f ca="1">IFERROR(__xludf.DUMMYFUNCTION("""COMPUTED_VALUE"""),"RF-00002239-MCG")</f>
        <v>RF-00002239-MCG</v>
      </c>
    </row>
    <row r="6228" spans="1:2" ht="12.5" x14ac:dyDescent="0.25">
      <c r="A6228" t="str">
        <f ca="1">IFERROR(__xludf.DUMMYFUNCTION("""COMPUTED_VALUE"""),"Salmonella Enteritidis 19")</f>
        <v>Salmonella Enteritidis 19</v>
      </c>
      <c r="B6228" t="str">
        <f ca="1">IFERROR(__xludf.DUMMYFUNCTION("""COMPUTED_VALUE"""),"RF-00002234-MCG")</f>
        <v>RF-00002234-MCG</v>
      </c>
    </row>
    <row r="6229" spans="1:2" ht="12.5" x14ac:dyDescent="0.25">
      <c r="A6229" t="str">
        <f ca="1">IFERROR(__xludf.DUMMYFUNCTION("""COMPUTED_VALUE"""),"Salmonella Enteritidis 1a")</f>
        <v>Salmonella Enteritidis 1a</v>
      </c>
      <c r="B6229" t="str">
        <f ca="1">IFERROR(__xludf.DUMMYFUNCTION("""COMPUTED_VALUE"""),"RF-00002235-MCG")</f>
        <v>RF-00002235-MCG</v>
      </c>
    </row>
    <row r="6230" spans="1:2" ht="12.5" x14ac:dyDescent="0.25">
      <c r="A6230" t="str">
        <f ca="1">IFERROR(__xludf.DUMMYFUNCTION("""COMPUTED_VALUE"""),"Salmonella Enteritidis 1b")</f>
        <v>Salmonella Enteritidis 1b</v>
      </c>
      <c r="B6230" t="str">
        <f ca="1">IFERROR(__xludf.DUMMYFUNCTION("""COMPUTED_VALUE"""),"RF-00002236-MCG")</f>
        <v>RF-00002236-MCG</v>
      </c>
    </row>
    <row r="6231" spans="1:2" ht="12.5" x14ac:dyDescent="0.25">
      <c r="A6231" t="str">
        <f ca="1">IFERROR(__xludf.DUMMYFUNCTION("""COMPUTED_VALUE"""),"Salmonella Enteritidis 1c")</f>
        <v>Salmonella Enteritidis 1c</v>
      </c>
      <c r="B6231" t="str">
        <f ca="1">IFERROR(__xludf.DUMMYFUNCTION("""COMPUTED_VALUE"""),"RF-00002237-MCG")</f>
        <v>RF-00002237-MCG</v>
      </c>
    </row>
    <row r="6232" spans="1:2" ht="12.5" x14ac:dyDescent="0.25">
      <c r="A6232" t="str">
        <f ca="1">IFERROR(__xludf.DUMMYFUNCTION("""COMPUTED_VALUE"""),"Salmonella Enteritidis 1d")</f>
        <v>Salmonella Enteritidis 1d</v>
      </c>
      <c r="B6232" t="str">
        <f ca="1">IFERROR(__xludf.DUMMYFUNCTION("""COMPUTED_VALUE"""),"RF-00002238-MCG")</f>
        <v>RF-00002238-MCG</v>
      </c>
    </row>
    <row r="6233" spans="1:2" ht="12.5" x14ac:dyDescent="0.25">
      <c r="A6233" t="str">
        <f ca="1">IFERROR(__xludf.DUMMYFUNCTION("""COMPUTED_VALUE"""),"Salmonella Enteritidis 2")</f>
        <v>Salmonella Enteritidis 2</v>
      </c>
      <c r="B6233" t="str">
        <f ca="1">IFERROR(__xludf.DUMMYFUNCTION("""COMPUTED_VALUE"""),"RF-00002248-MCG")</f>
        <v>RF-00002248-MCG</v>
      </c>
    </row>
    <row r="6234" spans="1:2" ht="12.5" x14ac:dyDescent="0.25">
      <c r="A6234" t="str">
        <f ca="1">IFERROR(__xludf.DUMMYFUNCTION("""COMPUTED_VALUE"""),"Salmonella Enteritidis 2a")</f>
        <v>Salmonella Enteritidis 2a</v>
      </c>
      <c r="B6234" t="str">
        <f ca="1">IFERROR(__xludf.DUMMYFUNCTION("""COMPUTED_VALUE"""),"RF-00002240-MCG")</f>
        <v>RF-00002240-MCG</v>
      </c>
    </row>
    <row r="6235" spans="1:2" ht="12.5" x14ac:dyDescent="0.25">
      <c r="A6235" t="str">
        <f ca="1">IFERROR(__xludf.DUMMYFUNCTION("""COMPUTED_VALUE"""),"Salmonella Enteritidis 2degr.")</f>
        <v>Salmonella Enteritidis 2degr.</v>
      </c>
      <c r="B6235" t="str">
        <f ca="1">IFERROR(__xludf.DUMMYFUNCTION("""COMPUTED_VALUE"""),"RF-00002233-MCG")</f>
        <v>RF-00002233-MCG</v>
      </c>
    </row>
    <row r="6236" spans="1:2" ht="12.5" x14ac:dyDescent="0.25">
      <c r="A6236" t="str">
        <f ca="1">IFERROR(__xludf.DUMMYFUNCTION("""COMPUTED_VALUE"""),"Salmonella Enteritidis 3")</f>
        <v>Salmonella Enteritidis 3</v>
      </c>
      <c r="B6236" t="str">
        <f ca="1">IFERROR(__xludf.DUMMYFUNCTION("""COMPUTED_VALUE"""),"RF-00002241-MCG")</f>
        <v>RF-00002241-MCG</v>
      </c>
    </row>
    <row r="6237" spans="1:2" ht="12.5" x14ac:dyDescent="0.25">
      <c r="A6237" t="str">
        <f ca="1">IFERROR(__xludf.DUMMYFUNCTION("""COMPUTED_VALUE"""),"Salmonella Enteritidis 3a")</f>
        <v>Salmonella Enteritidis 3a</v>
      </c>
      <c r="B6237" t="str">
        <f ca="1">IFERROR(__xludf.DUMMYFUNCTION("""COMPUTED_VALUE"""),"RF-00002242-MCG")</f>
        <v>RF-00002242-MCG</v>
      </c>
    </row>
    <row r="6238" spans="1:2" ht="12.5" x14ac:dyDescent="0.25">
      <c r="A6238" t="str">
        <f ca="1">IFERROR(__xludf.DUMMYFUNCTION("""COMPUTED_VALUE"""),"Salmonella Enteritidis 4")</f>
        <v>Salmonella Enteritidis 4</v>
      </c>
      <c r="B6238" t="str">
        <f ca="1">IFERROR(__xludf.DUMMYFUNCTION("""COMPUTED_VALUE"""),"RF-00002251-MCG")</f>
        <v>RF-00002251-MCG</v>
      </c>
    </row>
    <row r="6239" spans="1:2" ht="12.5" x14ac:dyDescent="0.25">
      <c r="A6239" t="str">
        <f ca="1">IFERROR(__xludf.DUMMYFUNCTION("""COMPUTED_VALUE"""),"Salmonella Enteritidis 4a")</f>
        <v>Salmonella Enteritidis 4a</v>
      </c>
      <c r="B6239" t="str">
        <f ca="1">IFERROR(__xludf.DUMMYFUNCTION("""COMPUTED_VALUE"""),"RF-00002243-MCG")</f>
        <v>RF-00002243-MCG</v>
      </c>
    </row>
    <row r="6240" spans="1:2" ht="12.5" x14ac:dyDescent="0.25">
      <c r="A6240" t="str">
        <f ca="1">IFERROR(__xludf.DUMMYFUNCTION("""COMPUTED_VALUE"""),"Salmonella Enteritidis 4b")</f>
        <v>Salmonella Enteritidis 4b</v>
      </c>
      <c r="B6240" t="str">
        <f ca="1">IFERROR(__xludf.DUMMYFUNCTION("""COMPUTED_VALUE"""),"RF-00002244-MCG")</f>
        <v>RF-00002244-MCG</v>
      </c>
    </row>
    <row r="6241" spans="1:2" ht="12.5" x14ac:dyDescent="0.25">
      <c r="A6241" t="str">
        <f ca="1">IFERROR(__xludf.DUMMYFUNCTION("""COMPUTED_VALUE"""),"Salmonella Enteritidis 4degr.")</f>
        <v>Salmonella Enteritidis 4degr.</v>
      </c>
      <c r="B6241" t="str">
        <f ca="1">IFERROR(__xludf.DUMMYFUNCTION("""COMPUTED_VALUE"""),"RF-00002245-MCG")</f>
        <v>RF-00002245-MCG</v>
      </c>
    </row>
    <row r="6242" spans="1:2" ht="12.5" x14ac:dyDescent="0.25">
      <c r="A6242" t="str">
        <f ca="1">IFERROR(__xludf.DUMMYFUNCTION("""COMPUTED_VALUE"""),"Salmonella Enteritidis 5")</f>
        <v>Salmonella Enteritidis 5</v>
      </c>
      <c r="B6242" t="str">
        <f ca="1">IFERROR(__xludf.DUMMYFUNCTION("""COMPUTED_VALUE"""),"RF-00002229-MCG")</f>
        <v>RF-00002229-MCG</v>
      </c>
    </row>
    <row r="6243" spans="1:2" ht="12.5" x14ac:dyDescent="0.25">
      <c r="A6243" t="str">
        <f ca="1">IFERROR(__xludf.DUMMYFUNCTION("""COMPUTED_VALUE"""),"Salmonella Enteritidis 6")</f>
        <v>Salmonella Enteritidis 6</v>
      </c>
      <c r="B6243" t="str">
        <f ca="1">IFERROR(__xludf.DUMMYFUNCTION("""COMPUTED_VALUE"""),"RF-00002181-MCG")</f>
        <v>RF-00002181-MCG</v>
      </c>
    </row>
    <row r="6244" spans="1:2" ht="12.5" x14ac:dyDescent="0.25">
      <c r="A6244" t="str">
        <f ca="1">IFERROR(__xludf.DUMMYFUNCTION("""COMPUTED_VALUE"""),"Salmonella Enteritidis 6a")</f>
        <v>Salmonella Enteritidis 6a</v>
      </c>
      <c r="B6244" t="str">
        <f ca="1">IFERROR(__xludf.DUMMYFUNCTION("""COMPUTED_VALUE"""),"RF-00002151-MCG")</f>
        <v>RF-00002151-MCG</v>
      </c>
    </row>
    <row r="6245" spans="1:2" ht="12.5" x14ac:dyDescent="0.25">
      <c r="A6245" t="str">
        <f ca="1">IFERROR(__xludf.DUMMYFUNCTION("""COMPUTED_VALUE"""),"Salmonella Enteritidis 6b")</f>
        <v>Salmonella Enteritidis 6b</v>
      </c>
      <c r="B6245" t="str">
        <f ca="1">IFERROR(__xludf.DUMMYFUNCTION("""COMPUTED_VALUE"""),"RF-00002152-MCG")</f>
        <v>RF-00002152-MCG</v>
      </c>
    </row>
    <row r="6246" spans="1:2" ht="12.5" x14ac:dyDescent="0.25">
      <c r="A6246" t="str">
        <f ca="1">IFERROR(__xludf.DUMMYFUNCTION("""COMPUTED_VALUE"""),"Salmonella Enteritidis 6c")</f>
        <v>Salmonella Enteritidis 6c</v>
      </c>
      <c r="B6246" t="str">
        <f ca="1">IFERROR(__xludf.DUMMYFUNCTION("""COMPUTED_VALUE"""),"RF-00002153-MCG")</f>
        <v>RF-00002153-MCG</v>
      </c>
    </row>
    <row r="6247" spans="1:2" ht="12.5" x14ac:dyDescent="0.25">
      <c r="A6247" t="str">
        <f ca="1">IFERROR(__xludf.DUMMYFUNCTION("""COMPUTED_VALUE"""),"Salmonella Enteritidis 6d")</f>
        <v>Salmonella Enteritidis 6d</v>
      </c>
      <c r="B6247" t="str">
        <f ca="1">IFERROR(__xludf.DUMMYFUNCTION("""COMPUTED_VALUE"""),"RF-00002155-MCG")</f>
        <v>RF-00002155-MCG</v>
      </c>
    </row>
    <row r="6248" spans="1:2" ht="12.5" x14ac:dyDescent="0.25">
      <c r="A6248" t="str">
        <f ca="1">IFERROR(__xludf.DUMMYFUNCTION("""COMPUTED_VALUE"""),"Salmonella Enteritidis 7")</f>
        <v>Salmonella Enteritidis 7</v>
      </c>
      <c r="B6248" t="str">
        <f ca="1">IFERROR(__xludf.DUMMYFUNCTION("""COMPUTED_VALUE"""),"RF-00002156-MCG")</f>
        <v>RF-00002156-MCG</v>
      </c>
    </row>
    <row r="6249" spans="1:2" ht="12.5" x14ac:dyDescent="0.25">
      <c r="A6249" t="str">
        <f ca="1">IFERROR(__xludf.DUMMYFUNCTION("""COMPUTED_VALUE"""),"Salmonella Enteritidis 7 var.")</f>
        <v>Salmonella Enteritidis 7 var.</v>
      </c>
      <c r="B6249" t="str">
        <f ca="1">IFERROR(__xludf.DUMMYFUNCTION("""COMPUTED_VALUE"""),"RF-00002166-MCG")</f>
        <v>RF-00002166-MCG</v>
      </c>
    </row>
    <row r="6250" spans="1:2" ht="12.5" x14ac:dyDescent="0.25">
      <c r="A6250" t="str">
        <f ca="1">IFERROR(__xludf.DUMMYFUNCTION("""COMPUTED_VALUE"""),"Salmonella Enteritidis 7a")</f>
        <v>Salmonella Enteritidis 7a</v>
      </c>
      <c r="B6250" t="str">
        <f ca="1">IFERROR(__xludf.DUMMYFUNCTION("""COMPUTED_VALUE"""),"RF-00002158-MCG")</f>
        <v>RF-00002158-MCG</v>
      </c>
    </row>
    <row r="6251" spans="1:2" ht="12.5" x14ac:dyDescent="0.25">
      <c r="A6251" t="str">
        <f ca="1">IFERROR(__xludf.DUMMYFUNCTION("""COMPUTED_VALUE"""),"Salmonella Enteritidis 7degr.")</f>
        <v>Salmonella Enteritidis 7degr.</v>
      </c>
      <c r="B6251" t="str">
        <f ca="1">IFERROR(__xludf.DUMMYFUNCTION("""COMPUTED_VALUE"""),"RF-00002150-MCG")</f>
        <v>RF-00002150-MCG</v>
      </c>
    </row>
    <row r="6252" spans="1:2" ht="12.5" x14ac:dyDescent="0.25">
      <c r="A6252" t="str">
        <f ca="1">IFERROR(__xludf.DUMMYFUNCTION("""COMPUTED_VALUE"""),"Salmonella Enteritidis 8")</f>
        <v>Salmonella Enteritidis 8</v>
      </c>
      <c r="B6252" t="str">
        <f ca="1">IFERROR(__xludf.DUMMYFUNCTION("""COMPUTED_VALUE"""),"RF-00002157-MCG")</f>
        <v>RF-00002157-MCG</v>
      </c>
    </row>
    <row r="6253" spans="1:2" ht="12.5" x14ac:dyDescent="0.25">
      <c r="A6253" t="str">
        <f ca="1">IFERROR(__xludf.DUMMYFUNCTION("""COMPUTED_VALUE"""),"Salmonella Enteritidis 9")</f>
        <v>Salmonella Enteritidis 9</v>
      </c>
      <c r="B6253" t="str">
        <f ca="1">IFERROR(__xludf.DUMMYFUNCTION("""COMPUTED_VALUE"""),"RF-00002160-MCG")</f>
        <v>RF-00002160-MCG</v>
      </c>
    </row>
    <row r="6254" spans="1:2" ht="12.5" x14ac:dyDescent="0.25">
      <c r="A6254" t="str">
        <f ca="1">IFERROR(__xludf.DUMMYFUNCTION("""COMPUTED_VALUE"""),"Salmonella Enteritidis DT 42")</f>
        <v>Salmonella Enteritidis DT 42</v>
      </c>
      <c r="B6254" t="str">
        <f ca="1">IFERROR(__xludf.DUMMYFUNCTION("""COMPUTED_VALUE"""),"RF-00002161-MCG")</f>
        <v>RF-00002161-MCG</v>
      </c>
    </row>
    <row r="6255" spans="1:2" ht="12.5" x14ac:dyDescent="0.25">
      <c r="A6255" t="str">
        <f ca="1">IFERROR(__xludf.DUMMYFUNCTION("""COMPUTED_VALUE"""),"Salmonella Enteritidis DT RDNC")</f>
        <v>Salmonella Enteritidis DT RDNC</v>
      </c>
      <c r="B6255" t="str">
        <f ca="1">IFERROR(__xludf.DUMMYFUNCTION("""COMPUTED_VALUE"""),"RF-00002162-MCG")</f>
        <v>RF-00002162-MCG</v>
      </c>
    </row>
    <row r="6256" spans="1:2" ht="12.5" x14ac:dyDescent="0.25">
      <c r="A6256" t="str">
        <f ca="1">IFERROR(__xludf.DUMMYFUNCTION("""COMPUTED_VALUE"""),"Salmonella Enteritidis FT 13 var.")</f>
        <v>Salmonella Enteritidis FT 13 var.</v>
      </c>
      <c r="B6256" t="str">
        <f ca="1">IFERROR(__xludf.DUMMYFUNCTION("""COMPUTED_VALUE"""),"RF-00002163-MCG")</f>
        <v>RF-00002163-MCG</v>
      </c>
    </row>
    <row r="6257" spans="1:2" ht="12.5" x14ac:dyDescent="0.25">
      <c r="A6257" t="str">
        <f ca="1">IFERROR(__xludf.DUMMYFUNCTION("""COMPUTED_VALUE"""),"Salmonella Enteritidis FT 4")</f>
        <v>Salmonella Enteritidis FT 4</v>
      </c>
      <c r="B6257" t="str">
        <f ca="1">IFERROR(__xludf.DUMMYFUNCTION("""COMPUTED_VALUE"""),"RF-00002164-MCG")</f>
        <v>RF-00002164-MCG</v>
      </c>
    </row>
    <row r="6258" spans="1:2" ht="12.5" x14ac:dyDescent="0.25">
      <c r="A6258" t="str">
        <f ca="1">IFERROR(__xludf.DUMMYFUNCTION("""COMPUTED_VALUE"""),"Salmonella Enteritidis Not typable")</f>
        <v>Salmonella Enteritidis Not typable</v>
      </c>
      <c r="B6258" t="str">
        <f ca="1">IFERROR(__xludf.DUMMYFUNCTION("""COMPUTED_VALUE"""),"RF-00002165-MCG")</f>
        <v>RF-00002165-MCG</v>
      </c>
    </row>
    <row r="6259" spans="1:2" ht="12.5" x14ac:dyDescent="0.25">
      <c r="A6259" t="str">
        <f ca="1">IFERROR(__xludf.DUMMYFUNCTION("""COMPUTED_VALUE"""),"Salmonella Enteritidis Other")</f>
        <v>Salmonella Enteritidis Other</v>
      </c>
      <c r="B6259" t="str">
        <f ca="1">IFERROR(__xludf.DUMMYFUNCTION("""COMPUTED_VALUE"""),"RF-00002159-MCG")</f>
        <v>RF-00002159-MCG</v>
      </c>
    </row>
    <row r="6260" spans="1:2" ht="12.5" x14ac:dyDescent="0.25">
      <c r="A6260" t="str">
        <f ca="1">IFERROR(__xludf.DUMMYFUNCTION("""COMPUTED_VALUE"""),"Salmonella Enteritidis Pr")</f>
        <v>Salmonella Enteritidis Pr</v>
      </c>
      <c r="B6260" t="str">
        <f ca="1">IFERROR(__xludf.DUMMYFUNCTION("""COMPUTED_VALUE"""),"RF-00002146-MCG")</f>
        <v>RF-00002146-MCG</v>
      </c>
    </row>
    <row r="6261" spans="1:2" ht="12.5" x14ac:dyDescent="0.25">
      <c r="A6261" t="str">
        <f ca="1">IFERROR(__xludf.DUMMYFUNCTION("""COMPUTED_VALUE"""),"Salmonella Enteritidis PT 1")</f>
        <v>Salmonella Enteritidis PT 1</v>
      </c>
      <c r="B6261" t="str">
        <f ca="1">IFERROR(__xludf.DUMMYFUNCTION("""COMPUTED_VALUE"""),"RF-00002140-MCG")</f>
        <v>RF-00002140-MCG</v>
      </c>
    </row>
    <row r="6262" spans="1:2" ht="12.5" x14ac:dyDescent="0.25">
      <c r="A6262" t="str">
        <f ca="1">IFERROR(__xludf.DUMMYFUNCTION("""COMPUTED_VALUE"""),"Salmonella Enteritidis PT 11")</f>
        <v>Salmonella Enteritidis PT 11</v>
      </c>
      <c r="B6262" t="str">
        <f ca="1">IFERROR(__xludf.DUMMYFUNCTION("""COMPUTED_VALUE"""),"RF-00002138-MCG")</f>
        <v>RF-00002138-MCG</v>
      </c>
    </row>
    <row r="6263" spans="1:2" ht="12.5" x14ac:dyDescent="0.25">
      <c r="A6263" t="str">
        <f ca="1">IFERROR(__xludf.DUMMYFUNCTION("""COMPUTED_VALUE"""),"Salmonella Enteritidis PT 12")</f>
        <v>Salmonella Enteritidis PT 12</v>
      </c>
      <c r="B6263" t="str">
        <f ca="1">IFERROR(__xludf.DUMMYFUNCTION("""COMPUTED_VALUE"""),"RF-00002136-MCG")</f>
        <v>RF-00002136-MCG</v>
      </c>
    </row>
    <row r="6264" spans="1:2" ht="12.5" x14ac:dyDescent="0.25">
      <c r="A6264" t="str">
        <f ca="1">IFERROR(__xludf.DUMMYFUNCTION("""COMPUTED_VALUE"""),"Salmonella Enteritidis PT 13")</f>
        <v>Salmonella Enteritidis PT 13</v>
      </c>
      <c r="B6264" t="str">
        <f ca="1">IFERROR(__xludf.DUMMYFUNCTION("""COMPUTED_VALUE"""),"RF-00002141-MCG")</f>
        <v>RF-00002141-MCG</v>
      </c>
    </row>
    <row r="6265" spans="1:2" ht="12.5" x14ac:dyDescent="0.25">
      <c r="A6265" t="str">
        <f ca="1">IFERROR(__xludf.DUMMYFUNCTION("""COMPUTED_VALUE"""),"Salmonella Enteritidis PT 13 var.")</f>
        <v>Salmonella Enteritidis PT 13 var.</v>
      </c>
      <c r="B6265" t="str">
        <f ca="1">IFERROR(__xludf.DUMMYFUNCTION("""COMPUTED_VALUE"""),"RF-00002137-MCG")</f>
        <v>RF-00002137-MCG</v>
      </c>
    </row>
    <row r="6266" spans="1:2" ht="12.5" x14ac:dyDescent="0.25">
      <c r="A6266" t="str">
        <f ca="1">IFERROR(__xludf.DUMMYFUNCTION("""COMPUTED_VALUE"""),"Salmonella Enteritidis PT 13a")</f>
        <v>Salmonella Enteritidis PT 13a</v>
      </c>
      <c r="B6266" t="str">
        <f ca="1">IFERROR(__xludf.DUMMYFUNCTION("""COMPUTED_VALUE"""),"RF-00002139-MCG")</f>
        <v>RF-00002139-MCG</v>
      </c>
    </row>
    <row r="6267" spans="1:2" ht="12.5" x14ac:dyDescent="0.25">
      <c r="A6267" t="str">
        <f ca="1">IFERROR(__xludf.DUMMYFUNCTION("""COMPUTED_VALUE"""),"Salmonella Enteritidis PT 148")</f>
        <v>Salmonella Enteritidis PT 148</v>
      </c>
      <c r="B6267" t="str">
        <f ca="1">IFERROR(__xludf.DUMMYFUNCTION("""COMPUTED_VALUE"""),"RF-00002142-MCG")</f>
        <v>RF-00002142-MCG</v>
      </c>
    </row>
    <row r="6268" spans="1:2" ht="12.5" x14ac:dyDescent="0.25">
      <c r="A6268" t="str">
        <f ca="1">IFERROR(__xludf.DUMMYFUNCTION("""COMPUTED_VALUE"""),"Salmonella Enteritidis PT 14b")</f>
        <v>Salmonella Enteritidis PT 14b</v>
      </c>
      <c r="B6268" t="str">
        <f ca="1">IFERROR(__xludf.DUMMYFUNCTION("""COMPUTED_VALUE"""),"RF-00002149-MCG")</f>
        <v>RF-00002149-MCG</v>
      </c>
    </row>
    <row r="6269" spans="1:2" ht="12.5" x14ac:dyDescent="0.25">
      <c r="A6269" t="str">
        <f ca="1">IFERROR(__xludf.DUMMYFUNCTION("""COMPUTED_VALUE"""),"Salmonella Enteritidis PT 15")</f>
        <v>Salmonella Enteritidis PT 15</v>
      </c>
      <c r="B6269" t="str">
        <f ca="1">IFERROR(__xludf.DUMMYFUNCTION("""COMPUTED_VALUE"""),"RF-00002143-MCG")</f>
        <v>RF-00002143-MCG</v>
      </c>
    </row>
    <row r="6270" spans="1:2" ht="12.5" x14ac:dyDescent="0.25">
      <c r="A6270" t="str">
        <f ca="1">IFERROR(__xludf.DUMMYFUNCTION("""COMPUTED_VALUE"""),"Salmonella Enteritidis PT 16")</f>
        <v>Salmonella Enteritidis PT 16</v>
      </c>
      <c r="B6270" t="str">
        <f ca="1">IFERROR(__xludf.DUMMYFUNCTION("""COMPUTED_VALUE"""),"RF-00002144-MCG")</f>
        <v>RF-00002144-MCG</v>
      </c>
    </row>
    <row r="6271" spans="1:2" ht="12.5" x14ac:dyDescent="0.25">
      <c r="A6271" t="str">
        <f ca="1">IFERROR(__xludf.DUMMYFUNCTION("""COMPUTED_VALUE"""),"Salmonella Enteritidis PT 19")</f>
        <v>Salmonella Enteritidis PT 19</v>
      </c>
      <c r="B6271" t="str">
        <f ca="1">IFERROR(__xludf.DUMMYFUNCTION("""COMPUTED_VALUE"""),"RF-00002145-MCG")</f>
        <v>RF-00002145-MCG</v>
      </c>
    </row>
    <row r="6272" spans="1:2" ht="12.5" x14ac:dyDescent="0.25">
      <c r="A6272" t="str">
        <f ca="1">IFERROR(__xludf.DUMMYFUNCTION("""COMPUTED_VALUE"""),"Salmonella Enteritidis PT 19a")</f>
        <v>Salmonella Enteritidis PT 19a</v>
      </c>
      <c r="B6272" t="str">
        <f ca="1">IFERROR(__xludf.DUMMYFUNCTION("""COMPUTED_VALUE"""),"RF-00002148-MCG")</f>
        <v>RF-00002148-MCG</v>
      </c>
    </row>
    <row r="6273" spans="1:2" ht="12.5" x14ac:dyDescent="0.25">
      <c r="A6273" t="str">
        <f ca="1">IFERROR(__xludf.DUMMYFUNCTION("""COMPUTED_VALUE"""),"Salmonella Enteritidis PT 1a")</f>
        <v>Salmonella Enteritidis PT 1a</v>
      </c>
      <c r="B6273" t="str">
        <f ca="1">IFERROR(__xludf.DUMMYFUNCTION("""COMPUTED_VALUE"""),"RF-00002147-MCG")</f>
        <v>RF-00002147-MCG</v>
      </c>
    </row>
    <row r="6274" spans="1:2" ht="12.5" x14ac:dyDescent="0.25">
      <c r="A6274" t="str">
        <f ca="1">IFERROR(__xludf.DUMMYFUNCTION("""COMPUTED_VALUE"""),"Salmonella Enteritidis PT 1b")</f>
        <v>Salmonella Enteritidis PT 1b</v>
      </c>
      <c r="B6274" t="str">
        <f ca="1">IFERROR(__xludf.DUMMYFUNCTION("""COMPUTED_VALUE"""),"RF-00002193-MCG")</f>
        <v>RF-00002193-MCG</v>
      </c>
    </row>
    <row r="6275" spans="1:2" ht="12.5" x14ac:dyDescent="0.25">
      <c r="A6275" t="str">
        <f ca="1">IFERROR(__xludf.DUMMYFUNCTION("""COMPUTED_VALUE"""),"Salmonella Enteritidis PT 1c")</f>
        <v>Salmonella Enteritidis PT 1c</v>
      </c>
      <c r="B6275" t="str">
        <f ca="1">IFERROR(__xludf.DUMMYFUNCTION("""COMPUTED_VALUE"""),"RF-00002185-MCG")</f>
        <v>RF-00002185-MCG</v>
      </c>
    </row>
    <row r="6276" spans="1:2" ht="12.5" x14ac:dyDescent="0.25">
      <c r="A6276" t="str">
        <f ca="1">IFERROR(__xludf.DUMMYFUNCTION("""COMPUTED_VALUE"""),"Salmonella Enteritidis PT 1d")</f>
        <v>Salmonella Enteritidis PT 1d</v>
      </c>
      <c r="B6276" t="str">
        <f ca="1">IFERROR(__xludf.DUMMYFUNCTION("""COMPUTED_VALUE"""),"RF-00002186-MCG")</f>
        <v>RF-00002186-MCG</v>
      </c>
    </row>
    <row r="6277" spans="1:2" ht="12.5" x14ac:dyDescent="0.25">
      <c r="A6277" t="str">
        <f ca="1">IFERROR(__xludf.DUMMYFUNCTION("""COMPUTED_VALUE"""),"Salmonella Enteritidis PT 1e")</f>
        <v>Salmonella Enteritidis PT 1e</v>
      </c>
      <c r="B6277" t="str">
        <f ca="1">IFERROR(__xludf.DUMMYFUNCTION("""COMPUTED_VALUE"""),"RF-00002187-MCG")</f>
        <v>RF-00002187-MCG</v>
      </c>
    </row>
    <row r="6278" spans="1:2" ht="12.5" x14ac:dyDescent="0.25">
      <c r="A6278" t="str">
        <f ca="1">IFERROR(__xludf.DUMMYFUNCTION("""COMPUTED_VALUE"""),"Salmonella Enteritidis PT 2")</f>
        <v>Salmonella Enteritidis PT 2</v>
      </c>
      <c r="B6278" t="str">
        <f ca="1">IFERROR(__xludf.DUMMYFUNCTION("""COMPUTED_VALUE"""),"RF-00002188-MCG")</f>
        <v>RF-00002188-MCG</v>
      </c>
    </row>
    <row r="6279" spans="1:2" ht="12.5" x14ac:dyDescent="0.25">
      <c r="A6279" t="str">
        <f ca="1">IFERROR(__xludf.DUMMYFUNCTION("""COMPUTED_VALUE"""),"Salmonella Enteritidis PT 20")</f>
        <v>Salmonella Enteritidis PT 20</v>
      </c>
      <c r="B6279" t="str">
        <f ca="1">IFERROR(__xludf.DUMMYFUNCTION("""COMPUTED_VALUE"""),"RF-00002189-MCG")</f>
        <v>RF-00002189-MCG</v>
      </c>
    </row>
    <row r="6280" spans="1:2" ht="12.5" x14ac:dyDescent="0.25">
      <c r="A6280" t="str">
        <f ca="1">IFERROR(__xludf.DUMMYFUNCTION("""COMPUTED_VALUE"""),"Salmonella Enteritidis PT 20a")</f>
        <v>Salmonella Enteritidis PT 20a</v>
      </c>
      <c r="B6280" t="str">
        <f ca="1">IFERROR(__xludf.DUMMYFUNCTION("""COMPUTED_VALUE"""),"RF-00002190-MCG")</f>
        <v>RF-00002190-MCG</v>
      </c>
    </row>
    <row r="6281" spans="1:2" ht="12.5" x14ac:dyDescent="0.25">
      <c r="A6281" t="str">
        <f ca="1">IFERROR(__xludf.DUMMYFUNCTION("""COMPUTED_VALUE"""),"Salmonella Enteritidis PT 21")</f>
        <v>Salmonella Enteritidis PT 21</v>
      </c>
      <c r="B6281" t="str">
        <f ca="1">IFERROR(__xludf.DUMMYFUNCTION("""COMPUTED_VALUE"""),"RF-00002200-MCG")</f>
        <v>RF-00002200-MCG</v>
      </c>
    </row>
    <row r="6282" spans="1:2" ht="12.5" x14ac:dyDescent="0.25">
      <c r="A6282" t="str">
        <f ca="1">IFERROR(__xludf.DUMMYFUNCTION("""COMPUTED_VALUE"""),"Salmonella Enteritidis PT 21a")</f>
        <v>Salmonella Enteritidis PT 21a</v>
      </c>
      <c r="B6282" t="str">
        <f ca="1">IFERROR(__xludf.DUMMYFUNCTION("""COMPUTED_VALUE"""),"RF-00002192-MCG")</f>
        <v>RF-00002192-MCG</v>
      </c>
    </row>
    <row r="6283" spans="1:2" ht="12.5" x14ac:dyDescent="0.25">
      <c r="A6283" t="str">
        <f ca="1">IFERROR(__xludf.DUMMYFUNCTION("""COMPUTED_VALUE"""),"Salmonella Enteritidis PT 21c")</f>
        <v>Salmonella Enteritidis PT 21c</v>
      </c>
      <c r="B6283" t="str">
        <f ca="1">IFERROR(__xludf.DUMMYFUNCTION("""COMPUTED_VALUE"""),"RF-00002184-MCG")</f>
        <v>RF-00002184-MCG</v>
      </c>
    </row>
    <row r="6284" spans="1:2" ht="12.5" x14ac:dyDescent="0.25">
      <c r="A6284" t="str">
        <f ca="1">IFERROR(__xludf.DUMMYFUNCTION("""COMPUTED_VALUE"""),"Salmonella Enteritidis PT 22")</f>
        <v>Salmonella Enteritidis PT 22</v>
      </c>
      <c r="B6284" t="str">
        <f ca="1">IFERROR(__xludf.DUMMYFUNCTION("""COMPUTED_VALUE"""),"RF-00002194-MCG")</f>
        <v>RF-00002194-MCG</v>
      </c>
    </row>
    <row r="6285" spans="1:2" ht="12.5" x14ac:dyDescent="0.25">
      <c r="A6285" t="str">
        <f ca="1">IFERROR(__xludf.DUMMYFUNCTION("""COMPUTED_VALUE"""),"Salmonella Enteritidis PT 23")</f>
        <v>Salmonella Enteritidis PT 23</v>
      </c>
      <c r="B6285" t="str">
        <f ca="1">IFERROR(__xludf.DUMMYFUNCTION("""COMPUTED_VALUE"""),"RF-00002195-MCG")</f>
        <v>RF-00002195-MCG</v>
      </c>
    </row>
    <row r="6286" spans="1:2" ht="12.5" x14ac:dyDescent="0.25">
      <c r="A6286" t="str">
        <f ca="1">IFERROR(__xludf.DUMMYFUNCTION("""COMPUTED_VALUE"""),"Salmonella Enteritidis PT 24")</f>
        <v>Salmonella Enteritidis PT 24</v>
      </c>
      <c r="B6286" t="str">
        <f ca="1">IFERROR(__xludf.DUMMYFUNCTION("""COMPUTED_VALUE"""),"RF-00002196-MCG")</f>
        <v>RF-00002196-MCG</v>
      </c>
    </row>
    <row r="6287" spans="1:2" ht="12.5" x14ac:dyDescent="0.25">
      <c r="A6287" t="str">
        <f ca="1">IFERROR(__xludf.DUMMYFUNCTION("""COMPUTED_VALUE"""),"Salmonella Enteritidis PT 24 var.")</f>
        <v>Salmonella Enteritidis PT 24 var.</v>
      </c>
      <c r="B6287" t="str">
        <f ca="1">IFERROR(__xludf.DUMMYFUNCTION("""COMPUTED_VALUE"""),"RF-00002197-MCG")</f>
        <v>RF-00002197-MCG</v>
      </c>
    </row>
    <row r="6288" spans="1:2" ht="12.5" x14ac:dyDescent="0.25">
      <c r="A6288" t="str">
        <f ca="1">IFERROR(__xludf.DUMMYFUNCTION("""COMPUTED_VALUE"""),"Salmonella Enteritidis PT 24a")</f>
        <v>Salmonella Enteritidis PT 24a</v>
      </c>
      <c r="B6288" t="str">
        <f ca="1">IFERROR(__xludf.DUMMYFUNCTION("""COMPUTED_VALUE"""),"RF-00002198-MCG")</f>
        <v>RF-00002198-MCG</v>
      </c>
    </row>
    <row r="6289" spans="1:2" ht="12.5" x14ac:dyDescent="0.25">
      <c r="A6289" t="str">
        <f ca="1">IFERROR(__xludf.DUMMYFUNCTION("""COMPUTED_VALUE"""),"Salmonella Enteritidis PT 25")</f>
        <v>Salmonella Enteritidis PT 25</v>
      </c>
      <c r="B6289" t="str">
        <f ca="1">IFERROR(__xludf.DUMMYFUNCTION("""COMPUTED_VALUE"""),"RF-00002199-MCG")</f>
        <v>RF-00002199-MCG</v>
      </c>
    </row>
    <row r="6290" spans="1:2" ht="12.5" x14ac:dyDescent="0.25">
      <c r="A6290" t="str">
        <f ca="1">IFERROR(__xludf.DUMMYFUNCTION("""COMPUTED_VALUE"""),"Salmonella Enteritidis PT 27")</f>
        <v>Salmonella Enteritidis PT 27</v>
      </c>
      <c r="B6290" t="str">
        <f ca="1">IFERROR(__xludf.DUMMYFUNCTION("""COMPUTED_VALUE"""),"RF-00002176-MCG")</f>
        <v>RF-00002176-MCG</v>
      </c>
    </row>
    <row r="6291" spans="1:2" ht="12.5" x14ac:dyDescent="0.25">
      <c r="A6291" t="str">
        <f ca="1">IFERROR(__xludf.DUMMYFUNCTION("""COMPUTED_VALUE"""),"Salmonella Enteritidis PT 28")</f>
        <v>Salmonella Enteritidis PT 28</v>
      </c>
      <c r="B6291" t="str">
        <f ca="1">IFERROR(__xludf.DUMMYFUNCTION("""COMPUTED_VALUE"""),"RF-00002174-MCG")</f>
        <v>RF-00002174-MCG</v>
      </c>
    </row>
    <row r="6292" spans="1:2" ht="12.5" x14ac:dyDescent="0.25">
      <c r="A6292" t="str">
        <f ca="1">IFERROR(__xludf.DUMMYFUNCTION("""COMPUTED_VALUE"""),"Salmonella Enteritidis PT 29")</f>
        <v>Salmonella Enteritidis PT 29</v>
      </c>
      <c r="B6292" t="str">
        <f ca="1">IFERROR(__xludf.DUMMYFUNCTION("""COMPUTED_VALUE"""),"RF-00002191-MCG")</f>
        <v>RF-00002191-MCG</v>
      </c>
    </row>
    <row r="6293" spans="1:2" ht="12.5" x14ac:dyDescent="0.25">
      <c r="A6293" t="str">
        <f ca="1">IFERROR(__xludf.DUMMYFUNCTION("""COMPUTED_VALUE"""),"Salmonella Enteritidis PT 3")</f>
        <v>Salmonella Enteritidis PT 3</v>
      </c>
      <c r="B6293" t="str">
        <f ca="1">IFERROR(__xludf.DUMMYFUNCTION("""COMPUTED_VALUE"""),"RF-00002169-MCG")</f>
        <v>RF-00002169-MCG</v>
      </c>
    </row>
    <row r="6294" spans="1:2" ht="12.5" x14ac:dyDescent="0.25">
      <c r="A6294" t="str">
        <f ca="1">IFERROR(__xludf.DUMMYFUNCTION("""COMPUTED_VALUE"""),"Salmonella Enteritidis PT 30")</f>
        <v>Salmonella Enteritidis PT 30</v>
      </c>
      <c r="B6294" t="str">
        <f ca="1">IFERROR(__xludf.DUMMYFUNCTION("""COMPUTED_VALUE"""),"RF-00002170-MCG")</f>
        <v>RF-00002170-MCG</v>
      </c>
    </row>
    <row r="6295" spans="1:2" ht="12.5" x14ac:dyDescent="0.25">
      <c r="A6295" t="str">
        <f ca="1">IFERROR(__xludf.DUMMYFUNCTION("""COMPUTED_VALUE"""),"Salmonella Enteritidis PT 31")</f>
        <v>Salmonella Enteritidis PT 31</v>
      </c>
      <c r="B6295" t="str">
        <f ca="1">IFERROR(__xludf.DUMMYFUNCTION("""COMPUTED_VALUE"""),"RF-00002171-MCG")</f>
        <v>RF-00002171-MCG</v>
      </c>
    </row>
    <row r="6296" spans="1:2" ht="12.5" x14ac:dyDescent="0.25">
      <c r="A6296" t="str">
        <f ca="1">IFERROR(__xludf.DUMMYFUNCTION("""COMPUTED_VALUE"""),"Salmonella Enteritidis PT 32")</f>
        <v>Salmonella Enteritidis PT 32</v>
      </c>
      <c r="B6296" t="str">
        <f ca="1">IFERROR(__xludf.DUMMYFUNCTION("""COMPUTED_VALUE"""),"RF-00002172-MCG")</f>
        <v>RF-00002172-MCG</v>
      </c>
    </row>
    <row r="6297" spans="1:2" ht="12.5" x14ac:dyDescent="0.25">
      <c r="A6297" t="str">
        <f ca="1">IFERROR(__xludf.DUMMYFUNCTION("""COMPUTED_VALUE"""),"Salmonella Enteritidis PT 32a")</f>
        <v>Salmonella Enteritidis PT 32a</v>
      </c>
      <c r="B6297" t="str">
        <f ca="1">IFERROR(__xludf.DUMMYFUNCTION("""COMPUTED_VALUE"""),"RF-00002168-MCG")</f>
        <v>RF-00002168-MCG</v>
      </c>
    </row>
    <row r="6298" spans="1:2" ht="12.5" x14ac:dyDescent="0.25">
      <c r="A6298" t="str">
        <f ca="1">IFERROR(__xludf.DUMMYFUNCTION("""COMPUTED_VALUE"""),"Salmonella Enteritidis PT 33")</f>
        <v>Salmonella Enteritidis PT 33</v>
      </c>
      <c r="B6298" t="str">
        <f ca="1">IFERROR(__xludf.DUMMYFUNCTION("""COMPUTED_VALUE"""),"RF-00002173-MCG")</f>
        <v>RF-00002173-MCG</v>
      </c>
    </row>
    <row r="6299" spans="1:2" ht="12.5" x14ac:dyDescent="0.25">
      <c r="A6299" t="str">
        <f ca="1">IFERROR(__xludf.DUMMYFUNCTION("""COMPUTED_VALUE"""),"Salmonella Enteritidis PT 34")</f>
        <v>Salmonella Enteritidis PT 34</v>
      </c>
      <c r="B6299" t="str">
        <f ca="1">IFERROR(__xludf.DUMMYFUNCTION("""COMPUTED_VALUE"""),"RF-00002154-MCG")</f>
        <v>RF-00002154-MCG</v>
      </c>
    </row>
    <row r="6300" spans="1:2" ht="12.5" x14ac:dyDescent="0.25">
      <c r="A6300" t="str">
        <f ca="1">IFERROR(__xludf.DUMMYFUNCTION("""COMPUTED_VALUE"""),"Salmonella Enteritidis PT 35")</f>
        <v>Salmonella Enteritidis PT 35</v>
      </c>
      <c r="B6300" t="str">
        <f ca="1">IFERROR(__xludf.DUMMYFUNCTION("""COMPUTED_VALUE"""),"RF-00002183-MCG")</f>
        <v>RF-00002183-MCG</v>
      </c>
    </row>
    <row r="6301" spans="1:2" ht="12.5" x14ac:dyDescent="0.25">
      <c r="A6301" t="str">
        <f ca="1">IFERROR(__xludf.DUMMYFUNCTION("""COMPUTED_VALUE"""),"Salmonella Enteritidis PT 36")</f>
        <v>Salmonella Enteritidis PT 36</v>
      </c>
      <c r="B6301" t="str">
        <f ca="1">IFERROR(__xludf.DUMMYFUNCTION("""COMPUTED_VALUE"""),"RF-00002175-MCG")</f>
        <v>RF-00002175-MCG</v>
      </c>
    </row>
    <row r="6302" spans="1:2" ht="12.5" x14ac:dyDescent="0.25">
      <c r="A6302" t="str">
        <f ca="1">IFERROR(__xludf.DUMMYFUNCTION("""COMPUTED_VALUE"""),"Salmonella Enteritidis PT 37")</f>
        <v>Salmonella Enteritidis PT 37</v>
      </c>
      <c r="B6302" t="str">
        <f ca="1">IFERROR(__xludf.DUMMYFUNCTION("""COMPUTED_VALUE"""),"RF-00002167-MCG")</f>
        <v>RF-00002167-MCG</v>
      </c>
    </row>
    <row r="6303" spans="1:2" ht="12.5" x14ac:dyDescent="0.25">
      <c r="A6303" t="str">
        <f ca="1">IFERROR(__xludf.DUMMYFUNCTION("""COMPUTED_VALUE"""),"Salmonella Enteritidis PT 38")</f>
        <v>Salmonella Enteritidis PT 38</v>
      </c>
      <c r="B6303" t="str">
        <f ca="1">IFERROR(__xludf.DUMMYFUNCTION("""COMPUTED_VALUE"""),"RF-00002177-MCG")</f>
        <v>RF-00002177-MCG</v>
      </c>
    </row>
    <row r="6304" spans="1:2" ht="12.5" x14ac:dyDescent="0.25">
      <c r="A6304" t="str">
        <f ca="1">IFERROR(__xludf.DUMMYFUNCTION("""COMPUTED_VALUE"""),"Salmonella Enteritidis PT 3a")</f>
        <v>Salmonella Enteritidis PT 3a</v>
      </c>
      <c r="B6304" t="str">
        <f ca="1">IFERROR(__xludf.DUMMYFUNCTION("""COMPUTED_VALUE"""),"RF-00002178-MCG")</f>
        <v>RF-00002178-MCG</v>
      </c>
    </row>
    <row r="6305" spans="1:2" ht="12.5" x14ac:dyDescent="0.25">
      <c r="A6305" t="str">
        <f ca="1">IFERROR(__xludf.DUMMYFUNCTION("""COMPUTED_VALUE"""),"Salmonella Enteritidis PT 4")</f>
        <v>Salmonella Enteritidis PT 4</v>
      </c>
      <c r="B6305" t="str">
        <f ca="1">IFERROR(__xludf.DUMMYFUNCTION("""COMPUTED_VALUE"""),"RF-00002179-MCG")</f>
        <v>RF-00002179-MCG</v>
      </c>
    </row>
    <row r="6306" spans="1:2" ht="12.5" x14ac:dyDescent="0.25">
      <c r="A6306" t="str">
        <f ca="1">IFERROR(__xludf.DUMMYFUNCTION("""COMPUTED_VALUE"""),"Salmonella Enteritidis PT 41")</f>
        <v>Salmonella Enteritidis PT 41</v>
      </c>
      <c r="B6306" t="str">
        <f ca="1">IFERROR(__xludf.DUMMYFUNCTION("""COMPUTED_VALUE"""),"RF-00002182-MCG")</f>
        <v>RF-00002182-MCG</v>
      </c>
    </row>
    <row r="6307" spans="1:2" ht="12.5" x14ac:dyDescent="0.25">
      <c r="A6307" t="str">
        <f ca="1">IFERROR(__xludf.DUMMYFUNCTION("""COMPUTED_VALUE"""),"Salmonella Enteritidis PT 42")</f>
        <v>Salmonella Enteritidis PT 42</v>
      </c>
      <c r="B6307" t="str">
        <f ca="1">IFERROR(__xludf.DUMMYFUNCTION("""COMPUTED_VALUE"""),"RF-00002180-MCG")</f>
        <v>RF-00002180-MCG</v>
      </c>
    </row>
    <row r="6308" spans="1:2" ht="12.5" x14ac:dyDescent="0.25">
      <c r="A6308" t="str">
        <f ca="1">IFERROR(__xludf.DUMMYFUNCTION("""COMPUTED_VALUE"""),"Salmonella Enteritidis PT 43")</f>
        <v>Salmonella Enteritidis PT 43</v>
      </c>
      <c r="B6308" t="str">
        <f ca="1">IFERROR(__xludf.DUMMYFUNCTION("""COMPUTED_VALUE"""),"RF-00002215-MCG")</f>
        <v>RF-00002215-MCG</v>
      </c>
    </row>
    <row r="6309" spans="1:2" ht="12.5" x14ac:dyDescent="0.25">
      <c r="A6309" t="str">
        <f ca="1">IFERROR(__xludf.DUMMYFUNCTION("""COMPUTED_VALUE"""),"Salmonella Enteritidis PT 44")</f>
        <v>Salmonella Enteritidis PT 44</v>
      </c>
      <c r="B6309" t="str">
        <f ca="1">IFERROR(__xludf.DUMMYFUNCTION("""COMPUTED_VALUE"""),"RF-00002255-MCG")</f>
        <v>RF-00002255-MCG</v>
      </c>
    </row>
    <row r="6310" spans="1:2" ht="12.5" x14ac:dyDescent="0.25">
      <c r="A6310" t="str">
        <f ca="1">IFERROR(__xludf.DUMMYFUNCTION("""COMPUTED_VALUE"""),"Salmonella Enteritidis PT 46")</f>
        <v>Salmonella Enteritidis PT 46</v>
      </c>
      <c r="B6310" t="str">
        <f ca="1">IFERROR(__xludf.DUMMYFUNCTION("""COMPUTED_VALUE"""),"RF-00002250-MCG")</f>
        <v>RF-00002250-MCG</v>
      </c>
    </row>
    <row r="6311" spans="1:2" ht="12.5" x14ac:dyDescent="0.25">
      <c r="A6311" t="str">
        <f ca="1">IFERROR(__xludf.DUMMYFUNCTION("""COMPUTED_VALUE"""),"Salmonella Enteritidis PT 47")</f>
        <v>Salmonella Enteritidis PT 47</v>
      </c>
      <c r="B6311" t="str">
        <f ca="1">IFERROR(__xludf.DUMMYFUNCTION("""COMPUTED_VALUE"""),"RF-00002227-MCG")</f>
        <v>RF-00002227-MCG</v>
      </c>
    </row>
    <row r="6312" spans="1:2" ht="12.5" x14ac:dyDescent="0.25">
      <c r="A6312" t="str">
        <f ca="1">IFERROR(__xludf.DUMMYFUNCTION("""COMPUTED_VALUE"""),"Salmonella Enteritidis PT 48")</f>
        <v>Salmonella Enteritidis PT 48</v>
      </c>
      <c r="B6312" t="str">
        <f ca="1">IFERROR(__xludf.DUMMYFUNCTION("""COMPUTED_VALUE"""),"RF-00002246-MCG")</f>
        <v>RF-00002246-MCG</v>
      </c>
    </row>
    <row r="6313" spans="1:2" ht="12.5" x14ac:dyDescent="0.25">
      <c r="A6313" t="str">
        <f ca="1">IFERROR(__xludf.DUMMYFUNCTION("""COMPUTED_VALUE"""),"Salmonella Enteritidis PT 4a")</f>
        <v>Salmonella Enteritidis PT 4a</v>
      </c>
      <c r="B6313" t="str">
        <f ca="1">IFERROR(__xludf.DUMMYFUNCTION("""COMPUTED_VALUE"""),"RF-00002202-MCG")</f>
        <v>RF-00002202-MCG</v>
      </c>
    </row>
    <row r="6314" spans="1:2" ht="12.5" x14ac:dyDescent="0.25">
      <c r="A6314" t="str">
        <f ca="1">IFERROR(__xludf.DUMMYFUNCTION("""COMPUTED_VALUE"""),"Salmonella Enteritidis PT 4b")</f>
        <v>Salmonella Enteritidis PT 4b</v>
      </c>
      <c r="B6314" t="str">
        <f ca="1">IFERROR(__xludf.DUMMYFUNCTION("""COMPUTED_VALUE"""),"RF-00002214-MCG")</f>
        <v>RF-00002214-MCG</v>
      </c>
    </row>
    <row r="6315" spans="1:2" ht="12.5" x14ac:dyDescent="0.25">
      <c r="A6315" t="str">
        <f ca="1">IFERROR(__xludf.DUMMYFUNCTION("""COMPUTED_VALUE"""),"Salmonella Enteritidis PT 5")</f>
        <v>Salmonella Enteritidis PT 5</v>
      </c>
      <c r="B6315" t="str">
        <f ca="1">IFERROR(__xludf.DUMMYFUNCTION("""COMPUTED_VALUE"""),"RF-00002213-MCG")</f>
        <v>RF-00002213-MCG</v>
      </c>
    </row>
    <row r="6316" spans="1:2" ht="12.5" x14ac:dyDescent="0.25">
      <c r="A6316" t="str">
        <f ca="1">IFERROR(__xludf.DUMMYFUNCTION("""COMPUTED_VALUE"""),"Salmonella Enteritidis PT 50")</f>
        <v>Salmonella Enteritidis PT 50</v>
      </c>
      <c r="B6316" t="str">
        <f ca="1">IFERROR(__xludf.DUMMYFUNCTION("""COMPUTED_VALUE"""),"RF-00002212-MCG")</f>
        <v>RF-00002212-MCG</v>
      </c>
    </row>
    <row r="6317" spans="1:2" ht="12.5" x14ac:dyDescent="0.25">
      <c r="A6317" t="str">
        <f ca="1">IFERROR(__xludf.DUMMYFUNCTION("""COMPUTED_VALUE"""),"Salmonella Enteritidis PT 53")</f>
        <v>Salmonella Enteritidis PT 53</v>
      </c>
      <c r="B6317" t="str">
        <f ca="1">IFERROR(__xludf.DUMMYFUNCTION("""COMPUTED_VALUE"""),"RF-00002211-MCG")</f>
        <v>RF-00002211-MCG</v>
      </c>
    </row>
    <row r="6318" spans="1:2" ht="12.5" x14ac:dyDescent="0.25">
      <c r="A6318" t="str">
        <f ca="1">IFERROR(__xludf.DUMMYFUNCTION("""COMPUTED_VALUE"""),"Salmonella Enteritidis PT 55")</f>
        <v>Salmonella Enteritidis PT 55</v>
      </c>
      <c r="B6318" t="str">
        <f ca="1">IFERROR(__xludf.DUMMYFUNCTION("""COMPUTED_VALUE"""),"RF-00002210-MCG")</f>
        <v>RF-00002210-MCG</v>
      </c>
    </row>
    <row r="6319" spans="1:2" ht="12.5" x14ac:dyDescent="0.25">
      <c r="A6319" t="str">
        <f ca="1">IFERROR(__xludf.DUMMYFUNCTION("""COMPUTED_VALUE"""),"Salmonella Enteritidis PT 56")</f>
        <v>Salmonella Enteritidis PT 56</v>
      </c>
      <c r="B6319" t="str">
        <f ca="1">IFERROR(__xludf.DUMMYFUNCTION("""COMPUTED_VALUE"""),"RF-00002201-MCG")</f>
        <v>RF-00002201-MCG</v>
      </c>
    </row>
    <row r="6320" spans="1:2" ht="12.5" x14ac:dyDescent="0.25">
      <c r="A6320" t="str">
        <f ca="1">IFERROR(__xludf.DUMMYFUNCTION("""COMPUTED_VALUE"""),"Salmonella Enteritidis PT 57")</f>
        <v>Salmonella Enteritidis PT 57</v>
      </c>
      <c r="B6320" t="str">
        <f ca="1">IFERROR(__xludf.DUMMYFUNCTION("""COMPUTED_VALUE"""),"RF-00002208-MCG")</f>
        <v>RF-00002208-MCG</v>
      </c>
    </row>
    <row r="6321" spans="1:2" ht="12.5" x14ac:dyDescent="0.25">
      <c r="A6321" t="str">
        <f ca="1">IFERROR(__xludf.DUMMYFUNCTION("""COMPUTED_VALUE"""),"Salmonella Enteritidis PT 58")</f>
        <v>Salmonella Enteritidis PT 58</v>
      </c>
      <c r="B6321" t="str">
        <f ca="1">IFERROR(__xludf.DUMMYFUNCTION("""COMPUTED_VALUE"""),"RF-00002216-MCG")</f>
        <v>RF-00002216-MCG</v>
      </c>
    </row>
    <row r="6322" spans="1:2" ht="12.5" x14ac:dyDescent="0.25">
      <c r="A6322" t="str">
        <f ca="1">IFERROR(__xludf.DUMMYFUNCTION("""COMPUTED_VALUE"""),"Salmonella Enteritidis PT 59")</f>
        <v>Salmonella Enteritidis PT 59</v>
      </c>
      <c r="B6322" t="str">
        <f ca="1">IFERROR(__xludf.DUMMYFUNCTION("""COMPUTED_VALUE"""),"RF-00002206-MCG")</f>
        <v>RF-00002206-MCG</v>
      </c>
    </row>
    <row r="6323" spans="1:2" ht="12.5" x14ac:dyDescent="0.25">
      <c r="A6323" t="str">
        <f ca="1">IFERROR(__xludf.DUMMYFUNCTION("""COMPUTED_VALUE"""),"Salmonella Enteritidis PT 5a")</f>
        <v>Salmonella Enteritidis PT 5a</v>
      </c>
      <c r="B6323" t="str">
        <f ca="1">IFERROR(__xludf.DUMMYFUNCTION("""COMPUTED_VALUE"""),"RF-00002205-MCG")</f>
        <v>RF-00002205-MCG</v>
      </c>
    </row>
    <row r="6324" spans="1:2" ht="12.5" x14ac:dyDescent="0.25">
      <c r="A6324" t="str">
        <f ca="1">IFERROR(__xludf.DUMMYFUNCTION("""COMPUTED_VALUE"""),"Salmonella Enteritidis PT 5c")</f>
        <v>Salmonella Enteritidis PT 5c</v>
      </c>
      <c r="B6324" t="str">
        <f ca="1">IFERROR(__xludf.DUMMYFUNCTION("""COMPUTED_VALUE"""),"RF-00002203-MCG")</f>
        <v>RF-00002203-MCG</v>
      </c>
    </row>
    <row r="6325" spans="1:2" ht="12.5" x14ac:dyDescent="0.25">
      <c r="A6325" t="str">
        <f ca="1">IFERROR(__xludf.DUMMYFUNCTION("""COMPUTED_VALUE"""),"Salmonella Enteritidis PT 6")</f>
        <v>Salmonella Enteritidis PT 6</v>
      </c>
      <c r="B6325" t="str">
        <f ca="1">IFERROR(__xludf.DUMMYFUNCTION("""COMPUTED_VALUE"""),"RF-00002223-MCG")</f>
        <v>RF-00002223-MCG</v>
      </c>
    </row>
    <row r="6326" spans="1:2" ht="12.5" x14ac:dyDescent="0.25">
      <c r="A6326" t="str">
        <f ca="1">IFERROR(__xludf.DUMMYFUNCTION("""COMPUTED_VALUE"""),"Salmonella Enteritidis PT 6a")</f>
        <v>Salmonella Enteritidis PT 6a</v>
      </c>
      <c r="B6326" t="str">
        <f ca="1">IFERROR(__xludf.DUMMYFUNCTION("""COMPUTED_VALUE"""),"RF-00002207-MCG")</f>
        <v>RF-00002207-MCG</v>
      </c>
    </row>
    <row r="6327" spans="1:2" ht="12.5" x14ac:dyDescent="0.25">
      <c r="A6327" t="str">
        <f ca="1">IFERROR(__xludf.DUMMYFUNCTION("""COMPUTED_VALUE"""),"Salmonella Enteritidis PT 6b")</f>
        <v>Salmonella Enteritidis PT 6b</v>
      </c>
      <c r="B6327" t="str">
        <f ca="1">IFERROR(__xludf.DUMMYFUNCTION("""COMPUTED_VALUE"""),"RF-00002209-MCG")</f>
        <v>RF-00002209-MCG</v>
      </c>
    </row>
    <row r="6328" spans="1:2" ht="12.5" x14ac:dyDescent="0.25">
      <c r="A6328" t="str">
        <f ca="1">IFERROR(__xludf.DUMMYFUNCTION("""COMPUTED_VALUE"""),"Salmonella Enteritidis PT 6c")</f>
        <v>Salmonella Enteritidis PT 6c</v>
      </c>
      <c r="B6328" t="str">
        <f ca="1">IFERROR(__xludf.DUMMYFUNCTION("""COMPUTED_VALUE"""),"RF-00002231-MCG")</f>
        <v>RF-00002231-MCG</v>
      </c>
    </row>
    <row r="6329" spans="1:2" ht="12.5" x14ac:dyDescent="0.25">
      <c r="A6329" t="str">
        <f ca="1">IFERROR(__xludf.DUMMYFUNCTION("""COMPUTED_VALUE"""),"Salmonella Enteritidis PT 6d")</f>
        <v>Salmonella Enteritidis PT 6d</v>
      </c>
      <c r="B6329" t="str">
        <f ca="1">IFERROR(__xludf.DUMMYFUNCTION("""COMPUTED_VALUE"""),"RF-00002230-MCG")</f>
        <v>RF-00002230-MCG</v>
      </c>
    </row>
    <row r="6330" spans="1:2" ht="12.5" x14ac:dyDescent="0.25">
      <c r="A6330" t="str">
        <f ca="1">IFERROR(__xludf.DUMMYFUNCTION("""COMPUTED_VALUE"""),"Salmonella Enteritidis PT 7")</f>
        <v>Salmonella Enteritidis PT 7</v>
      </c>
      <c r="B6330" t="str">
        <f ca="1">IFERROR(__xludf.DUMMYFUNCTION("""COMPUTED_VALUE"""),"RF-00002225-MCG")</f>
        <v>RF-00002225-MCG</v>
      </c>
    </row>
    <row r="6331" spans="1:2" ht="12.5" x14ac:dyDescent="0.25">
      <c r="A6331" t="str">
        <f ca="1">IFERROR(__xludf.DUMMYFUNCTION("""COMPUTED_VALUE"""),"Salmonella Enteritidis PT 7a")</f>
        <v>Salmonella Enteritidis PT 7a</v>
      </c>
      <c r="B6331" t="str">
        <f ca="1">IFERROR(__xludf.DUMMYFUNCTION("""COMPUTED_VALUE"""),"RF-00002228-MCG")</f>
        <v>RF-00002228-MCG</v>
      </c>
    </row>
    <row r="6332" spans="1:2" ht="12.5" x14ac:dyDescent="0.25">
      <c r="A6332" t="str">
        <f ca="1">IFERROR(__xludf.DUMMYFUNCTION("""COMPUTED_VALUE"""),"Salmonella Enteritidis PT 8")</f>
        <v>Salmonella Enteritidis PT 8</v>
      </c>
      <c r="B6332" t="str">
        <f ca="1">IFERROR(__xludf.DUMMYFUNCTION("""COMPUTED_VALUE"""),"RF-00002247-MCG")</f>
        <v>RF-00002247-MCG</v>
      </c>
    </row>
    <row r="6333" spans="1:2" ht="12.5" x14ac:dyDescent="0.25">
      <c r="A6333" t="str">
        <f ca="1">IFERROR(__xludf.DUMMYFUNCTION("""COMPUTED_VALUE"""),"Salmonella Enteritidis PT 8a")</f>
        <v>Salmonella Enteritidis PT 8a</v>
      </c>
      <c r="B6333" t="str">
        <f ca="1">IFERROR(__xludf.DUMMYFUNCTION("""COMPUTED_VALUE"""),"RF-00002226-MCG")</f>
        <v>RF-00002226-MCG</v>
      </c>
    </row>
    <row r="6334" spans="1:2" ht="12.5" x14ac:dyDescent="0.25">
      <c r="A6334" t="str">
        <f ca="1">IFERROR(__xludf.DUMMYFUNCTION("""COMPUTED_VALUE"""),"Salmonella Enteritidis PT 9")</f>
        <v>Salmonella Enteritidis PT 9</v>
      </c>
      <c r="B6334" t="str">
        <f ca="1">IFERROR(__xludf.DUMMYFUNCTION("""COMPUTED_VALUE"""),"RF-00002217-MCG")</f>
        <v>RF-00002217-MCG</v>
      </c>
    </row>
    <row r="6335" spans="1:2" ht="12.5" x14ac:dyDescent="0.25">
      <c r="A6335" t="str">
        <f ca="1">IFERROR(__xludf.DUMMYFUNCTION("""COMPUTED_VALUE"""),"Salmonella Enteritidis PT 9a")</f>
        <v>Salmonella Enteritidis PT 9a</v>
      </c>
      <c r="B6335" t="str">
        <f ca="1">IFERROR(__xludf.DUMMYFUNCTION("""COMPUTED_VALUE"""),"RF-00002224-MCG")</f>
        <v>RF-00002224-MCG</v>
      </c>
    </row>
    <row r="6336" spans="1:2" ht="12.5" x14ac:dyDescent="0.25">
      <c r="A6336" t="str">
        <f ca="1">IFERROR(__xludf.DUMMYFUNCTION("""COMPUTED_VALUE"""),"Salmonella Enteritidis PT 9b")</f>
        <v>Salmonella Enteritidis PT 9b</v>
      </c>
      <c r="B6336" t="str">
        <f ca="1">IFERROR(__xludf.DUMMYFUNCTION("""COMPUTED_VALUE"""),"RF-00002232-MCG")</f>
        <v>RF-00002232-MCG</v>
      </c>
    </row>
    <row r="6337" spans="1:2" ht="12.5" x14ac:dyDescent="0.25">
      <c r="A6337" t="str">
        <f ca="1">IFERROR(__xludf.DUMMYFUNCTION("""COMPUTED_VALUE"""),"Salmonella Enteritidis PT RDNC")</f>
        <v>Salmonella Enteritidis PT RDNC</v>
      </c>
      <c r="B6337" t="str">
        <f ca="1">IFERROR(__xludf.DUMMYFUNCTION("""COMPUTED_VALUE"""),"RF-00002222-MCG")</f>
        <v>RF-00002222-MCG</v>
      </c>
    </row>
    <row r="6338" spans="1:2" ht="12.5" x14ac:dyDescent="0.25">
      <c r="A6338" t="str">
        <f ca="1">IFERROR(__xludf.DUMMYFUNCTION("""COMPUTED_VALUE"""),"Salmonella Enteritidis PT U")</f>
        <v>Salmonella Enteritidis PT U</v>
      </c>
      <c r="B6338" t="str">
        <f ca="1">IFERROR(__xludf.DUMMYFUNCTION("""COMPUTED_VALUE"""),"RF-00002221-MCG")</f>
        <v>RF-00002221-MCG</v>
      </c>
    </row>
    <row r="6339" spans="1:2" ht="12.5" x14ac:dyDescent="0.25">
      <c r="A6339" t="str">
        <f ca="1">IFERROR(__xludf.DUMMYFUNCTION("""COMPUTED_VALUE"""),"Salmonella Enteritidis PT32")</f>
        <v>Salmonella Enteritidis PT32</v>
      </c>
      <c r="B6339" t="str">
        <f ca="1">IFERROR(__xludf.DUMMYFUNCTION("""COMPUTED_VALUE"""),"RF-00002220-MCG")</f>
        <v>RF-00002220-MCG</v>
      </c>
    </row>
    <row r="6340" spans="1:2" ht="12.5" x14ac:dyDescent="0.25">
      <c r="A6340" t="str">
        <f ca="1">IFERROR(__xludf.DUMMYFUNCTION("""COMPUTED_VALUE"""),"Salmonella Enteritidis RDNC")</f>
        <v>Salmonella Enteritidis RDNC</v>
      </c>
      <c r="B6340" t="str">
        <f ca="1">IFERROR(__xludf.DUMMYFUNCTION("""COMPUTED_VALUE"""),"RF-00002219-MCG")</f>
        <v>RF-00002219-MCG</v>
      </c>
    </row>
    <row r="6341" spans="1:2" ht="12.5" x14ac:dyDescent="0.25">
      <c r="A6341" t="str">
        <f ca="1">IFERROR(__xludf.DUMMYFUNCTION("""COMPUTED_VALUE"""),"Salmonella Enteritidis U")</f>
        <v>Salmonella Enteritidis U</v>
      </c>
      <c r="B6341" t="str">
        <f ca="1">IFERROR(__xludf.DUMMYFUNCTION("""COMPUTED_VALUE"""),"RF-00002218-MCG")</f>
        <v>RF-00002218-MCG</v>
      </c>
    </row>
    <row r="6342" spans="1:2" ht="12.5" x14ac:dyDescent="0.25">
      <c r="A6342" t="str">
        <f ca="1">IFERROR(__xludf.DUMMYFUNCTION("""COMPUTED_VALUE"""),"Salmonella Entiritidis PT 52")</f>
        <v>Salmonella Entiritidis PT 52</v>
      </c>
      <c r="B6342" t="str">
        <f ca="1">IFERROR(__xludf.DUMMYFUNCTION("""COMPUTED_VALUE"""),"RF-00001325-PAR")</f>
        <v>RF-00001325-PAR</v>
      </c>
    </row>
    <row r="6343" spans="1:2" ht="12.5" x14ac:dyDescent="0.25">
      <c r="A6343" t="str">
        <f ca="1">IFERROR(__xludf.DUMMYFUNCTION("""COMPUTED_VALUE"""),"Salmonella Enugu")</f>
        <v>Salmonella Enugu</v>
      </c>
      <c r="B6343" t="str">
        <f ca="1">IFERROR(__xludf.DUMMYFUNCTION("""COMPUTED_VALUE"""),"RF-00002062-MCG")</f>
        <v>RF-00002062-MCG</v>
      </c>
    </row>
    <row r="6344" spans="1:2" ht="12.5" x14ac:dyDescent="0.25">
      <c r="A6344" t="str">
        <f ca="1">IFERROR(__xludf.DUMMYFUNCTION("""COMPUTED_VALUE"""),"Salmonella Epicrates")</f>
        <v>Salmonella Epicrates</v>
      </c>
      <c r="B6344" t="str">
        <f ca="1">IFERROR(__xludf.DUMMYFUNCTION("""COMPUTED_VALUE"""),"RF-00002063-MCG")</f>
        <v>RF-00002063-MCG</v>
      </c>
    </row>
    <row r="6345" spans="1:2" ht="12.5" x14ac:dyDescent="0.25">
      <c r="A6345" t="str">
        <f ca="1">IFERROR(__xludf.DUMMYFUNCTION("""COMPUTED_VALUE"""),"Salmonella Epinay")</f>
        <v>Salmonella Epinay</v>
      </c>
      <c r="B6345" t="str">
        <f ca="1">IFERROR(__xludf.DUMMYFUNCTION("""COMPUTED_VALUE"""),"RF-00002064-MCG")</f>
        <v>RF-00002064-MCG</v>
      </c>
    </row>
    <row r="6346" spans="1:2" ht="12.5" x14ac:dyDescent="0.25">
      <c r="A6346" t="str">
        <f ca="1">IFERROR(__xludf.DUMMYFUNCTION("""COMPUTED_VALUE"""),"Salmonella Eppendorf")</f>
        <v>Salmonella Eppendorf</v>
      </c>
      <c r="B6346" t="str">
        <f ca="1">IFERROR(__xludf.DUMMYFUNCTION("""COMPUTED_VALUE"""),"RF-00002065-MCG")</f>
        <v>RF-00002065-MCG</v>
      </c>
    </row>
    <row r="6347" spans="1:2" ht="12.5" x14ac:dyDescent="0.25">
      <c r="A6347" t="str">
        <f ca="1">IFERROR(__xludf.DUMMYFUNCTION("""COMPUTED_VALUE"""),"Salmonella Escanaba")</f>
        <v>Salmonella Escanaba</v>
      </c>
      <c r="B6347" t="str">
        <f ca="1">IFERROR(__xludf.DUMMYFUNCTION("""COMPUTED_VALUE"""),"RF-00002066-MCG")</f>
        <v>RF-00002066-MCG</v>
      </c>
    </row>
    <row r="6348" spans="1:2" ht="12.5" x14ac:dyDescent="0.25">
      <c r="A6348" t="str">
        <f ca="1">IFERROR(__xludf.DUMMYFUNCTION("""COMPUTED_VALUE"""),"Salmonella Eschberg")</f>
        <v>Salmonella Eschberg</v>
      </c>
      <c r="B6348" t="str">
        <f ca="1">IFERROR(__xludf.DUMMYFUNCTION("""COMPUTED_VALUE"""),"RF-00002081-MCG")</f>
        <v>RF-00002081-MCG</v>
      </c>
    </row>
    <row r="6349" spans="1:2" ht="12.5" x14ac:dyDescent="0.25">
      <c r="A6349" t="str">
        <f ca="1">IFERROR(__xludf.DUMMYFUNCTION("""COMPUTED_VALUE"""),"Salmonella Eschweiler")</f>
        <v>Salmonella Eschweiler</v>
      </c>
      <c r="B6349" t="str">
        <f ca="1">IFERROR(__xludf.DUMMYFUNCTION("""COMPUTED_VALUE"""),"RF-00002068-MCG")</f>
        <v>RF-00002068-MCG</v>
      </c>
    </row>
    <row r="6350" spans="1:2" ht="12.5" x14ac:dyDescent="0.25">
      <c r="A6350" t="str">
        <f ca="1">IFERROR(__xludf.DUMMYFUNCTION("""COMPUTED_VALUE"""),"Salmonella Essen")</f>
        <v>Salmonella Essen</v>
      </c>
      <c r="B6350" t="str">
        <f ca="1">IFERROR(__xludf.DUMMYFUNCTION("""COMPUTED_VALUE"""),"RF-00002055-MCG")</f>
        <v>RF-00002055-MCG</v>
      </c>
    </row>
    <row r="6351" spans="1:2" ht="12.5" x14ac:dyDescent="0.25">
      <c r="A6351" t="str">
        <f ca="1">IFERROR(__xludf.DUMMYFUNCTION("""COMPUTED_VALUE"""),"Salmonella Etterbeek")</f>
        <v>Salmonella Etterbeek</v>
      </c>
      <c r="B6351" t="str">
        <f ca="1">IFERROR(__xludf.DUMMYFUNCTION("""COMPUTED_VALUE"""),"RF-00002070-MCG")</f>
        <v>RF-00002070-MCG</v>
      </c>
    </row>
    <row r="6352" spans="1:2" ht="12.5" x14ac:dyDescent="0.25">
      <c r="A6352" t="str">
        <f ca="1">IFERROR(__xludf.DUMMYFUNCTION("""COMPUTED_VALUE"""),"Salmonella Euston")</f>
        <v>Salmonella Euston</v>
      </c>
      <c r="B6352" t="str">
        <f ca="1">IFERROR(__xludf.DUMMYFUNCTION("""COMPUTED_VALUE"""),"RF-00002071-MCG")</f>
        <v>RF-00002071-MCG</v>
      </c>
    </row>
    <row r="6353" spans="1:2" ht="12.5" x14ac:dyDescent="0.25">
      <c r="A6353" t="str">
        <f ca="1">IFERROR(__xludf.DUMMYFUNCTION("""COMPUTED_VALUE"""),"Salmonella Everleigh")</f>
        <v>Salmonella Everleigh</v>
      </c>
      <c r="B6353" t="str">
        <f ca="1">IFERROR(__xludf.DUMMYFUNCTION("""COMPUTED_VALUE"""),"RF-00002073-MCG")</f>
        <v>RF-00002073-MCG</v>
      </c>
    </row>
    <row r="6354" spans="1:2" ht="12.5" x14ac:dyDescent="0.25">
      <c r="A6354" t="str">
        <f ca="1">IFERROR(__xludf.DUMMYFUNCTION("""COMPUTED_VALUE"""),"Salmonella Ezra")</f>
        <v>Salmonella Ezra</v>
      </c>
      <c r="B6354" t="str">
        <f ca="1">IFERROR(__xludf.DUMMYFUNCTION("""COMPUTED_VALUE"""),"RF-00002074-MCG")</f>
        <v>RF-00002074-MCG</v>
      </c>
    </row>
    <row r="6355" spans="1:2" ht="12.5" x14ac:dyDescent="0.25">
      <c r="A6355" t="str">
        <f ca="1">IFERROR(__xludf.DUMMYFUNCTION("""COMPUTED_VALUE"""),"Salmonella Fairfield")</f>
        <v>Salmonella Fairfield</v>
      </c>
      <c r="B6355" t="str">
        <f ca="1">IFERROR(__xludf.DUMMYFUNCTION("""COMPUTED_VALUE"""),"RF-00002075-MCG")</f>
        <v>RF-00002075-MCG</v>
      </c>
    </row>
    <row r="6356" spans="1:2" ht="12.5" x14ac:dyDescent="0.25">
      <c r="A6356" t="str">
        <f ca="1">IFERROR(__xludf.DUMMYFUNCTION("""COMPUTED_VALUE"""),"Salmonella Fajara")</f>
        <v>Salmonella Fajara</v>
      </c>
      <c r="B6356" t="str">
        <f ca="1">IFERROR(__xludf.DUMMYFUNCTION("""COMPUTED_VALUE"""),"RF-00002076-MCG")</f>
        <v>RF-00002076-MCG</v>
      </c>
    </row>
    <row r="6357" spans="1:2" ht="12.5" x14ac:dyDescent="0.25">
      <c r="A6357" t="str">
        <f ca="1">IFERROR(__xludf.DUMMYFUNCTION("""COMPUTED_VALUE"""),"Salmonella Faji")</f>
        <v>Salmonella Faji</v>
      </c>
      <c r="B6357" t="str">
        <f ca="1">IFERROR(__xludf.DUMMYFUNCTION("""COMPUTED_VALUE"""),"RF-00002104-MCG")</f>
        <v>RF-00002104-MCG</v>
      </c>
    </row>
    <row r="6358" spans="1:2" ht="12.5" x14ac:dyDescent="0.25">
      <c r="A6358" t="str">
        <f ca="1">IFERROR(__xludf.DUMMYFUNCTION("""COMPUTED_VALUE"""),"Salmonella Falkensee")</f>
        <v>Salmonella Falkensee</v>
      </c>
      <c r="B6358" t="str">
        <f ca="1">IFERROR(__xludf.DUMMYFUNCTION("""COMPUTED_VALUE"""),"RF-00002077-MCG")</f>
        <v>RF-00002077-MCG</v>
      </c>
    </row>
    <row r="6359" spans="1:2" ht="12.5" x14ac:dyDescent="0.25">
      <c r="A6359" t="str">
        <f ca="1">IFERROR(__xludf.DUMMYFUNCTION("""COMPUTED_VALUE"""),"Salmonella Fallowfield")</f>
        <v>Salmonella Fallowfield</v>
      </c>
      <c r="B6359" t="str">
        <f ca="1">IFERROR(__xludf.DUMMYFUNCTION("""COMPUTED_VALUE"""),"RF-00002069-MCG")</f>
        <v>RF-00002069-MCG</v>
      </c>
    </row>
    <row r="6360" spans="1:2" ht="12.5" x14ac:dyDescent="0.25">
      <c r="A6360" t="str">
        <f ca="1">IFERROR(__xludf.DUMMYFUNCTION("""COMPUTED_VALUE"""),"Salmonella Fann")</f>
        <v>Salmonella Fann</v>
      </c>
      <c r="B6360" t="str">
        <f ca="1">IFERROR(__xludf.DUMMYFUNCTION("""COMPUTED_VALUE"""),"RF-00002079-MCG")</f>
        <v>RF-00002079-MCG</v>
      </c>
    </row>
    <row r="6361" spans="1:2" ht="12.5" x14ac:dyDescent="0.25">
      <c r="A6361" t="str">
        <f ca="1">IFERROR(__xludf.DUMMYFUNCTION("""COMPUTED_VALUE"""),"Salmonella Fanti")</f>
        <v>Salmonella Fanti</v>
      </c>
      <c r="B6361" t="str">
        <f ca="1">IFERROR(__xludf.DUMMYFUNCTION("""COMPUTED_VALUE"""),"RF-00002080-MCG")</f>
        <v>RF-00002080-MCG</v>
      </c>
    </row>
    <row r="6362" spans="1:2" ht="12.5" x14ac:dyDescent="0.25">
      <c r="A6362" t="str">
        <f ca="1">IFERROR(__xludf.DUMMYFUNCTION("""COMPUTED_VALUE"""),"Salmonella Farakan")</f>
        <v>Salmonella Farakan</v>
      </c>
      <c r="B6362" t="str">
        <f ca="1">IFERROR(__xludf.DUMMYFUNCTION("""COMPUTED_VALUE"""),"RF-00002042-MCG")</f>
        <v>RF-00002042-MCG</v>
      </c>
    </row>
    <row r="6363" spans="1:2" ht="12.5" x14ac:dyDescent="0.25">
      <c r="A6363" t="str">
        <f ca="1">IFERROR(__xludf.DUMMYFUNCTION("""COMPUTED_VALUE"""),"Salmonella Farcha")</f>
        <v>Salmonella Farcha</v>
      </c>
      <c r="B6363" t="str">
        <f ca="1">IFERROR(__xludf.DUMMYFUNCTION("""COMPUTED_VALUE"""),"RF-00002040-MCG")</f>
        <v>RF-00002040-MCG</v>
      </c>
    </row>
    <row r="6364" spans="1:2" ht="12.5" x14ac:dyDescent="0.25">
      <c r="A6364" t="str">
        <f ca="1">IFERROR(__xludf.DUMMYFUNCTION("""COMPUTED_VALUE"""),"Salmonella Fareham")</f>
        <v>Salmonella Fareham</v>
      </c>
      <c r="B6364" t="str">
        <f ca="1">IFERROR(__xludf.DUMMYFUNCTION("""COMPUTED_VALUE"""),"RF-00002067-MCG")</f>
        <v>RF-00002067-MCG</v>
      </c>
    </row>
    <row r="6365" spans="1:2" ht="12.5" x14ac:dyDescent="0.25">
      <c r="A6365" t="str">
        <f ca="1">IFERROR(__xludf.DUMMYFUNCTION("""COMPUTED_VALUE"""),"Salmonella Farmsen")</f>
        <v>Salmonella Farmsen</v>
      </c>
      <c r="B6365" t="str">
        <f ca="1">IFERROR(__xludf.DUMMYFUNCTION("""COMPUTED_VALUE"""),"RF-00002030-MCG")</f>
        <v>RF-00002030-MCG</v>
      </c>
    </row>
    <row r="6366" spans="1:2" ht="12.5" x14ac:dyDescent="0.25">
      <c r="A6366" t="str">
        <f ca="1">IFERROR(__xludf.DUMMYFUNCTION("""COMPUTED_VALUE"""),"Salmonella Farsta")</f>
        <v>Salmonella Farsta</v>
      </c>
      <c r="B6366" t="str">
        <f ca="1">IFERROR(__xludf.DUMMYFUNCTION("""COMPUTED_VALUE"""),"RF-00002031-MCG")</f>
        <v>RF-00002031-MCG</v>
      </c>
    </row>
    <row r="6367" spans="1:2" ht="12.5" x14ac:dyDescent="0.25">
      <c r="A6367" t="str">
        <f ca="1">IFERROR(__xludf.DUMMYFUNCTION("""COMPUTED_VALUE"""),"Salmonella Fass")</f>
        <v>Salmonella Fass</v>
      </c>
      <c r="B6367" t="str">
        <f ca="1">IFERROR(__xludf.DUMMYFUNCTION("""COMPUTED_VALUE"""),"RF-00002032-MCG")</f>
        <v>RF-00002032-MCG</v>
      </c>
    </row>
    <row r="6368" spans="1:2" ht="12.5" x14ac:dyDescent="0.25">
      <c r="A6368" t="str">
        <f ca="1">IFERROR(__xludf.DUMMYFUNCTION("""COMPUTED_VALUE"""),"Salmonella Fayed")</f>
        <v>Salmonella Fayed</v>
      </c>
      <c r="B6368" t="str">
        <f ca="1">IFERROR(__xludf.DUMMYFUNCTION("""COMPUTED_VALUE"""),"RF-00002033-MCG")</f>
        <v>RF-00002033-MCG</v>
      </c>
    </row>
    <row r="6369" spans="1:2" ht="12.5" x14ac:dyDescent="0.25">
      <c r="A6369" t="str">
        <f ca="1">IFERROR(__xludf.DUMMYFUNCTION("""COMPUTED_VALUE"""),"Salmonella Ferlo")</f>
        <v>Salmonella Ferlo</v>
      </c>
      <c r="B6369" t="str">
        <f ca="1">IFERROR(__xludf.DUMMYFUNCTION("""COMPUTED_VALUE"""),"RF-00001757-MCG")</f>
        <v>RF-00001757-MCG</v>
      </c>
    </row>
    <row r="6370" spans="1:2" ht="12.5" x14ac:dyDescent="0.25">
      <c r="A6370" t="str">
        <f ca="1">IFERROR(__xludf.DUMMYFUNCTION("""COMPUTED_VALUE"""),"Salmonella Ferruch")</f>
        <v>Salmonella Ferruch</v>
      </c>
      <c r="B6370" t="str">
        <f ca="1">IFERROR(__xludf.DUMMYFUNCTION("""COMPUTED_VALUE"""),"RF-00001791-MCG")</f>
        <v>RF-00001791-MCG</v>
      </c>
    </row>
    <row r="6371" spans="1:2" ht="12.5" x14ac:dyDescent="0.25">
      <c r="A6371" t="str">
        <f ca="1">IFERROR(__xludf.DUMMYFUNCTION("""COMPUTED_VALUE"""),"Salmonella Finaghy")</f>
        <v>Salmonella Finaghy</v>
      </c>
      <c r="B6371" t="str">
        <f ca="1">IFERROR(__xludf.DUMMYFUNCTION("""COMPUTED_VALUE"""),"RF-00001790-MCG")</f>
        <v>RF-00001790-MCG</v>
      </c>
    </row>
    <row r="6372" spans="1:2" ht="12.5" x14ac:dyDescent="0.25">
      <c r="A6372" t="str">
        <f ca="1">IFERROR(__xludf.DUMMYFUNCTION("""COMPUTED_VALUE"""),"Salmonella Findorff")</f>
        <v>Salmonella Findorff</v>
      </c>
      <c r="B6372" t="str">
        <f ca="1">IFERROR(__xludf.DUMMYFUNCTION("""COMPUTED_VALUE"""),"RF-00001789-MCG")</f>
        <v>RF-00001789-MCG</v>
      </c>
    </row>
    <row r="6373" spans="1:2" ht="12.5" x14ac:dyDescent="0.25">
      <c r="A6373" t="str">
        <f ca="1">IFERROR(__xludf.DUMMYFUNCTION("""COMPUTED_VALUE"""),"Salmonella Finkenwerder")</f>
        <v>Salmonella Finkenwerder</v>
      </c>
      <c r="B6373" t="str">
        <f ca="1">IFERROR(__xludf.DUMMYFUNCTION("""COMPUTED_VALUE"""),"RF-00001788-MCG")</f>
        <v>RF-00001788-MCG</v>
      </c>
    </row>
    <row r="6374" spans="1:2" ht="12.5" x14ac:dyDescent="0.25">
      <c r="A6374" t="str">
        <f ca="1">IFERROR(__xludf.DUMMYFUNCTION("""COMPUTED_VALUE"""),"Salmonella Fischerhuette")</f>
        <v>Salmonella Fischerhuette</v>
      </c>
      <c r="B6374" t="str">
        <f ca="1">IFERROR(__xludf.DUMMYFUNCTION("""COMPUTED_VALUE"""),"RF-00001787-MCG")</f>
        <v>RF-00001787-MCG</v>
      </c>
    </row>
    <row r="6375" spans="1:2" ht="12.5" x14ac:dyDescent="0.25">
      <c r="A6375" t="str">
        <f ca="1">IFERROR(__xludf.DUMMYFUNCTION("""COMPUTED_VALUE"""),"Salmonella Fischerkietz")</f>
        <v>Salmonella Fischerkietz</v>
      </c>
      <c r="B6375" t="str">
        <f ca="1">IFERROR(__xludf.DUMMYFUNCTION("""COMPUTED_VALUE"""),"RF-00001786-MCG")</f>
        <v>RF-00001786-MCG</v>
      </c>
    </row>
    <row r="6376" spans="1:2" ht="12.5" x14ac:dyDescent="0.25">
      <c r="A6376" t="str">
        <f ca="1">IFERROR(__xludf.DUMMYFUNCTION("""COMPUTED_VALUE"""),"Salmonella Fischerstrasse")</f>
        <v>Salmonella Fischerstrasse</v>
      </c>
      <c r="B6376" t="str">
        <f ca="1">IFERROR(__xludf.DUMMYFUNCTION("""COMPUTED_VALUE"""),"RF-00001785-MCG")</f>
        <v>RF-00001785-MCG</v>
      </c>
    </row>
    <row r="6377" spans="1:2" ht="12.5" x14ac:dyDescent="0.25">
      <c r="A6377" t="str">
        <f ca="1">IFERROR(__xludf.DUMMYFUNCTION("""COMPUTED_VALUE"""),"Salmonella Fitzroy")</f>
        <v>Salmonella Fitzroy</v>
      </c>
      <c r="B6377" t="str">
        <f ca="1">IFERROR(__xludf.DUMMYFUNCTION("""COMPUTED_VALUE"""),"RF-00001784-MCG")</f>
        <v>RF-00001784-MCG</v>
      </c>
    </row>
    <row r="6378" spans="1:2" ht="12.5" x14ac:dyDescent="0.25">
      <c r="A6378" t="str">
        <f ca="1">IFERROR(__xludf.DUMMYFUNCTION("""COMPUTED_VALUE"""),"Salmonella Florian")</f>
        <v>Salmonella Florian</v>
      </c>
      <c r="B6378" t="str">
        <f ca="1">IFERROR(__xludf.DUMMYFUNCTION("""COMPUTED_VALUE"""),"RF-00001783-MCG")</f>
        <v>RF-00001783-MCG</v>
      </c>
    </row>
    <row r="6379" spans="1:2" ht="12.5" x14ac:dyDescent="0.25">
      <c r="A6379" t="str">
        <f ca="1">IFERROR(__xludf.DUMMYFUNCTION("""COMPUTED_VALUE"""),"Salmonella Florida")</f>
        <v>Salmonella Florida</v>
      </c>
      <c r="B6379" t="str">
        <f ca="1">IFERROR(__xludf.DUMMYFUNCTION("""COMPUTED_VALUE"""),"RF-00001769-MCG")</f>
        <v>RF-00001769-MCG</v>
      </c>
    </row>
    <row r="6380" spans="1:2" ht="12.5" x14ac:dyDescent="0.25">
      <c r="A6380" t="str">
        <f ca="1">IFERROR(__xludf.DUMMYFUNCTION("""COMPUTED_VALUE"""),"Salmonella Flottbek")</f>
        <v>Salmonella Flottbek</v>
      </c>
      <c r="B6380" t="str">
        <f ca="1">IFERROR(__xludf.DUMMYFUNCTION("""COMPUTED_VALUE"""),"RF-00000919-MCG")</f>
        <v>RF-00000919-MCG</v>
      </c>
    </row>
    <row r="6381" spans="1:2" ht="12.5" x14ac:dyDescent="0.25">
      <c r="A6381" t="str">
        <f ca="1">IFERROR(__xludf.DUMMYFUNCTION("""COMPUTED_VALUE"""),"Salmonella Fluntern")</f>
        <v>Salmonella Fluntern</v>
      </c>
      <c r="B6381" t="str">
        <f ca="1">IFERROR(__xludf.DUMMYFUNCTION("""COMPUTED_VALUE"""),"RF-00001781-MCG")</f>
        <v>RF-00001781-MCG</v>
      </c>
    </row>
    <row r="6382" spans="1:2" ht="12.5" x14ac:dyDescent="0.25">
      <c r="A6382" t="str">
        <f ca="1">IFERROR(__xludf.DUMMYFUNCTION("""COMPUTED_VALUE"""),"Salmonella Fomeco")</f>
        <v>Salmonella Fomeco</v>
      </c>
      <c r="B6382" t="str">
        <f ca="1">IFERROR(__xludf.DUMMYFUNCTION("""COMPUTED_VALUE"""),"RF-00000490-MCG")</f>
        <v>RF-00000490-MCG</v>
      </c>
    </row>
    <row r="6383" spans="1:2" ht="12.5" x14ac:dyDescent="0.25">
      <c r="A6383" t="str">
        <f ca="1">IFERROR(__xludf.DUMMYFUNCTION("""COMPUTED_VALUE"""),"Salmonella Fortlamy")</f>
        <v>Salmonella Fortlamy</v>
      </c>
      <c r="B6383" t="str">
        <f ca="1">IFERROR(__xludf.DUMMYFUNCTION("""COMPUTED_VALUE"""),"RF-00001793-MCG")</f>
        <v>RF-00001793-MCG</v>
      </c>
    </row>
    <row r="6384" spans="1:2" ht="12.5" x14ac:dyDescent="0.25">
      <c r="A6384" t="str">
        <f ca="1">IFERROR(__xludf.DUMMYFUNCTION("""COMPUTED_VALUE"""),"Salmonella Fortune")</f>
        <v>Salmonella Fortune</v>
      </c>
      <c r="B6384" t="str">
        <f ca="1">IFERROR(__xludf.DUMMYFUNCTION("""COMPUTED_VALUE"""),"RF-00001779-MCG")</f>
        <v>RF-00001779-MCG</v>
      </c>
    </row>
    <row r="6385" spans="1:2" ht="12.5" x14ac:dyDescent="0.25">
      <c r="A6385" t="str">
        <f ca="1">IFERROR(__xludf.DUMMYFUNCTION("""COMPUTED_VALUE"""),"Salmonella Franken")</f>
        <v>Salmonella Franken</v>
      </c>
      <c r="B6385" t="str">
        <f ca="1">IFERROR(__xludf.DUMMYFUNCTION("""COMPUTED_VALUE"""),"RF-00001778-MCG")</f>
        <v>RF-00001778-MCG</v>
      </c>
    </row>
    <row r="6386" spans="1:2" ht="12.5" x14ac:dyDescent="0.25">
      <c r="A6386" t="str">
        <f ca="1">IFERROR(__xludf.DUMMYFUNCTION("""COMPUTED_VALUE"""),"Salmonella Frankfurt")</f>
        <v>Salmonella Frankfurt</v>
      </c>
      <c r="B6386" t="str">
        <f ca="1">IFERROR(__xludf.DUMMYFUNCTION("""COMPUTED_VALUE"""),"RF-00001777-MCG")</f>
        <v>RF-00001777-MCG</v>
      </c>
    </row>
    <row r="6387" spans="1:2" ht="12.5" x14ac:dyDescent="0.25">
      <c r="A6387" t="str">
        <f ca="1">IFERROR(__xludf.DUMMYFUNCTION("""COMPUTED_VALUE"""),"Salmonella Freefalls")</f>
        <v>Salmonella Freefalls</v>
      </c>
      <c r="B6387" t="str">
        <f ca="1">IFERROR(__xludf.DUMMYFUNCTION("""COMPUTED_VALUE"""),"RF-00001776-MCG")</f>
        <v>RF-00001776-MCG</v>
      </c>
    </row>
    <row r="6388" spans="1:2" ht="12.5" x14ac:dyDescent="0.25">
      <c r="A6388" t="str">
        <f ca="1">IFERROR(__xludf.DUMMYFUNCTION("""COMPUTED_VALUE"""),"Salmonella Freetown")</f>
        <v>Salmonella Freetown</v>
      </c>
      <c r="B6388" t="str">
        <f ca="1">IFERROR(__xludf.DUMMYFUNCTION("""COMPUTED_VALUE"""),"RF-00001775-MCG")</f>
        <v>RF-00001775-MCG</v>
      </c>
    </row>
    <row r="6389" spans="1:2" ht="12.5" x14ac:dyDescent="0.25">
      <c r="A6389" t="str">
        <f ca="1">IFERROR(__xludf.DUMMYFUNCTION("""COMPUTED_VALUE"""),"Salmonella Freiburg")</f>
        <v>Salmonella Freiburg</v>
      </c>
      <c r="B6389" t="str">
        <f ca="1">IFERROR(__xludf.DUMMYFUNCTION("""COMPUTED_VALUE"""),"RF-00001774-MCG")</f>
        <v>RF-00001774-MCG</v>
      </c>
    </row>
    <row r="6390" spans="1:2" ht="12.5" x14ac:dyDescent="0.25">
      <c r="A6390" t="str">
        <f ca="1">IFERROR(__xludf.DUMMYFUNCTION("""COMPUTED_VALUE"""),"Salmonella Fresno")</f>
        <v>Salmonella Fresno</v>
      </c>
      <c r="B6390" t="str">
        <f ca="1">IFERROR(__xludf.DUMMYFUNCTION("""COMPUTED_VALUE"""),"RF-00001773-MCG")</f>
        <v>RF-00001773-MCG</v>
      </c>
    </row>
    <row r="6391" spans="1:2" ht="12.5" x14ac:dyDescent="0.25">
      <c r="A6391" t="str">
        <f ca="1">IFERROR(__xludf.DUMMYFUNCTION("""COMPUTED_VALUE"""),"Salmonella Friedenau")</f>
        <v>Salmonella Friedenau</v>
      </c>
      <c r="B6391" t="str">
        <f ca="1">IFERROR(__xludf.DUMMYFUNCTION("""COMPUTED_VALUE"""),"RF-00001772-MCG")</f>
        <v>RF-00001772-MCG</v>
      </c>
    </row>
    <row r="6392" spans="1:2" ht="12.5" x14ac:dyDescent="0.25">
      <c r="A6392" t="str">
        <f ca="1">IFERROR(__xludf.DUMMYFUNCTION("""COMPUTED_VALUE"""),"Salmonella Friedrichsfelde")</f>
        <v>Salmonella Friedrichsfelde</v>
      </c>
      <c r="B6392" t="str">
        <f ca="1">IFERROR(__xludf.DUMMYFUNCTION("""COMPUTED_VALUE"""),"RF-00001771-MCG")</f>
        <v>RF-00001771-MCG</v>
      </c>
    </row>
    <row r="6393" spans="1:2" ht="12.5" x14ac:dyDescent="0.25">
      <c r="A6393" t="str">
        <f ca="1">IFERROR(__xludf.DUMMYFUNCTION("""COMPUTED_VALUE"""),"Salmonella Frintrop")</f>
        <v>Salmonella Frintrop</v>
      </c>
      <c r="B6393" t="str">
        <f ca="1">IFERROR(__xludf.DUMMYFUNCTION("""COMPUTED_VALUE"""),"RF-00001733-MCG")</f>
        <v>RF-00001733-MCG</v>
      </c>
    </row>
    <row r="6394" spans="1:2" ht="12.5" x14ac:dyDescent="0.25">
      <c r="A6394" t="str">
        <f ca="1">IFERROR(__xludf.DUMMYFUNCTION("""COMPUTED_VALUE"""),"Salmonella Fufu")</f>
        <v>Salmonella Fufu</v>
      </c>
      <c r="B6394" t="str">
        <f ca="1">IFERROR(__xludf.DUMMYFUNCTION("""COMPUTED_VALUE"""),"RF-00001792-MCG")</f>
        <v>RF-00001792-MCG</v>
      </c>
    </row>
    <row r="6395" spans="1:2" ht="12.5" x14ac:dyDescent="0.25">
      <c r="A6395" t="str">
        <f ca="1">IFERROR(__xludf.DUMMYFUNCTION("""COMPUTED_VALUE"""),"Salmonella Fulda")</f>
        <v>Salmonella Fulda</v>
      </c>
      <c r="B6395" t="str">
        <f ca="1">IFERROR(__xludf.DUMMYFUNCTION("""COMPUTED_VALUE"""),"RF-00001755-MCG")</f>
        <v>RF-00001755-MCG</v>
      </c>
    </row>
    <row r="6396" spans="1:2" ht="12.5" x14ac:dyDescent="0.25">
      <c r="A6396" t="str">
        <f ca="1">IFERROR(__xludf.DUMMYFUNCTION("""COMPUTED_VALUE"""),"Salmonella Fulica")</f>
        <v>Salmonella Fulica</v>
      </c>
      <c r="B6396" t="str">
        <f ca="1">IFERROR(__xludf.DUMMYFUNCTION("""COMPUTED_VALUE"""),"RF-00001719-MCG")</f>
        <v>RF-00001719-MCG</v>
      </c>
    </row>
    <row r="6397" spans="1:2" ht="12.5" x14ac:dyDescent="0.25">
      <c r="A6397" t="str">
        <f ca="1">IFERROR(__xludf.DUMMYFUNCTION("""COMPUTED_VALUE"""),"Salmonella Fyris")</f>
        <v>Salmonella Fyris</v>
      </c>
      <c r="B6397" t="str">
        <f ca="1">IFERROR(__xludf.DUMMYFUNCTION("""COMPUTED_VALUE"""),"RF-00001718-MCG")</f>
        <v>RF-00001718-MCG</v>
      </c>
    </row>
    <row r="6398" spans="1:2" ht="12.5" x14ac:dyDescent="0.25">
      <c r="A6398" t="str">
        <f ca="1">IFERROR(__xludf.DUMMYFUNCTION("""COMPUTED_VALUE"""),"Salmonella Gabon")</f>
        <v>Salmonella Gabon</v>
      </c>
      <c r="B6398" t="str">
        <f ca="1">IFERROR(__xludf.DUMMYFUNCTION("""COMPUTED_VALUE"""),"RF-00001717-MCG")</f>
        <v>RF-00001717-MCG</v>
      </c>
    </row>
    <row r="6399" spans="1:2" ht="12.5" x14ac:dyDescent="0.25">
      <c r="A6399" t="str">
        <f ca="1">IFERROR(__xludf.DUMMYFUNCTION("""COMPUTED_VALUE"""),"Salmonella Gafsa")</f>
        <v>Salmonella Gafsa</v>
      </c>
      <c r="B6399" t="str">
        <f ca="1">IFERROR(__xludf.DUMMYFUNCTION("""COMPUTED_VALUE"""),"RF-00001716-MCG")</f>
        <v>RF-00001716-MCG</v>
      </c>
    </row>
    <row r="6400" spans="1:2" ht="12.5" x14ac:dyDescent="0.25">
      <c r="A6400" t="str">
        <f ca="1">IFERROR(__xludf.DUMMYFUNCTION("""COMPUTED_VALUE"""),"Salmonella Galiema")</f>
        <v>Salmonella Galiema</v>
      </c>
      <c r="B6400" t="str">
        <f ca="1">IFERROR(__xludf.DUMMYFUNCTION("""COMPUTED_VALUE"""),"RF-00001715-MCG")</f>
        <v>RF-00001715-MCG</v>
      </c>
    </row>
    <row r="6401" spans="1:2" ht="12.5" x14ac:dyDescent="0.25">
      <c r="A6401" t="str">
        <f ca="1">IFERROR(__xludf.DUMMYFUNCTION("""COMPUTED_VALUE"""),"Salmonella Galil")</f>
        <v>Salmonella Galil</v>
      </c>
      <c r="B6401" t="str">
        <f ca="1">IFERROR(__xludf.DUMMYFUNCTION("""COMPUTED_VALUE"""),"RF-00001714-MCG")</f>
        <v>RF-00001714-MCG</v>
      </c>
    </row>
    <row r="6402" spans="1:2" ht="12.5" x14ac:dyDescent="0.25">
      <c r="A6402" t="str">
        <f ca="1">IFERROR(__xludf.DUMMYFUNCTION("""COMPUTED_VALUE"""),"Salmonella Gallen")</f>
        <v>Salmonella Gallen</v>
      </c>
      <c r="B6402" t="str">
        <f ca="1">IFERROR(__xludf.DUMMYFUNCTION("""COMPUTED_VALUE"""),"RF-00001713-MCG")</f>
        <v>RF-00001713-MCG</v>
      </c>
    </row>
    <row r="6403" spans="1:2" ht="12.5" x14ac:dyDescent="0.25">
      <c r="A6403" t="str">
        <f ca="1">IFERROR(__xludf.DUMMYFUNCTION("""COMPUTED_VALUE"""),"Salmonella Gallinarum")</f>
        <v>Salmonella Gallinarum</v>
      </c>
      <c r="B6403" t="str">
        <f ca="1">IFERROR(__xludf.DUMMYFUNCTION("""COMPUTED_VALUE"""),"RF-00001712-MCG")</f>
        <v>RF-00001712-MCG</v>
      </c>
    </row>
    <row r="6404" spans="1:2" ht="12.5" x14ac:dyDescent="0.25">
      <c r="A6404" t="str">
        <f ca="1">IFERROR(__xludf.DUMMYFUNCTION("""COMPUTED_VALUE"""),"Salmonella Gallinarum biovar Gallinarum")</f>
        <v>Salmonella Gallinarum biovar Gallinarum</v>
      </c>
      <c r="B6404" t="str">
        <f ca="1">IFERROR(__xludf.DUMMYFUNCTION("""COMPUTED_VALUE"""),"RF-00001711-MCG")</f>
        <v>RF-00001711-MCG</v>
      </c>
    </row>
    <row r="6405" spans="1:2" ht="12.5" x14ac:dyDescent="0.25">
      <c r="A6405" t="str">
        <f ca="1">IFERROR(__xludf.DUMMYFUNCTION("""COMPUTED_VALUE"""),"Salmonella Gallinarum biovar Pullorum")</f>
        <v>Salmonella Gallinarum biovar Pullorum</v>
      </c>
      <c r="B6405" t="str">
        <f ca="1">IFERROR(__xludf.DUMMYFUNCTION("""COMPUTED_VALUE"""),"RF-00001710-MCG")</f>
        <v>RF-00001710-MCG</v>
      </c>
    </row>
    <row r="6406" spans="1:2" ht="12.5" x14ac:dyDescent="0.25">
      <c r="A6406" t="str">
        <f ca="1">IFERROR(__xludf.DUMMYFUNCTION("""COMPUTED_VALUE"""),"Salmonella Gamaba")</f>
        <v>Salmonella Gamaba</v>
      </c>
      <c r="B6406" t="str">
        <f ca="1">IFERROR(__xludf.DUMMYFUNCTION("""COMPUTED_VALUE"""),"RF-00001697-MCG")</f>
        <v>RF-00001697-MCG</v>
      </c>
    </row>
    <row r="6407" spans="1:2" ht="12.5" x14ac:dyDescent="0.25">
      <c r="A6407" t="str">
        <f ca="1">IFERROR(__xludf.DUMMYFUNCTION("""COMPUTED_VALUE"""),"Salmonella Gambaga")</f>
        <v>Salmonella Gambaga</v>
      </c>
      <c r="B6407" t="str">
        <f ca="1">IFERROR(__xludf.DUMMYFUNCTION("""COMPUTED_VALUE"""),"RF-00001708-MCG")</f>
        <v>RF-00001708-MCG</v>
      </c>
    </row>
    <row r="6408" spans="1:2" ht="12.5" x14ac:dyDescent="0.25">
      <c r="A6408" t="str">
        <f ca="1">IFERROR(__xludf.DUMMYFUNCTION("""COMPUTED_VALUE"""),"Salmonella Gambia")</f>
        <v>Salmonella Gambia</v>
      </c>
      <c r="B6408" t="str">
        <f ca="1">IFERROR(__xludf.DUMMYFUNCTION("""COMPUTED_VALUE"""),"RF-00001720-MCG")</f>
        <v>RF-00001720-MCG</v>
      </c>
    </row>
    <row r="6409" spans="1:2" ht="12.5" x14ac:dyDescent="0.25">
      <c r="A6409" t="str">
        <f ca="1">IFERROR(__xludf.DUMMYFUNCTION("""COMPUTED_VALUE"""),"Salmonella Gaminara")</f>
        <v>Salmonella Gaminara</v>
      </c>
      <c r="B6409" t="str">
        <f ca="1">IFERROR(__xludf.DUMMYFUNCTION("""COMPUTED_VALUE"""),"RF-00001706-MCG")</f>
        <v>RF-00001706-MCG</v>
      </c>
    </row>
    <row r="6410" spans="1:2" ht="12.5" x14ac:dyDescent="0.25">
      <c r="A6410" t="str">
        <f ca="1">IFERROR(__xludf.DUMMYFUNCTION("""COMPUTED_VALUE"""),"Salmonella Garba")</f>
        <v>Salmonella Garba</v>
      </c>
      <c r="B6410" t="str">
        <f ca="1">IFERROR(__xludf.DUMMYFUNCTION("""COMPUTED_VALUE"""),"RF-00001705-MCG")</f>
        <v>RF-00001705-MCG</v>
      </c>
    </row>
    <row r="6411" spans="1:2" ht="12.5" x14ac:dyDescent="0.25">
      <c r="A6411" t="str">
        <f ca="1">IFERROR(__xludf.DUMMYFUNCTION("""COMPUTED_VALUE"""),"Salmonella Garoli")</f>
        <v>Salmonella Garoli</v>
      </c>
      <c r="B6411" t="str">
        <f ca="1">IFERROR(__xludf.DUMMYFUNCTION("""COMPUTED_VALUE"""),"RF-00001704-MCG")</f>
        <v>RF-00001704-MCG</v>
      </c>
    </row>
    <row r="6412" spans="1:2" ht="12.5" x14ac:dyDescent="0.25">
      <c r="A6412" t="str">
        <f ca="1">IFERROR(__xludf.DUMMYFUNCTION("""COMPUTED_VALUE"""),"Salmonella Gassi")</f>
        <v>Salmonella Gassi</v>
      </c>
      <c r="B6412" t="str">
        <f ca="1">IFERROR(__xludf.DUMMYFUNCTION("""COMPUTED_VALUE"""),"RF-00001703-MCG")</f>
        <v>RF-00001703-MCG</v>
      </c>
    </row>
    <row r="6413" spans="1:2" ht="12.5" x14ac:dyDescent="0.25">
      <c r="A6413" t="str">
        <f ca="1">IFERROR(__xludf.DUMMYFUNCTION("""COMPUTED_VALUE"""),"Salmonella Gateshead")</f>
        <v>Salmonella Gateshead</v>
      </c>
      <c r="B6413" t="str">
        <f ca="1">IFERROR(__xludf.DUMMYFUNCTION("""COMPUTED_VALUE"""),"RF-00001702-MCG")</f>
        <v>RF-00001702-MCG</v>
      </c>
    </row>
    <row r="6414" spans="1:2" ht="12.5" x14ac:dyDescent="0.25">
      <c r="A6414" t="str">
        <f ca="1">IFERROR(__xludf.DUMMYFUNCTION("""COMPUTED_VALUE"""),"Salmonella Gatineau")</f>
        <v>Salmonella Gatineau</v>
      </c>
      <c r="B6414" t="str">
        <f ca="1">IFERROR(__xludf.DUMMYFUNCTION("""COMPUTED_VALUE"""),"RF-00001701-MCG")</f>
        <v>RF-00001701-MCG</v>
      </c>
    </row>
    <row r="6415" spans="1:2" ht="12.5" x14ac:dyDescent="0.25">
      <c r="A6415" t="str">
        <f ca="1">IFERROR(__xludf.DUMMYFUNCTION("""COMPUTED_VALUE"""),"Salmonella Gatow")</f>
        <v>Salmonella Gatow</v>
      </c>
      <c r="B6415" t="str">
        <f ca="1">IFERROR(__xludf.DUMMYFUNCTION("""COMPUTED_VALUE"""),"RF-00001700-MCG")</f>
        <v>RF-00001700-MCG</v>
      </c>
    </row>
    <row r="6416" spans="1:2" ht="12.5" x14ac:dyDescent="0.25">
      <c r="A6416" t="str">
        <f ca="1">IFERROR(__xludf.DUMMYFUNCTION("""COMPUTED_VALUE"""),"Salmonella Gatuni")</f>
        <v>Salmonella Gatuni</v>
      </c>
      <c r="B6416" t="str">
        <f ca="1">IFERROR(__xludf.DUMMYFUNCTION("""COMPUTED_VALUE"""),"RF-00001699-MCG")</f>
        <v>RF-00001699-MCG</v>
      </c>
    </row>
    <row r="6417" spans="1:2" ht="12.5" x14ac:dyDescent="0.25">
      <c r="A6417" t="str">
        <f ca="1">IFERROR(__xludf.DUMMYFUNCTION("""COMPUTED_VALUE"""),"Salmonella Gbadago")</f>
        <v>Salmonella Gbadago</v>
      </c>
      <c r="B6417" t="str">
        <f ca="1">IFERROR(__xludf.DUMMYFUNCTION("""COMPUTED_VALUE"""),"RF-00001731-MCG")</f>
        <v>RF-00001731-MCG</v>
      </c>
    </row>
    <row r="6418" spans="1:2" ht="12.5" x14ac:dyDescent="0.25">
      <c r="A6418" t="str">
        <f ca="1">IFERROR(__xludf.DUMMYFUNCTION("""COMPUTED_VALUE"""),"Salmonella Gdansk")</f>
        <v>Salmonella Gdansk</v>
      </c>
      <c r="B6418" t="str">
        <f ca="1">IFERROR(__xludf.DUMMYFUNCTION("""COMPUTED_VALUE"""),"RF-00001707-MCG")</f>
        <v>RF-00001707-MCG</v>
      </c>
    </row>
    <row r="6419" spans="1:2" ht="12.5" x14ac:dyDescent="0.25">
      <c r="A6419" t="str">
        <f ca="1">IFERROR(__xludf.DUMMYFUNCTION("""COMPUTED_VALUE"""),"Salmonella Gdansk var. 14")</f>
        <v>Salmonella Gdansk var. 14</v>
      </c>
      <c r="B6419" t="str">
        <f ca="1">IFERROR(__xludf.DUMMYFUNCTION("""COMPUTED_VALUE"""),"RF-00001709-MCG")</f>
        <v>RF-00001709-MCG</v>
      </c>
    </row>
    <row r="6420" spans="1:2" ht="12.5" x14ac:dyDescent="0.25">
      <c r="A6420" t="str">
        <f ca="1">IFERROR(__xludf.DUMMYFUNCTION("""COMPUTED_VALUE"""),"Salmonella Gege")</f>
        <v>Salmonella Gege</v>
      </c>
      <c r="B6420" t="str">
        <f ca="1">IFERROR(__xludf.DUMMYFUNCTION("""COMPUTED_VALUE"""),"RF-00001743-MCG")</f>
        <v>RF-00001743-MCG</v>
      </c>
    </row>
    <row r="6421" spans="1:2" ht="12.5" x14ac:dyDescent="0.25">
      <c r="A6421" t="str">
        <f ca="1">IFERROR(__xludf.DUMMYFUNCTION("""COMPUTED_VALUE"""),"Salmonella Georgia")</f>
        <v>Salmonella Georgia</v>
      </c>
      <c r="B6421" t="str">
        <f ca="1">IFERROR(__xludf.DUMMYFUNCTION("""COMPUTED_VALUE"""),"RF-00001742-MCG")</f>
        <v>RF-00001742-MCG</v>
      </c>
    </row>
    <row r="6422" spans="1:2" ht="12.5" x14ac:dyDescent="0.25">
      <c r="A6422" t="str">
        <f ca="1">IFERROR(__xludf.DUMMYFUNCTION("""COMPUTED_VALUE"""),"Salmonella Gera")</f>
        <v>Salmonella Gera</v>
      </c>
      <c r="B6422" t="str">
        <f ca="1">IFERROR(__xludf.DUMMYFUNCTION("""COMPUTED_VALUE"""),"RF-00001741-MCG")</f>
        <v>RF-00001741-MCG</v>
      </c>
    </row>
    <row r="6423" spans="1:2" ht="12.5" x14ac:dyDescent="0.25">
      <c r="A6423" t="str">
        <f ca="1">IFERROR(__xludf.DUMMYFUNCTION("""COMPUTED_VALUE"""),"Salmonella Geraldton")</f>
        <v>Salmonella Geraldton</v>
      </c>
      <c r="B6423" t="str">
        <f ca="1">IFERROR(__xludf.DUMMYFUNCTION("""COMPUTED_VALUE"""),"RF-00001740-MCG")</f>
        <v>RF-00001740-MCG</v>
      </c>
    </row>
    <row r="6424" spans="1:2" ht="12.5" x14ac:dyDescent="0.25">
      <c r="A6424" t="str">
        <f ca="1">IFERROR(__xludf.DUMMYFUNCTION("""COMPUTED_VALUE"""),"Salmonella Gerland")</f>
        <v>Salmonella Gerland</v>
      </c>
      <c r="B6424" t="str">
        <f ca="1">IFERROR(__xludf.DUMMYFUNCTION("""COMPUTED_VALUE"""),"RF-00001739-MCG")</f>
        <v>RF-00001739-MCG</v>
      </c>
    </row>
    <row r="6425" spans="1:2" ht="12.5" x14ac:dyDescent="0.25">
      <c r="A6425" t="str">
        <f ca="1">IFERROR(__xludf.DUMMYFUNCTION("""COMPUTED_VALUE"""),"Salmonella Ghana")</f>
        <v>Salmonella Ghana</v>
      </c>
      <c r="B6425" t="str">
        <f ca="1">IFERROR(__xludf.DUMMYFUNCTION("""COMPUTED_VALUE"""),"RF-00001738-MCG")</f>
        <v>RF-00001738-MCG</v>
      </c>
    </row>
    <row r="6426" spans="1:2" ht="12.5" x14ac:dyDescent="0.25">
      <c r="A6426" t="str">
        <f ca="1">IFERROR(__xludf.DUMMYFUNCTION("""COMPUTED_VALUE"""),"Salmonella Giessen")</f>
        <v>Salmonella Giessen</v>
      </c>
      <c r="B6426" t="str">
        <f ca="1">IFERROR(__xludf.DUMMYFUNCTION("""COMPUTED_VALUE"""),"RF-00001737-MCG")</f>
        <v>RF-00001737-MCG</v>
      </c>
    </row>
    <row r="6427" spans="1:2" ht="12.5" x14ac:dyDescent="0.25">
      <c r="A6427" t="str">
        <f ca="1">IFERROR(__xludf.DUMMYFUNCTION("""COMPUTED_VALUE"""),"Salmonella Give")</f>
        <v>Salmonella Give</v>
      </c>
      <c r="B6427" t="str">
        <f ca="1">IFERROR(__xludf.DUMMYFUNCTION("""COMPUTED_VALUE"""),"RF-00001736-MCG")</f>
        <v>RF-00001736-MCG</v>
      </c>
    </row>
    <row r="6428" spans="1:2" ht="12.5" x14ac:dyDescent="0.25">
      <c r="A6428" t="str">
        <f ca="1">IFERROR(__xludf.DUMMYFUNCTION("""COMPUTED_VALUE"""),"Salmonella Give var. 15")</f>
        <v>Salmonella Give var. 15</v>
      </c>
      <c r="B6428" t="str">
        <f ca="1">IFERROR(__xludf.DUMMYFUNCTION("""COMPUTED_VALUE"""),"RF-00001735-MCG")</f>
        <v>RF-00001735-MCG</v>
      </c>
    </row>
    <row r="6429" spans="1:2" ht="12.5" x14ac:dyDescent="0.25">
      <c r="A6429" t="str">
        <f ca="1">IFERROR(__xludf.DUMMYFUNCTION("""COMPUTED_VALUE"""),"Salmonella Give var. 15,34")</f>
        <v>Salmonella Give var. 15,34</v>
      </c>
      <c r="B6429" t="str">
        <f ca="1">IFERROR(__xludf.DUMMYFUNCTION("""COMPUTED_VALUE"""),"RF-00001734-MCG")</f>
        <v>RF-00001734-MCG</v>
      </c>
    </row>
    <row r="6430" spans="1:2" ht="12.5" x14ac:dyDescent="0.25">
      <c r="A6430" t="str">
        <f ca="1">IFERROR(__xludf.DUMMYFUNCTION("""COMPUTED_VALUE"""),"Salmonella Give var. 15+")</f>
        <v>Salmonella Give var. 15+</v>
      </c>
      <c r="B6430" t="str">
        <f ca="1">IFERROR(__xludf.DUMMYFUNCTION("""COMPUTED_VALUE"""),"RF-00001721-MCG")</f>
        <v>RF-00001721-MCG</v>
      </c>
    </row>
    <row r="6431" spans="1:2" ht="12.5" x14ac:dyDescent="0.25">
      <c r="A6431" t="str">
        <f ca="1">IFERROR(__xludf.DUMMYFUNCTION("""COMPUTED_VALUE"""),"Salmonella Giza")</f>
        <v>Salmonella Giza</v>
      </c>
      <c r="B6431" t="str">
        <f ca="1">IFERROR(__xludf.DUMMYFUNCTION("""COMPUTED_VALUE"""),"RF-00001732-MCG")</f>
        <v>RF-00001732-MCG</v>
      </c>
    </row>
    <row r="6432" spans="1:2" ht="12.5" x14ac:dyDescent="0.25">
      <c r="A6432" t="str">
        <f ca="1">IFERROR(__xludf.DUMMYFUNCTION("""COMPUTED_VALUE"""),"Salmonella Glasgow")</f>
        <v>Salmonella Glasgow</v>
      </c>
      <c r="B6432" t="str">
        <f ca="1">IFERROR(__xludf.DUMMYFUNCTION("""COMPUTED_VALUE"""),"RF-00001744-MCG")</f>
        <v>RF-00001744-MCG</v>
      </c>
    </row>
    <row r="6433" spans="1:2" ht="12.5" x14ac:dyDescent="0.25">
      <c r="A6433" t="str">
        <f ca="1">IFERROR(__xludf.DUMMYFUNCTION("""COMPUTED_VALUE"""),"Salmonella Glidji")</f>
        <v>Salmonella Glidji</v>
      </c>
      <c r="B6433" t="str">
        <f ca="1">IFERROR(__xludf.DUMMYFUNCTION("""COMPUTED_VALUE"""),"RF-00001730-MCG")</f>
        <v>RF-00001730-MCG</v>
      </c>
    </row>
    <row r="6434" spans="1:2" ht="12.5" x14ac:dyDescent="0.25">
      <c r="A6434" t="str">
        <f ca="1">IFERROR(__xludf.DUMMYFUNCTION("""COMPUTED_VALUE"""),"Salmonella Glostrup")</f>
        <v>Salmonella Glostrup</v>
      </c>
      <c r="B6434" t="str">
        <f ca="1">IFERROR(__xludf.DUMMYFUNCTION("""COMPUTED_VALUE"""),"RF-00001729-MCG")</f>
        <v>RF-00001729-MCG</v>
      </c>
    </row>
    <row r="6435" spans="1:2" ht="12.5" x14ac:dyDescent="0.25">
      <c r="A6435" t="str">
        <f ca="1">IFERROR(__xludf.DUMMYFUNCTION("""COMPUTED_VALUE"""),"Salmonella Gloucester")</f>
        <v>Salmonella Gloucester</v>
      </c>
      <c r="B6435" t="str">
        <f ca="1">IFERROR(__xludf.DUMMYFUNCTION("""COMPUTED_VALUE"""),"RF-00001728-MCG")</f>
        <v>RF-00001728-MCG</v>
      </c>
    </row>
    <row r="6436" spans="1:2" ht="12.5" x14ac:dyDescent="0.25">
      <c r="A6436" t="str">
        <f ca="1">IFERROR(__xludf.DUMMYFUNCTION("""COMPUTED_VALUE"""),"Salmonella Gnesta")</f>
        <v>Salmonella Gnesta</v>
      </c>
      <c r="B6436" t="str">
        <f ca="1">IFERROR(__xludf.DUMMYFUNCTION("""COMPUTED_VALUE"""),"RF-00001727-MCG")</f>
        <v>RF-00001727-MCG</v>
      </c>
    </row>
    <row r="6437" spans="1:2" ht="12.5" x14ac:dyDescent="0.25">
      <c r="A6437" t="str">
        <f ca="1">IFERROR(__xludf.DUMMYFUNCTION("""COMPUTED_VALUE"""),"Salmonella Godesberg")</f>
        <v>Salmonella Godesberg</v>
      </c>
      <c r="B6437" t="str">
        <f ca="1">IFERROR(__xludf.DUMMYFUNCTION("""COMPUTED_VALUE"""),"RF-00001726-MCG")</f>
        <v>RF-00001726-MCG</v>
      </c>
    </row>
    <row r="6438" spans="1:2" ht="12.5" x14ac:dyDescent="0.25">
      <c r="A6438" t="str">
        <f ca="1">IFERROR(__xludf.DUMMYFUNCTION("""COMPUTED_VALUE"""),"Salmonella Goelzau")</f>
        <v>Salmonella Goelzau</v>
      </c>
      <c r="B6438" t="str">
        <f ca="1">IFERROR(__xludf.DUMMYFUNCTION("""COMPUTED_VALUE"""),"RF-00001725-MCG")</f>
        <v>RF-00001725-MCG</v>
      </c>
    </row>
    <row r="6439" spans="1:2" ht="12.5" x14ac:dyDescent="0.25">
      <c r="A6439" t="str">
        <f ca="1">IFERROR(__xludf.DUMMYFUNCTION("""COMPUTED_VALUE"""),"Salmonella Goelzau var. 15")</f>
        <v>Salmonella Goelzau var. 15</v>
      </c>
      <c r="B6439" t="str">
        <f ca="1">IFERROR(__xludf.DUMMYFUNCTION("""COMPUTED_VALUE"""),"RF-00001724-MCG")</f>
        <v>RF-00001724-MCG</v>
      </c>
    </row>
    <row r="6440" spans="1:2" ht="12.5" x14ac:dyDescent="0.25">
      <c r="A6440" t="str">
        <f ca="1">IFERROR(__xludf.DUMMYFUNCTION("""COMPUTED_VALUE"""),"Salmonella Goeteborg")</f>
        <v>Salmonella Goeteborg</v>
      </c>
      <c r="B6440" t="str">
        <f ca="1">IFERROR(__xludf.DUMMYFUNCTION("""COMPUTED_VALUE"""),"RF-00001723-MCG")</f>
        <v>RF-00001723-MCG</v>
      </c>
    </row>
    <row r="6441" spans="1:2" ht="12.5" x14ac:dyDescent="0.25">
      <c r="A6441" t="str">
        <f ca="1">IFERROR(__xludf.DUMMYFUNCTION("""COMPUTED_VALUE"""),"Salmonella Goettingen")</f>
        <v>Salmonella Goettingen</v>
      </c>
      <c r="B6441" t="str">
        <f ca="1">IFERROR(__xludf.DUMMYFUNCTION("""COMPUTED_VALUE"""),"RF-00001722-MCG")</f>
        <v>RF-00001722-MCG</v>
      </c>
    </row>
    <row r="6442" spans="1:2" ht="12.5" x14ac:dyDescent="0.25">
      <c r="A6442" t="str">
        <f ca="1">IFERROR(__xludf.DUMMYFUNCTION("""COMPUTED_VALUE"""),"Salmonella Gokul")</f>
        <v>Salmonella Gokul</v>
      </c>
      <c r="B6442" t="str">
        <f ca="1">IFERROR(__xludf.DUMMYFUNCTION("""COMPUTED_VALUE"""),"RF-00001576-MCG")</f>
        <v>RF-00001576-MCG</v>
      </c>
    </row>
    <row r="6443" spans="1:2" ht="12.5" x14ac:dyDescent="0.25">
      <c r="A6443" t="str">
        <f ca="1">IFERROR(__xludf.DUMMYFUNCTION("""COMPUTED_VALUE"""),"Salmonella Goldcoast")</f>
        <v>Salmonella Goldcoast</v>
      </c>
      <c r="B6443" t="str">
        <f ca="1">IFERROR(__xludf.DUMMYFUNCTION("""COMPUTED_VALUE"""),"RF-00001431-MCG")</f>
        <v>RF-00001431-MCG</v>
      </c>
    </row>
    <row r="6444" spans="1:2" ht="12.5" x14ac:dyDescent="0.25">
      <c r="A6444" t="str">
        <f ca="1">IFERROR(__xludf.DUMMYFUNCTION("""COMPUTED_VALUE"""),"Salmonella Goma")</f>
        <v>Salmonella Goma</v>
      </c>
      <c r="B6444" t="str">
        <f ca="1">IFERROR(__xludf.DUMMYFUNCTION("""COMPUTED_VALUE"""),"RF-00001625-MCG")</f>
        <v>RF-00001625-MCG</v>
      </c>
    </row>
    <row r="6445" spans="1:2" ht="12.5" x14ac:dyDescent="0.25">
      <c r="A6445" t="str">
        <f ca="1">IFERROR(__xludf.DUMMYFUNCTION("""COMPUTED_VALUE"""),"Salmonella Gombe")</f>
        <v>Salmonella Gombe</v>
      </c>
      <c r="B6445" t="str">
        <f ca="1">IFERROR(__xludf.DUMMYFUNCTION("""COMPUTED_VALUE"""),"RF-00001475-MCG")</f>
        <v>RF-00001475-MCG</v>
      </c>
    </row>
    <row r="6446" spans="1:2" ht="12.5" x14ac:dyDescent="0.25">
      <c r="A6446" t="str">
        <f ca="1">IFERROR(__xludf.DUMMYFUNCTION("""COMPUTED_VALUE"""),"Salmonella Good")</f>
        <v>Salmonella Good</v>
      </c>
      <c r="B6446" t="str">
        <f ca="1">IFERROR(__xludf.DUMMYFUNCTION("""COMPUTED_VALUE"""),"RF-00001474-MCG")</f>
        <v>RF-00001474-MCG</v>
      </c>
    </row>
    <row r="6447" spans="1:2" ht="12.5" x14ac:dyDescent="0.25">
      <c r="A6447" t="str">
        <f ca="1">IFERROR(__xludf.DUMMYFUNCTION("""COMPUTED_VALUE"""),"Salmonella Gori")</f>
        <v>Salmonella Gori</v>
      </c>
      <c r="B6447" t="str">
        <f ca="1">IFERROR(__xludf.DUMMYFUNCTION("""COMPUTED_VALUE"""),"RF-00001473-MCG")</f>
        <v>RF-00001473-MCG</v>
      </c>
    </row>
    <row r="6448" spans="1:2" ht="12.5" x14ac:dyDescent="0.25">
      <c r="A6448" t="str">
        <f ca="1">IFERROR(__xludf.DUMMYFUNCTION("""COMPUTED_VALUE"""),"Salmonella Goulfey")</f>
        <v>Salmonella Goulfey</v>
      </c>
      <c r="B6448" t="str">
        <f ca="1">IFERROR(__xludf.DUMMYFUNCTION("""COMPUTED_VALUE"""),"RF-00001472-MCG")</f>
        <v>RF-00001472-MCG</v>
      </c>
    </row>
    <row r="6449" spans="1:2" ht="12.5" x14ac:dyDescent="0.25">
      <c r="A6449" t="str">
        <f ca="1">IFERROR(__xludf.DUMMYFUNCTION("""COMPUTED_VALUE"""),"Salmonella Gouloumbo")</f>
        <v>Salmonella Gouloumbo</v>
      </c>
      <c r="B6449" t="str">
        <f ca="1">IFERROR(__xludf.DUMMYFUNCTION("""COMPUTED_VALUE"""),"RF-00001471-MCG")</f>
        <v>RF-00001471-MCG</v>
      </c>
    </row>
    <row r="6450" spans="1:2" ht="12.5" x14ac:dyDescent="0.25">
      <c r="A6450" t="str">
        <f ca="1">IFERROR(__xludf.DUMMYFUNCTION("""COMPUTED_VALUE"""),"Salmonella Goverdhan")</f>
        <v>Salmonella Goverdhan</v>
      </c>
      <c r="B6450" t="str">
        <f ca="1">IFERROR(__xludf.DUMMYFUNCTION("""COMPUTED_VALUE"""),"RF-00001470-MCG")</f>
        <v>RF-00001470-MCG</v>
      </c>
    </row>
    <row r="6451" spans="1:2" ht="12.5" x14ac:dyDescent="0.25">
      <c r="A6451" t="str">
        <f ca="1">IFERROR(__xludf.DUMMYFUNCTION("""COMPUTED_VALUE"""),"Salmonella Gozo")</f>
        <v>Salmonella Gozo</v>
      </c>
      <c r="B6451" t="str">
        <f ca="1">IFERROR(__xludf.DUMMYFUNCTION("""COMPUTED_VALUE"""),"RF-00001469-MCG")</f>
        <v>RF-00001469-MCG</v>
      </c>
    </row>
    <row r="6452" spans="1:2" ht="12.5" x14ac:dyDescent="0.25">
      <c r="A6452" t="str">
        <f ca="1">IFERROR(__xludf.DUMMYFUNCTION("""COMPUTED_VALUE"""),"Salmonella Grampian")</f>
        <v>Salmonella Grampian</v>
      </c>
      <c r="B6452" t="str">
        <f ca="1">IFERROR(__xludf.DUMMYFUNCTION("""COMPUTED_VALUE"""),"RF-00001468-MCG")</f>
        <v>RF-00001468-MCG</v>
      </c>
    </row>
    <row r="6453" spans="1:2" ht="12.5" x14ac:dyDescent="0.25">
      <c r="A6453" t="str">
        <f ca="1">IFERROR(__xludf.DUMMYFUNCTION("""COMPUTED_VALUE"""),"Salmonella Grancanaria")</f>
        <v>Salmonella Grancanaria</v>
      </c>
      <c r="B6453" t="str">
        <f ca="1">IFERROR(__xludf.DUMMYFUNCTION("""COMPUTED_VALUE"""),"RF-00001467-MCG")</f>
        <v>RF-00001467-MCG</v>
      </c>
    </row>
    <row r="6454" spans="1:2" ht="12.5" x14ac:dyDescent="0.25">
      <c r="A6454" t="str">
        <f ca="1">IFERROR(__xludf.DUMMYFUNCTION("""COMPUTED_VALUE"""),"Salmonella Grandhaven")</f>
        <v>Salmonella Grandhaven</v>
      </c>
      <c r="B6454" t="str">
        <f ca="1">IFERROR(__xludf.DUMMYFUNCTION("""COMPUTED_VALUE"""),"RF-00001454-MCG")</f>
        <v>RF-00001454-MCG</v>
      </c>
    </row>
    <row r="6455" spans="1:2" ht="12.5" x14ac:dyDescent="0.25">
      <c r="A6455" t="str">
        <f ca="1">IFERROR(__xludf.DUMMYFUNCTION("""COMPUTED_VALUE"""),"Salmonella Granlo")</f>
        <v>Salmonella Granlo</v>
      </c>
      <c r="B6455" t="str">
        <f ca="1">IFERROR(__xludf.DUMMYFUNCTION("""COMPUTED_VALUE"""),"RF-00001465-MCG")</f>
        <v>RF-00001465-MCG</v>
      </c>
    </row>
    <row r="6456" spans="1:2" ht="12.5" x14ac:dyDescent="0.25">
      <c r="A6456" t="str">
        <f ca="1">IFERROR(__xludf.DUMMYFUNCTION("""COMPUTED_VALUE"""),"Salmonella Graz")</f>
        <v>Salmonella Graz</v>
      </c>
      <c r="B6456" t="str">
        <f ca="1">IFERROR(__xludf.DUMMYFUNCTION("""COMPUTED_VALUE"""),"RF-00001477-MCG")</f>
        <v>RF-00001477-MCG</v>
      </c>
    </row>
    <row r="6457" spans="1:2" ht="12.5" x14ac:dyDescent="0.25">
      <c r="A6457" t="str">
        <f ca="1">IFERROR(__xludf.DUMMYFUNCTION("""COMPUTED_VALUE"""),"Salmonella Greiz")</f>
        <v>Salmonella Greiz</v>
      </c>
      <c r="B6457" t="str">
        <f ca="1">IFERROR(__xludf.DUMMYFUNCTION("""COMPUTED_VALUE"""),"RF-00001463-MCG")</f>
        <v>RF-00001463-MCG</v>
      </c>
    </row>
    <row r="6458" spans="1:2" ht="12.5" x14ac:dyDescent="0.25">
      <c r="A6458" t="str">
        <f ca="1">IFERROR(__xludf.DUMMYFUNCTION("""COMPUTED_VALUE"""),"Salmonella Groenekan")</f>
        <v>Salmonella Groenekan</v>
      </c>
      <c r="B6458" t="str">
        <f ca="1">IFERROR(__xludf.DUMMYFUNCTION("""COMPUTED_VALUE"""),"RF-00001462-MCG")</f>
        <v>RF-00001462-MCG</v>
      </c>
    </row>
    <row r="6459" spans="1:2" ht="12.5" x14ac:dyDescent="0.25">
      <c r="A6459" t="str">
        <f ca="1">IFERROR(__xludf.DUMMYFUNCTION("""COMPUTED_VALUE"""),"Salmonella group A")</f>
        <v>Salmonella group A</v>
      </c>
      <c r="B6459" t="str">
        <f ca="1">IFERROR(__xludf.DUMMYFUNCTION("""COMPUTED_VALUE"""),"RF-00001461-MCG")</f>
        <v>RF-00001461-MCG</v>
      </c>
    </row>
    <row r="6460" spans="1:2" ht="12.5" x14ac:dyDescent="0.25">
      <c r="A6460" t="str">
        <f ca="1">IFERROR(__xludf.DUMMYFUNCTION("""COMPUTED_VALUE"""),"Salmonella group B")</f>
        <v>Salmonella group B</v>
      </c>
      <c r="B6460" t="str">
        <f ca="1">IFERROR(__xludf.DUMMYFUNCTION("""COMPUTED_VALUE"""),"RF-00001460-MCG")</f>
        <v>RF-00001460-MCG</v>
      </c>
    </row>
    <row r="6461" spans="1:2" ht="12.5" x14ac:dyDescent="0.25">
      <c r="A6461" t="str">
        <f ca="1">IFERROR(__xludf.DUMMYFUNCTION("""COMPUTED_VALUE"""),"Salmonella group B H-")</f>
        <v>Salmonella group B H-</v>
      </c>
      <c r="B6461" t="str">
        <f ca="1">IFERROR(__xludf.DUMMYFUNCTION("""COMPUTED_VALUE"""),"RF-00001459-MCG")</f>
        <v>RF-00001459-MCG</v>
      </c>
    </row>
    <row r="6462" spans="1:2" ht="12.5" x14ac:dyDescent="0.25">
      <c r="A6462" t="str">
        <f ca="1">IFERROR(__xludf.DUMMYFUNCTION("""COMPUTED_VALUE"""),"Salmonella group B, monophasic strain")</f>
        <v>Salmonella group B, monophasic strain</v>
      </c>
      <c r="B6462" t="str">
        <f ca="1">IFERROR(__xludf.DUMMYFUNCTION("""COMPUTED_VALUE"""),"RF-00001458-MCG")</f>
        <v>RF-00001458-MCG</v>
      </c>
    </row>
    <row r="6463" spans="1:2" ht="12.5" x14ac:dyDescent="0.25">
      <c r="A6463" t="str">
        <f ca="1">IFERROR(__xludf.DUMMYFUNCTION("""COMPUTED_VALUE"""),"Salmonella group C1, monophasic strain")</f>
        <v>Salmonella group C1, monophasic strain</v>
      </c>
      <c r="B6463" t="str">
        <f ca="1">IFERROR(__xludf.DUMMYFUNCTION("""COMPUTED_VALUE"""),"RF-00001456-MCG")</f>
        <v>RF-00001456-MCG</v>
      </c>
    </row>
    <row r="6464" spans="1:2" ht="12.5" x14ac:dyDescent="0.25">
      <c r="A6464" t="str">
        <f ca="1">IFERROR(__xludf.DUMMYFUNCTION("""COMPUTED_VALUE"""),"Salmonella group C2, monophasic strain")</f>
        <v>Salmonella group C2, monophasic strain</v>
      </c>
      <c r="B6464" t="str">
        <f ca="1">IFERROR(__xludf.DUMMYFUNCTION("""COMPUTED_VALUE"""),"RF-00001805-MCG")</f>
        <v>RF-00001805-MCG</v>
      </c>
    </row>
    <row r="6465" spans="1:2" ht="12.5" x14ac:dyDescent="0.25">
      <c r="A6465" t="str">
        <f ca="1">IFERROR(__xludf.DUMMYFUNCTION("""COMPUTED_VALUE"""),"Salmonella group D, monophasic strain")</f>
        <v>Salmonella group D, monophasic strain</v>
      </c>
      <c r="B6465" t="str">
        <f ca="1">IFERROR(__xludf.DUMMYFUNCTION("""COMPUTED_VALUE"""),"RF-00001804-MCG")</f>
        <v>RF-00001804-MCG</v>
      </c>
    </row>
    <row r="6466" spans="1:2" ht="12.5" x14ac:dyDescent="0.25">
      <c r="A6466" t="str">
        <f ca="1">IFERROR(__xludf.DUMMYFUNCTION("""COMPUTED_VALUE"""),"Salmonella group E")</f>
        <v>Salmonella group E</v>
      </c>
      <c r="B6466" t="str">
        <f ca="1">IFERROR(__xludf.DUMMYFUNCTION("""COMPUTED_VALUE"""),"RF-00001802-MCG")</f>
        <v>RF-00001802-MCG</v>
      </c>
    </row>
    <row r="6467" spans="1:2" ht="12.5" x14ac:dyDescent="0.25">
      <c r="A6467" t="str">
        <f ca="1">IFERROR(__xludf.DUMMYFUNCTION("""COMPUTED_VALUE"""),"Salmonella group E1, monophasic strain")</f>
        <v>Salmonella group E1, monophasic strain</v>
      </c>
      <c r="B6467" t="str">
        <f ca="1">IFERROR(__xludf.DUMMYFUNCTION("""COMPUTED_VALUE"""),"RF-00001801-MCG")</f>
        <v>RF-00001801-MCG</v>
      </c>
    </row>
    <row r="6468" spans="1:2" ht="12.5" x14ac:dyDescent="0.25">
      <c r="A6468" t="str">
        <f ca="1">IFERROR(__xludf.DUMMYFUNCTION("""COMPUTED_VALUE"""),"Salmonella group G")</f>
        <v>Salmonella group G</v>
      </c>
      <c r="B6468" t="str">
        <f ca="1">IFERROR(__xludf.DUMMYFUNCTION("""COMPUTED_VALUE"""),"RF-00001800-MCG")</f>
        <v>RF-00001800-MCG</v>
      </c>
    </row>
    <row r="6469" spans="1:2" ht="12.5" x14ac:dyDescent="0.25">
      <c r="A6469" t="str">
        <f ca="1">IFERROR(__xludf.DUMMYFUNCTION("""COMPUTED_VALUE"""),"Salmonella group O:2")</f>
        <v>Salmonella group O:2</v>
      </c>
      <c r="B6469" t="str">
        <f ca="1">IFERROR(__xludf.DUMMYFUNCTION("""COMPUTED_VALUE"""),"RF-00001799-MCG")</f>
        <v>RF-00001799-MCG</v>
      </c>
    </row>
    <row r="6470" spans="1:2" ht="12.5" x14ac:dyDescent="0.25">
      <c r="A6470" t="str">
        <f ca="1">IFERROR(__xludf.DUMMYFUNCTION("""COMPUTED_VALUE"""),"Salmonella group O:4")</f>
        <v>Salmonella group O:4</v>
      </c>
      <c r="B6470" t="str">
        <f ca="1">IFERROR(__xludf.DUMMYFUNCTION("""COMPUTED_VALUE"""),"RF-00001798-MCG")</f>
        <v>RF-00001798-MCG</v>
      </c>
    </row>
    <row r="6471" spans="1:2" ht="12.5" x14ac:dyDescent="0.25">
      <c r="A6471" t="str">
        <f ca="1">IFERROR(__xludf.DUMMYFUNCTION("""COMPUTED_VALUE"""),"Salmonella group O:53-59")</f>
        <v>Salmonella group O:53-59</v>
      </c>
      <c r="B6471" t="str">
        <f ca="1">IFERROR(__xludf.DUMMYFUNCTION("""COMPUTED_VALUE"""),"RF-00001797-MCG")</f>
        <v>RF-00001797-MCG</v>
      </c>
    </row>
    <row r="6472" spans="1:2" ht="12.5" x14ac:dyDescent="0.25">
      <c r="A6472" t="str">
        <f ca="1">IFERROR(__xludf.DUMMYFUNCTION("""COMPUTED_VALUE"""),"Salmonella group O:7")</f>
        <v>Salmonella group O:7</v>
      </c>
      <c r="B6472" t="str">
        <f ca="1">IFERROR(__xludf.DUMMYFUNCTION("""COMPUTED_VALUE"""),"RF-00001796-MCG")</f>
        <v>RF-00001796-MCG</v>
      </c>
    </row>
    <row r="6473" spans="1:2" ht="12.5" x14ac:dyDescent="0.25">
      <c r="A6473" t="str">
        <f ca="1">IFERROR(__xludf.DUMMYFUNCTION("""COMPUTED_VALUE"""),"Salmonella group O:8")</f>
        <v>Salmonella group O:8</v>
      </c>
      <c r="B6473" t="str">
        <f ca="1">IFERROR(__xludf.DUMMYFUNCTION("""COMPUTED_VALUE"""),"RF-00001836-MCG")</f>
        <v>RF-00001836-MCG</v>
      </c>
    </row>
    <row r="6474" spans="1:2" ht="12.5" x14ac:dyDescent="0.25">
      <c r="A6474" t="str">
        <f ca="1">IFERROR(__xludf.DUMMYFUNCTION("""COMPUTED_VALUE"""),"Salmonella Grumpensis")</f>
        <v>Salmonella Grumpensis</v>
      </c>
      <c r="B6474" t="str">
        <f ca="1">IFERROR(__xludf.DUMMYFUNCTION("""COMPUTED_VALUE"""),"RF-00001807-MCG")</f>
        <v>RF-00001807-MCG</v>
      </c>
    </row>
    <row r="6475" spans="1:2" ht="12.5" x14ac:dyDescent="0.25">
      <c r="A6475" t="str">
        <f ca="1">IFERROR(__xludf.DUMMYFUNCTION("""COMPUTED_VALUE"""),"Salmonella Guarapiranga")</f>
        <v>Salmonella Guarapiranga</v>
      </c>
      <c r="B6475" t="str">
        <f ca="1">IFERROR(__xludf.DUMMYFUNCTION("""COMPUTED_VALUE"""),"RF-00001809-MCG")</f>
        <v>RF-00001809-MCG</v>
      </c>
    </row>
    <row r="6476" spans="1:2" ht="12.5" x14ac:dyDescent="0.25">
      <c r="A6476" t="str">
        <f ca="1">IFERROR(__xludf.DUMMYFUNCTION("""COMPUTED_VALUE"""),"Salmonella Guerin")</f>
        <v>Salmonella Guerin</v>
      </c>
      <c r="B6476" t="str">
        <f ca="1">IFERROR(__xludf.DUMMYFUNCTION("""COMPUTED_VALUE"""),"RF-00001850-MCG")</f>
        <v>RF-00001850-MCG</v>
      </c>
    </row>
    <row r="6477" spans="1:2" ht="12.5" x14ac:dyDescent="0.25">
      <c r="A6477" t="str">
        <f ca="1">IFERROR(__xludf.DUMMYFUNCTION("""COMPUTED_VALUE"""),"Salmonella Guildford")</f>
        <v>Salmonella Guildford</v>
      </c>
      <c r="B6477" t="str">
        <f ca="1">IFERROR(__xludf.DUMMYFUNCTION("""COMPUTED_VALUE"""),"RF-00001849-MCG")</f>
        <v>RF-00001849-MCG</v>
      </c>
    </row>
    <row r="6478" spans="1:2" ht="12.5" x14ac:dyDescent="0.25">
      <c r="A6478" t="str">
        <f ca="1">IFERROR(__xludf.DUMMYFUNCTION("""COMPUTED_VALUE"""),"Salmonella Guinea")</f>
        <v>Salmonella Guinea</v>
      </c>
      <c r="B6478" t="str">
        <f ca="1">IFERROR(__xludf.DUMMYFUNCTION("""COMPUTED_VALUE"""),"RF-00001848-MCG")</f>
        <v>RF-00001848-MCG</v>
      </c>
    </row>
    <row r="6479" spans="1:2" ht="12.5" x14ac:dyDescent="0.25">
      <c r="A6479" t="str">
        <f ca="1">IFERROR(__xludf.DUMMYFUNCTION("""COMPUTED_VALUE"""),"Salmonella Gustavia")</f>
        <v>Salmonella Gustavia</v>
      </c>
      <c r="B6479" t="str">
        <f ca="1">IFERROR(__xludf.DUMMYFUNCTION("""COMPUTED_VALUE"""),"RF-00001847-MCG")</f>
        <v>RF-00001847-MCG</v>
      </c>
    </row>
    <row r="6480" spans="1:2" ht="12.5" x14ac:dyDescent="0.25">
      <c r="A6480" t="str">
        <f ca="1">IFERROR(__xludf.DUMMYFUNCTION("""COMPUTED_VALUE"""),"Salmonella Gwale")</f>
        <v>Salmonella Gwale</v>
      </c>
      <c r="B6480" t="str">
        <f ca="1">IFERROR(__xludf.DUMMYFUNCTION("""COMPUTED_VALUE"""),"RF-00001846-MCG")</f>
        <v>RF-00001846-MCG</v>
      </c>
    </row>
    <row r="6481" spans="1:2" ht="12.5" x14ac:dyDescent="0.25">
      <c r="A6481" t="str">
        <f ca="1">IFERROR(__xludf.DUMMYFUNCTION("""COMPUTED_VALUE"""),"Salmonella Gwoza")</f>
        <v>Salmonella Gwoza</v>
      </c>
      <c r="B6481" t="str">
        <f ca="1">IFERROR(__xludf.DUMMYFUNCTION("""COMPUTED_VALUE"""),"RF-00001845-MCG")</f>
        <v>RF-00001845-MCG</v>
      </c>
    </row>
    <row r="6482" spans="1:2" ht="12.5" x14ac:dyDescent="0.25">
      <c r="A6482" t="str">
        <f ca="1">IFERROR(__xludf.DUMMYFUNCTION("""COMPUTED_VALUE"""),"Salmonella Haardt")</f>
        <v>Salmonella Haardt</v>
      </c>
      <c r="B6482" t="str">
        <f ca="1">IFERROR(__xludf.DUMMYFUNCTION("""COMPUTED_VALUE"""),"RF-00001844-MCG")</f>
        <v>RF-00001844-MCG</v>
      </c>
    </row>
    <row r="6483" spans="1:2" ht="12.5" x14ac:dyDescent="0.25">
      <c r="A6483" t="str">
        <f ca="1">IFERROR(__xludf.DUMMYFUNCTION("""COMPUTED_VALUE"""),"Salmonella Hadar")</f>
        <v>Salmonella Hadar</v>
      </c>
      <c r="B6483" t="str">
        <f ca="1">IFERROR(__xludf.DUMMYFUNCTION("""COMPUTED_VALUE"""),"RF-00001843-MCG")</f>
        <v>RF-00001843-MCG</v>
      </c>
    </row>
    <row r="6484" spans="1:2" ht="12.5" x14ac:dyDescent="0.25">
      <c r="A6484" t="str">
        <f ca="1">IFERROR(__xludf.DUMMYFUNCTION("""COMPUTED_VALUE"""),"Salmonella Hadejia")</f>
        <v>Salmonella Hadejia</v>
      </c>
      <c r="B6484" t="str">
        <f ca="1">IFERROR(__xludf.DUMMYFUNCTION("""COMPUTED_VALUE"""),"RF-00001842-MCG")</f>
        <v>RF-00001842-MCG</v>
      </c>
    </row>
    <row r="6485" spans="1:2" ht="12.5" x14ac:dyDescent="0.25">
      <c r="A6485" t="str">
        <f ca="1">IFERROR(__xludf.DUMMYFUNCTION("""COMPUTED_VALUE"""),"Salmonella Haelsingborg")</f>
        <v>Salmonella Haelsingborg</v>
      </c>
      <c r="B6485" t="str">
        <f ca="1">IFERROR(__xludf.DUMMYFUNCTION("""COMPUTED_VALUE"""),"RF-00001841-MCG")</f>
        <v>RF-00001841-MCG</v>
      </c>
    </row>
    <row r="6486" spans="1:2" ht="12.5" x14ac:dyDescent="0.25">
      <c r="A6486" t="str">
        <f ca="1">IFERROR(__xludf.DUMMYFUNCTION("""COMPUTED_VALUE"""),"Salmonella Haferbreite")</f>
        <v>Salmonella Haferbreite</v>
      </c>
      <c r="B6486" t="str">
        <f ca="1">IFERROR(__xludf.DUMMYFUNCTION("""COMPUTED_VALUE"""),"RF-00001840-MCG")</f>
        <v>RF-00001840-MCG</v>
      </c>
    </row>
    <row r="6487" spans="1:2" ht="12.5" x14ac:dyDescent="0.25">
      <c r="A6487" t="str">
        <f ca="1">IFERROR(__xludf.DUMMYFUNCTION("""COMPUTED_VALUE"""),"Salmonella Haga")</f>
        <v>Salmonella Haga</v>
      </c>
      <c r="B6487" t="str">
        <f ca="1">IFERROR(__xludf.DUMMYFUNCTION("""COMPUTED_VALUE"""),"RF-00001839-MCG")</f>
        <v>RF-00001839-MCG</v>
      </c>
    </row>
    <row r="6488" spans="1:2" ht="12.5" x14ac:dyDescent="0.25">
      <c r="A6488" t="str">
        <f ca="1">IFERROR(__xludf.DUMMYFUNCTION("""COMPUTED_VALUE"""),"Salmonella Haifa")</f>
        <v>Salmonella Haifa</v>
      </c>
      <c r="B6488" t="str">
        <f ca="1">IFERROR(__xludf.DUMMYFUNCTION("""COMPUTED_VALUE"""),"RF-00001823-MCG")</f>
        <v>RF-00001823-MCG</v>
      </c>
    </row>
    <row r="6489" spans="1:2" ht="12.5" x14ac:dyDescent="0.25">
      <c r="A6489" t="str">
        <f ca="1">IFERROR(__xludf.DUMMYFUNCTION("""COMPUTED_VALUE"""),"Salmonella Halle")</f>
        <v>Salmonella Halle</v>
      </c>
      <c r="B6489" t="str">
        <f ca="1">IFERROR(__xludf.DUMMYFUNCTION("""COMPUTED_VALUE"""),"RF-00001837-MCG")</f>
        <v>RF-00001837-MCG</v>
      </c>
    </row>
    <row r="6490" spans="1:2" ht="12.5" x14ac:dyDescent="0.25">
      <c r="A6490" t="str">
        <f ca="1">IFERROR(__xludf.DUMMYFUNCTION("""COMPUTED_VALUE"""),"Salmonella Hallfold")</f>
        <v>Salmonella Hallfold</v>
      </c>
      <c r="B6490" t="str">
        <f ca="1">IFERROR(__xludf.DUMMYFUNCTION("""COMPUTED_VALUE"""),"RF-00001851-MCG")</f>
        <v>RF-00001851-MCG</v>
      </c>
    </row>
    <row r="6491" spans="1:2" ht="12.5" x14ac:dyDescent="0.25">
      <c r="A6491" t="str">
        <f ca="1">IFERROR(__xludf.DUMMYFUNCTION("""COMPUTED_VALUE"""),"Salmonella Handen")</f>
        <v>Salmonella Handen</v>
      </c>
      <c r="B6491" t="str">
        <f ca="1">IFERROR(__xludf.DUMMYFUNCTION("""COMPUTED_VALUE"""),"RF-00001941-MCG")</f>
        <v>RF-00001941-MCG</v>
      </c>
    </row>
    <row r="6492" spans="1:2" ht="12.5" x14ac:dyDescent="0.25">
      <c r="A6492" t="str">
        <f ca="1">IFERROR(__xludf.DUMMYFUNCTION("""COMPUTED_VALUE"""),"Salmonella Hann")</f>
        <v>Salmonella Hann</v>
      </c>
      <c r="B6492" t="str">
        <f ca="1">IFERROR(__xludf.DUMMYFUNCTION("""COMPUTED_VALUE"""),"RF-00001942-MCG")</f>
        <v>RF-00001942-MCG</v>
      </c>
    </row>
    <row r="6493" spans="1:2" ht="12.5" x14ac:dyDescent="0.25">
      <c r="A6493" t="str">
        <f ca="1">IFERROR(__xludf.DUMMYFUNCTION("""COMPUTED_VALUE"""),"Salmonella Hannover")</f>
        <v>Salmonella Hannover</v>
      </c>
      <c r="B6493" t="str">
        <f ca="1">IFERROR(__xludf.DUMMYFUNCTION("""COMPUTED_VALUE"""),"RF-00001943-MCG")</f>
        <v>RF-00001943-MCG</v>
      </c>
    </row>
    <row r="6494" spans="1:2" ht="12.5" x14ac:dyDescent="0.25">
      <c r="A6494" t="str">
        <f ca="1">IFERROR(__xludf.DUMMYFUNCTION("""COMPUTED_VALUE"""),"Salmonella Haouaria")</f>
        <v>Salmonella Haouaria</v>
      </c>
      <c r="B6494" t="str">
        <f ca="1">IFERROR(__xludf.DUMMYFUNCTION("""COMPUTED_VALUE"""),"RF-00001944-MCG")</f>
        <v>RF-00001944-MCG</v>
      </c>
    </row>
    <row r="6495" spans="1:2" ht="12.5" x14ac:dyDescent="0.25">
      <c r="A6495" t="str">
        <f ca="1">IFERROR(__xludf.DUMMYFUNCTION("""COMPUTED_VALUE"""),"Salmonella Harburg")</f>
        <v>Salmonella Harburg</v>
      </c>
      <c r="B6495" t="str">
        <f ca="1">IFERROR(__xludf.DUMMYFUNCTION("""COMPUTED_VALUE"""),"RF-00001945-MCG")</f>
        <v>RF-00001945-MCG</v>
      </c>
    </row>
    <row r="6496" spans="1:2" ht="12.5" x14ac:dyDescent="0.25">
      <c r="A6496" t="str">
        <f ca="1">IFERROR(__xludf.DUMMYFUNCTION("""COMPUTED_VALUE"""),"Salmonella Harcourt")</f>
        <v>Salmonella Harcourt</v>
      </c>
      <c r="B6496" t="str">
        <f ca="1">IFERROR(__xludf.DUMMYFUNCTION("""COMPUTED_VALUE"""),"RF-00001946-MCG")</f>
        <v>RF-00001946-MCG</v>
      </c>
    </row>
    <row r="6497" spans="1:2" ht="12.5" x14ac:dyDescent="0.25">
      <c r="A6497" t="str">
        <f ca="1">IFERROR(__xludf.DUMMYFUNCTION("""COMPUTED_VALUE"""),"Salmonella Harleystreet")</f>
        <v>Salmonella Harleystreet</v>
      </c>
      <c r="B6497" t="str">
        <f ca="1">IFERROR(__xludf.DUMMYFUNCTION("""COMPUTED_VALUE"""),"RF-00001947-MCG")</f>
        <v>RF-00001947-MCG</v>
      </c>
    </row>
    <row r="6498" spans="1:2" ht="12.5" x14ac:dyDescent="0.25">
      <c r="A6498" t="str">
        <f ca="1">IFERROR(__xludf.DUMMYFUNCTION("""COMPUTED_VALUE"""),"Salmonella Harrisonburg")</f>
        <v>Salmonella Harrisonburg</v>
      </c>
      <c r="B6498" t="str">
        <f ca="1">IFERROR(__xludf.DUMMYFUNCTION("""COMPUTED_VALUE"""),"RF-00001948-MCG")</f>
        <v>RF-00001948-MCG</v>
      </c>
    </row>
    <row r="6499" spans="1:2" ht="12.5" x14ac:dyDescent="0.25">
      <c r="A6499" t="str">
        <f ca="1">IFERROR(__xludf.DUMMYFUNCTION("""COMPUTED_VALUE"""),"Salmonella Hartford")</f>
        <v>Salmonella Hartford</v>
      </c>
      <c r="B6499" t="str">
        <f ca="1">IFERROR(__xludf.DUMMYFUNCTION("""COMPUTED_VALUE"""),"RF-00001949-MCG")</f>
        <v>RF-00001949-MCG</v>
      </c>
    </row>
    <row r="6500" spans="1:2" ht="12.5" x14ac:dyDescent="0.25">
      <c r="A6500" t="str">
        <f ca="1">IFERROR(__xludf.DUMMYFUNCTION("""COMPUTED_VALUE"""),"Salmonella Harvestehude")</f>
        <v>Salmonella Harvestehude</v>
      </c>
      <c r="B6500" t="str">
        <f ca="1">IFERROR(__xludf.DUMMYFUNCTION("""COMPUTED_VALUE"""),"RF-00001950-MCG")</f>
        <v>RF-00001950-MCG</v>
      </c>
    </row>
    <row r="6501" spans="1:2" ht="12.5" x14ac:dyDescent="0.25">
      <c r="A6501" t="str">
        <f ca="1">IFERROR(__xludf.DUMMYFUNCTION("""COMPUTED_VALUE"""),"Salmonella Hatfield")</f>
        <v>Salmonella Hatfield</v>
      </c>
      <c r="B6501" t="str">
        <f ca="1">IFERROR(__xludf.DUMMYFUNCTION("""COMPUTED_VALUE"""),"RF-00001951-MCG")</f>
        <v>RF-00001951-MCG</v>
      </c>
    </row>
    <row r="6502" spans="1:2" ht="12.5" x14ac:dyDescent="0.25">
      <c r="A6502" t="str">
        <f ca="1">IFERROR(__xludf.DUMMYFUNCTION("""COMPUTED_VALUE"""),"Salmonella Hato")</f>
        <v>Salmonella Hato</v>
      </c>
      <c r="B6502" t="str">
        <f ca="1">IFERROR(__xludf.DUMMYFUNCTION("""COMPUTED_VALUE"""),"RF-00001952-MCG")</f>
        <v>RF-00001952-MCG</v>
      </c>
    </row>
    <row r="6503" spans="1:2" ht="12.5" x14ac:dyDescent="0.25">
      <c r="A6503" t="str">
        <f ca="1">IFERROR(__xludf.DUMMYFUNCTION("""COMPUTED_VALUE"""),"Salmonella Havana")</f>
        <v>Salmonella Havana</v>
      </c>
      <c r="B6503" t="str">
        <f ca="1">IFERROR(__xludf.DUMMYFUNCTION("""COMPUTED_VALUE"""),"RF-00001968-MCG")</f>
        <v>RF-00001968-MCG</v>
      </c>
    </row>
    <row r="6504" spans="1:2" ht="12.5" x14ac:dyDescent="0.25">
      <c r="A6504" t="str">
        <f ca="1">IFERROR(__xludf.DUMMYFUNCTION("""COMPUTED_VALUE"""),"Salmonella Hayindogo")</f>
        <v>Salmonella Hayindogo</v>
      </c>
      <c r="B6504" t="str">
        <f ca="1">IFERROR(__xludf.DUMMYFUNCTION("""COMPUTED_VALUE"""),"RF-00001954-MCG")</f>
        <v>RF-00001954-MCG</v>
      </c>
    </row>
    <row r="6505" spans="1:2" ht="12.5" x14ac:dyDescent="0.25">
      <c r="A6505" t="str">
        <f ca="1">IFERROR(__xludf.DUMMYFUNCTION("""COMPUTED_VALUE"""),"Salmonella Heerlen")</f>
        <v>Salmonella Heerlen</v>
      </c>
      <c r="B6505" t="str">
        <f ca="1">IFERROR(__xludf.DUMMYFUNCTION("""COMPUTED_VALUE"""),"RF-00001940-MCG")</f>
        <v>RF-00001940-MCG</v>
      </c>
    </row>
    <row r="6506" spans="1:2" ht="12.5" x14ac:dyDescent="0.25">
      <c r="A6506" t="str">
        <f ca="1">IFERROR(__xludf.DUMMYFUNCTION("""COMPUTED_VALUE"""),"Salmonella Hegau")</f>
        <v>Salmonella Hegau</v>
      </c>
      <c r="B6506" t="str">
        <f ca="1">IFERROR(__xludf.DUMMYFUNCTION("""COMPUTED_VALUE"""),"RF-00001956-MCG")</f>
        <v>RF-00001956-MCG</v>
      </c>
    </row>
    <row r="6507" spans="1:2" ht="12.5" x14ac:dyDescent="0.25">
      <c r="A6507" t="str">
        <f ca="1">IFERROR(__xludf.DUMMYFUNCTION("""COMPUTED_VALUE"""),"Salmonella Heidelberg")</f>
        <v>Salmonella Heidelberg</v>
      </c>
      <c r="B6507" t="str">
        <f ca="1">IFERROR(__xludf.DUMMYFUNCTION("""COMPUTED_VALUE"""),"RF-00001957-MCG")</f>
        <v>RF-00001957-MCG</v>
      </c>
    </row>
    <row r="6508" spans="1:2" ht="12.5" x14ac:dyDescent="0.25">
      <c r="A6508" t="str">
        <f ca="1">IFERROR(__xludf.DUMMYFUNCTION("""COMPUTED_VALUE"""),"Salmonella Hemingford")</f>
        <v>Salmonella Hemingford</v>
      </c>
      <c r="B6508" t="str">
        <f ca="1">IFERROR(__xludf.DUMMYFUNCTION("""COMPUTED_VALUE"""),"RF-00001958-MCG")</f>
        <v>RF-00001958-MCG</v>
      </c>
    </row>
    <row r="6509" spans="1:2" ht="12.5" x14ac:dyDescent="0.25">
      <c r="A6509" t="str">
        <f ca="1">IFERROR(__xludf.DUMMYFUNCTION("""COMPUTED_VALUE"""),"Salmonella Hennekamp")</f>
        <v>Salmonella Hennekamp</v>
      </c>
      <c r="B6509" t="str">
        <f ca="1">IFERROR(__xludf.DUMMYFUNCTION("""COMPUTED_VALUE"""),"RF-00001959-MCG")</f>
        <v>RF-00001959-MCG</v>
      </c>
    </row>
    <row r="6510" spans="1:2" ht="12.5" x14ac:dyDescent="0.25">
      <c r="A6510" t="str">
        <f ca="1">IFERROR(__xludf.DUMMYFUNCTION("""COMPUTED_VALUE"""),"Salmonella Hermannswerder")</f>
        <v>Salmonella Hermannswerder</v>
      </c>
      <c r="B6510" t="str">
        <f ca="1">IFERROR(__xludf.DUMMYFUNCTION("""COMPUTED_VALUE"""),"RF-00001960-MCG")</f>
        <v>RF-00001960-MCG</v>
      </c>
    </row>
    <row r="6511" spans="1:2" ht="12.5" x14ac:dyDescent="0.25">
      <c r="A6511" t="str">
        <f ca="1">IFERROR(__xludf.DUMMYFUNCTION("""COMPUTED_VALUE"""),"Salmonella Heron")</f>
        <v>Salmonella Heron</v>
      </c>
      <c r="B6511" t="str">
        <f ca="1">IFERROR(__xludf.DUMMYFUNCTION("""COMPUTED_VALUE"""),"RF-00001961-MCG")</f>
        <v>RF-00001961-MCG</v>
      </c>
    </row>
    <row r="6512" spans="1:2" ht="12.5" x14ac:dyDescent="0.25">
      <c r="A6512" t="str">
        <f ca="1">IFERROR(__xludf.DUMMYFUNCTION("""COMPUTED_VALUE"""),"Salmonella Herston")</f>
        <v>Salmonella Herston</v>
      </c>
      <c r="B6512" t="str">
        <f ca="1">IFERROR(__xludf.DUMMYFUNCTION("""COMPUTED_VALUE"""),"RF-00001962-MCG")</f>
        <v>RF-00001962-MCG</v>
      </c>
    </row>
    <row r="6513" spans="1:2" ht="12.5" x14ac:dyDescent="0.25">
      <c r="A6513" t="str">
        <f ca="1">IFERROR(__xludf.DUMMYFUNCTION("""COMPUTED_VALUE"""),"Salmonella Herzliya")</f>
        <v>Salmonella Herzliya</v>
      </c>
      <c r="B6513" t="str">
        <f ca="1">IFERROR(__xludf.DUMMYFUNCTION("""COMPUTED_VALUE"""),"RF-00001963-MCG")</f>
        <v>RF-00001963-MCG</v>
      </c>
    </row>
    <row r="6514" spans="1:2" ht="12.5" x14ac:dyDescent="0.25">
      <c r="A6514" t="str">
        <f ca="1">IFERROR(__xludf.DUMMYFUNCTION("""COMPUTED_VALUE"""),"Salmonella Hessarek")</f>
        <v>Salmonella Hessarek</v>
      </c>
      <c r="B6514" t="str">
        <f ca="1">IFERROR(__xludf.DUMMYFUNCTION("""COMPUTED_VALUE"""),"RF-00001964-MCG")</f>
        <v>RF-00001964-MCG</v>
      </c>
    </row>
    <row r="6515" spans="1:2" ht="12.5" x14ac:dyDescent="0.25">
      <c r="A6515" t="str">
        <f ca="1">IFERROR(__xludf.DUMMYFUNCTION("""COMPUTED_VALUE"""),"Salmonella Hidalgo")</f>
        <v>Salmonella Hidalgo</v>
      </c>
      <c r="B6515" t="str">
        <f ca="1">IFERROR(__xludf.DUMMYFUNCTION("""COMPUTED_VALUE"""),"RF-00001965-MCG")</f>
        <v>RF-00001965-MCG</v>
      </c>
    </row>
    <row r="6516" spans="1:2" ht="12.5" x14ac:dyDescent="0.25">
      <c r="A6516" t="str">
        <f ca="1">IFERROR(__xludf.DUMMYFUNCTION("""COMPUTED_VALUE"""),"Salmonella Hiduddify")</f>
        <v>Salmonella Hiduddify</v>
      </c>
      <c r="B6516" t="str">
        <f ca="1">IFERROR(__xludf.DUMMYFUNCTION("""COMPUTED_VALUE"""),"RF-00001966-MCG")</f>
        <v>RF-00001966-MCG</v>
      </c>
    </row>
    <row r="6517" spans="1:2" ht="12.5" x14ac:dyDescent="0.25">
      <c r="A6517" t="str">
        <f ca="1">IFERROR(__xludf.DUMMYFUNCTION("""COMPUTED_VALUE"""),"Salmonella Hillegersberg")</f>
        <v>Salmonella Hillegersberg</v>
      </c>
      <c r="B6517" t="str">
        <f ca="1">IFERROR(__xludf.DUMMYFUNCTION("""COMPUTED_VALUE"""),"RF-00001967-MCG")</f>
        <v>RF-00001967-MCG</v>
      </c>
    </row>
    <row r="6518" spans="1:2" ht="12.5" x14ac:dyDescent="0.25">
      <c r="A6518" t="str">
        <f ca="1">IFERROR(__xludf.DUMMYFUNCTION("""COMPUTED_VALUE"""),"Salmonella Hillingdon")</f>
        <v>Salmonella Hillingdon</v>
      </c>
      <c r="B6518" t="str">
        <f ca="1">IFERROR(__xludf.DUMMYFUNCTION("""COMPUTED_VALUE"""),"RF-00001926-MCG")</f>
        <v>RF-00001926-MCG</v>
      </c>
    </row>
    <row r="6519" spans="1:2" ht="12.5" x14ac:dyDescent="0.25">
      <c r="A6519" t="str">
        <f ca="1">IFERROR(__xludf.DUMMYFUNCTION("""COMPUTED_VALUE"""),"Salmonella Hillsborough")</f>
        <v>Salmonella Hillsborough</v>
      </c>
      <c r="B6519" t="str">
        <f ca="1">IFERROR(__xludf.DUMMYFUNCTION("""COMPUTED_VALUE"""),"RF-00001924-MCG")</f>
        <v>RF-00001924-MCG</v>
      </c>
    </row>
    <row r="6520" spans="1:2" ht="12.5" x14ac:dyDescent="0.25">
      <c r="A6520" t="str">
        <f ca="1">IFERROR(__xludf.DUMMYFUNCTION("""COMPUTED_VALUE"""),"Salmonella Hilversum")</f>
        <v>Salmonella Hilversum</v>
      </c>
      <c r="B6520" t="str">
        <f ca="1">IFERROR(__xludf.DUMMYFUNCTION("""COMPUTED_VALUE"""),"RF-00001953-MCG")</f>
        <v>RF-00001953-MCG</v>
      </c>
    </row>
    <row r="6521" spans="1:2" ht="12.5" x14ac:dyDescent="0.25">
      <c r="A6521" t="str">
        <f ca="1">IFERROR(__xludf.DUMMYFUNCTION("""COMPUTED_VALUE"""),"Salmonella Hindmarsh")</f>
        <v>Salmonella Hindmarsh</v>
      </c>
      <c r="B6521" t="str">
        <f ca="1">IFERROR(__xludf.DUMMYFUNCTION("""COMPUTED_VALUE"""),"RF-00001913-MCG")</f>
        <v>RF-00001913-MCG</v>
      </c>
    </row>
    <row r="6522" spans="1:2" ht="12.5" x14ac:dyDescent="0.25">
      <c r="A6522" t="str">
        <f ca="1">IFERROR(__xludf.DUMMYFUNCTION("""COMPUTED_VALUE"""),"Salmonella Hisingen")</f>
        <v>Salmonella Hisingen</v>
      </c>
      <c r="B6522" t="str">
        <f ca="1">IFERROR(__xludf.DUMMYFUNCTION("""COMPUTED_VALUE"""),"RF-00001914-MCG")</f>
        <v>RF-00001914-MCG</v>
      </c>
    </row>
    <row r="6523" spans="1:2" ht="12.5" x14ac:dyDescent="0.25">
      <c r="A6523" t="str">
        <f ca="1">IFERROR(__xludf.DUMMYFUNCTION("""COMPUTED_VALUE"""),"Salmonella Hissar")</f>
        <v>Salmonella Hissar</v>
      </c>
      <c r="B6523" t="str">
        <f ca="1">IFERROR(__xludf.DUMMYFUNCTION("""COMPUTED_VALUE"""),"RF-00001915-MCG")</f>
        <v>RF-00001915-MCG</v>
      </c>
    </row>
    <row r="6524" spans="1:2" ht="12.5" x14ac:dyDescent="0.25">
      <c r="A6524" t="str">
        <f ca="1">IFERROR(__xludf.DUMMYFUNCTION("""COMPUTED_VALUE"""),"Salmonella Hithergreen")</f>
        <v>Salmonella Hithergreen</v>
      </c>
      <c r="B6524" t="str">
        <f ca="1">IFERROR(__xludf.DUMMYFUNCTION("""COMPUTED_VALUE"""),"RF-00001916-MCG")</f>
        <v>RF-00001916-MCG</v>
      </c>
    </row>
    <row r="6525" spans="1:2" ht="12.5" x14ac:dyDescent="0.25">
      <c r="A6525" t="str">
        <f ca="1">IFERROR(__xludf.DUMMYFUNCTION("""COMPUTED_VALUE"""),"Salmonella Hoboken")</f>
        <v>Salmonella Hoboken</v>
      </c>
      <c r="B6525" t="str">
        <f ca="1">IFERROR(__xludf.DUMMYFUNCTION("""COMPUTED_VALUE"""),"RF-00001917-MCG")</f>
        <v>RF-00001917-MCG</v>
      </c>
    </row>
    <row r="6526" spans="1:2" ht="12.5" x14ac:dyDescent="0.25">
      <c r="A6526" t="str">
        <f ca="1">IFERROR(__xludf.DUMMYFUNCTION("""COMPUTED_VALUE"""),"Salmonella Hofit")</f>
        <v>Salmonella Hofit</v>
      </c>
      <c r="B6526" t="str">
        <f ca="1">IFERROR(__xludf.DUMMYFUNCTION("""COMPUTED_VALUE"""),"RF-00001918-MCG")</f>
        <v>RF-00001918-MCG</v>
      </c>
    </row>
    <row r="6527" spans="1:2" ht="12.5" x14ac:dyDescent="0.25">
      <c r="A6527" t="str">
        <f ca="1">IFERROR(__xludf.DUMMYFUNCTION("""COMPUTED_VALUE"""),"Salmonella Hoghton")</f>
        <v>Salmonella Hoghton</v>
      </c>
      <c r="B6527" t="str">
        <f ca="1">IFERROR(__xludf.DUMMYFUNCTION("""COMPUTED_VALUE"""),"RF-00001919-MCG")</f>
        <v>RF-00001919-MCG</v>
      </c>
    </row>
    <row r="6528" spans="1:2" ht="12.5" x14ac:dyDescent="0.25">
      <c r="A6528" t="str">
        <f ca="1">IFERROR(__xludf.DUMMYFUNCTION("""COMPUTED_VALUE"""),"Salmonella Holcomb")</f>
        <v>Salmonella Holcomb</v>
      </c>
      <c r="B6528" t="str">
        <f ca="1">IFERROR(__xludf.DUMMYFUNCTION("""COMPUTED_VALUE"""),"RF-00001920-MCG")</f>
        <v>RF-00001920-MCG</v>
      </c>
    </row>
    <row r="6529" spans="1:2" ht="12.5" x14ac:dyDescent="0.25">
      <c r="A6529" t="str">
        <f ca="1">IFERROR(__xludf.DUMMYFUNCTION("""COMPUTED_VALUE"""),"Salmonella Homosassa")</f>
        <v>Salmonella Homosassa</v>
      </c>
      <c r="B6529" t="str">
        <f ca="1">IFERROR(__xludf.DUMMYFUNCTION("""COMPUTED_VALUE"""),"RF-00001921-MCG")</f>
        <v>RF-00001921-MCG</v>
      </c>
    </row>
    <row r="6530" spans="1:2" ht="12.5" x14ac:dyDescent="0.25">
      <c r="A6530" t="str">
        <f ca="1">IFERROR(__xludf.DUMMYFUNCTION("""COMPUTED_VALUE"""),"Salmonella Honelis")</f>
        <v>Salmonella Honelis</v>
      </c>
      <c r="B6530" t="str">
        <f ca="1">IFERROR(__xludf.DUMMYFUNCTION("""COMPUTED_VALUE"""),"RF-00001922-MCG")</f>
        <v>RF-00001922-MCG</v>
      </c>
    </row>
    <row r="6531" spans="1:2" ht="12.5" x14ac:dyDescent="0.25">
      <c r="A6531" t="str">
        <f ca="1">IFERROR(__xludf.DUMMYFUNCTION("""COMPUTED_VALUE"""),"Salmonella Hongkong")</f>
        <v>Salmonella Hongkong</v>
      </c>
      <c r="B6531" t="str">
        <f ca="1">IFERROR(__xludf.DUMMYFUNCTION("""COMPUTED_VALUE"""),"RF-00001923-MCG")</f>
        <v>RF-00001923-MCG</v>
      </c>
    </row>
    <row r="6532" spans="1:2" ht="12.5" x14ac:dyDescent="0.25">
      <c r="A6532" t="str">
        <f ca="1">IFERROR(__xludf.DUMMYFUNCTION("""COMPUTED_VALUE"""),"Salmonella Horsham")</f>
        <v>Salmonella Horsham</v>
      </c>
      <c r="B6532" t="str">
        <f ca="1">IFERROR(__xludf.DUMMYFUNCTION("""COMPUTED_VALUE"""),"RF-00001939-MCG")</f>
        <v>RF-00001939-MCG</v>
      </c>
    </row>
    <row r="6533" spans="1:2" ht="12.5" x14ac:dyDescent="0.25">
      <c r="A6533" t="str">
        <f ca="1">IFERROR(__xludf.DUMMYFUNCTION("""COMPUTED_VALUE"""),"Salmonella Huddinge")</f>
        <v>Salmonella Huddinge</v>
      </c>
      <c r="B6533" t="str">
        <f ca="1">IFERROR(__xludf.DUMMYFUNCTION("""COMPUTED_VALUE"""),"RF-00001925-MCG")</f>
        <v>RF-00001925-MCG</v>
      </c>
    </row>
    <row r="6534" spans="1:2" ht="12.5" x14ac:dyDescent="0.25">
      <c r="A6534" t="str">
        <f ca="1">IFERROR(__xludf.DUMMYFUNCTION("""COMPUTED_VALUE"""),"Salmonella Huettwilen")</f>
        <v>Salmonella Huettwilen</v>
      </c>
      <c r="B6534" t="str">
        <f ca="1">IFERROR(__xludf.DUMMYFUNCTION("""COMPUTED_VALUE"""),"RF-00001911-MCG")</f>
        <v>RF-00001911-MCG</v>
      </c>
    </row>
    <row r="6535" spans="1:2" ht="12.5" x14ac:dyDescent="0.25">
      <c r="A6535" t="str">
        <f ca="1">IFERROR(__xludf.DUMMYFUNCTION("""COMPUTED_VALUE"""),"Salmonella Hull")</f>
        <v>Salmonella Hull</v>
      </c>
      <c r="B6535" t="str">
        <f ca="1">IFERROR(__xludf.DUMMYFUNCTION("""COMPUTED_VALUE"""),"RF-00001927-MCG")</f>
        <v>RF-00001927-MCG</v>
      </c>
    </row>
    <row r="6536" spans="1:2" ht="12.5" x14ac:dyDescent="0.25">
      <c r="A6536" t="str">
        <f ca="1">IFERROR(__xludf.DUMMYFUNCTION("""COMPUTED_VALUE"""),"Salmonella Huvudsta")</f>
        <v>Salmonella Huvudsta</v>
      </c>
      <c r="B6536" t="str">
        <f ca="1">IFERROR(__xludf.DUMMYFUNCTION("""COMPUTED_VALUE"""),"RF-00001928-MCG")</f>
        <v>RF-00001928-MCG</v>
      </c>
    </row>
    <row r="6537" spans="1:2" ht="12.5" x14ac:dyDescent="0.25">
      <c r="A6537" t="str">
        <f ca="1">IFERROR(__xludf.DUMMYFUNCTION("""COMPUTED_VALUE"""),"Salmonella Hvittingfoss")</f>
        <v>Salmonella Hvittingfoss</v>
      </c>
      <c r="B6537" t="str">
        <f ca="1">IFERROR(__xludf.DUMMYFUNCTION("""COMPUTED_VALUE"""),"RF-00001929-MCG")</f>
        <v>RF-00001929-MCG</v>
      </c>
    </row>
    <row r="6538" spans="1:2" ht="12.5" x14ac:dyDescent="0.25">
      <c r="A6538" t="str">
        <f ca="1">IFERROR(__xludf.DUMMYFUNCTION("""COMPUTED_VALUE"""),"Salmonella Hydra")</f>
        <v>Salmonella Hydra</v>
      </c>
      <c r="B6538" t="str">
        <f ca="1">IFERROR(__xludf.DUMMYFUNCTION("""COMPUTED_VALUE"""),"RF-00001930-MCG")</f>
        <v>RF-00001930-MCG</v>
      </c>
    </row>
    <row r="6539" spans="1:2" ht="12.5" x14ac:dyDescent="0.25">
      <c r="A6539" t="str">
        <f ca="1">IFERROR(__xludf.DUMMYFUNCTION("""COMPUTED_VALUE"""),"Salmonella I 1,4,5,12:i:2ef nat")</f>
        <v>Salmonella I 1,4,5,12:i:2ef nat</v>
      </c>
      <c r="B6539" t="str">
        <f ca="1">IFERROR(__xludf.DUMMYFUNCTION("""COMPUTED_VALUE"""),"RF-00001931-MCG")</f>
        <v>RF-00001931-MCG</v>
      </c>
    </row>
    <row r="6540" spans="1:2" ht="12.5" x14ac:dyDescent="0.25">
      <c r="A6540" t="str">
        <f ca="1">IFERROR(__xludf.DUMMYFUNCTION("""COMPUTED_VALUE"""),"Salmonella I 4,12,27:b:-")</f>
        <v>Salmonella I 4,12,27:b:-</v>
      </c>
      <c r="B6540" t="str">
        <f ca="1">IFERROR(__xludf.DUMMYFUNCTION("""COMPUTED_VALUE"""),"RF-00001932-MCG")</f>
        <v>RF-00001932-MCG</v>
      </c>
    </row>
    <row r="6541" spans="1:2" ht="12.5" x14ac:dyDescent="0.25">
      <c r="A6541" t="str">
        <f ca="1">IFERROR(__xludf.DUMMYFUNCTION("""COMPUTED_VALUE"""),"Salmonella I, monophasic strain")</f>
        <v>Salmonella I, monophasic strain</v>
      </c>
      <c r="B6541" t="str">
        <f ca="1">IFERROR(__xludf.DUMMYFUNCTION("""COMPUTED_VALUE"""),"RF-00001933-MCG")</f>
        <v>RF-00001933-MCG</v>
      </c>
    </row>
    <row r="6542" spans="1:2" ht="12.5" x14ac:dyDescent="0.25">
      <c r="A6542" t="str">
        <f ca="1">IFERROR(__xludf.DUMMYFUNCTION("""COMPUTED_VALUE"""),"Salmonella Ibadan")</f>
        <v>Salmonella Ibadan</v>
      </c>
      <c r="B6542" t="str">
        <f ca="1">IFERROR(__xludf.DUMMYFUNCTION("""COMPUTED_VALUE"""),"RF-00001935-MCG")</f>
        <v>RF-00001935-MCG</v>
      </c>
    </row>
    <row r="6543" spans="1:2" ht="12.5" x14ac:dyDescent="0.25">
      <c r="A6543" t="str">
        <f ca="1">IFERROR(__xludf.DUMMYFUNCTION("""COMPUTED_VALUE"""),"Salmonella Ibaragi")</f>
        <v>Salmonella Ibaragi</v>
      </c>
      <c r="B6543" t="str">
        <f ca="1">IFERROR(__xludf.DUMMYFUNCTION("""COMPUTED_VALUE"""),"RF-00001936-MCG")</f>
        <v>RF-00001936-MCG</v>
      </c>
    </row>
    <row r="6544" spans="1:2" ht="12.5" x14ac:dyDescent="0.25">
      <c r="A6544" t="str">
        <f ca="1">IFERROR(__xludf.DUMMYFUNCTION("""COMPUTED_VALUE"""),"Salmonella Idikan")</f>
        <v>Salmonella Idikan</v>
      </c>
      <c r="B6544" t="str">
        <f ca="1">IFERROR(__xludf.DUMMYFUNCTION("""COMPUTED_VALUE"""),"RF-00001937-MCG")</f>
        <v>RF-00001937-MCG</v>
      </c>
    </row>
    <row r="6545" spans="1:2" ht="12.5" x14ac:dyDescent="0.25">
      <c r="A6545" t="str">
        <f ca="1">IFERROR(__xludf.DUMMYFUNCTION("""COMPUTED_VALUE"""),"Salmonella II 1,4,12:-:-")</f>
        <v>Salmonella II 1,4,12:-:-</v>
      </c>
      <c r="B6545" t="str">
        <f ca="1">IFERROR(__xludf.DUMMYFUNCTION("""COMPUTED_VALUE"""),"RF-00002020-MCG")</f>
        <v>RF-00002020-MCG</v>
      </c>
    </row>
    <row r="6546" spans="1:2" ht="12.5" x14ac:dyDescent="0.25">
      <c r="A6546" t="str">
        <f ca="1">IFERROR(__xludf.DUMMYFUNCTION("""COMPUTED_VALUE"""),"Salmonella II 1,4,5,12:-:-")</f>
        <v>Salmonella II 1,4,5,12:-:-</v>
      </c>
      <c r="B6546" t="str">
        <f ca="1">IFERROR(__xludf.DUMMYFUNCTION("""COMPUTED_VALUE"""),"RF-00002021-MCG")</f>
        <v>RF-00002021-MCG</v>
      </c>
    </row>
    <row r="6547" spans="1:2" ht="12.5" x14ac:dyDescent="0.25">
      <c r="A6547" t="str">
        <f ca="1">IFERROR(__xludf.DUMMYFUNCTION("""COMPUTED_VALUE"""),"Salmonella II 1,6,14:m,t:1,5")</f>
        <v>Salmonella II 1,6,14:m,t:1,5</v>
      </c>
      <c r="B6547" t="str">
        <f ca="1">IFERROR(__xludf.DUMMYFUNCTION("""COMPUTED_VALUE"""),"RF-00002022-MCG")</f>
        <v>RF-00002022-MCG</v>
      </c>
    </row>
    <row r="6548" spans="1:2" ht="12.5" x14ac:dyDescent="0.25">
      <c r="A6548" t="str">
        <f ca="1">IFERROR(__xludf.DUMMYFUNCTION("""COMPUTED_VALUE"""),"Salmonella II 1,6,14:z10:1,5")</f>
        <v>Salmonella II 1,6,14:z10:1,5</v>
      </c>
      <c r="B6548" t="str">
        <f ca="1">IFERROR(__xludf.DUMMYFUNCTION("""COMPUTED_VALUE"""),"RF-00002023-MCG")</f>
        <v>RF-00002023-MCG</v>
      </c>
    </row>
    <row r="6549" spans="1:2" ht="12.5" x14ac:dyDescent="0.25">
      <c r="A6549" t="str">
        <f ca="1">IFERROR(__xludf.DUMMYFUNCTION("""COMPUTED_VALUE"""),"Salmonella II 1,6,14:z10:z6:z42")</f>
        <v>Salmonella II 1,6,14:z10:z6:z42</v>
      </c>
      <c r="B6549" t="str">
        <f ca="1">IFERROR(__xludf.DUMMYFUNCTION("""COMPUTED_VALUE"""),"RF-00002024-MCG")</f>
        <v>RF-00002024-MCG</v>
      </c>
    </row>
    <row r="6550" spans="1:2" ht="12.5" x14ac:dyDescent="0.25">
      <c r="A6550" t="str">
        <f ca="1">IFERROR(__xludf.DUMMYFUNCTION("""COMPUTED_VALUE"""),"Salmonella II 1,9,12,46,27:c:z39")</f>
        <v>Salmonella II 1,9,12,46,27:c:z39</v>
      </c>
      <c r="B6550" t="str">
        <f ca="1">IFERROR(__xludf.DUMMYFUNCTION("""COMPUTED_VALUE"""),"RF-00002025-MCG")</f>
        <v>RF-00002025-MCG</v>
      </c>
    </row>
    <row r="6551" spans="1:2" ht="12.5" x14ac:dyDescent="0.25">
      <c r="A6551" t="str">
        <f ca="1">IFERROR(__xludf.DUMMYFUNCTION("""COMPUTED_VALUE"""),"Salmonella II 11:a:d:e,n,z15")</f>
        <v>Salmonella II 11:a:d:e,n,z15</v>
      </c>
      <c r="B6551" t="str">
        <f ca="1">IFERROR(__xludf.DUMMYFUNCTION("""COMPUTED_VALUE"""),"RF-00001984-MCG")</f>
        <v>RF-00001984-MCG</v>
      </c>
    </row>
    <row r="6552" spans="1:2" ht="12.5" x14ac:dyDescent="0.25">
      <c r="A6552" t="str">
        <f ca="1">IFERROR(__xludf.DUMMYFUNCTION("""COMPUTED_VALUE"""),"Salmonella II 11:a:z6:z42")</f>
        <v>Salmonella II 11:a:z6:z42</v>
      </c>
      <c r="B6552" t="str">
        <f ca="1">IFERROR(__xludf.DUMMYFUNCTION("""COMPUTED_VALUE"""),"RF-00002013-MCG")</f>
        <v>RF-00002013-MCG</v>
      </c>
    </row>
    <row r="6553" spans="1:2" ht="12.5" x14ac:dyDescent="0.25">
      <c r="A6553" t="str">
        <f ca="1">IFERROR(__xludf.DUMMYFUNCTION("""COMPUTED_VALUE"""),"Salmonella II 11:l,z28:e,n,x")</f>
        <v>Salmonella II 11:l,z28:e,n,x</v>
      </c>
      <c r="B6553" t="str">
        <f ca="1">IFERROR(__xludf.DUMMYFUNCTION("""COMPUTED_VALUE"""),"RF-00002011-MCG")</f>
        <v>RF-00002011-MCG</v>
      </c>
    </row>
    <row r="6554" spans="1:2" ht="12.5" x14ac:dyDescent="0.25">
      <c r="A6554" t="str">
        <f ca="1">IFERROR(__xludf.DUMMYFUNCTION("""COMPUTED_VALUE"""),"Salmonella II 11:m,t:e,n,x")</f>
        <v>Salmonella II 11:m,t:e,n,x</v>
      </c>
      <c r="B6554" t="str">
        <f ca="1">IFERROR(__xludf.DUMMYFUNCTION("""COMPUTED_VALUE"""),"RF-00001970-MCG")</f>
        <v>RF-00001970-MCG</v>
      </c>
    </row>
    <row r="6555" spans="1:2" ht="12.5" x14ac:dyDescent="0.25">
      <c r="A6555" t="str">
        <f ca="1">IFERROR(__xludf.DUMMYFUNCTION("""COMPUTED_VALUE"""),"Salmonella II 11:z:z39")</f>
        <v>Salmonella II 11:z:z39</v>
      </c>
      <c r="B6555" t="str">
        <f ca="1">IFERROR(__xludf.DUMMYFUNCTION("""COMPUTED_VALUE"""),"RF-00001971-MCG")</f>
        <v>RF-00001971-MCG</v>
      </c>
    </row>
    <row r="6556" spans="1:2" ht="12.5" x14ac:dyDescent="0.25">
      <c r="A6556" t="str">
        <f ca="1">IFERROR(__xludf.DUMMYFUNCTION("""COMPUTED_VALUE"""),"Salmonella II 13,22:z:-")</f>
        <v>Salmonella II 13,22:z:-</v>
      </c>
      <c r="B6556" t="str">
        <f ca="1">IFERROR(__xludf.DUMMYFUNCTION("""COMPUTED_VALUE"""),"RF-00001972-MCG")</f>
        <v>RF-00001972-MCG</v>
      </c>
    </row>
    <row r="6557" spans="1:2" ht="12.5" x14ac:dyDescent="0.25">
      <c r="A6557" t="str">
        <f ca="1">IFERROR(__xludf.DUMMYFUNCTION("""COMPUTED_VALUE"""),"Salmonella II 13,22:z29:e,n,x")</f>
        <v>Salmonella II 13,22:z29:e,n,x</v>
      </c>
      <c r="B6557" t="str">
        <f ca="1">IFERROR(__xludf.DUMMYFUNCTION("""COMPUTED_VALUE"""),"RF-00001973-MCG")</f>
        <v>RF-00001973-MCG</v>
      </c>
    </row>
    <row r="6558" spans="1:2" ht="12.5" x14ac:dyDescent="0.25">
      <c r="A6558" t="str">
        <f ca="1">IFERROR(__xludf.DUMMYFUNCTION("""COMPUTED_VALUE"""),"Salmonella II 16: g,t:z42")</f>
        <v>Salmonella II 16: g,t:z42</v>
      </c>
      <c r="B6558" t="str">
        <f ca="1">IFERROR(__xludf.DUMMYFUNCTION("""COMPUTED_VALUE"""),"RF-00001974-MCG")</f>
        <v>RF-00001974-MCG</v>
      </c>
    </row>
    <row r="6559" spans="1:2" ht="12.5" x14ac:dyDescent="0.25">
      <c r="A6559" t="str">
        <f ca="1">IFERROR(__xludf.DUMMYFUNCTION("""COMPUTED_VALUE"""),"Salmonella II 16:g,[m],[s],t:[e,n,x]")</f>
        <v>Salmonella II 16:g,[m],[s],t:[e,n,x]</v>
      </c>
      <c r="B6559" t="str">
        <f ca="1">IFERROR(__xludf.DUMMYFUNCTION("""COMPUTED_VALUE"""),"RF-00001975-MCG")</f>
        <v>RF-00001975-MCG</v>
      </c>
    </row>
    <row r="6560" spans="1:2" ht="12.5" x14ac:dyDescent="0.25">
      <c r="A6560" t="str">
        <f ca="1">IFERROR(__xludf.DUMMYFUNCTION("""COMPUTED_VALUE"""),"Salmonella II 16:l,w:z6")</f>
        <v>Salmonella II 16:l,w:z6</v>
      </c>
      <c r="B6560" t="str">
        <f ca="1">IFERROR(__xludf.DUMMYFUNCTION("""COMPUTED_VALUE"""),"RF-00001976-MCG")</f>
        <v>RF-00001976-MCG</v>
      </c>
    </row>
    <row r="6561" spans="1:2" ht="12.5" x14ac:dyDescent="0.25">
      <c r="A6561" t="str">
        <f ca="1">IFERROR(__xludf.DUMMYFUNCTION("""COMPUTED_VALUE"""),"Salmonella II 16:l,z28:z42")</f>
        <v>Salmonella II 16:l,z28:z42</v>
      </c>
      <c r="B6561" t="str">
        <f ca="1">IFERROR(__xludf.DUMMYFUNCTION("""COMPUTED_VALUE"""),"RF-00001977-MCG")</f>
        <v>RF-00001977-MCG</v>
      </c>
    </row>
    <row r="6562" spans="1:2" ht="12.5" x14ac:dyDescent="0.25">
      <c r="A6562" t="str">
        <f ca="1">IFERROR(__xludf.DUMMYFUNCTION("""COMPUTED_VALUE"""),"Salmonella II 16:z:e,n,x")</f>
        <v>Salmonella II 16:z:e,n,x</v>
      </c>
      <c r="B6562" t="str">
        <f ca="1">IFERROR(__xludf.DUMMYFUNCTION("""COMPUTED_VALUE"""),"RF-00001978-MCG")</f>
        <v>RF-00001978-MCG</v>
      </c>
    </row>
    <row r="6563" spans="1:2" ht="12.5" x14ac:dyDescent="0.25">
      <c r="A6563" t="str">
        <f ca="1">IFERROR(__xludf.DUMMYFUNCTION("""COMPUTED_VALUE"""),"Salmonella II 16:z29:e,n,x")</f>
        <v>Salmonella II 16:z29:e,n,x</v>
      </c>
      <c r="B6563" t="str">
        <f ca="1">IFERROR(__xludf.DUMMYFUNCTION("""COMPUTED_VALUE"""),"RF-00001979-MCG")</f>
        <v>RF-00001979-MCG</v>
      </c>
    </row>
    <row r="6564" spans="1:2" ht="12.5" x14ac:dyDescent="0.25">
      <c r="A6564" t="str">
        <f ca="1">IFERROR(__xludf.DUMMYFUNCTION("""COMPUTED_VALUE"""),"Salmonella II 16:z4,z23:-")</f>
        <v>Salmonella II 16:z4,z23:-</v>
      </c>
      <c r="B6564" t="str">
        <f ca="1">IFERROR(__xludf.DUMMYFUNCTION("""COMPUTED_VALUE"""),"RF-00001980-MCG")</f>
        <v>RF-00001980-MCG</v>
      </c>
    </row>
    <row r="6565" spans="1:2" ht="12.5" x14ac:dyDescent="0.25">
      <c r="A6565" t="str">
        <f ca="1">IFERROR(__xludf.DUMMYFUNCTION("""COMPUTED_VALUE"""),"Salmonella II 16:z42:1,6")</f>
        <v>Salmonella II 16:z42:1,6</v>
      </c>
      <c r="B6565" t="str">
        <f ca="1">IFERROR(__xludf.DUMMYFUNCTION("""COMPUTED_VALUE"""),"RF-00001997-MCG")</f>
        <v>RF-00001997-MCG</v>
      </c>
    </row>
    <row r="6566" spans="1:2" ht="12.5" x14ac:dyDescent="0.25">
      <c r="A6566" t="str">
        <f ca="1">IFERROR(__xludf.DUMMYFUNCTION("""COMPUTED_VALUE"""),"Salmonella II 17:b:e,n,x,z15")</f>
        <v>Salmonella II 17:b:e,n,x,z15</v>
      </c>
      <c r="B6566" t="str">
        <f ca="1">IFERROR(__xludf.DUMMYFUNCTION("""COMPUTED_VALUE"""),"RF-00001983-MCG")</f>
        <v>RF-00001983-MCG</v>
      </c>
    </row>
    <row r="6567" spans="1:2" ht="12.5" x14ac:dyDescent="0.25">
      <c r="A6567" t="str">
        <f ca="1">IFERROR(__xludf.DUMMYFUNCTION("""COMPUTED_VALUE"""),"Salmonella II 17:e,n,x,z15:1,6")</f>
        <v>Salmonella II 17:e,n,x,z15:1,6</v>
      </c>
      <c r="B6567" t="str">
        <f ca="1">IFERROR(__xludf.DUMMYFUNCTION("""COMPUTED_VALUE"""),"RF-00001969-MCG")</f>
        <v>RF-00001969-MCG</v>
      </c>
    </row>
    <row r="6568" spans="1:2" ht="12.5" x14ac:dyDescent="0.25">
      <c r="A6568" t="str">
        <f ca="1">IFERROR(__xludf.DUMMYFUNCTION("""COMPUTED_VALUE"""),"Salmonella II 17:z:l,w:z42")</f>
        <v>Salmonella II 17:z:l,w:z42</v>
      </c>
      <c r="B6568" t="str">
        <f ca="1">IFERROR(__xludf.DUMMYFUNCTION("""COMPUTED_VALUE"""),"RF-00001985-MCG")</f>
        <v>RF-00001985-MCG</v>
      </c>
    </row>
    <row r="6569" spans="1:2" ht="12.5" x14ac:dyDescent="0.25">
      <c r="A6569" t="str">
        <f ca="1">IFERROR(__xludf.DUMMYFUNCTION("""COMPUTED_VALUE"""),"Salmonella II 18:z10:z6")</f>
        <v>Salmonella II 18:z10:z6</v>
      </c>
      <c r="B6569" t="str">
        <f ca="1">IFERROR(__xludf.DUMMYFUNCTION("""COMPUTED_VALUE"""),"RF-00001986-MCG")</f>
        <v>RF-00001986-MCG</v>
      </c>
    </row>
    <row r="6570" spans="1:2" ht="12.5" x14ac:dyDescent="0.25">
      <c r="A6570" t="str">
        <f ca="1">IFERROR(__xludf.DUMMYFUNCTION("""COMPUTED_VALUE"""),"Salmonella II 18:z36:-")</f>
        <v>Salmonella II 18:z36:-</v>
      </c>
      <c r="B6570" t="str">
        <f ca="1">IFERROR(__xludf.DUMMYFUNCTION("""COMPUTED_VALUE"""),"RF-00001987-MCG")</f>
        <v>RF-00001987-MCG</v>
      </c>
    </row>
    <row r="6571" spans="1:2" ht="12.5" x14ac:dyDescent="0.25">
      <c r="A6571" t="str">
        <f ca="1">IFERROR(__xludf.DUMMYFUNCTION("""COMPUTED_VALUE"""),"Salmonella II 18:z4,z32:-")</f>
        <v>Salmonella II 18:z4,z32:-</v>
      </c>
      <c r="B6571" t="str">
        <f ca="1">IFERROR(__xludf.DUMMYFUNCTION("""COMPUTED_VALUE"""),"RF-00001988-MCG")</f>
        <v>RF-00001988-MCG</v>
      </c>
    </row>
    <row r="6572" spans="1:2" ht="12.5" x14ac:dyDescent="0.25">
      <c r="A6572" t="str">
        <f ca="1">IFERROR(__xludf.DUMMYFUNCTION("""COMPUTED_VALUE"""),"Salmonella II 21:z10:z6")</f>
        <v>Salmonella II 21:z10:z6</v>
      </c>
      <c r="B6572" t="str">
        <f ca="1">IFERROR(__xludf.DUMMYFUNCTION("""COMPUTED_VALUE"""),"RF-00001989-MCG")</f>
        <v>RF-00001989-MCG</v>
      </c>
    </row>
    <row r="6573" spans="1:2" ht="12.5" x14ac:dyDescent="0.25">
      <c r="A6573" t="str">
        <f ca="1">IFERROR(__xludf.DUMMYFUNCTION("""COMPUTED_VALUE"""),"Salmonella II 21:z4,z23:-")</f>
        <v>Salmonella II 21:z4,z23:-</v>
      </c>
      <c r="B6573" t="str">
        <f ca="1">IFERROR(__xludf.DUMMYFUNCTION("""COMPUTED_VALUE"""),"RF-00001990-MCG")</f>
        <v>RF-00001990-MCG</v>
      </c>
    </row>
    <row r="6574" spans="1:2" ht="12.5" x14ac:dyDescent="0.25">
      <c r="A6574" t="str">
        <f ca="1">IFERROR(__xludf.DUMMYFUNCTION("""COMPUTED_VALUE"""),"Salmonella II 28:b:z6")</f>
        <v>Salmonella II 28:b:z6</v>
      </c>
      <c r="B6574" t="str">
        <f ca="1">IFERROR(__xludf.DUMMYFUNCTION("""COMPUTED_VALUE"""),"RF-00001991-MCG")</f>
        <v>RF-00001991-MCG</v>
      </c>
    </row>
    <row r="6575" spans="1:2" ht="12.5" x14ac:dyDescent="0.25">
      <c r="A6575" t="str">
        <f ca="1">IFERROR(__xludf.DUMMYFUNCTION("""COMPUTED_VALUE"""),"Salmonella II 28:r:e,n,z15")</f>
        <v>Salmonella II 28:r:e,n,z15</v>
      </c>
      <c r="B6575" t="str">
        <f ca="1">IFERROR(__xludf.DUMMYFUNCTION("""COMPUTED_VALUE"""),"RF-00001992-MCG")</f>
        <v>RF-00001992-MCG</v>
      </c>
    </row>
    <row r="6576" spans="1:2" ht="12.5" x14ac:dyDescent="0.25">
      <c r="A6576" t="str">
        <f ca="1">IFERROR(__xludf.DUMMYFUNCTION("""COMPUTED_VALUE"""),"Salmonella II 28:z:z39")</f>
        <v>Salmonella II 28:z:z39</v>
      </c>
      <c r="B6576" t="str">
        <f ca="1">IFERROR(__xludf.DUMMYFUNCTION("""COMPUTED_VALUE"""),"RF-00001993-MCG")</f>
        <v>RF-00001993-MCG</v>
      </c>
    </row>
    <row r="6577" spans="1:2" ht="12.5" x14ac:dyDescent="0.25">
      <c r="A6577" t="str">
        <f ca="1">IFERROR(__xludf.DUMMYFUNCTION("""COMPUTED_VALUE"""),"Salmonella II 3,10:a:e,n,x")</f>
        <v>Salmonella II 3,10:a:e,n,x</v>
      </c>
      <c r="B6577" t="str">
        <f ca="1">IFERROR(__xludf.DUMMYFUNCTION("""COMPUTED_VALUE"""),"RF-00001994-MCG")</f>
        <v>RF-00001994-MCG</v>
      </c>
    </row>
    <row r="6578" spans="1:2" ht="12.5" x14ac:dyDescent="0.25">
      <c r="A6578" t="str">
        <f ca="1">IFERROR(__xludf.DUMMYFUNCTION("""COMPUTED_VALUE"""),"Salmonella II 3,10:e,n,c:1,7")</f>
        <v>Salmonella II 3,10:e,n,c:1,7</v>
      </c>
      <c r="B6578" t="str">
        <f ca="1">IFERROR(__xludf.DUMMYFUNCTION("""COMPUTED_VALUE"""),"RF-00001995-MCG")</f>
        <v>RF-00001995-MCG</v>
      </c>
    </row>
    <row r="6579" spans="1:2" ht="12.5" x14ac:dyDescent="0.25">
      <c r="A6579" t="str">
        <f ca="1">IFERROR(__xludf.DUMMYFUNCTION("""COMPUTED_VALUE"""),"Salmonella II 3,10:g,t:-")</f>
        <v>Salmonella II 3,10:g,t:-</v>
      </c>
      <c r="B6579" t="str">
        <f ca="1">IFERROR(__xludf.DUMMYFUNCTION("""COMPUTED_VALUE"""),"RF-00001996-MCG")</f>
        <v>RF-00001996-MCG</v>
      </c>
    </row>
    <row r="6580" spans="1:2" ht="12.5" x14ac:dyDescent="0.25">
      <c r="A6580" t="str">
        <f ca="1">IFERROR(__xludf.DUMMYFUNCTION("""COMPUTED_VALUE"""),"Salmonella II 3,10:l,v:z6")</f>
        <v>Salmonella II 3,10:l,v:z6</v>
      </c>
      <c r="B6580" t="str">
        <f ca="1">IFERROR(__xludf.DUMMYFUNCTION("""COMPUTED_VALUE"""),"RF-00001882-MCG")</f>
        <v>RF-00001882-MCG</v>
      </c>
    </row>
    <row r="6581" spans="1:2" ht="12.5" x14ac:dyDescent="0.25">
      <c r="A6581" t="str">
        <f ca="1">IFERROR(__xludf.DUMMYFUNCTION("""COMPUTED_VALUE"""),"Salmonella II 3,10:l,z28:e,n,x")</f>
        <v>Salmonella II 3,10:l,z28:e,n,x</v>
      </c>
      <c r="B6581" t="str">
        <f ca="1">IFERROR(__xludf.DUMMYFUNCTION("""COMPUTED_VALUE"""),"RF-00001795-MCG")</f>
        <v>RF-00001795-MCG</v>
      </c>
    </row>
    <row r="6582" spans="1:2" ht="12.5" x14ac:dyDescent="0.25">
      <c r="A6582" t="str">
        <f ca="1">IFERROR(__xludf.DUMMYFUNCTION("""COMPUTED_VALUE"""),"Salmonella II 3,10:m,t:e,n,x")</f>
        <v>Salmonella II 3,10:m,t:e,n,x</v>
      </c>
      <c r="B6582" t="str">
        <f ca="1">IFERROR(__xludf.DUMMYFUNCTION("""COMPUTED_VALUE"""),"RF-00001912-MCG")</f>
        <v>RF-00001912-MCG</v>
      </c>
    </row>
    <row r="6583" spans="1:2" ht="12.5" x14ac:dyDescent="0.25">
      <c r="A6583" t="str">
        <f ca="1">IFERROR(__xludf.DUMMYFUNCTION("""COMPUTED_VALUE"""),"Salmonella II 3,10:z:1,5")</f>
        <v>Salmonella II 3,10:z:1,5</v>
      </c>
      <c r="B6583" t="str">
        <f ca="1">IFERROR(__xludf.DUMMYFUNCTION("""COMPUTED_VALUE"""),"RF-00001825-MCG")</f>
        <v>RF-00001825-MCG</v>
      </c>
    </row>
    <row r="6584" spans="1:2" ht="12.5" x14ac:dyDescent="0.25">
      <c r="A6584" t="str">
        <f ca="1">IFERROR(__xludf.DUMMYFUNCTION("""COMPUTED_VALUE"""),"Salmonella II 3,10:z:e,n,x")</f>
        <v>Salmonella II 3,10:z:e,n,x</v>
      </c>
      <c r="B6584" t="str">
        <f ca="1">IFERROR(__xludf.DUMMYFUNCTION("""COMPUTED_VALUE"""),"RF-00001826-MCG")</f>
        <v>RF-00001826-MCG</v>
      </c>
    </row>
    <row r="6585" spans="1:2" ht="12.5" x14ac:dyDescent="0.25">
      <c r="A6585" t="str">
        <f ca="1">IFERROR(__xludf.DUMMYFUNCTION("""COMPUTED_VALUE"""),"Salmonella II 3,10:z:z39")</f>
        <v>Salmonella II 3,10:z:z39</v>
      </c>
      <c r="B6585" t="str">
        <f ca="1">IFERROR(__xludf.DUMMYFUNCTION("""COMPUTED_VALUE"""),"RF-00001827-MCG")</f>
        <v>RF-00001827-MCG</v>
      </c>
    </row>
    <row r="6586" spans="1:2" ht="12.5" x14ac:dyDescent="0.25">
      <c r="A6586" t="str">
        <f ca="1">IFERROR(__xludf.DUMMYFUNCTION("""COMPUTED_VALUE"""),"Salmonella II 3,10:z38:z42")</f>
        <v>Salmonella II 3,10:z38:z42</v>
      </c>
      <c r="B6586" t="str">
        <f ca="1">IFERROR(__xludf.DUMMYFUNCTION("""COMPUTED_VALUE"""),"RF-00001828-MCG")</f>
        <v>RF-00001828-MCG</v>
      </c>
    </row>
    <row r="6587" spans="1:2" ht="12.5" x14ac:dyDescent="0.25">
      <c r="A6587" t="str">
        <f ca="1">IFERROR(__xludf.DUMMYFUNCTION("""COMPUTED_VALUE"""),"Salmonella II 3,15:g,m,s,t:-")</f>
        <v>Salmonella II 3,15:g,m,s,t:-</v>
      </c>
      <c r="B6587" t="str">
        <f ca="1">IFERROR(__xludf.DUMMYFUNCTION("""COMPUTED_VALUE"""),"RF-00001829-MCG")</f>
        <v>RF-00001829-MCG</v>
      </c>
    </row>
    <row r="6588" spans="1:2" ht="12.5" x14ac:dyDescent="0.25">
      <c r="A6588" t="str">
        <f ca="1">IFERROR(__xludf.DUMMYFUNCTION("""COMPUTED_VALUE"""),"Salmonella II 30:a:z39")</f>
        <v>Salmonella II 30:a:z39</v>
      </c>
      <c r="B6588" t="str">
        <f ca="1">IFERROR(__xludf.DUMMYFUNCTION("""COMPUTED_VALUE"""),"RF-00001830-MCG")</f>
        <v>RF-00001830-MCG</v>
      </c>
    </row>
    <row r="6589" spans="1:2" ht="12.5" x14ac:dyDescent="0.25">
      <c r="A6589" t="str">
        <f ca="1">IFERROR(__xludf.DUMMYFUNCTION("""COMPUTED_VALUE"""),"Salmonella II 30:g,t:-")</f>
        <v>Salmonella II 30:g,t:-</v>
      </c>
      <c r="B6589" t="str">
        <f ca="1">IFERROR(__xludf.DUMMYFUNCTION("""COMPUTED_VALUE"""),"RF-00001831-MCG")</f>
        <v>RF-00001831-MCG</v>
      </c>
    </row>
    <row r="6590" spans="1:2" ht="12.5" x14ac:dyDescent="0.25">
      <c r="A6590" t="str">
        <f ca="1">IFERROR(__xludf.DUMMYFUNCTION("""COMPUTED_VALUE"""),"Salmonella II 30:l.z28:z6")</f>
        <v>Salmonella II 30:l.z28:z6</v>
      </c>
      <c r="B6590" t="str">
        <f ca="1">IFERROR(__xludf.DUMMYFUNCTION("""COMPUTED_VALUE"""),"RF-00001832-MCG")</f>
        <v>RF-00001832-MCG</v>
      </c>
    </row>
    <row r="6591" spans="1:2" ht="12.5" x14ac:dyDescent="0.25">
      <c r="A6591" t="str">
        <f ca="1">IFERROR(__xludf.DUMMYFUNCTION("""COMPUTED_VALUE"""),"Salmonella II 35:z29:e,n,x")</f>
        <v>Salmonella II 35:z29:e,n,x</v>
      </c>
      <c r="B6591" t="str">
        <f ca="1">IFERROR(__xludf.DUMMYFUNCTION("""COMPUTED_VALUE"""),"RF-00001833-MCG")</f>
        <v>RF-00001833-MCG</v>
      </c>
    </row>
    <row r="6592" spans="1:2" ht="12.5" x14ac:dyDescent="0.25">
      <c r="A6592" t="str">
        <f ca="1">IFERROR(__xludf.DUMMYFUNCTION("""COMPUTED_VALUE"""),"Salmonella II 38:g,t:-")</f>
        <v>Salmonella II 38:g,t:-</v>
      </c>
      <c r="B6592" t="str">
        <f ca="1">IFERROR(__xludf.DUMMYFUNCTION("""COMPUTED_VALUE"""),"RF-00001834-MCG")</f>
        <v>RF-00001834-MCG</v>
      </c>
    </row>
    <row r="6593" spans="1:2" ht="12.5" x14ac:dyDescent="0.25">
      <c r="A6593" t="str">
        <f ca="1">IFERROR(__xludf.DUMMYFUNCTION("""COMPUTED_VALUE"""),"Salmonella II 39:l,z28:e,n,x")</f>
        <v>Salmonella II 39:l,z28:e,n,x</v>
      </c>
      <c r="B6593" t="str">
        <f ca="1">IFERROR(__xludf.DUMMYFUNCTION("""COMPUTED_VALUE"""),"RF-00001835-MCG")</f>
        <v>RF-00001835-MCG</v>
      </c>
    </row>
    <row r="6594" spans="1:2" ht="12.5" x14ac:dyDescent="0.25">
      <c r="A6594" t="str">
        <f ca="1">IFERROR(__xludf.DUMMYFUNCTION("""COMPUTED_VALUE"""),"Salmonella II 4,12:d:e,n,x")</f>
        <v>Salmonella II 4,12:d:e,n,x</v>
      </c>
      <c r="B6594" t="str">
        <f ca="1">IFERROR(__xludf.DUMMYFUNCTION("""COMPUTED_VALUE"""),"RF-00001889-MCG")</f>
        <v>RF-00001889-MCG</v>
      </c>
    </row>
    <row r="6595" spans="1:2" ht="12.5" x14ac:dyDescent="0.25">
      <c r="A6595" t="str">
        <f ca="1">IFERROR(__xludf.DUMMYFUNCTION("""COMPUTED_VALUE"""),"Salmonella II 4,12:l,w:e,n,x")</f>
        <v>Salmonella II 4,12:l,w:e,n,x</v>
      </c>
      <c r="B6595" t="str">
        <f ca="1">IFERROR(__xludf.DUMMYFUNCTION("""COMPUTED_VALUE"""),"RF-00001907-MCG")</f>
        <v>RF-00001907-MCG</v>
      </c>
    </row>
    <row r="6596" spans="1:2" ht="12.5" x14ac:dyDescent="0.25">
      <c r="A6596" t="str">
        <f ca="1">IFERROR(__xludf.DUMMYFUNCTION("""COMPUTED_VALUE"""),"Salmonella II 40:a:z39")</f>
        <v>Salmonella II 40:a:z39</v>
      </c>
      <c r="B6596" t="str">
        <f ca="1">IFERROR(__xludf.DUMMYFUNCTION("""COMPUTED_VALUE"""),"RF-00001866-MCG")</f>
        <v>RF-00001866-MCG</v>
      </c>
    </row>
    <row r="6597" spans="1:2" ht="12.5" x14ac:dyDescent="0.25">
      <c r="A6597" t="str">
        <f ca="1">IFERROR(__xludf.DUMMYFUNCTION("""COMPUTED_VALUE"""),"Salmonella II 40:d:-")</f>
        <v>Salmonella II 40:d:-</v>
      </c>
      <c r="B6597" t="str">
        <f ca="1">IFERROR(__xludf.DUMMYFUNCTION("""COMPUTED_VALUE"""),"RF-00001852-MCG")</f>
        <v>RF-00001852-MCG</v>
      </c>
    </row>
    <row r="6598" spans="1:2" ht="12.5" x14ac:dyDescent="0.25">
      <c r="A6598" t="str">
        <f ca="1">IFERROR(__xludf.DUMMYFUNCTION("""COMPUTED_VALUE"""),"Salmonella II 40:g,m,s,t:e,n,x")</f>
        <v>Salmonella II 40:g,m,s,t:e,n,x</v>
      </c>
      <c r="B6598" t="str">
        <f ca="1">IFERROR(__xludf.DUMMYFUNCTION("""COMPUTED_VALUE"""),"RF-00002094-MCG")</f>
        <v>RF-00002094-MCG</v>
      </c>
    </row>
    <row r="6599" spans="1:2" ht="12.5" x14ac:dyDescent="0.25">
      <c r="A6599" t="str">
        <f ca="1">IFERROR(__xludf.DUMMYFUNCTION("""COMPUTED_VALUE"""),"Salmonella II 40:z4,z24:z39")</f>
        <v>Salmonella II 40:z4,z24:z39</v>
      </c>
      <c r="B6599" t="str">
        <f ca="1">IFERROR(__xludf.DUMMYFUNCTION("""COMPUTED_VALUE"""),"RF-00002087-MCG")</f>
        <v>RF-00002087-MCG</v>
      </c>
    </row>
    <row r="6600" spans="1:2" ht="12.5" x14ac:dyDescent="0.25">
      <c r="A6600" t="str">
        <f ca="1">IFERROR(__xludf.DUMMYFUNCTION("""COMPUTED_VALUE"""),"Salmonella II 41:d:z6")</f>
        <v>Salmonella II 41:d:z6</v>
      </c>
      <c r="B6600" t="str">
        <f ca="1">IFERROR(__xludf.DUMMYFUNCTION("""COMPUTED_VALUE"""),"RF-00002128-MCG")</f>
        <v>RF-00002128-MCG</v>
      </c>
    </row>
    <row r="6601" spans="1:2" ht="12.5" x14ac:dyDescent="0.25">
      <c r="A6601" t="str">
        <f ca="1">IFERROR(__xludf.DUMMYFUNCTION("""COMPUTED_VALUE"""),"Salmonella II 41:g,t:-")</f>
        <v>Salmonella II 41:g,t:-</v>
      </c>
      <c r="B6601" t="str">
        <f ca="1">IFERROR(__xludf.DUMMYFUNCTION("""COMPUTED_VALUE"""),"RF-00002123-MCG")</f>
        <v>RF-00002123-MCG</v>
      </c>
    </row>
    <row r="6602" spans="1:2" ht="12.5" x14ac:dyDescent="0.25">
      <c r="A6602" t="str">
        <f ca="1">IFERROR(__xludf.DUMMYFUNCTION("""COMPUTED_VALUE"""),"Salmonella II 41:z:1,5")</f>
        <v>Salmonella II 41:z:1,5</v>
      </c>
      <c r="B6602" t="str">
        <f ca="1">IFERROR(__xludf.DUMMYFUNCTION("""COMPUTED_VALUE"""),"RF-00002124-MCG")</f>
        <v>RF-00002124-MCG</v>
      </c>
    </row>
    <row r="6603" spans="1:2" ht="12.5" x14ac:dyDescent="0.25">
      <c r="A6603" t="str">
        <f ca="1">IFERROR(__xludf.DUMMYFUNCTION("""COMPUTED_VALUE"""),"Salmonella II 41:z10:1,2")</f>
        <v>Salmonella II 41:z10:1,2</v>
      </c>
      <c r="B6603" t="str">
        <f ca="1">IFERROR(__xludf.DUMMYFUNCTION("""COMPUTED_VALUE"""),"RF-00002130-MCG")</f>
        <v>RF-00002130-MCG</v>
      </c>
    </row>
    <row r="6604" spans="1:2" ht="12.5" x14ac:dyDescent="0.25">
      <c r="A6604" t="str">
        <f ca="1">IFERROR(__xludf.DUMMYFUNCTION("""COMPUTED_VALUE"""),"Salmonella II 41:z10:e,n,x,z15")</f>
        <v>Salmonella II 41:z10:e,n,x,z15</v>
      </c>
      <c r="B6604" t="str">
        <f ca="1">IFERROR(__xludf.DUMMYFUNCTION("""COMPUTED_VALUE"""),"RF-00002131-MCG")</f>
        <v>RF-00002131-MCG</v>
      </c>
    </row>
    <row r="6605" spans="1:2" ht="12.5" x14ac:dyDescent="0.25">
      <c r="A6605" t="str">
        <f ca="1">IFERROR(__xludf.DUMMYFUNCTION("""COMPUTED_VALUE"""),"Salmonella II 41:z10:z6")</f>
        <v>Salmonella II 41:z10:z6</v>
      </c>
      <c r="B6605" t="str">
        <f ca="1">IFERROR(__xludf.DUMMYFUNCTION("""COMPUTED_VALUE"""),"RF-00002132-MCG")</f>
        <v>RF-00002132-MCG</v>
      </c>
    </row>
    <row r="6606" spans="1:2" ht="12.5" x14ac:dyDescent="0.25">
      <c r="A6606" t="str">
        <f ca="1">IFERROR(__xludf.DUMMYFUNCTION("""COMPUTED_VALUE"""),"Salmonella II 42:b:1,5")</f>
        <v>Salmonella II 42:b:1,5</v>
      </c>
      <c r="B6606" t="str">
        <f ca="1">IFERROR(__xludf.DUMMYFUNCTION("""COMPUTED_VALUE"""),"RF-00002111-MCG")</f>
        <v>RF-00002111-MCG</v>
      </c>
    </row>
    <row r="6607" spans="1:2" ht="12.5" x14ac:dyDescent="0.25">
      <c r="A6607" t="str">
        <f ca="1">IFERROR(__xludf.DUMMYFUNCTION("""COMPUTED_VALUE"""),"Salmonella II 42:b:e,n,x,z15")</f>
        <v>Salmonella II 42:b:e,n,x,z15</v>
      </c>
      <c r="B6607" t="str">
        <f ca="1">IFERROR(__xludf.DUMMYFUNCTION("""COMPUTED_VALUE"""),"RF-00002072-MCG")</f>
        <v>RF-00002072-MCG</v>
      </c>
    </row>
    <row r="6608" spans="1:2" ht="12.5" x14ac:dyDescent="0.25">
      <c r="A6608" t="str">
        <f ca="1">IFERROR(__xludf.DUMMYFUNCTION("""COMPUTED_VALUE"""),"Salmonella II 42:g,t:-")</f>
        <v>Salmonella II 42:g,t:-</v>
      </c>
      <c r="B6608" t="str">
        <f ca="1">IFERROR(__xludf.DUMMYFUNCTION("""COMPUTED_VALUE"""),"RF-00002061-MCG")</f>
        <v>RF-00002061-MCG</v>
      </c>
    </row>
    <row r="6609" spans="1:2" ht="12.5" x14ac:dyDescent="0.25">
      <c r="A6609" t="str">
        <f ca="1">IFERROR(__xludf.DUMMYFUNCTION("""COMPUTED_VALUE"""),"Salmonella II 42:l,v:e,n,x,z15")</f>
        <v>Salmonella II 42:l,v:e,n,x,z15</v>
      </c>
      <c r="B6609" t="str">
        <f ca="1">IFERROR(__xludf.DUMMYFUNCTION("""COMPUTED_VALUE"""),"RF-00002060-MCG")</f>
        <v>RF-00002060-MCG</v>
      </c>
    </row>
    <row r="6610" spans="1:2" ht="12.5" x14ac:dyDescent="0.25">
      <c r="A6610" t="str">
        <f ca="1">IFERROR(__xludf.DUMMYFUNCTION("""COMPUTED_VALUE"""),"Salmonella II 42:r:-")</f>
        <v>Salmonella II 42:r:-</v>
      </c>
      <c r="B6610" t="str">
        <f ca="1">IFERROR(__xludf.DUMMYFUNCTION("""COMPUTED_VALUE"""),"RF-00002059-MCG")</f>
        <v>RF-00002059-MCG</v>
      </c>
    </row>
    <row r="6611" spans="1:2" ht="12.5" x14ac:dyDescent="0.25">
      <c r="A6611" t="str">
        <f ca="1">IFERROR(__xludf.DUMMYFUNCTION("""COMPUTED_VALUE"""),"Salmonella II 42:z:1,5")</f>
        <v>Salmonella II 42:z:1,5</v>
      </c>
      <c r="B6611" t="str">
        <f ca="1">IFERROR(__xludf.DUMMYFUNCTION("""COMPUTED_VALUE"""),"RF-00002078-MCG")</f>
        <v>RF-00002078-MCG</v>
      </c>
    </row>
    <row r="6612" spans="1:2" ht="12.5" x14ac:dyDescent="0.25">
      <c r="A6612" t="str">
        <f ca="1">IFERROR(__xludf.DUMMYFUNCTION("""COMPUTED_VALUE"""),"Salmonella II 42:z:e,n,x,z15")</f>
        <v>Salmonella II 42:z:e,n,x,z15</v>
      </c>
      <c r="B6612" t="str">
        <f ca="1">IFERROR(__xludf.DUMMYFUNCTION("""COMPUTED_VALUE"""),"RF-00002056-MCG")</f>
        <v>RF-00002056-MCG</v>
      </c>
    </row>
    <row r="6613" spans="1:2" ht="12.5" x14ac:dyDescent="0.25">
      <c r="A6613" t="str">
        <f ca="1">IFERROR(__xludf.DUMMYFUNCTION("""COMPUTED_VALUE"""),"Salmonella II 42:z:z6")</f>
        <v>Salmonella II 42:z:z6</v>
      </c>
      <c r="B6613" t="str">
        <f ca="1">IFERROR(__xludf.DUMMYFUNCTION("""COMPUTED_VALUE"""),"RF-00001556-MCG")</f>
        <v>RF-00001556-MCG</v>
      </c>
    </row>
    <row r="6614" spans="1:2" ht="12.5" x14ac:dyDescent="0.25">
      <c r="A6614" t="str">
        <f ca="1">IFERROR(__xludf.DUMMYFUNCTION("""COMPUTED_VALUE"""),"Salmonella II 43:b:z42")</f>
        <v>Salmonella II 43:b:z42</v>
      </c>
      <c r="B6614" t="str">
        <f ca="1">IFERROR(__xludf.DUMMYFUNCTION("""COMPUTED_VALUE"""),"RF-00000616-MCG")</f>
        <v>RF-00000616-MCG</v>
      </c>
    </row>
    <row r="6615" spans="1:2" ht="12.5" x14ac:dyDescent="0.25">
      <c r="A6615" t="str">
        <f ca="1">IFERROR(__xludf.DUMMYFUNCTION("""COMPUTED_VALUE"""),"Salmonella II 43:g,t:-")</f>
        <v>Salmonella II 43:g,t:-</v>
      </c>
      <c r="B6615" t="str">
        <f ca="1">IFERROR(__xludf.DUMMYFUNCTION("""COMPUTED_VALUE"""),"RF-00000833-MCG")</f>
        <v>RF-00000833-MCG</v>
      </c>
    </row>
    <row r="6616" spans="1:2" ht="12.5" x14ac:dyDescent="0.25">
      <c r="A6616" t="str">
        <f ca="1">IFERROR(__xludf.DUMMYFUNCTION("""COMPUTED_VALUE"""),"Salmonella II 43:z29:z42")</f>
        <v>Salmonella II 43:z29:z42</v>
      </c>
      <c r="B6616" t="str">
        <f ca="1">IFERROR(__xludf.DUMMYFUNCTION("""COMPUTED_VALUE"""),"RF-00000832-MCG")</f>
        <v>RF-00000832-MCG</v>
      </c>
    </row>
    <row r="6617" spans="1:2" ht="12.5" x14ac:dyDescent="0.25">
      <c r="A6617" t="str">
        <f ca="1">IFERROR(__xludf.DUMMYFUNCTION("""COMPUTED_VALUE"""),"Salmonella II 45:a:z10")</f>
        <v>Salmonella II 45:a:z10</v>
      </c>
      <c r="B6617" t="str">
        <f ca="1">IFERROR(__xludf.DUMMYFUNCTION("""COMPUTED_VALUE"""),"RF-00000831-MCG")</f>
        <v>RF-00000831-MCG</v>
      </c>
    </row>
    <row r="6618" spans="1:2" ht="12.5" x14ac:dyDescent="0.25">
      <c r="A6618" t="str">
        <f ca="1">IFERROR(__xludf.DUMMYFUNCTION("""COMPUTED_VALUE"""),"Salmonella II 45:g,m,s,t:1,5")</f>
        <v>Salmonella II 45:g,m,s,t:1,5</v>
      </c>
      <c r="B6618" t="str">
        <f ca="1">IFERROR(__xludf.DUMMYFUNCTION("""COMPUTED_VALUE"""),"RF-00000830-MCG")</f>
        <v>RF-00000830-MCG</v>
      </c>
    </row>
    <row r="6619" spans="1:2" ht="12.5" x14ac:dyDescent="0.25">
      <c r="A6619" t="str">
        <f ca="1">IFERROR(__xludf.DUMMYFUNCTION("""COMPUTED_VALUE"""),"Salmonella II 45:g,m,s,t:e,n,x")</f>
        <v>Salmonella II 45:g,m,s,t:e,n,x</v>
      </c>
      <c r="B6619" t="str">
        <f ca="1">IFERROR(__xludf.DUMMYFUNCTION("""COMPUTED_VALUE"""),"RF-00000829-MCG")</f>
        <v>RF-00000829-MCG</v>
      </c>
    </row>
    <row r="6620" spans="1:2" ht="12.5" x14ac:dyDescent="0.25">
      <c r="A6620" t="str">
        <f ca="1">IFERROR(__xludf.DUMMYFUNCTION("""COMPUTED_VALUE"""),"Salmonella II 45:g,m,t:e,n,x,z15")</f>
        <v>Salmonella II 45:g,m,t:e,n,x,z15</v>
      </c>
      <c r="B6620" t="str">
        <f ca="1">IFERROR(__xludf.DUMMYFUNCTION("""COMPUTED_VALUE"""),"RF-00002034-MCG")</f>
        <v>RF-00002034-MCG</v>
      </c>
    </row>
    <row r="6621" spans="1:2" ht="12.5" x14ac:dyDescent="0.25">
      <c r="A6621" t="str">
        <f ca="1">IFERROR(__xludf.DUMMYFUNCTION("""COMPUTED_VALUE"""),"Salmonella II 45:z:z39")</f>
        <v>Salmonella II 45:z:z39</v>
      </c>
      <c r="B6621" t="str">
        <f ca="1">IFERROR(__xludf.DUMMYFUNCTION("""COMPUTED_VALUE"""),"RF-00002035-MCG")</f>
        <v>RF-00002035-MCG</v>
      </c>
    </row>
    <row r="6622" spans="1:2" ht="12.5" x14ac:dyDescent="0.25">
      <c r="A6622" t="str">
        <f ca="1">IFERROR(__xludf.DUMMYFUNCTION("""COMPUTED_VALUE"""),"Salmonella II 47:b:1,5")</f>
        <v>Salmonella II 47:b:1,5</v>
      </c>
      <c r="B6622" t="str">
        <f ca="1">IFERROR(__xludf.DUMMYFUNCTION("""COMPUTED_VALUE"""),"RF-00002036-MCG")</f>
        <v>RF-00002036-MCG</v>
      </c>
    </row>
    <row r="6623" spans="1:2" ht="12.5" x14ac:dyDescent="0.25">
      <c r="A6623" t="str">
        <f ca="1">IFERROR(__xludf.DUMMYFUNCTION("""COMPUTED_VALUE"""),"Salmonella II 47:b:e,n,x,z15")</f>
        <v>Salmonella II 47:b:e,n,x,z15</v>
      </c>
      <c r="B6623" t="str">
        <f ca="1">IFERROR(__xludf.DUMMYFUNCTION("""COMPUTED_VALUE"""),"RF-00002037-MCG")</f>
        <v>RF-00002037-MCG</v>
      </c>
    </row>
    <row r="6624" spans="1:2" ht="12.5" x14ac:dyDescent="0.25">
      <c r="A6624" t="str">
        <f ca="1">IFERROR(__xludf.DUMMYFUNCTION("""COMPUTED_VALUE"""),"Salmonella II 47:d:z39")</f>
        <v>Salmonella II 47:d:z39</v>
      </c>
      <c r="B6624" t="str">
        <f ca="1">IFERROR(__xludf.DUMMYFUNCTION("""COMPUTED_VALUE"""),"RF-00002038-MCG")</f>
        <v>RF-00002038-MCG</v>
      </c>
    </row>
    <row r="6625" spans="1:2" ht="12.5" x14ac:dyDescent="0.25">
      <c r="A6625" t="str">
        <f ca="1">IFERROR(__xludf.DUMMYFUNCTION("""COMPUTED_VALUE"""),"Salmonella II 47:z:z6")</f>
        <v>Salmonella II 47:z:z6</v>
      </c>
      <c r="B6625" t="str">
        <f ca="1">IFERROR(__xludf.DUMMYFUNCTION("""COMPUTED_VALUE"""),"RF-00002039-MCG")</f>
        <v>RF-00002039-MCG</v>
      </c>
    </row>
    <row r="6626" spans="1:2" ht="12.5" x14ac:dyDescent="0.25">
      <c r="A6626" t="str">
        <f ca="1">IFERROR(__xludf.DUMMYFUNCTION("""COMPUTED_VALUE"""),"Salmonella II 48:d:1,2")</f>
        <v>Salmonella II 48:d:1,2</v>
      </c>
      <c r="B6626" t="str">
        <f ca="1">IFERROR(__xludf.DUMMYFUNCTION("""COMPUTED_VALUE"""),"RF-00002054-MCG")</f>
        <v>RF-00002054-MCG</v>
      </c>
    </row>
    <row r="6627" spans="1:2" ht="12.5" x14ac:dyDescent="0.25">
      <c r="A6627" t="str">
        <f ca="1">IFERROR(__xludf.DUMMYFUNCTION("""COMPUTED_VALUE"""),"Salmonella II 48:d:z6")</f>
        <v>Salmonella II 48:d:z6</v>
      </c>
      <c r="B6627" t="str">
        <f ca="1">IFERROR(__xludf.DUMMYFUNCTION("""COMPUTED_VALUE"""),"RF-00002041-MCG")</f>
        <v>RF-00002041-MCG</v>
      </c>
    </row>
    <row r="6628" spans="1:2" ht="12.5" x14ac:dyDescent="0.25">
      <c r="A6628" t="str">
        <f ca="1">IFERROR(__xludf.DUMMYFUNCTION("""COMPUTED_VALUE"""),"Salmonella II 48:e,n,x,z15:z6")</f>
        <v>Salmonella II 48:e,n,x,z15:z6</v>
      </c>
      <c r="B6628" t="str">
        <f ca="1">IFERROR(__xludf.DUMMYFUNCTION("""COMPUTED_VALUE"""),"RF-00002028-MCG")</f>
        <v>RF-00002028-MCG</v>
      </c>
    </row>
    <row r="6629" spans="1:2" ht="12.5" x14ac:dyDescent="0.25">
      <c r="A6629" t="str">
        <f ca="1">IFERROR(__xludf.DUMMYFUNCTION("""COMPUTED_VALUE"""),"Salmonella II 48:g,m,t:-")</f>
        <v>Salmonella II 48:g,m,t:-</v>
      </c>
      <c r="B6629" t="str">
        <f ca="1">IFERROR(__xludf.DUMMYFUNCTION("""COMPUTED_VALUE"""),"RF-00002043-MCG")</f>
        <v>RF-00002043-MCG</v>
      </c>
    </row>
    <row r="6630" spans="1:2" ht="12.5" x14ac:dyDescent="0.25">
      <c r="A6630" t="str">
        <f ca="1">IFERROR(__xludf.DUMMYFUNCTION("""COMPUTED_VALUE"""),"Salmonella II 48:k:z39")</f>
        <v>Salmonella II 48:k:z39</v>
      </c>
      <c r="B6630" t="str">
        <f ca="1">IFERROR(__xludf.DUMMYFUNCTION("""COMPUTED_VALUE"""),"RF-00002044-MCG")</f>
        <v>RF-00002044-MCG</v>
      </c>
    </row>
    <row r="6631" spans="1:2" ht="12.5" x14ac:dyDescent="0.25">
      <c r="A6631" t="str">
        <f ca="1">IFERROR(__xludf.DUMMYFUNCTION("""COMPUTED_VALUE"""),"Salmonella II 50:e,n,x:1,7")</f>
        <v>Salmonella II 50:e,n,x:1,7</v>
      </c>
      <c r="B6631" t="str">
        <f ca="1">IFERROR(__xludf.DUMMYFUNCTION("""COMPUTED_VALUE"""),"RF-00002045-MCG")</f>
        <v>RF-00002045-MCG</v>
      </c>
    </row>
    <row r="6632" spans="1:2" ht="12.5" x14ac:dyDescent="0.25">
      <c r="A6632" t="str">
        <f ca="1">IFERROR(__xludf.DUMMYFUNCTION("""COMPUTED_VALUE"""),"Salmonella II 50:k:z6")</f>
        <v>Salmonella II 50:k:z6</v>
      </c>
      <c r="B6632" t="str">
        <f ca="1">IFERROR(__xludf.DUMMYFUNCTION("""COMPUTED_VALUE"""),"RF-00002046-MCG")</f>
        <v>RF-00002046-MCG</v>
      </c>
    </row>
    <row r="6633" spans="1:2" ht="12.5" x14ac:dyDescent="0.25">
      <c r="A6633" t="str">
        <f ca="1">IFERROR(__xludf.DUMMYFUNCTION("""COMPUTED_VALUE"""),"Salmonella II 50:m,t:z6:z42")</f>
        <v>Salmonella II 50:m,t:z6:z42</v>
      </c>
      <c r="B6633" t="str">
        <f ca="1">IFERROR(__xludf.DUMMYFUNCTION("""COMPUTED_VALUE"""),"RF-00002047-MCG")</f>
        <v>RF-00002047-MCG</v>
      </c>
    </row>
    <row r="6634" spans="1:2" ht="12.5" x14ac:dyDescent="0.25">
      <c r="A6634" t="str">
        <f ca="1">IFERROR(__xludf.DUMMYFUNCTION("""COMPUTED_VALUE"""),"Salmonella II 50:z:e,n,x")</f>
        <v>Salmonella II 50:z:e,n,x</v>
      </c>
      <c r="B6634" t="str">
        <f ca="1">IFERROR(__xludf.DUMMYFUNCTION("""COMPUTED_VALUE"""),"RF-00002048-MCG")</f>
        <v>RF-00002048-MCG</v>
      </c>
    </row>
    <row r="6635" spans="1:2" ht="12.5" x14ac:dyDescent="0.25">
      <c r="A6635" t="str">
        <f ca="1">IFERROR(__xludf.DUMMYFUNCTION("""COMPUTED_VALUE"""),"Salmonella II 50:z10:z6:z42")</f>
        <v>Salmonella II 50:z10:z6:z42</v>
      </c>
      <c r="B6635" t="str">
        <f ca="1">IFERROR(__xludf.DUMMYFUNCTION("""COMPUTED_VALUE"""),"RF-00002049-MCG")</f>
        <v>RF-00002049-MCG</v>
      </c>
    </row>
    <row r="6636" spans="1:2" ht="12.5" x14ac:dyDescent="0.25">
      <c r="A6636" t="str">
        <f ca="1">IFERROR(__xludf.DUMMYFUNCTION("""COMPUTED_VALUE"""),"Salmonella II 50:z42:1,7")</f>
        <v>Salmonella II 50:z42:1,7</v>
      </c>
      <c r="B6636" t="str">
        <f ca="1">IFERROR(__xludf.DUMMYFUNCTION("""COMPUTED_VALUE"""),"RF-00002050-MCG")</f>
        <v>RF-00002050-MCG</v>
      </c>
    </row>
    <row r="6637" spans="1:2" ht="12.5" x14ac:dyDescent="0.25">
      <c r="A6637" t="str">
        <f ca="1">IFERROR(__xludf.DUMMYFUNCTION("""COMPUTED_VALUE"""),"Salmonella II 51:-:1,7")</f>
        <v>Salmonella II 51:-:1,7</v>
      </c>
      <c r="B6637" t="str">
        <f ca="1">IFERROR(__xludf.DUMMYFUNCTION("""COMPUTED_VALUE"""),"RF-00002051-MCG")</f>
        <v>RF-00002051-MCG</v>
      </c>
    </row>
    <row r="6638" spans="1:2" ht="12.5" x14ac:dyDescent="0.25">
      <c r="A6638" t="str">
        <f ca="1">IFERROR(__xludf.DUMMYFUNCTION("""COMPUTED_VALUE"""),"Salmonella II 52:z44:1,5,7")</f>
        <v>Salmonella II 52:z44:1,5,7</v>
      </c>
      <c r="B6638" t="str">
        <f ca="1">IFERROR(__xludf.DUMMYFUNCTION("""COMPUTED_VALUE"""),"RF-00002052-MCG")</f>
        <v>RF-00002052-MCG</v>
      </c>
    </row>
    <row r="6639" spans="1:2" ht="12.5" x14ac:dyDescent="0.25">
      <c r="A6639" t="str">
        <f ca="1">IFERROR(__xludf.DUMMYFUNCTION("""COMPUTED_VALUE"""),"Salmonella II 53:l,z28:z39")</f>
        <v>Salmonella II 53:l,z28:z39</v>
      </c>
      <c r="B6639" t="str">
        <f ca="1">IFERROR(__xludf.DUMMYFUNCTION("""COMPUTED_VALUE"""),"RF-00002053-MCG")</f>
        <v>RF-00002053-MCG</v>
      </c>
    </row>
    <row r="6640" spans="1:2" ht="12.5" x14ac:dyDescent="0.25">
      <c r="A6640" t="str">
        <f ca="1">IFERROR(__xludf.DUMMYFUNCTION("""COMPUTED_VALUE"""),"Salmonella II 53:z4,z24:-")</f>
        <v>Salmonella II 53:z4,z24:-</v>
      </c>
      <c r="B6640" t="str">
        <f ca="1">IFERROR(__xludf.DUMMYFUNCTION("""COMPUTED_VALUE"""),"RF-00002029-MCG")</f>
        <v>RF-00002029-MCG</v>
      </c>
    </row>
    <row r="6641" spans="1:2" ht="12.5" x14ac:dyDescent="0.25">
      <c r="A6641" t="str">
        <f ca="1">IFERROR(__xludf.DUMMYFUNCTION("""COMPUTED_VALUE"""),"Salmonella II 55:k:z39")</f>
        <v>Salmonella II 55:k:z39</v>
      </c>
      <c r="B6641" t="str">
        <f ca="1">IFERROR(__xludf.DUMMYFUNCTION("""COMPUTED_VALUE"""),"RF-00002103-MCG")</f>
        <v>RF-00002103-MCG</v>
      </c>
    </row>
    <row r="6642" spans="1:2" ht="12.5" x14ac:dyDescent="0.25">
      <c r="A6642" t="str">
        <f ca="1">IFERROR(__xludf.DUMMYFUNCTION("""COMPUTED_VALUE"""),"Salmonella II 56:b:-")</f>
        <v>Salmonella II 56:b:-</v>
      </c>
      <c r="B6642" t="str">
        <f ca="1">IFERROR(__xludf.DUMMYFUNCTION("""COMPUTED_VALUE"""),"RF-00002129-MCG")</f>
        <v>RF-00002129-MCG</v>
      </c>
    </row>
    <row r="6643" spans="1:2" ht="12.5" x14ac:dyDescent="0.25">
      <c r="A6643" t="str">
        <f ca="1">IFERROR(__xludf.DUMMYFUNCTION("""COMPUTED_VALUE"""),"Salmonella II 57:z29:z42")</f>
        <v>Salmonella II 57:z29:z42</v>
      </c>
      <c r="B6643" t="str">
        <f ca="1">IFERROR(__xludf.DUMMYFUNCTION("""COMPUTED_VALUE"""),"RF-00002122-MCG")</f>
        <v>RF-00002122-MCG</v>
      </c>
    </row>
    <row r="6644" spans="1:2" ht="12.5" x14ac:dyDescent="0.25">
      <c r="A6644" t="str">
        <f ca="1">IFERROR(__xludf.DUMMYFUNCTION("""COMPUTED_VALUE"""),"Salmonella II 57:z39:e,n,x,z15")</f>
        <v>Salmonella II 57:z39:e,n,x,z15</v>
      </c>
      <c r="B6644" t="str">
        <f ca="1">IFERROR(__xludf.DUMMYFUNCTION("""COMPUTED_VALUE"""),"RF-00002109-MCG")</f>
        <v>RF-00002109-MCG</v>
      </c>
    </row>
    <row r="6645" spans="1:2" ht="12.5" x14ac:dyDescent="0.25">
      <c r="A6645" t="str">
        <f ca="1">IFERROR(__xludf.DUMMYFUNCTION("""COMPUTED_VALUE"""),"Salmonella II 57:z42:1,6:z53")</f>
        <v>Salmonella II 57:z42:1,6:z53</v>
      </c>
      <c r="B6645" t="str">
        <f ca="1">IFERROR(__xludf.DUMMYFUNCTION("""COMPUTED_VALUE"""),"RF-00002110-MCG")</f>
        <v>RF-00002110-MCG</v>
      </c>
    </row>
    <row r="6646" spans="1:2" ht="12.5" x14ac:dyDescent="0.25">
      <c r="A6646" t="str">
        <f ca="1">IFERROR(__xludf.DUMMYFUNCTION("""COMPUTED_VALUE"""),"Salmonella II 58:1,z,13,z28:z6")</f>
        <v>Salmonella II 58:1,z,13,z28:z6</v>
      </c>
      <c r="B6646" t="str">
        <f ca="1">IFERROR(__xludf.DUMMYFUNCTION("""COMPUTED_VALUE"""),"RF-00002117-MCG")</f>
        <v>RF-00002117-MCG</v>
      </c>
    </row>
    <row r="6647" spans="1:2" ht="12.5" x14ac:dyDescent="0.25">
      <c r="A6647" t="str">
        <f ca="1">IFERROR(__xludf.DUMMYFUNCTION("""COMPUTED_VALUE"""),"Salmonella II 58:d:z6")</f>
        <v>Salmonella II 58:d:z6</v>
      </c>
      <c r="B6647" t="str">
        <f ca="1">IFERROR(__xludf.DUMMYFUNCTION("""COMPUTED_VALUE"""),"RF-00002114-MCG")</f>
        <v>RF-00002114-MCG</v>
      </c>
    </row>
    <row r="6648" spans="1:2" ht="12.5" x14ac:dyDescent="0.25">
      <c r="A6648" t="str">
        <f ca="1">IFERROR(__xludf.DUMMYFUNCTION("""COMPUTED_VALUE"""),"Salmonella II 58:l,z13,z28:1,5")</f>
        <v>Salmonella II 58:l,z13,z28:1,5</v>
      </c>
      <c r="B6648" t="str">
        <f ca="1">IFERROR(__xludf.DUMMYFUNCTION("""COMPUTED_VALUE"""),"RF-00002115-MCG")</f>
        <v>RF-00002115-MCG</v>
      </c>
    </row>
    <row r="6649" spans="1:2" ht="12.5" x14ac:dyDescent="0.25">
      <c r="A6649" t="str">
        <f ca="1">IFERROR(__xludf.DUMMYFUNCTION("""COMPUTED_VALUE"""),"Salmonella II 6,7:a:z42")</f>
        <v>Salmonella II 6,7:a:z42</v>
      </c>
      <c r="B6649" t="str">
        <f ca="1">IFERROR(__xludf.DUMMYFUNCTION("""COMPUTED_VALUE"""),"RF-00002125-MCG")</f>
        <v>RF-00002125-MCG</v>
      </c>
    </row>
    <row r="6650" spans="1:2" ht="12.5" x14ac:dyDescent="0.25">
      <c r="A6650" t="str">
        <f ca="1">IFERROR(__xludf.DUMMYFUNCTION("""COMPUTED_VALUE"""),"Salmonella II 6,7:gt:z42")</f>
        <v>Salmonella II 6,7:gt:z42</v>
      </c>
      <c r="B6650" t="str">
        <f ca="1">IFERROR(__xludf.DUMMYFUNCTION("""COMPUTED_VALUE"""),"RF-00002116-MCG")</f>
        <v>RF-00002116-MCG</v>
      </c>
    </row>
    <row r="6651" spans="1:2" ht="12.5" x14ac:dyDescent="0.25">
      <c r="A6651" t="str">
        <f ca="1">IFERROR(__xludf.DUMMYFUNCTION("""COMPUTED_VALUE"""),"Salmonella II 6,7:m,t:-")</f>
        <v>Salmonella II 6,7:m,t:-</v>
      </c>
      <c r="B6651" t="str">
        <f ca="1">IFERROR(__xludf.DUMMYFUNCTION("""COMPUTED_VALUE"""),"RF-00002108-MCG")</f>
        <v>RF-00002108-MCG</v>
      </c>
    </row>
    <row r="6652" spans="1:2" ht="12.5" x14ac:dyDescent="0.25">
      <c r="A6652" t="str">
        <f ca="1">IFERROR(__xludf.DUMMYFUNCTION("""COMPUTED_VALUE"""),"Salmonella II 6,7:z:1,5")</f>
        <v>Salmonella II 6,7:z:1,5</v>
      </c>
      <c r="B6652" t="str">
        <f ca="1">IFERROR(__xludf.DUMMYFUNCTION("""COMPUTED_VALUE"""),"RF-00002118-MCG")</f>
        <v>RF-00002118-MCG</v>
      </c>
    </row>
    <row r="6653" spans="1:2" ht="12.5" x14ac:dyDescent="0.25">
      <c r="A6653" t="str">
        <f ca="1">IFERROR(__xludf.DUMMYFUNCTION("""COMPUTED_VALUE"""),"Salmonella II 6,7:z:1,5:z42")</f>
        <v>Salmonella II 6,7:z:1,5:z42</v>
      </c>
      <c r="B6653" t="str">
        <f ca="1">IFERROR(__xludf.DUMMYFUNCTION("""COMPUTED_VALUE"""),"RF-00002119-MCG")</f>
        <v>RF-00002119-MCG</v>
      </c>
    </row>
    <row r="6654" spans="1:2" ht="12.5" x14ac:dyDescent="0.25">
      <c r="A6654" t="str">
        <f ca="1">IFERROR(__xludf.DUMMYFUNCTION("""COMPUTED_VALUE"""),"Salmonella II 6,7:z:z42")</f>
        <v>Salmonella II 6,7:z:z42</v>
      </c>
      <c r="B6654" t="str">
        <f ca="1">IFERROR(__xludf.DUMMYFUNCTION("""COMPUTED_VALUE"""),"RF-00002120-MCG")</f>
        <v>RF-00002120-MCG</v>
      </c>
    </row>
    <row r="6655" spans="1:2" ht="12.5" x14ac:dyDescent="0.25">
      <c r="A6655" t="str">
        <f ca="1">IFERROR(__xludf.DUMMYFUNCTION("""COMPUTED_VALUE"""),"Salmonella II 6,7:z29:z42")</f>
        <v>Salmonella II 6,7:z29:z42</v>
      </c>
      <c r="B6655" t="str">
        <f ca="1">IFERROR(__xludf.DUMMYFUNCTION("""COMPUTED_VALUE"""),"RF-00002121-MCG")</f>
        <v>RF-00002121-MCG</v>
      </c>
    </row>
    <row r="6656" spans="1:2" ht="12.5" x14ac:dyDescent="0.25">
      <c r="A6656" t="str">
        <f ca="1">IFERROR(__xludf.DUMMYFUNCTION("""COMPUTED_VALUE"""),"Salmonella II 6,7:z36:z42")</f>
        <v>Salmonella II 6,7:z36:z42</v>
      </c>
      <c r="B6656" t="str">
        <f ca="1">IFERROR(__xludf.DUMMYFUNCTION("""COMPUTED_VALUE"""),"RF-00002127-MCG")</f>
        <v>RF-00002127-MCG</v>
      </c>
    </row>
    <row r="6657" spans="1:2" ht="12.5" x14ac:dyDescent="0.25">
      <c r="A6657" t="str">
        <f ca="1">IFERROR(__xludf.DUMMYFUNCTION("""COMPUTED_VALUE"""),"Salmonella II 6,7:z39:1,5,7")</f>
        <v>Salmonella II 6,7:z39:1,5,7</v>
      </c>
      <c r="B6657" t="str">
        <f ca="1">IFERROR(__xludf.DUMMYFUNCTION("""COMPUTED_VALUE"""),"RF-00002134-MCG")</f>
        <v>RF-00002134-MCG</v>
      </c>
    </row>
    <row r="6658" spans="1:2" ht="12.5" x14ac:dyDescent="0.25">
      <c r="A6658" t="str">
        <f ca="1">IFERROR(__xludf.DUMMYFUNCTION("""COMPUTED_VALUE"""),"Salmonella II 6,7:z42:1,7")</f>
        <v>Salmonella II 6,7:z42:1,7</v>
      </c>
      <c r="B6658" t="str">
        <f ca="1">IFERROR(__xludf.DUMMYFUNCTION("""COMPUTED_VALUE"""),"RF-00002133-MCG")</f>
        <v>RF-00002133-MCG</v>
      </c>
    </row>
    <row r="6659" spans="1:2" ht="12.5" x14ac:dyDescent="0.25">
      <c r="A6659" t="str">
        <f ca="1">IFERROR(__xludf.DUMMYFUNCTION("""COMPUTED_VALUE"""),"Salmonella II 6,7:z6:1,7")</f>
        <v>Salmonella II 6,7:z6:1,7</v>
      </c>
      <c r="B6659" t="str">
        <f ca="1">IFERROR(__xludf.DUMMYFUNCTION("""COMPUTED_VALUE"""),"RF-00002126-MCG")</f>
        <v>RF-00002126-MCG</v>
      </c>
    </row>
    <row r="6660" spans="1:2" ht="12.5" x14ac:dyDescent="0.25">
      <c r="A6660" t="str">
        <f ca="1">IFERROR(__xludf.DUMMYFUNCTION("""COMPUTED_VALUE"""),"Salmonella II 6,8:a:z52")</f>
        <v>Salmonella II 6,8:a:z52</v>
      </c>
      <c r="B6660" t="str">
        <f ca="1">IFERROR(__xludf.DUMMYFUNCTION("""COMPUTED_VALUE"""),"RF-00002113-MCG")</f>
        <v>RF-00002113-MCG</v>
      </c>
    </row>
    <row r="6661" spans="1:2" ht="12.5" x14ac:dyDescent="0.25">
      <c r="A6661" t="str">
        <f ca="1">IFERROR(__xludf.DUMMYFUNCTION("""COMPUTED_VALUE"""),"Salmonella II 6,8:m,t:1,5")</f>
        <v>Salmonella II 6,8:m,t:1,5</v>
      </c>
      <c r="B6661" t="str">
        <f ca="1">IFERROR(__xludf.DUMMYFUNCTION("""COMPUTED_VALUE"""),"RF-00002093-MCG")</f>
        <v>RF-00002093-MCG</v>
      </c>
    </row>
    <row r="6662" spans="1:2" ht="12.5" x14ac:dyDescent="0.25">
      <c r="A6662" t="str">
        <f ca="1">IFERROR(__xludf.DUMMYFUNCTION("""COMPUTED_VALUE"""),"Salmonella II 6,8:m,t:e,n,x")</f>
        <v>Salmonella II 6,8:m,t:e,n,x</v>
      </c>
      <c r="B6662" t="str">
        <f ca="1">IFERROR(__xludf.DUMMYFUNCTION("""COMPUTED_VALUE"""),"RF-00002083-MCG")</f>
        <v>RF-00002083-MCG</v>
      </c>
    </row>
    <row r="6663" spans="1:2" ht="12.5" x14ac:dyDescent="0.25">
      <c r="A6663" t="str">
        <f ca="1">IFERROR(__xludf.DUMMYFUNCTION("""COMPUTED_VALUE"""),"Salmonella II 60:g,m,t:z6")</f>
        <v>Salmonella II 60:g,m,t:z6</v>
      </c>
      <c r="B6663" t="str">
        <f ca="1">IFERROR(__xludf.DUMMYFUNCTION("""COMPUTED_VALUE"""),"RF-00002084-MCG")</f>
        <v>RF-00002084-MCG</v>
      </c>
    </row>
    <row r="6664" spans="1:2" ht="12.5" x14ac:dyDescent="0.25">
      <c r="A6664" t="str">
        <f ca="1">IFERROR(__xludf.DUMMYFUNCTION("""COMPUTED_VALUE"""),"Salmonella II 60:z:e,n,x")</f>
        <v>Salmonella II 60:z:e,n,x</v>
      </c>
      <c r="B6664" t="str">
        <f ca="1">IFERROR(__xludf.DUMMYFUNCTION("""COMPUTED_VALUE"""),"RF-00002085-MCG")</f>
        <v>RF-00002085-MCG</v>
      </c>
    </row>
    <row r="6665" spans="1:2" ht="12.5" x14ac:dyDescent="0.25">
      <c r="A6665" t="str">
        <f ca="1">IFERROR(__xludf.DUMMYFUNCTION("""COMPUTED_VALUE"""),"Salmonella II 9,12:b:e,n,x")</f>
        <v>Salmonella II 9,12:b:e,n,x</v>
      </c>
      <c r="B6665" t="str">
        <f ca="1">IFERROR(__xludf.DUMMYFUNCTION("""COMPUTED_VALUE"""),"RF-00002086-MCG")</f>
        <v>RF-00002086-MCG</v>
      </c>
    </row>
    <row r="6666" spans="1:2" ht="12.5" x14ac:dyDescent="0.25">
      <c r="A6666" t="str">
        <f ca="1">IFERROR(__xludf.DUMMYFUNCTION("""COMPUTED_VALUE"""),"Salmonella II 9,12:d:e,n,x")</f>
        <v>Salmonella II 9,12:d:e,n,x</v>
      </c>
      <c r="B6666" t="str">
        <f ca="1">IFERROR(__xludf.DUMMYFUNCTION("""COMPUTED_VALUE"""),"RF-00002088-MCG")</f>
        <v>RF-00002088-MCG</v>
      </c>
    </row>
    <row r="6667" spans="1:2" ht="12.5" x14ac:dyDescent="0.25">
      <c r="A6667" t="str">
        <f ca="1">IFERROR(__xludf.DUMMYFUNCTION("""COMPUTED_VALUE"""),"Salmonella II 9,12:g,s,t:e,n,x")</f>
        <v>Salmonella II 9,12:g,s,t:e,n,x</v>
      </c>
      <c r="B6667" t="str">
        <f ca="1">IFERROR(__xludf.DUMMYFUNCTION("""COMPUTED_VALUE"""),"RF-00002089-MCG")</f>
        <v>RF-00002089-MCG</v>
      </c>
    </row>
    <row r="6668" spans="1:2" ht="12.5" x14ac:dyDescent="0.25">
      <c r="A6668" t="str">
        <f ca="1">IFERROR(__xludf.DUMMYFUNCTION("""COMPUTED_VALUE"""),"Salmonella II 9,12:z:z39")</f>
        <v>Salmonella II 9,12:z:z39</v>
      </c>
      <c r="B6668" t="str">
        <f ca="1">IFERROR(__xludf.DUMMYFUNCTION("""COMPUTED_VALUE"""),"RF-00002090-MCG")</f>
        <v>RF-00002090-MCG</v>
      </c>
    </row>
    <row r="6669" spans="1:2" ht="12.5" x14ac:dyDescent="0.25">
      <c r="A6669" t="str">
        <f ca="1">IFERROR(__xludf.DUMMYFUNCTION("""COMPUTED_VALUE"""),"Salmonella II 9,12:z29:1,5")</f>
        <v>Salmonella II 9,12:z29:1,5</v>
      </c>
      <c r="B6669" t="str">
        <f ca="1">IFERROR(__xludf.DUMMYFUNCTION("""COMPUTED_VALUE"""),"RF-00002091-MCG")</f>
        <v>RF-00002091-MCG</v>
      </c>
    </row>
    <row r="6670" spans="1:2" ht="12.5" x14ac:dyDescent="0.25">
      <c r="A6670" t="str">
        <f ca="1">IFERROR(__xludf.DUMMYFUNCTION("""COMPUTED_VALUE"""),"Salmonella II 9,46:b:e,n,x")</f>
        <v>Salmonella II 9,46:b:e,n,x</v>
      </c>
      <c r="B6670" t="str">
        <f ca="1">IFERROR(__xludf.DUMMYFUNCTION("""COMPUTED_VALUE"""),"RF-00002092-MCG")</f>
        <v>RF-00002092-MCG</v>
      </c>
    </row>
    <row r="6671" spans="1:2" ht="12.5" x14ac:dyDescent="0.25">
      <c r="A6671" t="str">
        <f ca="1">IFERROR(__xludf.DUMMYFUNCTION("""COMPUTED_VALUE"""),"Salmonella II 9,46:g,m,s,t:e,n,x")</f>
        <v>Salmonella II 9,46:g,m,s,t:e,n,x</v>
      </c>
      <c r="B6671" t="str">
        <f ca="1">IFERROR(__xludf.DUMMYFUNCTION("""COMPUTED_VALUE"""),"RF-00002095-MCG")</f>
        <v>RF-00002095-MCG</v>
      </c>
    </row>
    <row r="6672" spans="1:2" ht="12.5" x14ac:dyDescent="0.25">
      <c r="A6672" t="str">
        <f ca="1">IFERROR(__xludf.DUMMYFUNCTION("""COMPUTED_VALUE"""),"Salmonella II 9,46:z:e,n,x")</f>
        <v>Salmonella II 9,46:z:e,n,x</v>
      </c>
      <c r="B6672" t="str">
        <f ca="1">IFERROR(__xludf.DUMMYFUNCTION("""COMPUTED_VALUE"""),"RF-00002107-MCG")</f>
        <v>RF-00002107-MCG</v>
      </c>
    </row>
    <row r="6673" spans="1:2" ht="12.5" x14ac:dyDescent="0.25">
      <c r="A6673" t="str">
        <f ca="1">IFERROR(__xludf.DUMMYFUNCTION("""COMPUTED_VALUE"""),"Salmonella II 9,46:z4,z24:z39:z42")</f>
        <v>Salmonella II 9,46:z4,z24:z39:z42</v>
      </c>
      <c r="B6673" t="str">
        <f ca="1">IFERROR(__xludf.DUMMYFUNCTION("""COMPUTED_VALUE"""),"RF-00002112-MCG")</f>
        <v>RF-00002112-MCG</v>
      </c>
    </row>
    <row r="6674" spans="1:2" ht="12.5" x14ac:dyDescent="0.25">
      <c r="A6674" t="str">
        <f ca="1">IFERROR(__xludf.DUMMYFUNCTION("""COMPUTED_VALUE"""),"Salmonella IIb:k:1,5,7")</f>
        <v>Salmonella IIb:k:1,5,7</v>
      </c>
      <c r="B6674" t="str">
        <f ca="1">IFERROR(__xludf.DUMMYFUNCTION("""COMPUTED_VALUE"""),"RF-00002082-MCG")</f>
        <v>RF-00002082-MCG</v>
      </c>
    </row>
    <row r="6675" spans="1:2" ht="12.5" x14ac:dyDescent="0.25">
      <c r="A6675" t="str">
        <f ca="1">IFERROR(__xludf.DUMMYFUNCTION("""COMPUTED_VALUE"""),"Salmonella IIIa")</f>
        <v>Salmonella IIIa</v>
      </c>
      <c r="B6675" t="str">
        <f ca="1">IFERROR(__xludf.DUMMYFUNCTION("""COMPUTED_VALUE"""),"RF-00002096-MCG")</f>
        <v>RF-00002096-MCG</v>
      </c>
    </row>
    <row r="6676" spans="1:2" ht="12.5" x14ac:dyDescent="0.25">
      <c r="A6676" t="str">
        <f ca="1">IFERROR(__xludf.DUMMYFUNCTION("""COMPUTED_VALUE"""),"Salmonella IIIa 18:z4,z32:-")</f>
        <v>Salmonella IIIa 18:z4,z32:-</v>
      </c>
      <c r="B6676" t="str">
        <f ca="1">IFERROR(__xludf.DUMMYFUNCTION("""COMPUTED_VALUE"""),"RF-00002097-MCG")</f>
        <v>RF-00002097-MCG</v>
      </c>
    </row>
    <row r="6677" spans="1:2" ht="12.5" x14ac:dyDescent="0.25">
      <c r="A6677" t="str">
        <f ca="1">IFERROR(__xludf.DUMMYFUNCTION("""COMPUTED_VALUE"""),"Salmonella IIIa 41:z4,z23:-")</f>
        <v>Salmonella IIIa 41:z4,z23:-</v>
      </c>
      <c r="B6677" t="str">
        <f ca="1">IFERROR(__xludf.DUMMYFUNCTION("""COMPUTED_VALUE"""),"RF-00002098-MCG")</f>
        <v>RF-00002098-MCG</v>
      </c>
    </row>
    <row r="6678" spans="1:2" ht="12.5" x14ac:dyDescent="0.25">
      <c r="A6678" t="str">
        <f ca="1">IFERROR(__xludf.DUMMYFUNCTION("""COMPUTED_VALUE"""),"Salmonella IIIa 41:z41,z32:-")</f>
        <v>Salmonella IIIa 41:z41,z32:-</v>
      </c>
      <c r="B6678" t="str">
        <f ca="1">IFERROR(__xludf.DUMMYFUNCTION("""COMPUTED_VALUE"""),"RF-00002099-MCG")</f>
        <v>RF-00002099-MCG</v>
      </c>
    </row>
    <row r="6679" spans="1:2" ht="12.5" x14ac:dyDescent="0.25">
      <c r="A6679" t="str">
        <f ca="1">IFERROR(__xludf.DUMMYFUNCTION("""COMPUTED_VALUE"""),"Salmonella IIIa 44:z4,z24:-")</f>
        <v>Salmonella IIIa 44:z4,z24:-</v>
      </c>
      <c r="B6679" t="str">
        <f ca="1">IFERROR(__xludf.DUMMYFUNCTION("""COMPUTED_VALUE"""),"RF-00002100-MCG")</f>
        <v>RF-00002100-MCG</v>
      </c>
    </row>
    <row r="6680" spans="1:2" ht="12.5" x14ac:dyDescent="0.25">
      <c r="A6680" t="str">
        <f ca="1">IFERROR(__xludf.DUMMYFUNCTION("""COMPUTED_VALUE"""),"Salmonella IIIa 44:z4,z32:-")</f>
        <v>Salmonella IIIa 44:z4,z32:-</v>
      </c>
      <c r="B6680" t="str">
        <f ca="1">IFERROR(__xludf.DUMMYFUNCTION("""COMPUTED_VALUE"""),"RF-00002101-MCG")</f>
        <v>RF-00002101-MCG</v>
      </c>
    </row>
    <row r="6681" spans="1:2" ht="12.5" x14ac:dyDescent="0.25">
      <c r="A6681" t="str">
        <f ca="1">IFERROR(__xludf.DUMMYFUNCTION("""COMPUTED_VALUE"""),"Salmonella IIIa 48:g,z51:-")</f>
        <v>Salmonella IIIa 48:g,z51:-</v>
      </c>
      <c r="B6681" t="str">
        <f ca="1">IFERROR(__xludf.DUMMYFUNCTION("""COMPUTED_VALUE"""),"RF-00002102-MCG")</f>
        <v>RF-00002102-MCG</v>
      </c>
    </row>
    <row r="6682" spans="1:2" ht="12.5" x14ac:dyDescent="0.25">
      <c r="A6682" t="str">
        <f ca="1">IFERROR(__xludf.DUMMYFUNCTION("""COMPUTED_VALUE"""),"Salmonella IIIa 50:-:-")</f>
        <v>Salmonella IIIa 50:-:-</v>
      </c>
      <c r="B6682" t="str">
        <f ca="1">IFERROR(__xludf.DUMMYFUNCTION("""COMPUTED_VALUE"""),"RF-00002106-MCG")</f>
        <v>RF-00002106-MCG</v>
      </c>
    </row>
    <row r="6683" spans="1:2" ht="12.5" x14ac:dyDescent="0.25">
      <c r="A6683" t="str">
        <f ca="1">IFERROR(__xludf.DUMMYFUNCTION("""COMPUTED_VALUE"""),"Salmonella IIIb")</f>
        <v>Salmonella IIIb</v>
      </c>
      <c r="B6683" t="str">
        <f ca="1">IFERROR(__xludf.DUMMYFUNCTION("""COMPUTED_VALUE"""),"RF-00001824-MCG")</f>
        <v>RF-00001824-MCG</v>
      </c>
    </row>
    <row r="6684" spans="1:2" ht="12.5" x14ac:dyDescent="0.25">
      <c r="A6684" t="str">
        <f ca="1">IFERROR(__xludf.DUMMYFUNCTION("""COMPUTED_VALUE"""),"Salmonella IIIb 18:l,v:z")</f>
        <v>Salmonella IIIb 18:l,v:z</v>
      </c>
      <c r="B6684" t="str">
        <f ca="1">IFERROR(__xludf.DUMMYFUNCTION("""COMPUTED_VALUE"""),"RF-00001879-MCG")</f>
        <v>RF-00001879-MCG</v>
      </c>
    </row>
    <row r="6685" spans="1:2" ht="12.5" x14ac:dyDescent="0.25">
      <c r="A6685" t="str">
        <f ca="1">IFERROR(__xludf.DUMMYFUNCTION("""COMPUTED_VALUE"""),"Salmonella IIIb 38:k:z")</f>
        <v>Salmonella IIIb 38:k:z</v>
      </c>
      <c r="B6685" t="str">
        <f ca="1">IFERROR(__xludf.DUMMYFUNCTION("""COMPUTED_VALUE"""),"RF-00001878-MCG")</f>
        <v>RF-00001878-MCG</v>
      </c>
    </row>
    <row r="6686" spans="1:2" ht="12.5" x14ac:dyDescent="0.25">
      <c r="A6686" t="str">
        <f ca="1">IFERROR(__xludf.DUMMYFUNCTION("""COMPUTED_VALUE"""),"Salmonella IIIb 38:k:z35")</f>
        <v>Salmonella IIIb 38:k:z35</v>
      </c>
      <c r="B6686" t="str">
        <f ca="1">IFERROR(__xludf.DUMMYFUNCTION("""COMPUTED_VALUE"""),"RF-00001877-MCG")</f>
        <v>RF-00001877-MCG</v>
      </c>
    </row>
    <row r="6687" spans="1:2" ht="12.5" x14ac:dyDescent="0.25">
      <c r="A6687" t="str">
        <f ca="1">IFERROR(__xludf.DUMMYFUNCTION("""COMPUTED_VALUE"""),"Salmonella IIIb 43;r:e,n")</f>
        <v>Salmonella IIIb 43;r:e,n</v>
      </c>
      <c r="B6687" t="str">
        <f ca="1">IFERROR(__xludf.DUMMYFUNCTION("""COMPUTED_VALUE"""),"RF-00001876-MCG")</f>
        <v>RF-00001876-MCG</v>
      </c>
    </row>
    <row r="6688" spans="1:2" ht="12.5" x14ac:dyDescent="0.25">
      <c r="A6688" t="str">
        <f ca="1">IFERROR(__xludf.DUMMYFUNCTION("""COMPUTED_VALUE"""),"Salmonella IIIb 47")</f>
        <v>Salmonella IIIb 47</v>
      </c>
      <c r="B6688" t="str">
        <f ca="1">IFERROR(__xludf.DUMMYFUNCTION("""COMPUTED_VALUE"""),"RF-00001875-MCG")</f>
        <v>RF-00001875-MCG</v>
      </c>
    </row>
    <row r="6689" spans="1:2" ht="12.5" x14ac:dyDescent="0.25">
      <c r="A6689" t="str">
        <f ca="1">IFERROR(__xludf.DUMMYFUNCTION("""COMPUTED_VALUE"""),"Salmonella IIIb 47:z54:1,5")</f>
        <v>Salmonella IIIb 47:z54:1,5</v>
      </c>
      <c r="B6689" t="str">
        <f ca="1">IFERROR(__xludf.DUMMYFUNCTION("""COMPUTED_VALUE"""),"RF-00001874-MCG")</f>
        <v>RF-00001874-MCG</v>
      </c>
    </row>
    <row r="6690" spans="1:2" ht="12.5" x14ac:dyDescent="0.25">
      <c r="A6690" t="str">
        <f ca="1">IFERROR(__xludf.DUMMYFUNCTION("""COMPUTED_VALUE"""),"Salmonella IIIb 48:lv,z13:1,5,7")</f>
        <v>Salmonella IIIb 48:lv,z13:1,5,7</v>
      </c>
      <c r="B6690" t="str">
        <f ca="1">IFERROR(__xludf.DUMMYFUNCTION("""COMPUTED_VALUE"""),"RF-00001873-MCG")</f>
        <v>RF-00001873-MCG</v>
      </c>
    </row>
    <row r="6691" spans="1:2" ht="12.5" x14ac:dyDescent="0.25">
      <c r="A6691" t="str">
        <f ca="1">IFERROR(__xludf.DUMMYFUNCTION("""COMPUTED_VALUE"""),"Salmonella IIIb 50:z10:z")</f>
        <v>Salmonella IIIb 50:z10:z</v>
      </c>
      <c r="B6691" t="str">
        <f ca="1">IFERROR(__xludf.DUMMYFUNCTION("""COMPUTED_VALUE"""),"RF-00001872-MCG")</f>
        <v>RF-00001872-MCG</v>
      </c>
    </row>
    <row r="6692" spans="1:2" ht="12.5" x14ac:dyDescent="0.25">
      <c r="A6692" t="str">
        <f ca="1">IFERROR(__xludf.DUMMYFUNCTION("""COMPUTED_VALUE"""),"Salmonella IIIb 52,z,z52")</f>
        <v>Salmonella IIIb 52,z,z52</v>
      </c>
      <c r="B6692" t="str">
        <f ca="1">IFERROR(__xludf.DUMMYFUNCTION("""COMPUTED_VALUE"""),"RF-00001871-MCG")</f>
        <v>RF-00001871-MCG</v>
      </c>
    </row>
    <row r="6693" spans="1:2" ht="12.5" x14ac:dyDescent="0.25">
      <c r="A6693" t="str">
        <f ca="1">IFERROR(__xludf.DUMMYFUNCTION("""COMPUTED_VALUE"""),"Salmonella IIIb 57:k:e,n,x,z15")</f>
        <v>Salmonella IIIb 57:k:e,n,x,z15</v>
      </c>
      <c r="B6693" t="str">
        <f ca="1">IFERROR(__xludf.DUMMYFUNCTION("""COMPUTED_VALUE"""),"RF-00001870-MCG")</f>
        <v>RF-00001870-MCG</v>
      </c>
    </row>
    <row r="6694" spans="1:2" ht="12.5" x14ac:dyDescent="0.25">
      <c r="A6694" t="str">
        <f ca="1">IFERROR(__xludf.DUMMYFUNCTION("""COMPUTED_VALUE"""),"Salmonella IIIb 58:l,v:z35")</f>
        <v>Salmonella IIIb 58:l,v:z35</v>
      </c>
      <c r="B6694" t="str">
        <f ca="1">IFERROR(__xludf.DUMMYFUNCTION("""COMPUTED_VALUE"""),"RF-00001869-MCG")</f>
        <v>RF-00001869-MCG</v>
      </c>
    </row>
    <row r="6695" spans="1:2" ht="12.5" x14ac:dyDescent="0.25">
      <c r="A6695" t="str">
        <f ca="1">IFERROR(__xludf.DUMMYFUNCTION("""COMPUTED_VALUE"""),"Salmonella IIIb 60:-:-")</f>
        <v>Salmonella IIIb 60:-:-</v>
      </c>
      <c r="B6695" t="str">
        <f ca="1">IFERROR(__xludf.DUMMYFUNCTION("""COMPUTED_VALUE"""),"RF-00001868-MCG")</f>
        <v>RF-00001868-MCG</v>
      </c>
    </row>
    <row r="6696" spans="1:2" ht="12.5" x14ac:dyDescent="0.25">
      <c r="A6696" t="str">
        <f ca="1">IFERROR(__xludf.DUMMYFUNCTION("""COMPUTED_VALUE"""),"Salmonella IIIb 61")</f>
        <v>Salmonella IIIb 61</v>
      </c>
      <c r="B6696" t="str">
        <f ca="1">IFERROR(__xludf.DUMMYFUNCTION("""COMPUTED_VALUE"""),"RF-00001880-MCG")</f>
        <v>RF-00001880-MCG</v>
      </c>
    </row>
    <row r="6697" spans="1:2" ht="12.5" x14ac:dyDescent="0.25">
      <c r="A6697" t="str">
        <f ca="1">IFERROR(__xludf.DUMMYFUNCTION("""COMPUTED_VALUE"""),"Salmonella IIIb 61:-:1,5,7")</f>
        <v>Salmonella IIIb 61:-:1,5,7</v>
      </c>
      <c r="B6697" t="str">
        <f ca="1">IFERROR(__xludf.DUMMYFUNCTION("""COMPUTED_VALUE"""),"RF-00001864-MCG")</f>
        <v>RF-00001864-MCG</v>
      </c>
    </row>
    <row r="6698" spans="1:2" ht="12.5" x14ac:dyDescent="0.25">
      <c r="A6698" t="str">
        <f ca="1">IFERROR(__xludf.DUMMYFUNCTION("""COMPUTED_VALUE"""),"Salmonella IIIb 61:i:z")</f>
        <v>Salmonella IIIb 61:i:z</v>
      </c>
      <c r="B6698" t="str">
        <f ca="1">IFERROR(__xludf.DUMMYFUNCTION("""COMPUTED_VALUE"""),"RF-00001863-MCG")</f>
        <v>RF-00001863-MCG</v>
      </c>
    </row>
    <row r="6699" spans="1:2" ht="12.5" x14ac:dyDescent="0.25">
      <c r="A6699" t="str">
        <f ca="1">IFERROR(__xludf.DUMMYFUNCTION("""COMPUTED_VALUE"""),"Salmonella Ikayi")</f>
        <v>Salmonella Ikayi</v>
      </c>
      <c r="B6699" t="str">
        <f ca="1">IFERROR(__xludf.DUMMYFUNCTION("""COMPUTED_VALUE"""),"RF-00001860-MCG")</f>
        <v>RF-00001860-MCG</v>
      </c>
    </row>
    <row r="6700" spans="1:2" ht="12.5" x14ac:dyDescent="0.25">
      <c r="A6700" t="str">
        <f ca="1">IFERROR(__xludf.DUMMYFUNCTION("""COMPUTED_VALUE"""),"Salmonella Ikeja")</f>
        <v>Salmonella Ikeja</v>
      </c>
      <c r="B6700" t="str">
        <f ca="1">IFERROR(__xludf.DUMMYFUNCTION("""COMPUTED_VALUE"""),"RF-00001859-MCG")</f>
        <v>RF-00001859-MCG</v>
      </c>
    </row>
    <row r="6701" spans="1:2" ht="12.5" x14ac:dyDescent="0.25">
      <c r="A6701" t="str">
        <f ca="1">IFERROR(__xludf.DUMMYFUNCTION("""COMPUTED_VALUE"""),"Salmonella Ilala")</f>
        <v>Salmonella Ilala</v>
      </c>
      <c r="B6701" t="str">
        <f ca="1">IFERROR(__xludf.DUMMYFUNCTION("""COMPUTED_VALUE"""),"RF-00001858-MCG")</f>
        <v>RF-00001858-MCG</v>
      </c>
    </row>
    <row r="6702" spans="1:2" ht="12.5" x14ac:dyDescent="0.25">
      <c r="A6702" t="str">
        <f ca="1">IFERROR(__xludf.DUMMYFUNCTION("""COMPUTED_VALUE"""),"Salmonella Ilugun")</f>
        <v>Salmonella Ilugun</v>
      </c>
      <c r="B6702" t="str">
        <f ca="1">IFERROR(__xludf.DUMMYFUNCTION("""COMPUTED_VALUE"""),"RF-00001857-MCG")</f>
        <v>RF-00001857-MCG</v>
      </c>
    </row>
    <row r="6703" spans="1:2" ht="12.5" x14ac:dyDescent="0.25">
      <c r="A6703" t="str">
        <f ca="1">IFERROR(__xludf.DUMMYFUNCTION("""COMPUTED_VALUE"""),"Salmonella Imo")</f>
        <v>Salmonella Imo</v>
      </c>
      <c r="B6703" t="str">
        <f ca="1">IFERROR(__xludf.DUMMYFUNCTION("""COMPUTED_VALUE"""),"RF-00001856-MCG")</f>
        <v>RF-00001856-MCG</v>
      </c>
    </row>
    <row r="6704" spans="1:2" ht="12.5" x14ac:dyDescent="0.25">
      <c r="A6704" t="str">
        <f ca="1">IFERROR(__xludf.DUMMYFUNCTION("""COMPUTED_VALUE"""),"Salmonella Inchpark")</f>
        <v>Salmonella Inchpark</v>
      </c>
      <c r="B6704" t="str">
        <f ca="1">IFERROR(__xludf.DUMMYFUNCTION("""COMPUTED_VALUE"""),"RF-00001855-MCG")</f>
        <v>RF-00001855-MCG</v>
      </c>
    </row>
    <row r="6705" spans="1:2" ht="12.5" x14ac:dyDescent="0.25">
      <c r="A6705" t="str">
        <f ca="1">IFERROR(__xludf.DUMMYFUNCTION("""COMPUTED_VALUE"""),"Salmonella India")</f>
        <v>Salmonella India</v>
      </c>
      <c r="B6705" t="str">
        <f ca="1">IFERROR(__xludf.DUMMYFUNCTION("""COMPUTED_VALUE"""),"RF-00001854-MCG")</f>
        <v>RF-00001854-MCG</v>
      </c>
    </row>
    <row r="6706" spans="1:2" ht="12.5" x14ac:dyDescent="0.25">
      <c r="A6706" t="str">
        <f ca="1">IFERROR(__xludf.DUMMYFUNCTION("""COMPUTED_VALUE"""),"Salmonella Indiana")</f>
        <v>Salmonella Indiana</v>
      </c>
      <c r="B6706" t="str">
        <f ca="1">IFERROR(__xludf.DUMMYFUNCTION("""COMPUTED_VALUE"""),"RF-00001853-MCG")</f>
        <v>RF-00001853-MCG</v>
      </c>
    </row>
    <row r="6707" spans="1:2" ht="12.5" x14ac:dyDescent="0.25">
      <c r="A6707" t="str">
        <f ca="1">IFERROR(__xludf.DUMMYFUNCTION("""COMPUTED_VALUE"""),"Salmonella Infantis")</f>
        <v>Salmonella Infantis</v>
      </c>
      <c r="B6707" t="str">
        <f ca="1">IFERROR(__xludf.DUMMYFUNCTION("""COMPUTED_VALUE"""),"RF-00001894-MCG")</f>
        <v>RF-00001894-MCG</v>
      </c>
    </row>
    <row r="6708" spans="1:2" ht="12.5" x14ac:dyDescent="0.25">
      <c r="A6708" t="str">
        <f ca="1">IFERROR(__xludf.DUMMYFUNCTION("""COMPUTED_VALUE"""),"Salmonella Inganda")</f>
        <v>Salmonella Inganda</v>
      </c>
      <c r="B6708" t="str">
        <f ca="1">IFERROR(__xludf.DUMMYFUNCTION("""COMPUTED_VALUE"""),"RF-00001896-MCG")</f>
        <v>RF-00001896-MCG</v>
      </c>
    </row>
    <row r="6709" spans="1:2" ht="12.5" x14ac:dyDescent="0.25">
      <c r="A6709" t="str">
        <f ca="1">IFERROR(__xludf.DUMMYFUNCTION("""COMPUTED_VALUE"""),"Salmonella Inglis")</f>
        <v>Salmonella Inglis</v>
      </c>
      <c r="B6709" t="str">
        <f ca="1">IFERROR(__xludf.DUMMYFUNCTION("""COMPUTED_VALUE"""),"RF-00001867-MCG")</f>
        <v>RF-00001867-MCG</v>
      </c>
    </row>
    <row r="6710" spans="1:2" ht="12.5" x14ac:dyDescent="0.25">
      <c r="A6710" t="str">
        <f ca="1">IFERROR(__xludf.DUMMYFUNCTION("""COMPUTED_VALUE"""),"Salmonella Inpraw")</f>
        <v>Salmonella Inpraw</v>
      </c>
      <c r="B6710" t="str">
        <f ca="1">IFERROR(__xludf.DUMMYFUNCTION("""COMPUTED_VALUE"""),"RF-00001908-MCG")</f>
        <v>RF-00001908-MCG</v>
      </c>
    </row>
    <row r="6711" spans="1:2" ht="12.5" x14ac:dyDescent="0.25">
      <c r="A6711" t="str">
        <f ca="1">IFERROR(__xludf.DUMMYFUNCTION("""COMPUTED_VALUE"""),"Salmonella Inverness")</f>
        <v>Salmonella Inverness</v>
      </c>
      <c r="B6711" t="str">
        <f ca="1">IFERROR(__xludf.DUMMYFUNCTION("""COMPUTED_VALUE"""),"RF-00001906-MCG")</f>
        <v>RF-00001906-MCG</v>
      </c>
    </row>
    <row r="6712" spans="1:2" ht="12.5" x14ac:dyDescent="0.25">
      <c r="A6712" t="str">
        <f ca="1">IFERROR(__xludf.DUMMYFUNCTION("""COMPUTED_VALUE"""),"Salmonella Ipeko")</f>
        <v>Salmonella Ipeko</v>
      </c>
      <c r="B6712" t="str">
        <f ca="1">IFERROR(__xludf.DUMMYFUNCTION("""COMPUTED_VALUE"""),"RF-00001905-MCG")</f>
        <v>RF-00001905-MCG</v>
      </c>
    </row>
    <row r="6713" spans="1:2" ht="12.5" x14ac:dyDescent="0.25">
      <c r="A6713" t="str">
        <f ca="1">IFERROR(__xludf.DUMMYFUNCTION("""COMPUTED_VALUE"""),"Salmonella Ipswich")</f>
        <v>Salmonella Ipswich</v>
      </c>
      <c r="B6713" t="str">
        <f ca="1">IFERROR(__xludf.DUMMYFUNCTION("""COMPUTED_VALUE"""),"RF-00001904-MCG")</f>
        <v>RF-00001904-MCG</v>
      </c>
    </row>
    <row r="6714" spans="1:2" ht="12.5" x14ac:dyDescent="0.25">
      <c r="A6714" t="str">
        <f ca="1">IFERROR(__xludf.DUMMYFUNCTION("""COMPUTED_VALUE"""),"Salmonella Irchel")</f>
        <v>Salmonella Irchel</v>
      </c>
      <c r="B6714" t="str">
        <f ca="1">IFERROR(__xludf.DUMMYFUNCTION("""COMPUTED_VALUE"""),"RF-00001903-MCG")</f>
        <v>RF-00001903-MCG</v>
      </c>
    </row>
    <row r="6715" spans="1:2" ht="12.5" x14ac:dyDescent="0.25">
      <c r="A6715" t="str">
        <f ca="1">IFERROR(__xludf.DUMMYFUNCTION("""COMPUTED_VALUE"""),"Salmonella Irenea")</f>
        <v>Salmonella Irenea</v>
      </c>
      <c r="B6715" t="str">
        <f ca="1">IFERROR(__xludf.DUMMYFUNCTION("""COMPUTED_VALUE"""),"RF-00001902-MCG")</f>
        <v>RF-00001902-MCG</v>
      </c>
    </row>
    <row r="6716" spans="1:2" ht="12.5" x14ac:dyDescent="0.25">
      <c r="A6716" t="str">
        <f ca="1">IFERROR(__xludf.DUMMYFUNCTION("""COMPUTED_VALUE"""),"Salmonella Irigny")</f>
        <v>Salmonella Irigny</v>
      </c>
      <c r="B6716" t="str">
        <f ca="1">IFERROR(__xludf.DUMMYFUNCTION("""COMPUTED_VALUE"""),"RF-00001901-MCG")</f>
        <v>RF-00001901-MCG</v>
      </c>
    </row>
    <row r="6717" spans="1:2" ht="12.5" x14ac:dyDescent="0.25">
      <c r="A6717" t="str">
        <f ca="1">IFERROR(__xludf.DUMMYFUNCTION("""COMPUTED_VALUE"""),"Salmonella Irumu")</f>
        <v>Salmonella Irumu</v>
      </c>
      <c r="B6717" t="str">
        <f ca="1">IFERROR(__xludf.DUMMYFUNCTION("""COMPUTED_VALUE"""),"RF-00001900-MCG")</f>
        <v>RF-00001900-MCG</v>
      </c>
    </row>
    <row r="6718" spans="1:2" ht="12.5" x14ac:dyDescent="0.25">
      <c r="A6718" t="str">
        <f ca="1">IFERROR(__xludf.DUMMYFUNCTION("""COMPUTED_VALUE"""),"Salmonella Isangi")</f>
        <v>Salmonella Isangi</v>
      </c>
      <c r="B6718" t="str">
        <f ca="1">IFERROR(__xludf.DUMMYFUNCTION("""COMPUTED_VALUE"""),"RF-00001899-MCG")</f>
        <v>RF-00001899-MCG</v>
      </c>
    </row>
    <row r="6719" spans="1:2" ht="12.5" x14ac:dyDescent="0.25">
      <c r="A6719" t="str">
        <f ca="1">IFERROR(__xludf.DUMMYFUNCTION("""COMPUTED_VALUE"""),"Salmonella Isaszeg")</f>
        <v>Salmonella Isaszeg</v>
      </c>
      <c r="B6719" t="str">
        <f ca="1">IFERROR(__xludf.DUMMYFUNCTION("""COMPUTED_VALUE"""),"RF-00001898-MCG")</f>
        <v>RF-00001898-MCG</v>
      </c>
    </row>
    <row r="6720" spans="1:2" ht="12.5" x14ac:dyDescent="0.25">
      <c r="A6720" t="str">
        <f ca="1">IFERROR(__xludf.DUMMYFUNCTION("""COMPUTED_VALUE"""),"Salmonella Israel")</f>
        <v>Salmonella Israel</v>
      </c>
      <c r="B6720" t="str">
        <f ca="1">IFERROR(__xludf.DUMMYFUNCTION("""COMPUTED_VALUE"""),"RF-00001897-MCG")</f>
        <v>RF-00001897-MCG</v>
      </c>
    </row>
    <row r="6721" spans="1:2" ht="12.5" x14ac:dyDescent="0.25">
      <c r="A6721" t="str">
        <f ca="1">IFERROR(__xludf.DUMMYFUNCTION("""COMPUTED_VALUE"""),"Salmonella Istanbul")</f>
        <v>Salmonella Istanbul</v>
      </c>
      <c r="B6721" t="str">
        <f ca="1">IFERROR(__xludf.DUMMYFUNCTION("""COMPUTED_VALUE"""),"RF-00001881-MCG")</f>
        <v>RF-00001881-MCG</v>
      </c>
    </row>
    <row r="6722" spans="1:2" ht="12.5" x14ac:dyDescent="0.25">
      <c r="A6722" t="str">
        <f ca="1">IFERROR(__xludf.DUMMYFUNCTION("""COMPUTED_VALUE"""),"Salmonella Istoria")</f>
        <v>Salmonella Istoria</v>
      </c>
      <c r="B6722" t="str">
        <f ca="1">IFERROR(__xludf.DUMMYFUNCTION("""COMPUTED_VALUE"""),"RF-00001895-MCG")</f>
        <v>RF-00001895-MCG</v>
      </c>
    </row>
    <row r="6723" spans="1:2" ht="12.5" x14ac:dyDescent="0.25">
      <c r="A6723" t="str">
        <f ca="1">IFERROR(__xludf.DUMMYFUNCTION("""COMPUTED_VALUE"""),"Salmonella Isuge")</f>
        <v>Salmonella Isuge</v>
      </c>
      <c r="B6723" t="str">
        <f ca="1">IFERROR(__xludf.DUMMYFUNCTION("""COMPUTED_VALUE"""),"RF-00001910-MCG")</f>
        <v>RF-00001910-MCG</v>
      </c>
    </row>
    <row r="6724" spans="1:2" ht="12.5" x14ac:dyDescent="0.25">
      <c r="A6724" t="str">
        <f ca="1">IFERROR(__xludf.DUMMYFUNCTION("""COMPUTED_VALUE"""),"Salmonella Itami")</f>
        <v>Salmonella Itami</v>
      </c>
      <c r="B6724" t="str">
        <f ca="1">IFERROR(__xludf.DUMMYFUNCTION("""COMPUTED_VALUE"""),"RF-00001893-MCG")</f>
        <v>RF-00001893-MCG</v>
      </c>
    </row>
    <row r="6725" spans="1:2" ht="12.5" x14ac:dyDescent="0.25">
      <c r="A6725" t="str">
        <f ca="1">IFERROR(__xludf.DUMMYFUNCTION("""COMPUTED_VALUE"""),"Salmonella Ituri")</f>
        <v>Salmonella Ituri</v>
      </c>
      <c r="B6725" t="str">
        <f ca="1">IFERROR(__xludf.DUMMYFUNCTION("""COMPUTED_VALUE"""),"RF-00001892-MCG")</f>
        <v>RF-00001892-MCG</v>
      </c>
    </row>
    <row r="6726" spans="1:2" ht="12.5" x14ac:dyDescent="0.25">
      <c r="A6726" t="str">
        <f ca="1">IFERROR(__xludf.DUMMYFUNCTION("""COMPUTED_VALUE"""),"Salmonella Itutaba")</f>
        <v>Salmonella Itutaba</v>
      </c>
      <c r="B6726" t="str">
        <f ca="1">IFERROR(__xludf.DUMMYFUNCTION("""COMPUTED_VALUE"""),"RF-00001891-MCG")</f>
        <v>RF-00001891-MCG</v>
      </c>
    </row>
    <row r="6727" spans="1:2" ht="12.5" x14ac:dyDescent="0.25">
      <c r="A6727" t="str">
        <f ca="1">IFERROR(__xludf.DUMMYFUNCTION("""COMPUTED_VALUE"""),"Salmonella IV 1,53:z36,z38:-")</f>
        <v>Salmonella IV 1,53:z36,z38:-</v>
      </c>
      <c r="B6727" t="str">
        <f ca="1">IFERROR(__xludf.DUMMYFUNCTION("""COMPUTED_VALUE"""),"RF-00001886-MCG")</f>
        <v>RF-00001886-MCG</v>
      </c>
    </row>
    <row r="6728" spans="1:2" ht="12.5" x14ac:dyDescent="0.25">
      <c r="A6728" t="str">
        <f ca="1">IFERROR(__xludf.DUMMYFUNCTION("""COMPUTED_VALUE"""),"Salmonella IV 11:g,z51:-")</f>
        <v>Salmonella IV 11:g,z51:-</v>
      </c>
      <c r="B6728" t="str">
        <f ca="1">IFERROR(__xludf.DUMMYFUNCTION("""COMPUTED_VALUE"""),"RF-00001885-MCG")</f>
        <v>RF-00001885-MCG</v>
      </c>
    </row>
    <row r="6729" spans="1:2" ht="12.5" x14ac:dyDescent="0.25">
      <c r="A6729" t="str">
        <f ca="1">IFERROR(__xludf.DUMMYFUNCTION("""COMPUTED_VALUE"""),"Salmonella IV 11:z4,z23:-")</f>
        <v>Salmonella IV 11:z4,z23:-</v>
      </c>
      <c r="B6729" t="str">
        <f ca="1">IFERROR(__xludf.DUMMYFUNCTION("""COMPUTED_VALUE"""),"RF-00001884-MCG")</f>
        <v>RF-00001884-MCG</v>
      </c>
    </row>
    <row r="6730" spans="1:2" ht="12.5" x14ac:dyDescent="0.25">
      <c r="A6730" t="str">
        <f ca="1">IFERROR(__xludf.DUMMYFUNCTION("""COMPUTED_VALUE"""),"Salmonella IV 16:z4,z23:-")</f>
        <v>Salmonella IV 16:z4,z23:-</v>
      </c>
      <c r="B6730" t="str">
        <f ca="1">IFERROR(__xludf.DUMMYFUNCTION("""COMPUTED_VALUE"""),"RF-00001883-MCG")</f>
        <v>RF-00001883-MCG</v>
      </c>
    </row>
    <row r="6731" spans="1:2" ht="12.5" x14ac:dyDescent="0.25">
      <c r="A6731" t="str">
        <f ca="1">IFERROR(__xludf.DUMMYFUNCTION("""COMPUTED_VALUE"""),"Salmonella IV 16:z4,z32:-")</f>
        <v>Salmonella IV 16:z4,z32:-</v>
      </c>
      <c r="B6731" t="str">
        <f ca="1">IFERROR(__xludf.DUMMYFUNCTION("""COMPUTED_VALUE"""),"RF-00001838-MCG")</f>
        <v>RF-00001838-MCG</v>
      </c>
    </row>
    <row r="6732" spans="1:2" ht="12.5" x14ac:dyDescent="0.25">
      <c r="A6732" t="str">
        <f ca="1">IFERROR(__xludf.DUMMYFUNCTION("""COMPUTED_VALUE"""),"Salmonella IV 18:z36,z38:-")</f>
        <v>Salmonella IV 18:z36,z38:-</v>
      </c>
      <c r="B6732" t="str">
        <f ca="1">IFERROR(__xludf.DUMMYFUNCTION("""COMPUTED_VALUE"""),"RF-00001909-MCG")</f>
        <v>RF-00001909-MCG</v>
      </c>
    </row>
    <row r="6733" spans="1:2" ht="12.5" x14ac:dyDescent="0.25">
      <c r="A6733" t="str">
        <f ca="1">IFERROR(__xludf.DUMMYFUNCTION("""COMPUTED_VALUE"""),"Salmonella IV 21:z4,z23:-")</f>
        <v>Salmonella IV 21:z4,z23:-</v>
      </c>
      <c r="B6733" t="str">
        <f ca="1">IFERROR(__xludf.DUMMYFUNCTION("""COMPUTED_VALUE"""),"RF-00001865-MCG")</f>
        <v>RF-00001865-MCG</v>
      </c>
    </row>
    <row r="6734" spans="1:2" ht="12.5" x14ac:dyDescent="0.25">
      <c r="A6734" t="str">
        <f ca="1">IFERROR(__xludf.DUMMYFUNCTION("""COMPUTED_VALUE"""),"Salmonella IV 40:z4,z32:-")</f>
        <v>Salmonella IV 40:z4,z32:-</v>
      </c>
      <c r="B6734" t="str">
        <f ca="1">IFERROR(__xludf.DUMMYFUNCTION("""COMPUTED_VALUE"""),"RF-00001821-MCG")</f>
        <v>RF-00001821-MCG</v>
      </c>
    </row>
    <row r="6735" spans="1:2" ht="12.5" x14ac:dyDescent="0.25">
      <c r="A6735" t="str">
        <f ca="1">IFERROR(__xludf.DUMMYFUNCTION("""COMPUTED_VALUE"""),"Salmonella IV 43:z36,z38:-")</f>
        <v>Salmonella IV 43:z36,z38:-</v>
      </c>
      <c r="B6735" t="str">
        <f ca="1">IFERROR(__xludf.DUMMYFUNCTION("""COMPUTED_VALUE"""),"RF-00001820-MCG")</f>
        <v>RF-00001820-MCG</v>
      </c>
    </row>
    <row r="6736" spans="1:2" ht="12.5" x14ac:dyDescent="0.25">
      <c r="A6736" t="str">
        <f ca="1">IFERROR(__xludf.DUMMYFUNCTION("""COMPUTED_VALUE"""),"Salmonella IV 43:z4,z23:-")</f>
        <v>Salmonella IV 43:z4,z23:-</v>
      </c>
      <c r="B6736" t="str">
        <f ca="1">IFERROR(__xludf.DUMMYFUNCTION("""COMPUTED_VALUE"""),"RF-00001819-MCG")</f>
        <v>RF-00001819-MCG</v>
      </c>
    </row>
    <row r="6737" spans="1:2" ht="12.5" x14ac:dyDescent="0.25">
      <c r="A6737" t="str">
        <f ca="1">IFERROR(__xludf.DUMMYFUNCTION("""COMPUTED_VALUE"""),"Salmonella IV 43:z4,z24:-")</f>
        <v>Salmonella IV 43:z4,z24:-</v>
      </c>
      <c r="B6737" t="str">
        <f ca="1">IFERROR(__xludf.DUMMYFUNCTION("""COMPUTED_VALUE"""),"RF-00001818-MCG")</f>
        <v>RF-00001818-MCG</v>
      </c>
    </row>
    <row r="6738" spans="1:2" ht="12.5" x14ac:dyDescent="0.25">
      <c r="A6738" t="str">
        <f ca="1">IFERROR(__xludf.DUMMYFUNCTION("""COMPUTED_VALUE"""),"Salmonella IV 43:z4,z32:-")</f>
        <v>Salmonella IV 43:z4,z32:-</v>
      </c>
      <c r="B6738" t="str">
        <f ca="1">IFERROR(__xludf.DUMMYFUNCTION("""COMPUTED_VALUE"""),"RF-00001817-MCG")</f>
        <v>RF-00001817-MCG</v>
      </c>
    </row>
    <row r="6739" spans="1:2" ht="12.5" x14ac:dyDescent="0.25">
      <c r="A6739" t="str">
        <f ca="1">IFERROR(__xludf.DUMMYFUNCTION("""COMPUTED_VALUE"""),"Salmonella IV 44")</f>
        <v>Salmonella IV 44</v>
      </c>
      <c r="B6739" t="str">
        <f ca="1">IFERROR(__xludf.DUMMYFUNCTION("""COMPUTED_VALUE"""),"RF-00001816-MCG")</f>
        <v>RF-00001816-MCG</v>
      </c>
    </row>
    <row r="6740" spans="1:2" ht="12.5" x14ac:dyDescent="0.25">
      <c r="A6740" t="str">
        <f ca="1">IFERROR(__xludf.DUMMYFUNCTION("""COMPUTED_VALUE"""),"Salmonella IV 44:a:-")</f>
        <v>Salmonella IV 44:a:-</v>
      </c>
      <c r="B6740" t="str">
        <f ca="1">IFERROR(__xludf.DUMMYFUNCTION("""COMPUTED_VALUE"""),"RF-00001815-MCG")</f>
        <v>RF-00001815-MCG</v>
      </c>
    </row>
    <row r="6741" spans="1:2" ht="12.5" x14ac:dyDescent="0.25">
      <c r="A6741" t="str">
        <f ca="1">IFERROR(__xludf.DUMMYFUNCTION("""COMPUTED_VALUE"""),"Salmonella IV 44:z4,z32:-")</f>
        <v>Salmonella IV 44:z4,z32:-</v>
      </c>
      <c r="B6741" t="str">
        <f ca="1">IFERROR(__xludf.DUMMYFUNCTION("""COMPUTED_VALUE"""),"RF-00001814-MCG")</f>
        <v>RF-00001814-MCG</v>
      </c>
    </row>
    <row r="6742" spans="1:2" ht="12.5" x14ac:dyDescent="0.25">
      <c r="A6742" t="str">
        <f ca="1">IFERROR(__xludf.DUMMYFUNCTION("""COMPUTED_VALUE"""),"Salmonella IV 48:g,z51:-")</f>
        <v>Salmonella IV 48:g,z51:-</v>
      </c>
      <c r="B6742" t="str">
        <f ca="1">IFERROR(__xludf.DUMMYFUNCTION("""COMPUTED_VALUE"""),"RF-00001813-MCG")</f>
        <v>RF-00001813-MCG</v>
      </c>
    </row>
    <row r="6743" spans="1:2" ht="12.5" x14ac:dyDescent="0.25">
      <c r="A6743" t="str">
        <f ca="1">IFERROR(__xludf.DUMMYFUNCTION("""COMPUTED_VALUE"""),"Salmonella IV 50:b:-")</f>
        <v>Salmonella IV 50:b:-</v>
      </c>
      <c r="B6743" t="str">
        <f ca="1">IFERROR(__xludf.DUMMYFUNCTION("""COMPUTED_VALUE"""),"RF-00001812-MCG")</f>
        <v>RF-00001812-MCG</v>
      </c>
    </row>
    <row r="6744" spans="1:2" ht="12.5" x14ac:dyDescent="0.25">
      <c r="A6744" t="str">
        <f ca="1">IFERROR(__xludf.DUMMYFUNCTION("""COMPUTED_VALUE"""),"Salmonella IV 50:g,z51:-")</f>
        <v>Salmonella IV 50:g,z51:-</v>
      </c>
      <c r="B6744" t="str">
        <f ca="1">IFERROR(__xludf.DUMMYFUNCTION("""COMPUTED_VALUE"""),"RF-00001811-MCG")</f>
        <v>RF-00001811-MCG</v>
      </c>
    </row>
    <row r="6745" spans="1:2" ht="12.5" x14ac:dyDescent="0.25">
      <c r="A6745" t="str">
        <f ca="1">IFERROR(__xludf.DUMMYFUNCTION("""COMPUTED_VALUE"""),"Salmonella IV 50:z4,z23:-")</f>
        <v>Salmonella IV 50:z4,z23:-</v>
      </c>
      <c r="B6745" t="str">
        <f ca="1">IFERROR(__xludf.DUMMYFUNCTION("""COMPUTED_VALUE"""),"RF-00001810-MCG")</f>
        <v>RF-00001810-MCG</v>
      </c>
    </row>
    <row r="6746" spans="1:2" ht="12.5" x14ac:dyDescent="0.25">
      <c r="A6746" t="str">
        <f ca="1">IFERROR(__xludf.DUMMYFUNCTION("""COMPUTED_VALUE"""),"Salmonella IV 50:z4,z24:-")</f>
        <v>Salmonella IV 50:z4,z24:-</v>
      </c>
      <c r="B6746" t="str">
        <f ca="1">IFERROR(__xludf.DUMMYFUNCTION("""COMPUTED_VALUE"""),"RF-00001794-MCG")</f>
        <v>RF-00001794-MCG</v>
      </c>
    </row>
    <row r="6747" spans="1:2" ht="12.5" x14ac:dyDescent="0.25">
      <c r="A6747" t="str">
        <f ca="1">IFERROR(__xludf.DUMMYFUNCTION("""COMPUTED_VALUE"""),"Salmonella IV 51:z4,z23:-")</f>
        <v>Salmonella IV 51:z4,z23:-</v>
      </c>
      <c r="B6747" t="str">
        <f ca="1">IFERROR(__xludf.DUMMYFUNCTION("""COMPUTED_VALUE"""),"RF-00001808-MCG")</f>
        <v>RF-00001808-MCG</v>
      </c>
    </row>
    <row r="6748" spans="1:2" ht="12.5" x14ac:dyDescent="0.25">
      <c r="A6748" t="str">
        <f ca="1">IFERROR(__xludf.DUMMYFUNCTION("""COMPUTED_VALUE"""),"Salmonella IV 6,7:z36:-")</f>
        <v>Salmonella IV 6,7:z36:-</v>
      </c>
      <c r="B6748" t="str">
        <f ca="1">IFERROR(__xludf.DUMMYFUNCTION("""COMPUTED_VALUE"""),"RF-00001822-MCG")</f>
        <v>RF-00001822-MCG</v>
      </c>
    </row>
    <row r="6749" spans="1:2" ht="12.5" x14ac:dyDescent="0.25">
      <c r="A6749" t="str">
        <f ca="1">IFERROR(__xludf.DUMMYFUNCTION("""COMPUTED_VALUE"""),"Salmonella IV 6,7:z4,z23:-")</f>
        <v>Salmonella IV 6,7:z4,z23:-</v>
      </c>
      <c r="B6749" t="str">
        <f ca="1">IFERROR(__xludf.DUMMYFUNCTION("""COMPUTED_VALUE"""),"RF-00000906-MCG")</f>
        <v>RF-00000906-MCG</v>
      </c>
    </row>
    <row r="6750" spans="1:2" ht="12.5" x14ac:dyDescent="0.25">
      <c r="A6750" t="str">
        <f ca="1">IFERROR(__xludf.DUMMYFUNCTION("""COMPUTED_VALUE"""),"Salmonella IV 6,7:z4,z24:-")</f>
        <v>Salmonella IV 6,7:z4,z24:-</v>
      </c>
      <c r="B6750" t="str">
        <f ca="1">IFERROR(__xludf.DUMMYFUNCTION("""COMPUTED_VALUE"""),"RF-00000905-MCG")</f>
        <v>RF-00000905-MCG</v>
      </c>
    </row>
    <row r="6751" spans="1:2" ht="12.5" x14ac:dyDescent="0.25">
      <c r="A6751" t="str">
        <f ca="1">IFERROR(__xludf.DUMMYFUNCTION("""COMPUTED_VALUE"""),"Salmonella Ivory")</f>
        <v>Salmonella Ivory</v>
      </c>
      <c r="B6751" t="str">
        <f ca="1">IFERROR(__xludf.DUMMYFUNCTION("""COMPUTED_VALUE"""),"RF-00000902-MCG")</f>
        <v>RF-00000902-MCG</v>
      </c>
    </row>
    <row r="6752" spans="1:2" ht="12.5" x14ac:dyDescent="0.25">
      <c r="A6752" t="str">
        <f ca="1">IFERROR(__xludf.DUMMYFUNCTION("""COMPUTED_VALUE"""),"Salmonella Ivorycoast")</f>
        <v>Salmonella Ivorycoast</v>
      </c>
      <c r="B6752" t="str">
        <f ca="1">IFERROR(__xludf.DUMMYFUNCTION("""COMPUTED_VALUE"""),"RF-00000915-MCG")</f>
        <v>RF-00000915-MCG</v>
      </c>
    </row>
    <row r="6753" spans="1:2" ht="12.5" x14ac:dyDescent="0.25">
      <c r="A6753" t="str">
        <f ca="1">IFERROR(__xludf.DUMMYFUNCTION("""COMPUTED_VALUE"""),"Salmonella Jaffna")</f>
        <v>Salmonella Jaffna</v>
      </c>
      <c r="B6753" t="str">
        <f ca="1">IFERROR(__xludf.DUMMYFUNCTION("""COMPUTED_VALUE"""),"RF-00000900-MCG")</f>
        <v>RF-00000900-MCG</v>
      </c>
    </row>
    <row r="6754" spans="1:2" ht="12.5" x14ac:dyDescent="0.25">
      <c r="A6754" t="str">
        <f ca="1">IFERROR(__xludf.DUMMYFUNCTION("""COMPUTED_VALUE"""),"Salmonella Jalisco")</f>
        <v>Salmonella Jalisco</v>
      </c>
      <c r="B6754" t="str">
        <f ca="1">IFERROR(__xludf.DUMMYFUNCTION("""COMPUTED_VALUE"""),"RF-00000899-MCG")</f>
        <v>RF-00000899-MCG</v>
      </c>
    </row>
    <row r="6755" spans="1:2" ht="12.5" x14ac:dyDescent="0.25">
      <c r="A6755" t="str">
        <f ca="1">IFERROR(__xludf.DUMMYFUNCTION("""COMPUTED_VALUE"""),"Salmonella Jamaica")</f>
        <v>Salmonella Jamaica</v>
      </c>
      <c r="B6755" t="str">
        <f ca="1">IFERROR(__xludf.DUMMYFUNCTION("""COMPUTED_VALUE"""),"RF-00000898-MCG")</f>
        <v>RF-00000898-MCG</v>
      </c>
    </row>
    <row r="6756" spans="1:2" ht="12.5" x14ac:dyDescent="0.25">
      <c r="A6756" t="str">
        <f ca="1">IFERROR(__xludf.DUMMYFUNCTION("""COMPUTED_VALUE"""),"Salmonella Jambur")</f>
        <v>Salmonella Jambur</v>
      </c>
      <c r="B6756" t="str">
        <f ca="1">IFERROR(__xludf.DUMMYFUNCTION("""COMPUTED_VALUE"""),"RF-00000897-MCG")</f>
        <v>RF-00000897-MCG</v>
      </c>
    </row>
    <row r="6757" spans="1:2" ht="12.5" x14ac:dyDescent="0.25">
      <c r="A6757" t="str">
        <f ca="1">IFERROR(__xludf.DUMMYFUNCTION("""COMPUTED_VALUE"""),"Salmonella Jangwani")</f>
        <v>Salmonella Jangwani</v>
      </c>
      <c r="B6757" t="str">
        <f ca="1">IFERROR(__xludf.DUMMYFUNCTION("""COMPUTED_VALUE"""),"RF-00000896-MCG")</f>
        <v>RF-00000896-MCG</v>
      </c>
    </row>
    <row r="6758" spans="1:2" ht="12.5" x14ac:dyDescent="0.25">
      <c r="A6758" t="str">
        <f ca="1">IFERROR(__xludf.DUMMYFUNCTION("""COMPUTED_VALUE"""),"Salmonella Java")</f>
        <v>Salmonella Java</v>
      </c>
      <c r="B6758" t="str">
        <f ca="1">IFERROR(__xludf.DUMMYFUNCTION("""COMPUTED_VALUE"""),"RF-00001325-MCG")</f>
        <v>RF-00001325-MCG</v>
      </c>
    </row>
    <row r="6759" spans="1:2" ht="12.5" x14ac:dyDescent="0.25">
      <c r="A6759" t="str">
        <f ca="1">IFERROR(__xludf.DUMMYFUNCTION("""COMPUTED_VALUE"""),"Salmonella Javiana")</f>
        <v>Salmonella Javiana</v>
      </c>
      <c r="B6759" t="str">
        <f ca="1">IFERROR(__xludf.DUMMYFUNCTION("""COMPUTED_VALUE"""),"RF-00000895-MCG")</f>
        <v>RF-00000895-MCG</v>
      </c>
    </row>
    <row r="6760" spans="1:2" ht="12.5" x14ac:dyDescent="0.25">
      <c r="A6760" t="str">
        <f ca="1">IFERROR(__xludf.DUMMYFUNCTION("""COMPUTED_VALUE"""),"Salmonella Jedburgh")</f>
        <v>Salmonella Jedburgh</v>
      </c>
      <c r="B6760" t="str">
        <f ca="1">IFERROR(__xludf.DUMMYFUNCTION("""COMPUTED_VALUE"""),"RF-00000894-MCG")</f>
        <v>RF-00000894-MCG</v>
      </c>
    </row>
    <row r="6761" spans="1:2" ht="12.5" x14ac:dyDescent="0.25">
      <c r="A6761" t="str">
        <f ca="1">IFERROR(__xludf.DUMMYFUNCTION("""COMPUTED_VALUE"""),"Salmonella Jericho")</f>
        <v>Salmonella Jericho</v>
      </c>
      <c r="B6761" t="str">
        <f ca="1">IFERROR(__xludf.DUMMYFUNCTION("""COMPUTED_VALUE"""),"RF-00000893-MCG")</f>
        <v>RF-00000893-MCG</v>
      </c>
    </row>
    <row r="6762" spans="1:2" ht="12.5" x14ac:dyDescent="0.25">
      <c r="A6762" t="str">
        <f ca="1">IFERROR(__xludf.DUMMYFUNCTION("""COMPUTED_VALUE"""),"Salmonella Jerusalem")</f>
        <v>Salmonella Jerusalem</v>
      </c>
      <c r="B6762" t="str">
        <f ca="1">IFERROR(__xludf.DUMMYFUNCTION("""COMPUTED_VALUE"""),"RF-00000892-MCG")</f>
        <v>RF-00000892-MCG</v>
      </c>
    </row>
    <row r="6763" spans="1:2" ht="12.5" x14ac:dyDescent="0.25">
      <c r="A6763" t="str">
        <f ca="1">IFERROR(__xludf.DUMMYFUNCTION("""COMPUTED_VALUE"""),"Salmonella Joal")</f>
        <v>Salmonella Joal</v>
      </c>
      <c r="B6763" t="str">
        <f ca="1">IFERROR(__xludf.DUMMYFUNCTION("""COMPUTED_VALUE"""),"RF-00000891-MCG")</f>
        <v>RF-00000891-MCG</v>
      </c>
    </row>
    <row r="6764" spans="1:2" ht="12.5" x14ac:dyDescent="0.25">
      <c r="A6764" t="str">
        <f ca="1">IFERROR(__xludf.DUMMYFUNCTION("""COMPUTED_VALUE"""),"Salmonella Jodhpur")</f>
        <v>Salmonella Jodhpur</v>
      </c>
      <c r="B6764" t="str">
        <f ca="1">IFERROR(__xludf.DUMMYFUNCTION("""COMPUTED_VALUE"""),"RF-00000890-MCG")</f>
        <v>RF-00000890-MCG</v>
      </c>
    </row>
    <row r="6765" spans="1:2" ht="12.5" x14ac:dyDescent="0.25">
      <c r="A6765" t="str">
        <f ca="1">IFERROR(__xludf.DUMMYFUNCTION("""COMPUTED_VALUE"""),"Salmonella Johannesburg")</f>
        <v>Salmonella Johannesburg</v>
      </c>
      <c r="B6765" t="str">
        <f ca="1">IFERROR(__xludf.DUMMYFUNCTION("""COMPUTED_VALUE"""),"RF-00000724-MCG")</f>
        <v>RF-00000724-MCG</v>
      </c>
    </row>
    <row r="6766" spans="1:2" ht="12.5" x14ac:dyDescent="0.25">
      <c r="A6766" t="str">
        <f ca="1">IFERROR(__xludf.DUMMYFUNCTION("""COMPUTED_VALUE"""),"Salmonella Jos")</f>
        <v>Salmonella Jos</v>
      </c>
      <c r="B6766" t="str">
        <f ca="1">IFERROR(__xludf.DUMMYFUNCTION("""COMPUTED_VALUE"""),"RF-00000562-MCG")</f>
        <v>RF-00000562-MCG</v>
      </c>
    </row>
    <row r="6767" spans="1:2" ht="12.5" x14ac:dyDescent="0.25">
      <c r="A6767" t="str">
        <f ca="1">IFERROR(__xludf.DUMMYFUNCTION("""COMPUTED_VALUE"""),"Salmonella Juba")</f>
        <v>Salmonella Juba</v>
      </c>
      <c r="B6767" t="str">
        <f ca="1">IFERROR(__xludf.DUMMYFUNCTION("""COMPUTED_VALUE"""),"RF-00000779-MCG")</f>
        <v>RF-00000779-MCG</v>
      </c>
    </row>
    <row r="6768" spans="1:2" ht="12.5" x14ac:dyDescent="0.25">
      <c r="A6768" t="str">
        <f ca="1">IFERROR(__xludf.DUMMYFUNCTION("""COMPUTED_VALUE"""),"Salmonella Jubilee")</f>
        <v>Salmonella Jubilee</v>
      </c>
      <c r="B6768" t="str">
        <f ca="1">IFERROR(__xludf.DUMMYFUNCTION("""COMPUTED_VALUE"""),"RF-00000615-MCG")</f>
        <v>RF-00000615-MCG</v>
      </c>
    </row>
    <row r="6769" spans="1:2" ht="12.5" x14ac:dyDescent="0.25">
      <c r="A6769" t="str">
        <f ca="1">IFERROR(__xludf.DUMMYFUNCTION("""COMPUTED_VALUE"""),"Salmonella Jukestown")</f>
        <v>Salmonella Jukestown</v>
      </c>
      <c r="B6769" t="str">
        <f ca="1">IFERROR(__xludf.DUMMYFUNCTION("""COMPUTED_VALUE"""),"RF-00000614-MCG")</f>
        <v>RF-00000614-MCG</v>
      </c>
    </row>
    <row r="6770" spans="1:2" ht="12.5" x14ac:dyDescent="0.25">
      <c r="A6770" t="str">
        <f ca="1">IFERROR(__xludf.DUMMYFUNCTION("""COMPUTED_VALUE"""),"Salmonella Kaapstad")</f>
        <v>Salmonella Kaapstad</v>
      </c>
      <c r="B6770" t="str">
        <f ca="1">IFERROR(__xludf.DUMMYFUNCTION("""COMPUTED_VALUE"""),"RF-00000613-MCG")</f>
        <v>RF-00000613-MCG</v>
      </c>
    </row>
    <row r="6771" spans="1:2" ht="12.5" x14ac:dyDescent="0.25">
      <c r="A6771" t="str">
        <f ca="1">IFERROR(__xludf.DUMMYFUNCTION("""COMPUTED_VALUE"""),"Salmonella Kabete")</f>
        <v>Salmonella Kabete</v>
      </c>
      <c r="B6771" t="str">
        <f ca="1">IFERROR(__xludf.DUMMYFUNCTION("""COMPUTED_VALUE"""),"RF-00000612-MCG")</f>
        <v>RF-00000612-MCG</v>
      </c>
    </row>
    <row r="6772" spans="1:2" ht="12.5" x14ac:dyDescent="0.25">
      <c r="A6772" t="str">
        <f ca="1">IFERROR(__xludf.DUMMYFUNCTION("""COMPUTED_VALUE"""),"Salmonella Kaduna")</f>
        <v>Salmonella Kaduna</v>
      </c>
      <c r="B6772" t="str">
        <f ca="1">IFERROR(__xludf.DUMMYFUNCTION("""COMPUTED_VALUE"""),"RF-00000611-MCG")</f>
        <v>RF-00000611-MCG</v>
      </c>
    </row>
    <row r="6773" spans="1:2" ht="12.5" x14ac:dyDescent="0.25">
      <c r="A6773" t="str">
        <f ca="1">IFERROR(__xludf.DUMMYFUNCTION("""COMPUTED_VALUE"""),"Salmonella Kahla")</f>
        <v>Salmonella Kahla</v>
      </c>
      <c r="B6773" t="str">
        <f ca="1">IFERROR(__xludf.DUMMYFUNCTION("""COMPUTED_VALUE"""),"RF-00000610-MCG")</f>
        <v>RF-00000610-MCG</v>
      </c>
    </row>
    <row r="6774" spans="1:2" ht="12.5" x14ac:dyDescent="0.25">
      <c r="A6774" t="str">
        <f ca="1">IFERROR(__xludf.DUMMYFUNCTION("""COMPUTED_VALUE"""),"Salmonella Kainji")</f>
        <v>Salmonella Kainji</v>
      </c>
      <c r="B6774" t="str">
        <f ca="1">IFERROR(__xludf.DUMMYFUNCTION("""COMPUTED_VALUE"""),"RF-00000609-MCG")</f>
        <v>RF-00000609-MCG</v>
      </c>
    </row>
    <row r="6775" spans="1:2" ht="12.5" x14ac:dyDescent="0.25">
      <c r="A6775" t="str">
        <f ca="1">IFERROR(__xludf.DUMMYFUNCTION("""COMPUTED_VALUE"""),"Salmonella Kaitaan")</f>
        <v>Salmonella Kaitaan</v>
      </c>
      <c r="B6775" t="str">
        <f ca="1">IFERROR(__xludf.DUMMYFUNCTION("""COMPUTED_VALUE"""),"RF-00000608-MCG")</f>
        <v>RF-00000608-MCG</v>
      </c>
    </row>
    <row r="6776" spans="1:2" ht="12.5" x14ac:dyDescent="0.25">
      <c r="A6776" t="str">
        <f ca="1">IFERROR(__xludf.DUMMYFUNCTION("""COMPUTED_VALUE"""),"Salmonella Kalamu")</f>
        <v>Salmonella Kalamu</v>
      </c>
      <c r="B6776" t="str">
        <f ca="1">IFERROR(__xludf.DUMMYFUNCTION("""COMPUTED_VALUE"""),"RF-00000607-MCG")</f>
        <v>RF-00000607-MCG</v>
      </c>
    </row>
    <row r="6777" spans="1:2" ht="12.5" x14ac:dyDescent="0.25">
      <c r="A6777" t="str">
        <f ca="1">IFERROR(__xludf.DUMMYFUNCTION("""COMPUTED_VALUE"""),"Salmonella Kalina")</f>
        <v>Salmonella Kalina</v>
      </c>
      <c r="B6777" t="str">
        <f ca="1">IFERROR(__xludf.DUMMYFUNCTION("""COMPUTED_VALUE"""),"RF-00000606-MCG")</f>
        <v>RF-00000606-MCG</v>
      </c>
    </row>
    <row r="6778" spans="1:2" ht="12.5" x14ac:dyDescent="0.25">
      <c r="A6778" t="str">
        <f ca="1">IFERROR(__xludf.DUMMYFUNCTION("""COMPUTED_VALUE"""),"Salmonella Kallo")</f>
        <v>Salmonella Kallo</v>
      </c>
      <c r="B6778" t="str">
        <f ca="1">IFERROR(__xludf.DUMMYFUNCTION("""COMPUTED_VALUE"""),"RF-00000591-MCG")</f>
        <v>RF-00000591-MCG</v>
      </c>
    </row>
    <row r="6779" spans="1:2" ht="12.5" x14ac:dyDescent="0.25">
      <c r="A6779" t="str">
        <f ca="1">IFERROR(__xludf.DUMMYFUNCTION("""COMPUTED_VALUE"""),"Salmonella Kalumburu")</f>
        <v>Salmonella Kalumburu</v>
      </c>
      <c r="B6779" t="str">
        <f ca="1">IFERROR(__xludf.DUMMYFUNCTION("""COMPUTED_VALUE"""),"RF-00000604-MCG")</f>
        <v>RF-00000604-MCG</v>
      </c>
    </row>
    <row r="6780" spans="1:2" ht="12.5" x14ac:dyDescent="0.25">
      <c r="A6780" t="str">
        <f ca="1">IFERROR(__xludf.DUMMYFUNCTION("""COMPUTED_VALUE"""),"Salmonella Kambole")</f>
        <v>Salmonella Kambole</v>
      </c>
      <c r="B6780" t="str">
        <f ca="1">IFERROR(__xludf.DUMMYFUNCTION("""COMPUTED_VALUE"""),"RF-00000617-MCG")</f>
        <v>RF-00000617-MCG</v>
      </c>
    </row>
    <row r="6781" spans="1:2" ht="12.5" x14ac:dyDescent="0.25">
      <c r="A6781" t="str">
        <f ca="1">IFERROR(__xludf.DUMMYFUNCTION("""COMPUTED_VALUE"""),"Salmonella Kamoru")</f>
        <v>Salmonella Kamoru</v>
      </c>
      <c r="B6781" t="str">
        <f ca="1">IFERROR(__xludf.DUMMYFUNCTION("""COMPUTED_VALUE"""),"RF-00000602-MCG")</f>
        <v>RF-00000602-MCG</v>
      </c>
    </row>
    <row r="6782" spans="1:2" ht="12.5" x14ac:dyDescent="0.25">
      <c r="A6782" t="str">
        <f ca="1">IFERROR(__xludf.DUMMYFUNCTION("""COMPUTED_VALUE"""),"Salmonella Kampala")</f>
        <v>Salmonella Kampala</v>
      </c>
      <c r="B6782" t="str">
        <f ca="1">IFERROR(__xludf.DUMMYFUNCTION("""COMPUTED_VALUE"""),"RF-00000601-MCG")</f>
        <v>RF-00000601-MCG</v>
      </c>
    </row>
    <row r="6783" spans="1:2" ht="12.5" x14ac:dyDescent="0.25">
      <c r="A6783" t="str">
        <f ca="1">IFERROR(__xludf.DUMMYFUNCTION("""COMPUTED_VALUE"""),"Salmonella Kande")</f>
        <v>Salmonella Kande</v>
      </c>
      <c r="B6783" t="str">
        <f ca="1">IFERROR(__xludf.DUMMYFUNCTION("""COMPUTED_VALUE"""),"RF-00000600-MCG")</f>
        <v>RF-00000600-MCG</v>
      </c>
    </row>
    <row r="6784" spans="1:2" ht="12.5" x14ac:dyDescent="0.25">
      <c r="A6784" t="str">
        <f ca="1">IFERROR(__xludf.DUMMYFUNCTION("""COMPUTED_VALUE"""),"Salmonella Kandla")</f>
        <v>Salmonella Kandla</v>
      </c>
      <c r="B6784" t="str">
        <f ca="1">IFERROR(__xludf.DUMMYFUNCTION("""COMPUTED_VALUE"""),"RF-00000599-MCG")</f>
        <v>RF-00000599-MCG</v>
      </c>
    </row>
    <row r="6785" spans="1:2" ht="12.5" x14ac:dyDescent="0.25">
      <c r="A6785" t="str">
        <f ca="1">IFERROR(__xludf.DUMMYFUNCTION("""COMPUTED_VALUE"""),"Salmonella Kaneshie")</f>
        <v>Salmonella Kaneshie</v>
      </c>
      <c r="B6785" t="str">
        <f ca="1">IFERROR(__xludf.DUMMYFUNCTION("""COMPUTED_VALUE"""),"RF-00000598-MCG")</f>
        <v>RF-00000598-MCG</v>
      </c>
    </row>
    <row r="6786" spans="1:2" ht="12.5" x14ac:dyDescent="0.25">
      <c r="A6786" t="str">
        <f ca="1">IFERROR(__xludf.DUMMYFUNCTION("""COMPUTED_VALUE"""),"Salmonella Kanifing")</f>
        <v>Salmonella Kanifing</v>
      </c>
      <c r="B6786" t="str">
        <f ca="1">IFERROR(__xludf.DUMMYFUNCTION("""COMPUTED_VALUE"""),"RF-00000597-MCG")</f>
        <v>RF-00000597-MCG</v>
      </c>
    </row>
    <row r="6787" spans="1:2" ht="12.5" x14ac:dyDescent="0.25">
      <c r="A6787" t="str">
        <f ca="1">IFERROR(__xludf.DUMMYFUNCTION("""COMPUTED_VALUE"""),"Salmonella Kano")</f>
        <v>Salmonella Kano</v>
      </c>
      <c r="B6787" t="str">
        <f ca="1">IFERROR(__xludf.DUMMYFUNCTION("""COMPUTED_VALUE"""),"RF-00000596-MCG")</f>
        <v>RF-00000596-MCG</v>
      </c>
    </row>
    <row r="6788" spans="1:2" ht="12.5" x14ac:dyDescent="0.25">
      <c r="A6788" t="str">
        <f ca="1">IFERROR(__xludf.DUMMYFUNCTION("""COMPUTED_VALUE"""),"Salmonella Kaolack")</f>
        <v>Salmonella Kaolack</v>
      </c>
      <c r="B6788" t="str">
        <f ca="1">IFERROR(__xludf.DUMMYFUNCTION("""COMPUTED_VALUE"""),"RF-00000595-MCG")</f>
        <v>RF-00000595-MCG</v>
      </c>
    </row>
    <row r="6789" spans="1:2" ht="12.5" x14ac:dyDescent="0.25">
      <c r="A6789" t="str">
        <f ca="1">IFERROR(__xludf.DUMMYFUNCTION("""COMPUTED_VALUE"""),"Salmonella Kapemba")</f>
        <v>Salmonella Kapemba</v>
      </c>
      <c r="B6789" t="str">
        <f ca="1">IFERROR(__xludf.DUMMYFUNCTION("""COMPUTED_VALUE"""),"RF-00000594-MCG")</f>
        <v>RF-00000594-MCG</v>
      </c>
    </row>
    <row r="6790" spans="1:2" ht="12.5" x14ac:dyDescent="0.25">
      <c r="A6790" t="str">
        <f ca="1">IFERROR(__xludf.DUMMYFUNCTION("""COMPUTED_VALUE"""),"Salmonella Karachi")</f>
        <v>Salmonella Karachi</v>
      </c>
      <c r="B6790" t="str">
        <f ca="1">IFERROR(__xludf.DUMMYFUNCTION("""COMPUTED_VALUE"""),"RF-00000593-MCG")</f>
        <v>RF-00000593-MCG</v>
      </c>
    </row>
    <row r="6791" spans="1:2" ht="12.5" x14ac:dyDescent="0.25">
      <c r="A6791" t="str">
        <f ca="1">IFERROR(__xludf.DUMMYFUNCTION("""COMPUTED_VALUE"""),"Salmonella Karamoja")</f>
        <v>Salmonella Karamoja</v>
      </c>
      <c r="B6791" t="str">
        <f ca="1">IFERROR(__xludf.DUMMYFUNCTION("""COMPUTED_VALUE"""),"RF-00000630-MCG")</f>
        <v>RF-00000630-MCG</v>
      </c>
    </row>
    <row r="6792" spans="1:2" ht="12.5" x14ac:dyDescent="0.25">
      <c r="A6792" t="str">
        <f ca="1">IFERROR(__xludf.DUMMYFUNCTION("""COMPUTED_VALUE"""),"Salmonella Karaya")</f>
        <v>Salmonella Karaya</v>
      </c>
      <c r="B6792" t="str">
        <f ca="1">IFERROR(__xludf.DUMMYFUNCTION("""COMPUTED_VALUE"""),"RF-00000603-MCG")</f>
        <v>RF-00000603-MCG</v>
      </c>
    </row>
    <row r="6793" spans="1:2" ht="12.5" x14ac:dyDescent="0.25">
      <c r="A6793" t="str">
        <f ca="1">IFERROR(__xludf.DUMMYFUNCTION("""COMPUTED_VALUE"""),"Salmonella Karlshamn")</f>
        <v>Salmonella Karlshamn</v>
      </c>
      <c r="B6793" t="str">
        <f ca="1">IFERROR(__xludf.DUMMYFUNCTION("""COMPUTED_VALUE"""),"RF-00000605-MCG")</f>
        <v>RF-00000605-MCG</v>
      </c>
    </row>
    <row r="6794" spans="1:2" ht="12.5" x14ac:dyDescent="0.25">
      <c r="A6794" t="str">
        <f ca="1">IFERROR(__xludf.DUMMYFUNCTION("""COMPUTED_VALUE"""),"Salmonella Kasenyi")</f>
        <v>Salmonella Kasenyi</v>
      </c>
      <c r="B6794" t="str">
        <f ca="1">IFERROR(__xludf.DUMMYFUNCTION("""COMPUTED_VALUE"""),"RF-00000643-MCG")</f>
        <v>RF-00000643-MCG</v>
      </c>
    </row>
    <row r="6795" spans="1:2" ht="12.5" x14ac:dyDescent="0.25">
      <c r="A6795" t="str">
        <f ca="1">IFERROR(__xludf.DUMMYFUNCTION("""COMPUTED_VALUE"""),"Salmonella Kassberg")</f>
        <v>Salmonella Kassberg</v>
      </c>
      <c r="B6795" t="str">
        <f ca="1">IFERROR(__xludf.DUMMYFUNCTION("""COMPUTED_VALUE"""),"RF-00000642-MCG")</f>
        <v>RF-00000642-MCG</v>
      </c>
    </row>
    <row r="6796" spans="1:2" ht="12.5" x14ac:dyDescent="0.25">
      <c r="A6796" t="str">
        <f ca="1">IFERROR(__xludf.DUMMYFUNCTION("""COMPUTED_VALUE"""),"Salmonella Kedougou")</f>
        <v>Salmonella Kedougou</v>
      </c>
      <c r="B6796" t="str">
        <f ca="1">IFERROR(__xludf.DUMMYFUNCTION("""COMPUTED_VALUE"""),"RF-00000641-MCG")</f>
        <v>RF-00000641-MCG</v>
      </c>
    </row>
    <row r="6797" spans="1:2" ht="12.5" x14ac:dyDescent="0.25">
      <c r="A6797" t="str">
        <f ca="1">IFERROR(__xludf.DUMMYFUNCTION("""COMPUTED_VALUE"""),"Salmonella Kentucky")</f>
        <v>Salmonella Kentucky</v>
      </c>
      <c r="B6797" t="str">
        <f ca="1">IFERROR(__xludf.DUMMYFUNCTION("""COMPUTED_VALUE"""),"RF-00000640-MCG")</f>
        <v>RF-00000640-MCG</v>
      </c>
    </row>
    <row r="6798" spans="1:2" ht="12.5" x14ac:dyDescent="0.25">
      <c r="A6798" t="str">
        <f ca="1">IFERROR(__xludf.DUMMYFUNCTION("""COMPUTED_VALUE"""),"Salmonella Kenya")</f>
        <v>Salmonella Kenya</v>
      </c>
      <c r="B6798" t="str">
        <f ca="1">IFERROR(__xludf.DUMMYFUNCTION("""COMPUTED_VALUE"""),"RF-00000639-MCG")</f>
        <v>RF-00000639-MCG</v>
      </c>
    </row>
    <row r="6799" spans="1:2" ht="12.5" x14ac:dyDescent="0.25">
      <c r="A6799" t="str">
        <f ca="1">IFERROR(__xludf.DUMMYFUNCTION("""COMPUTED_VALUE"""),"Salmonella Kermel")</f>
        <v>Salmonella Kermel</v>
      </c>
      <c r="B6799" t="str">
        <f ca="1">IFERROR(__xludf.DUMMYFUNCTION("""COMPUTED_VALUE"""),"RF-00000638-MCG")</f>
        <v>RF-00000638-MCG</v>
      </c>
    </row>
    <row r="6800" spans="1:2" ht="12.5" x14ac:dyDescent="0.25">
      <c r="A6800" t="str">
        <f ca="1">IFERROR(__xludf.DUMMYFUNCTION("""COMPUTED_VALUE"""),"Salmonella Keve")</f>
        <v>Salmonella Keve</v>
      </c>
      <c r="B6800" t="str">
        <f ca="1">IFERROR(__xludf.DUMMYFUNCTION("""COMPUTED_VALUE"""),"RF-00000637-MCG")</f>
        <v>RF-00000637-MCG</v>
      </c>
    </row>
    <row r="6801" spans="1:2" ht="12.5" x14ac:dyDescent="0.25">
      <c r="A6801" t="str">
        <f ca="1">IFERROR(__xludf.DUMMYFUNCTION("""COMPUTED_VALUE"""),"Salmonella Kiambu")</f>
        <v>Salmonella Kiambu</v>
      </c>
      <c r="B6801" t="str">
        <f ca="1">IFERROR(__xludf.DUMMYFUNCTION("""COMPUTED_VALUE"""),"RF-00000636-MCG")</f>
        <v>RF-00000636-MCG</v>
      </c>
    </row>
    <row r="6802" spans="1:2" ht="12.5" x14ac:dyDescent="0.25">
      <c r="A6802" t="str">
        <f ca="1">IFERROR(__xludf.DUMMYFUNCTION("""COMPUTED_VALUE"""),"Salmonella Kibi")</f>
        <v>Salmonella Kibi</v>
      </c>
      <c r="B6802" t="str">
        <f ca="1">IFERROR(__xludf.DUMMYFUNCTION("""COMPUTED_VALUE"""),"RF-00000635-MCG")</f>
        <v>RF-00000635-MCG</v>
      </c>
    </row>
    <row r="6803" spans="1:2" ht="12.5" x14ac:dyDescent="0.25">
      <c r="A6803" t="str">
        <f ca="1">IFERROR(__xludf.DUMMYFUNCTION("""COMPUTED_VALUE"""),"Salmonella Kibusi")</f>
        <v>Salmonella Kibusi</v>
      </c>
      <c r="B6803" t="str">
        <f ca="1">IFERROR(__xludf.DUMMYFUNCTION("""COMPUTED_VALUE"""),"RF-00000634-MCG")</f>
        <v>RF-00000634-MCG</v>
      </c>
    </row>
    <row r="6804" spans="1:2" ht="12.5" x14ac:dyDescent="0.25">
      <c r="A6804" t="str">
        <f ca="1">IFERROR(__xludf.DUMMYFUNCTION("""COMPUTED_VALUE"""),"Salmonella Kidderminster")</f>
        <v>Salmonella Kidderminster</v>
      </c>
      <c r="B6804" t="str">
        <f ca="1">IFERROR(__xludf.DUMMYFUNCTION("""COMPUTED_VALUE"""),"RF-00000633-MCG")</f>
        <v>RF-00000633-MCG</v>
      </c>
    </row>
    <row r="6805" spans="1:2" ht="12.5" x14ac:dyDescent="0.25">
      <c r="A6805" t="str">
        <f ca="1">IFERROR(__xludf.DUMMYFUNCTION("""COMPUTED_VALUE"""),"Salmonella Kiel")</f>
        <v>Salmonella Kiel</v>
      </c>
      <c r="B6805" t="str">
        <f ca="1">IFERROR(__xludf.DUMMYFUNCTION("""COMPUTED_VALUE"""),"RF-00000618-MCG")</f>
        <v>RF-00000618-MCG</v>
      </c>
    </row>
    <row r="6806" spans="1:2" ht="12.5" x14ac:dyDescent="0.25">
      <c r="A6806" t="str">
        <f ca="1">IFERROR(__xludf.DUMMYFUNCTION("""COMPUTED_VALUE"""),"Salmonella Kikoma")</f>
        <v>Salmonella Kikoma</v>
      </c>
      <c r="B6806" t="str">
        <f ca="1">IFERROR(__xludf.DUMMYFUNCTION("""COMPUTED_VALUE"""),"RF-00000631-MCG")</f>
        <v>RF-00000631-MCG</v>
      </c>
    </row>
    <row r="6807" spans="1:2" ht="12.5" x14ac:dyDescent="0.25">
      <c r="A6807" t="str">
        <f ca="1">IFERROR(__xludf.DUMMYFUNCTION("""COMPUTED_VALUE"""),"Salmonella Kimberley")</f>
        <v>Salmonella Kimberley</v>
      </c>
      <c r="B6807" t="str">
        <f ca="1">IFERROR(__xludf.DUMMYFUNCTION("""COMPUTED_VALUE"""),"RF-00000644-MCG")</f>
        <v>RF-00000644-MCG</v>
      </c>
    </row>
    <row r="6808" spans="1:2" ht="12.5" x14ac:dyDescent="0.25">
      <c r="A6808" t="str">
        <f ca="1">IFERROR(__xludf.DUMMYFUNCTION("""COMPUTED_VALUE"""),"Salmonella Kimpese")</f>
        <v>Salmonella Kimpese</v>
      </c>
      <c r="B6808" t="str">
        <f ca="1">IFERROR(__xludf.DUMMYFUNCTION("""COMPUTED_VALUE"""),"RF-00000629-MCG")</f>
        <v>RF-00000629-MCG</v>
      </c>
    </row>
    <row r="6809" spans="1:2" ht="12.5" x14ac:dyDescent="0.25">
      <c r="A6809" t="str">
        <f ca="1">IFERROR(__xludf.DUMMYFUNCTION("""COMPUTED_VALUE"""),"Salmonella Kimuenza")</f>
        <v>Salmonella Kimuenza</v>
      </c>
      <c r="B6809" t="str">
        <f ca="1">IFERROR(__xludf.DUMMYFUNCTION("""COMPUTED_VALUE"""),"RF-00000628-MCG")</f>
        <v>RF-00000628-MCG</v>
      </c>
    </row>
    <row r="6810" spans="1:2" ht="12.5" x14ac:dyDescent="0.25">
      <c r="A6810" t="str">
        <f ca="1">IFERROR(__xludf.DUMMYFUNCTION("""COMPUTED_VALUE"""),"Salmonella Kindia")</f>
        <v>Salmonella Kindia</v>
      </c>
      <c r="B6810" t="str">
        <f ca="1">IFERROR(__xludf.DUMMYFUNCTION("""COMPUTED_VALUE"""),"RF-00000627-MCG")</f>
        <v>RF-00000627-MCG</v>
      </c>
    </row>
    <row r="6811" spans="1:2" ht="12.5" x14ac:dyDescent="0.25">
      <c r="A6811" t="str">
        <f ca="1">IFERROR(__xludf.DUMMYFUNCTION("""COMPUTED_VALUE"""),"Salmonella Kingabwa")</f>
        <v>Salmonella Kingabwa</v>
      </c>
      <c r="B6811" t="str">
        <f ca="1">IFERROR(__xludf.DUMMYFUNCTION("""COMPUTED_VALUE"""),"RF-00000626-MCG")</f>
        <v>RF-00000626-MCG</v>
      </c>
    </row>
    <row r="6812" spans="1:2" ht="12.5" x14ac:dyDescent="0.25">
      <c r="A6812" t="str">
        <f ca="1">IFERROR(__xludf.DUMMYFUNCTION("""COMPUTED_VALUE"""),"Salmonella Kingston")</f>
        <v>Salmonella Kingston</v>
      </c>
      <c r="B6812" t="str">
        <f ca="1">IFERROR(__xludf.DUMMYFUNCTION("""COMPUTED_VALUE"""),"RF-00000625-MCG")</f>
        <v>RF-00000625-MCG</v>
      </c>
    </row>
    <row r="6813" spans="1:2" ht="12.5" x14ac:dyDescent="0.25">
      <c r="A6813" t="str">
        <f ca="1">IFERROR(__xludf.DUMMYFUNCTION("""COMPUTED_VALUE"""),"Salmonella Kinondoni")</f>
        <v>Salmonella Kinondoni</v>
      </c>
      <c r="B6813" t="str">
        <f ca="1">IFERROR(__xludf.DUMMYFUNCTION("""COMPUTED_VALUE"""),"RF-00000624-MCG")</f>
        <v>RF-00000624-MCG</v>
      </c>
    </row>
    <row r="6814" spans="1:2" ht="12.5" x14ac:dyDescent="0.25">
      <c r="A6814" t="str">
        <f ca="1">IFERROR(__xludf.DUMMYFUNCTION("""COMPUTED_VALUE"""),"Salmonella Kinson")</f>
        <v>Salmonella Kinson</v>
      </c>
      <c r="B6814" t="str">
        <f ca="1">IFERROR(__xludf.DUMMYFUNCTION("""COMPUTED_VALUE"""),"RF-00000623-MCG")</f>
        <v>RF-00000623-MCG</v>
      </c>
    </row>
    <row r="6815" spans="1:2" ht="12.5" x14ac:dyDescent="0.25">
      <c r="A6815" t="str">
        <f ca="1">IFERROR(__xludf.DUMMYFUNCTION("""COMPUTED_VALUE"""),"Salmonella Kintambo")</f>
        <v>Salmonella Kintambo</v>
      </c>
      <c r="B6815" t="str">
        <f ca="1">IFERROR(__xludf.DUMMYFUNCTION("""COMPUTED_VALUE"""),"RF-00000622-MCG")</f>
        <v>RF-00000622-MCG</v>
      </c>
    </row>
    <row r="6816" spans="1:2" ht="12.5" x14ac:dyDescent="0.25">
      <c r="A6816" t="str">
        <f ca="1">IFERROR(__xludf.DUMMYFUNCTION("""COMPUTED_VALUE"""),"Salmonella Kirkee")</f>
        <v>Salmonella Kirkee</v>
      </c>
      <c r="B6816" t="str">
        <f ca="1">IFERROR(__xludf.DUMMYFUNCTION("""COMPUTED_VALUE"""),"RF-00000621-MCG")</f>
        <v>RF-00000621-MCG</v>
      </c>
    </row>
    <row r="6817" spans="1:2" ht="12.5" x14ac:dyDescent="0.25">
      <c r="A6817" t="str">
        <f ca="1">IFERROR(__xludf.DUMMYFUNCTION("""COMPUTED_VALUE"""),"Salmonella Kisangani")</f>
        <v>Salmonella Kisangani</v>
      </c>
      <c r="B6817" t="str">
        <f ca="1">IFERROR(__xludf.DUMMYFUNCTION("""COMPUTED_VALUE"""),"RF-00000620-MCG")</f>
        <v>RF-00000620-MCG</v>
      </c>
    </row>
    <row r="6818" spans="1:2" ht="12.5" x14ac:dyDescent="0.25">
      <c r="A6818" t="str">
        <f ca="1">IFERROR(__xludf.DUMMYFUNCTION("""COMPUTED_VALUE"""),"Salmonella Kisarawe")</f>
        <v>Salmonella Kisarawe</v>
      </c>
      <c r="B6818" t="str">
        <f ca="1">IFERROR(__xludf.DUMMYFUNCTION("""COMPUTED_VALUE"""),"RF-00000619-MCG")</f>
        <v>RF-00000619-MCG</v>
      </c>
    </row>
    <row r="6819" spans="1:2" ht="12.5" x14ac:dyDescent="0.25">
      <c r="A6819" t="str">
        <f ca="1">IFERROR(__xludf.DUMMYFUNCTION("""COMPUTED_VALUE"""),"Salmonella Kisii")</f>
        <v>Salmonella Kisii</v>
      </c>
      <c r="B6819" t="str">
        <f ca="1">IFERROR(__xludf.DUMMYFUNCTION("""COMPUTED_VALUE"""),"RF-00000578-MCG")</f>
        <v>RF-00000578-MCG</v>
      </c>
    </row>
    <row r="6820" spans="1:2" ht="12.5" x14ac:dyDescent="0.25">
      <c r="A6820" t="str">
        <f ca="1">IFERROR(__xludf.DUMMYFUNCTION("""COMPUTED_VALUE"""),"Salmonella Kitenge")</f>
        <v>Salmonella Kitenge</v>
      </c>
      <c r="B6820" t="str">
        <f ca="1">IFERROR(__xludf.DUMMYFUNCTION("""COMPUTED_VALUE"""),"RF-00000538-MCG")</f>
        <v>RF-00000538-MCG</v>
      </c>
    </row>
    <row r="6821" spans="1:2" ht="12.5" x14ac:dyDescent="0.25">
      <c r="A6821" t="str">
        <f ca="1">IFERROR(__xludf.DUMMYFUNCTION("""COMPUTED_VALUE"""),"Salmonella Kivu")</f>
        <v>Salmonella Kivu</v>
      </c>
      <c r="B6821" t="str">
        <f ca="1">IFERROR(__xludf.DUMMYFUNCTION("""COMPUTED_VALUE"""),"RF-00000592-MCG")</f>
        <v>RF-00000592-MCG</v>
      </c>
    </row>
    <row r="6822" spans="1:2" ht="12.5" x14ac:dyDescent="0.25">
      <c r="A6822" t="str">
        <f ca="1">IFERROR(__xludf.DUMMYFUNCTION("""COMPUTED_VALUE"""),"Salmonella Klouto")</f>
        <v>Salmonella Klouto</v>
      </c>
      <c r="B6822" t="str">
        <f ca="1">IFERROR(__xludf.DUMMYFUNCTION("""COMPUTED_VALUE"""),"RF-00000561-MCG")</f>
        <v>RF-00000561-MCG</v>
      </c>
    </row>
    <row r="6823" spans="1:2" ht="12.5" x14ac:dyDescent="0.25">
      <c r="A6823" t="str">
        <f ca="1">IFERROR(__xludf.DUMMYFUNCTION("""COMPUTED_VALUE"""),"Salmonella Kodjovi")</f>
        <v>Salmonella Kodjovi</v>
      </c>
      <c r="B6823" t="str">
        <f ca="1">IFERROR(__xludf.DUMMYFUNCTION("""COMPUTED_VALUE"""),"RF-00000560-MCG")</f>
        <v>RF-00000560-MCG</v>
      </c>
    </row>
    <row r="6824" spans="1:2" ht="12.5" x14ac:dyDescent="0.25">
      <c r="A6824" t="str">
        <f ca="1">IFERROR(__xludf.DUMMYFUNCTION("""COMPUTED_VALUE"""),"Salmonella Koenigstuhl")</f>
        <v>Salmonella Koenigstuhl</v>
      </c>
      <c r="B6824" t="str">
        <f ca="1">IFERROR(__xludf.DUMMYFUNCTION("""COMPUTED_VALUE"""),"RF-00000559-MCG")</f>
        <v>RF-00000559-MCG</v>
      </c>
    </row>
    <row r="6825" spans="1:2" ht="12.5" x14ac:dyDescent="0.25">
      <c r="A6825" t="str">
        <f ca="1">IFERROR(__xludf.DUMMYFUNCTION("""COMPUTED_VALUE"""),"Salmonella Koessen")</f>
        <v>Salmonella Koessen</v>
      </c>
      <c r="B6825" t="str">
        <f ca="1">IFERROR(__xludf.DUMMYFUNCTION("""COMPUTED_VALUE"""),"RF-00000558-MCG")</f>
        <v>RF-00000558-MCG</v>
      </c>
    </row>
    <row r="6826" spans="1:2" ht="12.5" x14ac:dyDescent="0.25">
      <c r="A6826" t="str">
        <f ca="1">IFERROR(__xludf.DUMMYFUNCTION("""COMPUTED_VALUE"""),"Salmonella Kofandoka")</f>
        <v>Salmonella Kofandoka</v>
      </c>
      <c r="B6826" t="str">
        <f ca="1">IFERROR(__xludf.DUMMYFUNCTION("""COMPUTED_VALUE"""),"RF-00000557-MCG")</f>
        <v>RF-00000557-MCG</v>
      </c>
    </row>
    <row r="6827" spans="1:2" ht="12.5" x14ac:dyDescent="0.25">
      <c r="A6827" t="str">
        <f ca="1">IFERROR(__xludf.DUMMYFUNCTION("""COMPUTED_VALUE"""),"Salmonella Koketime")</f>
        <v>Salmonella Koketime</v>
      </c>
      <c r="B6827" t="str">
        <f ca="1">IFERROR(__xludf.DUMMYFUNCTION("""COMPUTED_VALUE"""),"RF-00000556-MCG")</f>
        <v>RF-00000556-MCG</v>
      </c>
    </row>
    <row r="6828" spans="1:2" ht="12.5" x14ac:dyDescent="0.25">
      <c r="A6828" t="str">
        <f ca="1">IFERROR(__xludf.DUMMYFUNCTION("""COMPUTED_VALUE"""),"Salmonella Kokoli")</f>
        <v>Salmonella Kokoli</v>
      </c>
      <c r="B6828" t="str">
        <f ca="1">IFERROR(__xludf.DUMMYFUNCTION("""COMPUTED_VALUE"""),"RF-00000555-MCG")</f>
        <v>RF-00000555-MCG</v>
      </c>
    </row>
    <row r="6829" spans="1:2" ht="12.5" x14ac:dyDescent="0.25">
      <c r="A6829" t="str">
        <f ca="1">IFERROR(__xludf.DUMMYFUNCTION("""COMPUTED_VALUE"""),"Salmonella Kokomlemle")</f>
        <v>Salmonella Kokomlemle</v>
      </c>
      <c r="B6829" t="str">
        <f ca="1">IFERROR(__xludf.DUMMYFUNCTION("""COMPUTED_VALUE"""),"RF-00000554-MCG")</f>
        <v>RF-00000554-MCG</v>
      </c>
    </row>
    <row r="6830" spans="1:2" ht="12.5" x14ac:dyDescent="0.25">
      <c r="A6830" t="str">
        <f ca="1">IFERROR(__xludf.DUMMYFUNCTION("""COMPUTED_VALUE"""),"Salmonella Kolar")</f>
        <v>Salmonella Kolar</v>
      </c>
      <c r="B6830" t="str">
        <f ca="1">IFERROR(__xludf.DUMMYFUNCTION("""COMPUTED_VALUE"""),"RF-00000553-MCG")</f>
        <v>RF-00000553-MCG</v>
      </c>
    </row>
    <row r="6831" spans="1:2" ht="12.5" x14ac:dyDescent="0.25">
      <c r="A6831" t="str">
        <f ca="1">IFERROR(__xludf.DUMMYFUNCTION("""COMPUTED_VALUE"""),"Salmonella Kolda")</f>
        <v>Salmonella Kolda</v>
      </c>
      <c r="B6831" t="str">
        <f ca="1">IFERROR(__xludf.DUMMYFUNCTION("""COMPUTED_VALUE"""),"RF-00000552-MCG")</f>
        <v>RF-00000552-MCG</v>
      </c>
    </row>
    <row r="6832" spans="1:2" ht="12.5" x14ac:dyDescent="0.25">
      <c r="A6832" t="str">
        <f ca="1">IFERROR(__xludf.DUMMYFUNCTION("""COMPUTED_VALUE"""),"Salmonella Konolfingen")</f>
        <v>Salmonella Konolfingen</v>
      </c>
      <c r="B6832" t="str">
        <f ca="1">IFERROR(__xludf.DUMMYFUNCTION("""COMPUTED_VALUE"""),"RF-00000537-MCG")</f>
        <v>RF-00000537-MCG</v>
      </c>
    </row>
    <row r="6833" spans="1:2" ht="12.5" x14ac:dyDescent="0.25">
      <c r="A6833" t="str">
        <f ca="1">IFERROR(__xludf.DUMMYFUNCTION("""COMPUTED_VALUE"""),"Salmonella Konstanz")</f>
        <v>Salmonella Konstanz</v>
      </c>
      <c r="B6833" t="str">
        <f ca="1">IFERROR(__xludf.DUMMYFUNCTION("""COMPUTED_VALUE"""),"RF-00000550-MCG")</f>
        <v>RF-00000550-MCG</v>
      </c>
    </row>
    <row r="6834" spans="1:2" ht="12.5" x14ac:dyDescent="0.25">
      <c r="A6834" t="str">
        <f ca="1">IFERROR(__xludf.DUMMYFUNCTION("""COMPUTED_VALUE"""),"Salmonella Korbol")</f>
        <v>Salmonella Korbol</v>
      </c>
      <c r="B6834" t="str">
        <f ca="1">IFERROR(__xludf.DUMMYFUNCTION("""COMPUTED_VALUE"""),"RF-00000563-MCG")</f>
        <v>RF-00000563-MCG</v>
      </c>
    </row>
    <row r="6835" spans="1:2" ht="12.5" x14ac:dyDescent="0.25">
      <c r="A6835" t="str">
        <f ca="1">IFERROR(__xludf.DUMMYFUNCTION("""COMPUTED_VALUE"""),"Salmonella Korlebu")</f>
        <v>Salmonella Korlebu</v>
      </c>
      <c r="B6835" t="str">
        <f ca="1">IFERROR(__xludf.DUMMYFUNCTION("""COMPUTED_VALUE"""),"RF-00000548-MCG")</f>
        <v>RF-00000548-MCG</v>
      </c>
    </row>
    <row r="6836" spans="1:2" ht="12.5" x14ac:dyDescent="0.25">
      <c r="A6836" t="str">
        <f ca="1">IFERROR(__xludf.DUMMYFUNCTION("""COMPUTED_VALUE"""),"Salmonella Korovi")</f>
        <v>Salmonella Korovi</v>
      </c>
      <c r="B6836" t="str">
        <f ca="1">IFERROR(__xludf.DUMMYFUNCTION("""COMPUTED_VALUE"""),"RF-00000547-MCG")</f>
        <v>RF-00000547-MCG</v>
      </c>
    </row>
    <row r="6837" spans="1:2" ht="12.5" x14ac:dyDescent="0.25">
      <c r="A6837" t="str">
        <f ca="1">IFERROR(__xludf.DUMMYFUNCTION("""COMPUTED_VALUE"""),"Salmonella Kortrijk")</f>
        <v>Salmonella Kortrijk</v>
      </c>
      <c r="B6837" t="str">
        <f ca="1">IFERROR(__xludf.DUMMYFUNCTION("""COMPUTED_VALUE"""),"RF-00000546-MCG")</f>
        <v>RF-00000546-MCG</v>
      </c>
    </row>
    <row r="6838" spans="1:2" ht="12.5" x14ac:dyDescent="0.25">
      <c r="A6838" t="str">
        <f ca="1">IFERROR(__xludf.DUMMYFUNCTION("""COMPUTED_VALUE"""),"Salmonella Kottbus")</f>
        <v>Salmonella Kottbus</v>
      </c>
      <c r="B6838" t="str">
        <f ca="1">IFERROR(__xludf.DUMMYFUNCTION("""COMPUTED_VALUE"""),"RF-00000545-MCG")</f>
        <v>RF-00000545-MCG</v>
      </c>
    </row>
    <row r="6839" spans="1:2" ht="12.5" x14ac:dyDescent="0.25">
      <c r="A6839" t="str">
        <f ca="1">IFERROR(__xludf.DUMMYFUNCTION("""COMPUTED_VALUE"""),"Salmonella Kotte")</f>
        <v>Salmonella Kotte</v>
      </c>
      <c r="B6839" t="str">
        <f ca="1">IFERROR(__xludf.DUMMYFUNCTION("""COMPUTED_VALUE"""),"RF-00000544-MCG")</f>
        <v>RF-00000544-MCG</v>
      </c>
    </row>
    <row r="6840" spans="1:2" ht="12.5" x14ac:dyDescent="0.25">
      <c r="A6840" t="str">
        <f ca="1">IFERROR(__xludf.DUMMYFUNCTION("""COMPUTED_VALUE"""),"Salmonella Kotu")</f>
        <v>Salmonella Kotu</v>
      </c>
      <c r="B6840" t="str">
        <f ca="1">IFERROR(__xludf.DUMMYFUNCTION("""COMPUTED_VALUE"""),"RF-00000543-MCG")</f>
        <v>RF-00000543-MCG</v>
      </c>
    </row>
    <row r="6841" spans="1:2" ht="12.5" x14ac:dyDescent="0.25">
      <c r="A6841" t="str">
        <f ca="1">IFERROR(__xludf.DUMMYFUNCTION("""COMPUTED_VALUE"""),"Salmonella Kouka")</f>
        <v>Salmonella Kouka</v>
      </c>
      <c r="B6841" t="str">
        <f ca="1">IFERROR(__xludf.DUMMYFUNCTION("""COMPUTED_VALUE"""),"RF-00000542-MCG")</f>
        <v>RF-00000542-MCG</v>
      </c>
    </row>
    <row r="6842" spans="1:2" ht="12.5" x14ac:dyDescent="0.25">
      <c r="A6842" t="str">
        <f ca="1">IFERROR(__xludf.DUMMYFUNCTION("""COMPUTED_VALUE"""),"Salmonella Koumra")</f>
        <v>Salmonella Koumra</v>
      </c>
      <c r="B6842" t="str">
        <f ca="1">IFERROR(__xludf.DUMMYFUNCTION("""COMPUTED_VALUE"""),"RF-00000541-MCG")</f>
        <v>RF-00000541-MCG</v>
      </c>
    </row>
    <row r="6843" spans="1:2" ht="12.5" x14ac:dyDescent="0.25">
      <c r="A6843" t="str">
        <f ca="1">IFERROR(__xludf.DUMMYFUNCTION("""COMPUTED_VALUE"""),"Salmonella Kpeme")</f>
        <v>Salmonella Kpeme</v>
      </c>
      <c r="B6843" t="str">
        <f ca="1">IFERROR(__xludf.DUMMYFUNCTION("""COMPUTED_VALUE"""),"RF-00000540-MCG")</f>
        <v>RF-00000540-MCG</v>
      </c>
    </row>
    <row r="6844" spans="1:2" ht="12.5" x14ac:dyDescent="0.25">
      <c r="A6844" t="str">
        <f ca="1">IFERROR(__xludf.DUMMYFUNCTION("""COMPUTED_VALUE"""),"Salmonella Kraligen")</f>
        <v>Salmonella Kraligen</v>
      </c>
      <c r="B6844" t="str">
        <f ca="1">IFERROR(__xludf.DUMMYFUNCTION("""COMPUTED_VALUE"""),"RF-00000539-MCG")</f>
        <v>RF-00000539-MCG</v>
      </c>
    </row>
    <row r="6845" spans="1:2" ht="12.5" x14ac:dyDescent="0.25">
      <c r="A6845" t="str">
        <f ca="1">IFERROR(__xludf.DUMMYFUNCTION("""COMPUTED_VALUE"""),"Salmonella Krefeld")</f>
        <v>Salmonella Krefeld</v>
      </c>
      <c r="B6845" t="str">
        <f ca="1">IFERROR(__xludf.DUMMYFUNCTION("""COMPUTED_VALUE"""),"RF-00000576-MCG")</f>
        <v>RF-00000576-MCG</v>
      </c>
    </row>
    <row r="6846" spans="1:2" ht="12.5" x14ac:dyDescent="0.25">
      <c r="A6846" t="str">
        <f ca="1">IFERROR(__xludf.DUMMYFUNCTION("""COMPUTED_VALUE"""),"Salmonella Kristianstad")</f>
        <v>Salmonella Kristianstad</v>
      </c>
      <c r="B6846" t="str">
        <f ca="1">IFERROR(__xludf.DUMMYFUNCTION("""COMPUTED_VALUE"""),"RF-00000549-MCG")</f>
        <v>RF-00000549-MCG</v>
      </c>
    </row>
    <row r="6847" spans="1:2" ht="12.5" x14ac:dyDescent="0.25">
      <c r="A6847" t="str">
        <f ca="1">IFERROR(__xludf.DUMMYFUNCTION("""COMPUTED_VALUE"""),"Salmonella Kua")</f>
        <v>Salmonella Kua</v>
      </c>
      <c r="B6847" t="str">
        <f ca="1">IFERROR(__xludf.DUMMYFUNCTION("""COMPUTED_VALUE"""),"RF-00000551-MCG")</f>
        <v>RF-00000551-MCG</v>
      </c>
    </row>
    <row r="6848" spans="1:2" ht="12.5" x14ac:dyDescent="0.25">
      <c r="A6848" t="str">
        <f ca="1">IFERROR(__xludf.DUMMYFUNCTION("""COMPUTED_VALUE"""),"Salmonella Kubacha")</f>
        <v>Salmonella Kubacha</v>
      </c>
      <c r="B6848" t="str">
        <f ca="1">IFERROR(__xludf.DUMMYFUNCTION("""COMPUTED_VALUE"""),"RF-00000589-MCG")</f>
        <v>RF-00000589-MCG</v>
      </c>
    </row>
    <row r="6849" spans="1:2" ht="12.5" x14ac:dyDescent="0.25">
      <c r="A6849" t="str">
        <f ca="1">IFERROR(__xludf.DUMMYFUNCTION("""COMPUTED_VALUE"""),"Salmonella Kuessel")</f>
        <v>Salmonella Kuessel</v>
      </c>
      <c r="B6849" t="str">
        <f ca="1">IFERROR(__xludf.DUMMYFUNCTION("""COMPUTED_VALUE"""),"RF-00000588-MCG")</f>
        <v>RF-00000588-MCG</v>
      </c>
    </row>
    <row r="6850" spans="1:2" ht="12.5" x14ac:dyDescent="0.25">
      <c r="A6850" t="str">
        <f ca="1">IFERROR(__xludf.DUMMYFUNCTION("""COMPUTED_VALUE"""),"Salmonella Kumasi")</f>
        <v>Salmonella Kumasi</v>
      </c>
      <c r="B6850" t="str">
        <f ca="1">IFERROR(__xludf.DUMMYFUNCTION("""COMPUTED_VALUE"""),"RF-00000587-MCG")</f>
        <v>RF-00000587-MCG</v>
      </c>
    </row>
    <row r="6851" spans="1:2" ht="12.5" x14ac:dyDescent="0.25">
      <c r="A6851" t="str">
        <f ca="1">IFERROR(__xludf.DUMMYFUNCTION("""COMPUTED_VALUE"""),"Salmonella Kunduchi")</f>
        <v>Salmonella Kunduchi</v>
      </c>
      <c r="B6851" t="str">
        <f ca="1">IFERROR(__xludf.DUMMYFUNCTION("""COMPUTED_VALUE"""),"RF-00000586-MCG")</f>
        <v>RF-00000586-MCG</v>
      </c>
    </row>
    <row r="6852" spans="1:2" ht="12.5" x14ac:dyDescent="0.25">
      <c r="A6852" t="str">
        <f ca="1">IFERROR(__xludf.DUMMYFUNCTION("""COMPUTED_VALUE"""),"Salmonella Kuntair")</f>
        <v>Salmonella Kuntair</v>
      </c>
      <c r="B6852" t="str">
        <f ca="1">IFERROR(__xludf.DUMMYFUNCTION("""COMPUTED_VALUE"""),"RF-00000585-MCG")</f>
        <v>RF-00000585-MCG</v>
      </c>
    </row>
    <row r="6853" spans="1:2" ht="12.5" x14ac:dyDescent="0.25">
      <c r="A6853" t="str">
        <f ca="1">IFERROR(__xludf.DUMMYFUNCTION("""COMPUTED_VALUE"""),"Salmonella Kuru")</f>
        <v>Salmonella Kuru</v>
      </c>
      <c r="B6853" t="str">
        <f ca="1">IFERROR(__xludf.DUMMYFUNCTION("""COMPUTED_VALUE"""),"RF-00000584-MCG")</f>
        <v>RF-00000584-MCG</v>
      </c>
    </row>
    <row r="6854" spans="1:2" ht="12.5" x14ac:dyDescent="0.25">
      <c r="A6854" t="str">
        <f ca="1">IFERROR(__xludf.DUMMYFUNCTION("""COMPUTED_VALUE"""),"Salmonella Labadi")</f>
        <v>Salmonella Labadi</v>
      </c>
      <c r="B6854" t="str">
        <f ca="1">IFERROR(__xludf.DUMMYFUNCTION("""COMPUTED_VALUE"""),"RF-00000583-MCG")</f>
        <v>RF-00000583-MCG</v>
      </c>
    </row>
    <row r="6855" spans="1:2" ht="12.5" x14ac:dyDescent="0.25">
      <c r="A6855" t="str">
        <f ca="1">IFERROR(__xludf.DUMMYFUNCTION("""COMPUTED_VALUE"""),"Salmonella Lagos")</f>
        <v>Salmonella Lagos</v>
      </c>
      <c r="B6855" t="str">
        <f ca="1">IFERROR(__xludf.DUMMYFUNCTION("""COMPUTED_VALUE"""),"RF-00000582-MCG")</f>
        <v>RF-00000582-MCG</v>
      </c>
    </row>
    <row r="6856" spans="1:2" ht="12.5" x14ac:dyDescent="0.25">
      <c r="A6856" t="str">
        <f ca="1">IFERROR(__xludf.DUMMYFUNCTION("""COMPUTED_VALUE"""),"Salmonella Lamberhurst")</f>
        <v>Salmonella Lamberhurst</v>
      </c>
      <c r="B6856" t="str">
        <f ca="1">IFERROR(__xludf.DUMMYFUNCTION("""COMPUTED_VALUE"""),"RF-00000581-MCG")</f>
        <v>RF-00000581-MCG</v>
      </c>
    </row>
    <row r="6857" spans="1:2" ht="12.5" x14ac:dyDescent="0.25">
      <c r="A6857" t="str">
        <f ca="1">IFERROR(__xludf.DUMMYFUNCTION("""COMPUTED_VALUE"""),"Salmonella Lamin")</f>
        <v>Salmonella Lamin</v>
      </c>
      <c r="B6857" t="str">
        <f ca="1">IFERROR(__xludf.DUMMYFUNCTION("""COMPUTED_VALUE"""),"RF-00000580-MCG")</f>
        <v>RF-00000580-MCG</v>
      </c>
    </row>
    <row r="6858" spans="1:2" ht="12.5" x14ac:dyDescent="0.25">
      <c r="A6858" t="str">
        <f ca="1">IFERROR(__xludf.DUMMYFUNCTION("""COMPUTED_VALUE"""),"Salmonella Lancaster")</f>
        <v>Salmonella Lancaster</v>
      </c>
      <c r="B6858" t="str">
        <f ca="1">IFERROR(__xludf.DUMMYFUNCTION("""COMPUTED_VALUE"""),"RF-00000579-MCG")</f>
        <v>RF-00000579-MCG</v>
      </c>
    </row>
    <row r="6859" spans="1:2" ht="12.5" x14ac:dyDescent="0.25">
      <c r="A6859" t="str">
        <f ca="1">IFERROR(__xludf.DUMMYFUNCTION("""COMPUTED_VALUE"""),"Salmonella Landala")</f>
        <v>Salmonella Landala</v>
      </c>
      <c r="B6859" t="str">
        <f ca="1">IFERROR(__xludf.DUMMYFUNCTION("""COMPUTED_VALUE"""),"RF-00000564-MCG")</f>
        <v>RF-00000564-MCG</v>
      </c>
    </row>
    <row r="6860" spans="1:2" ht="12.5" x14ac:dyDescent="0.25">
      <c r="A6860" t="str">
        <f ca="1">IFERROR(__xludf.DUMMYFUNCTION("""COMPUTED_VALUE"""),"Salmonella Landau")</f>
        <v>Salmonella Landau</v>
      </c>
      <c r="B6860" t="str">
        <f ca="1">IFERROR(__xludf.DUMMYFUNCTION("""COMPUTED_VALUE"""),"RF-00000577-MCG")</f>
        <v>RF-00000577-MCG</v>
      </c>
    </row>
    <row r="6861" spans="1:2" ht="12.5" x14ac:dyDescent="0.25">
      <c r="A6861" t="str">
        <f ca="1">IFERROR(__xludf.DUMMYFUNCTION("""COMPUTED_VALUE"""),"Salmonella Landwasser")</f>
        <v>Salmonella Landwasser</v>
      </c>
      <c r="B6861" t="str">
        <f ca="1">IFERROR(__xludf.DUMMYFUNCTION("""COMPUTED_VALUE"""),"RF-00000590-MCG")</f>
        <v>RF-00000590-MCG</v>
      </c>
    </row>
    <row r="6862" spans="1:2" ht="12.5" x14ac:dyDescent="0.25">
      <c r="A6862" t="str">
        <f ca="1">IFERROR(__xludf.DUMMYFUNCTION("""COMPUTED_VALUE"""),"Salmonella Langenhorn")</f>
        <v>Salmonella Langenhorn</v>
      </c>
      <c r="B6862" t="str">
        <f ca="1">IFERROR(__xludf.DUMMYFUNCTION("""COMPUTED_VALUE"""),"RF-00000575-MCG")</f>
        <v>RF-00000575-MCG</v>
      </c>
    </row>
    <row r="6863" spans="1:2" ht="12.5" x14ac:dyDescent="0.25">
      <c r="A6863" t="str">
        <f ca="1">IFERROR(__xludf.DUMMYFUNCTION("""COMPUTED_VALUE"""),"Salmonella Langensalza")</f>
        <v>Salmonella Langensalza</v>
      </c>
      <c r="B6863" t="str">
        <f ca="1">IFERROR(__xludf.DUMMYFUNCTION("""COMPUTED_VALUE"""),"RF-00000574-MCG")</f>
        <v>RF-00000574-MCG</v>
      </c>
    </row>
    <row r="6864" spans="1:2" ht="12.5" x14ac:dyDescent="0.25">
      <c r="A6864" t="str">
        <f ca="1">IFERROR(__xludf.DUMMYFUNCTION("""COMPUTED_VALUE"""),"Salmonella Langford")</f>
        <v>Salmonella Langford</v>
      </c>
      <c r="B6864" t="str">
        <f ca="1">IFERROR(__xludf.DUMMYFUNCTION("""COMPUTED_VALUE"""),"RF-00000573-MCG")</f>
        <v>RF-00000573-MCG</v>
      </c>
    </row>
    <row r="6865" spans="1:2" ht="12.5" x14ac:dyDescent="0.25">
      <c r="A6865" t="str">
        <f ca="1">IFERROR(__xludf.DUMMYFUNCTION("""COMPUTED_VALUE"""),"Salmonella Lansing")</f>
        <v>Salmonella Lansing</v>
      </c>
      <c r="B6865" t="str">
        <f ca="1">IFERROR(__xludf.DUMMYFUNCTION("""COMPUTED_VALUE"""),"RF-00000572-MCG")</f>
        <v>RF-00000572-MCG</v>
      </c>
    </row>
    <row r="6866" spans="1:2" ht="12.5" x14ac:dyDescent="0.25">
      <c r="A6866" t="str">
        <f ca="1">IFERROR(__xludf.DUMMYFUNCTION("""COMPUTED_VALUE"""),"Salmonella Laredo")</f>
        <v>Salmonella Laredo</v>
      </c>
      <c r="B6866" t="str">
        <f ca="1">IFERROR(__xludf.DUMMYFUNCTION("""COMPUTED_VALUE"""),"RF-00000571-MCG")</f>
        <v>RF-00000571-MCG</v>
      </c>
    </row>
    <row r="6867" spans="1:2" ht="12.5" x14ac:dyDescent="0.25">
      <c r="A6867" t="str">
        <f ca="1">IFERROR(__xludf.DUMMYFUNCTION("""COMPUTED_VALUE"""),"Salmonella Larochelle")</f>
        <v>Salmonella Larochelle</v>
      </c>
      <c r="B6867" t="str">
        <f ca="1">IFERROR(__xludf.DUMMYFUNCTION("""COMPUTED_VALUE"""),"RF-00000570-MCG")</f>
        <v>RF-00000570-MCG</v>
      </c>
    </row>
    <row r="6868" spans="1:2" ht="12.5" x14ac:dyDescent="0.25">
      <c r="A6868" t="str">
        <f ca="1">IFERROR(__xludf.DUMMYFUNCTION("""COMPUTED_VALUE"""),"Salmonella Lattenkamp")</f>
        <v>Salmonella Lattenkamp</v>
      </c>
      <c r="B6868" t="str">
        <f ca="1">IFERROR(__xludf.DUMMYFUNCTION("""COMPUTED_VALUE"""),"RF-00000569-MCG")</f>
        <v>RF-00000569-MCG</v>
      </c>
    </row>
    <row r="6869" spans="1:2" ht="12.5" x14ac:dyDescent="0.25">
      <c r="A6869" t="str">
        <f ca="1">IFERROR(__xludf.DUMMYFUNCTION("""COMPUTED_VALUE"""),"Salmonella Lawndale")</f>
        <v>Salmonella Lawndale</v>
      </c>
      <c r="B6869" t="str">
        <f ca="1">IFERROR(__xludf.DUMMYFUNCTION("""COMPUTED_VALUE"""),"RF-00000568-MCG")</f>
        <v>RF-00000568-MCG</v>
      </c>
    </row>
    <row r="6870" spans="1:2" ht="12.5" x14ac:dyDescent="0.25">
      <c r="A6870" t="str">
        <f ca="1">IFERROR(__xludf.DUMMYFUNCTION("""COMPUTED_VALUE"""),"Salmonella Lawra")</f>
        <v>Salmonella Lawra</v>
      </c>
      <c r="B6870" t="str">
        <f ca="1">IFERROR(__xludf.DUMMYFUNCTION("""COMPUTED_VALUE"""),"RF-00000567-MCG")</f>
        <v>RF-00000567-MCG</v>
      </c>
    </row>
    <row r="6871" spans="1:2" ht="12.5" x14ac:dyDescent="0.25">
      <c r="A6871" t="str">
        <f ca="1">IFERROR(__xludf.DUMMYFUNCTION("""COMPUTED_VALUE"""),"Salmonella Leatherhead")</f>
        <v>Salmonella Leatherhead</v>
      </c>
      <c r="B6871" t="str">
        <f ca="1">IFERROR(__xludf.DUMMYFUNCTION("""COMPUTED_VALUE"""),"RF-00000566-MCG")</f>
        <v>RF-00000566-MCG</v>
      </c>
    </row>
    <row r="6872" spans="1:2" ht="12.5" x14ac:dyDescent="0.25">
      <c r="A6872" t="str">
        <f ca="1">IFERROR(__xludf.DUMMYFUNCTION("""COMPUTED_VALUE"""),"Salmonella Lechler")</f>
        <v>Salmonella Lechler</v>
      </c>
      <c r="B6872" t="str">
        <f ca="1">IFERROR(__xludf.DUMMYFUNCTION("""COMPUTED_VALUE"""),"RF-00000565-MCG")</f>
        <v>RF-00000565-MCG</v>
      </c>
    </row>
    <row r="6873" spans="1:2" ht="12.5" x14ac:dyDescent="0.25">
      <c r="A6873" t="str">
        <f ca="1">IFERROR(__xludf.DUMMYFUNCTION("""COMPUTED_VALUE"""),"Salmonella Leda")</f>
        <v>Salmonella Leda</v>
      </c>
      <c r="B6873" t="str">
        <f ca="1">IFERROR(__xludf.DUMMYFUNCTION("""COMPUTED_VALUE"""),"RF-00000646-MCG")</f>
        <v>RF-00000646-MCG</v>
      </c>
    </row>
    <row r="6874" spans="1:2" ht="12.5" x14ac:dyDescent="0.25">
      <c r="A6874" t="str">
        <f ca="1">IFERROR(__xludf.DUMMYFUNCTION("""COMPUTED_VALUE"""),"Salmonella Leer")</f>
        <v>Salmonella Leer</v>
      </c>
      <c r="B6874" t="str">
        <f ca="1">IFERROR(__xludf.DUMMYFUNCTION("""COMPUTED_VALUE"""),"RF-00000727-MCG")</f>
        <v>RF-00000727-MCG</v>
      </c>
    </row>
    <row r="6875" spans="1:2" ht="12.5" x14ac:dyDescent="0.25">
      <c r="A6875" t="str">
        <f ca="1">IFERROR(__xludf.DUMMYFUNCTION("""COMPUTED_VALUE"""),"Salmonella Leeuwarden")</f>
        <v>Salmonella Leeuwarden</v>
      </c>
      <c r="B6875" t="str">
        <f ca="1">IFERROR(__xludf.DUMMYFUNCTION("""COMPUTED_VALUE"""),"RF-00000632-MCG")</f>
        <v>RF-00000632-MCG</v>
      </c>
    </row>
    <row r="6876" spans="1:2" ht="12.5" x14ac:dyDescent="0.25">
      <c r="A6876" t="str">
        <f ca="1">IFERROR(__xludf.DUMMYFUNCTION("""COMPUTED_VALUE"""),"Salmonella Legon")</f>
        <v>Salmonella Legon</v>
      </c>
      <c r="B6876" t="str">
        <f ca="1">IFERROR(__xludf.DUMMYFUNCTION("""COMPUTED_VALUE"""),"RF-00000723-MCG")</f>
        <v>RF-00000723-MCG</v>
      </c>
    </row>
    <row r="6877" spans="1:2" ht="12.5" x14ac:dyDescent="0.25">
      <c r="A6877" t="str">
        <f ca="1">IFERROR(__xludf.DUMMYFUNCTION("""COMPUTED_VALUE"""),"Salmonella Leiden")</f>
        <v>Salmonella Leiden</v>
      </c>
      <c r="B6877" t="str">
        <f ca="1">IFERROR(__xludf.DUMMYFUNCTION("""COMPUTED_VALUE"""),"RF-00000722-MCG")</f>
        <v>RF-00000722-MCG</v>
      </c>
    </row>
    <row r="6878" spans="1:2" ht="12.5" x14ac:dyDescent="0.25">
      <c r="A6878" t="str">
        <f ca="1">IFERROR(__xludf.DUMMYFUNCTION("""COMPUTED_VALUE"""),"Salmonella Leipzig")</f>
        <v>Salmonella Leipzig</v>
      </c>
      <c r="B6878" t="str">
        <f ca="1">IFERROR(__xludf.DUMMYFUNCTION("""COMPUTED_VALUE"""),"RF-00000721-MCG")</f>
        <v>RF-00000721-MCG</v>
      </c>
    </row>
    <row r="6879" spans="1:2" ht="12.5" x14ac:dyDescent="0.25">
      <c r="A6879" t="str">
        <f ca="1">IFERROR(__xludf.DUMMYFUNCTION("""COMPUTED_VALUE"""),"Salmonella Leith")</f>
        <v>Salmonella Leith</v>
      </c>
      <c r="B6879" t="str">
        <f ca="1">IFERROR(__xludf.DUMMYFUNCTION("""COMPUTED_VALUE"""),"RF-00000720-MCG")</f>
        <v>RF-00000720-MCG</v>
      </c>
    </row>
    <row r="6880" spans="1:2" ht="12.5" x14ac:dyDescent="0.25">
      <c r="A6880" t="str">
        <f ca="1">IFERROR(__xludf.DUMMYFUNCTION("""COMPUTED_VALUE"""),"Salmonella Lekke")</f>
        <v>Salmonella Lekke</v>
      </c>
      <c r="B6880" t="str">
        <f ca="1">IFERROR(__xludf.DUMMYFUNCTION("""COMPUTED_VALUE"""),"RF-00000719-MCG")</f>
        <v>RF-00000719-MCG</v>
      </c>
    </row>
    <row r="6881" spans="1:2" ht="12.5" x14ac:dyDescent="0.25">
      <c r="A6881" t="str">
        <f ca="1">IFERROR(__xludf.DUMMYFUNCTION("""COMPUTED_VALUE"""),"Salmonella Lene")</f>
        <v>Salmonella Lene</v>
      </c>
      <c r="B6881" t="str">
        <f ca="1">IFERROR(__xludf.DUMMYFUNCTION("""COMPUTED_VALUE"""),"RF-00000718-MCG")</f>
        <v>RF-00000718-MCG</v>
      </c>
    </row>
    <row r="6882" spans="1:2" ht="12.5" x14ac:dyDescent="0.25">
      <c r="A6882" t="str">
        <f ca="1">IFERROR(__xludf.DUMMYFUNCTION("""COMPUTED_VALUE"""),"Salmonella Leoben")</f>
        <v>Salmonella Leoben</v>
      </c>
      <c r="B6882" t="str">
        <f ca="1">IFERROR(__xludf.DUMMYFUNCTION("""COMPUTED_VALUE"""),"RF-00000717-MCG")</f>
        <v>RF-00000717-MCG</v>
      </c>
    </row>
    <row r="6883" spans="1:2" ht="12.5" x14ac:dyDescent="0.25">
      <c r="A6883" t="str">
        <f ca="1">IFERROR(__xludf.DUMMYFUNCTION("""COMPUTED_VALUE"""),"Salmonella Leopoldville")</f>
        <v>Salmonella Leopoldville</v>
      </c>
      <c r="B6883" t="str">
        <f ca="1">IFERROR(__xludf.DUMMYFUNCTION("""COMPUTED_VALUE"""),"RF-00000716-MCG")</f>
        <v>RF-00000716-MCG</v>
      </c>
    </row>
    <row r="6884" spans="1:2" ht="12.5" x14ac:dyDescent="0.25">
      <c r="A6884" t="str">
        <f ca="1">IFERROR(__xludf.DUMMYFUNCTION("""COMPUTED_VALUE"""),"Salmonella Lerum")</f>
        <v>Salmonella Lerum</v>
      </c>
      <c r="B6884" t="str">
        <f ca="1">IFERROR(__xludf.DUMMYFUNCTION("""COMPUTED_VALUE"""),"RF-00000715-MCG")</f>
        <v>RF-00000715-MCG</v>
      </c>
    </row>
    <row r="6885" spans="1:2" ht="12.5" x14ac:dyDescent="0.25">
      <c r="A6885" t="str">
        <f ca="1">IFERROR(__xludf.DUMMYFUNCTION("""COMPUTED_VALUE"""),"Salmonella Lexington")</f>
        <v>Salmonella Lexington</v>
      </c>
      <c r="B6885" t="str">
        <f ca="1">IFERROR(__xludf.DUMMYFUNCTION("""COMPUTED_VALUE"""),"RF-00000714-MCG")</f>
        <v>RF-00000714-MCG</v>
      </c>
    </row>
    <row r="6886" spans="1:2" ht="12.5" x14ac:dyDescent="0.25">
      <c r="A6886" t="str">
        <f ca="1">IFERROR(__xludf.DUMMYFUNCTION("""COMPUTED_VALUE"""),"Salmonella Lexington var. 15")</f>
        <v>Salmonella Lexington var. 15</v>
      </c>
      <c r="B6886" t="str">
        <f ca="1">IFERROR(__xludf.DUMMYFUNCTION("""COMPUTED_VALUE"""),"RF-00000699-MCG")</f>
        <v>RF-00000699-MCG</v>
      </c>
    </row>
    <row r="6887" spans="1:2" ht="12.5" x14ac:dyDescent="0.25">
      <c r="A6887" t="str">
        <f ca="1">IFERROR(__xludf.DUMMYFUNCTION("""COMPUTED_VALUE"""),"Salmonella Lexington var. 15,3")</f>
        <v>Salmonella Lexington var. 15,3</v>
      </c>
      <c r="B6887" t="str">
        <f ca="1">IFERROR(__xludf.DUMMYFUNCTION("""COMPUTED_VALUE"""),"RF-00000712-MCG")</f>
        <v>RF-00000712-MCG</v>
      </c>
    </row>
    <row r="6888" spans="1:2" ht="12.5" x14ac:dyDescent="0.25">
      <c r="A6888" t="str">
        <f ca="1">IFERROR(__xludf.DUMMYFUNCTION("""COMPUTED_VALUE"""),"Salmonella Lezennes")</f>
        <v>Salmonella Lezennes</v>
      </c>
      <c r="B6888" t="str">
        <f ca="1">IFERROR(__xludf.DUMMYFUNCTION("""COMPUTED_VALUE"""),"RF-00000725-MCG")</f>
        <v>RF-00000725-MCG</v>
      </c>
    </row>
    <row r="6889" spans="1:2" ht="12.5" x14ac:dyDescent="0.25">
      <c r="A6889" t="str">
        <f ca="1">IFERROR(__xludf.DUMMYFUNCTION("""COMPUTED_VALUE"""),"Salmonella Libreville")</f>
        <v>Salmonella Libreville</v>
      </c>
      <c r="B6889" t="str">
        <f ca="1">IFERROR(__xludf.DUMMYFUNCTION("""COMPUTED_VALUE"""),"RF-00000710-MCG")</f>
        <v>RF-00000710-MCG</v>
      </c>
    </row>
    <row r="6890" spans="1:2" ht="12.5" x14ac:dyDescent="0.25">
      <c r="A6890" t="str">
        <f ca="1">IFERROR(__xludf.DUMMYFUNCTION("""COMPUTED_VALUE"""),"Salmonella Ligeo")</f>
        <v>Salmonella Ligeo</v>
      </c>
      <c r="B6890" t="str">
        <f ca="1">IFERROR(__xludf.DUMMYFUNCTION("""COMPUTED_VALUE"""),"RF-00000709-MCG")</f>
        <v>RF-00000709-MCG</v>
      </c>
    </row>
    <row r="6891" spans="1:2" ht="12.5" x14ac:dyDescent="0.25">
      <c r="A6891" t="str">
        <f ca="1">IFERROR(__xludf.DUMMYFUNCTION("""COMPUTED_VALUE"""),"Salmonella Ligna")</f>
        <v>Salmonella Ligna</v>
      </c>
      <c r="B6891" t="str">
        <f ca="1">IFERROR(__xludf.DUMMYFUNCTION("""COMPUTED_VALUE"""),"RF-00000708-MCG")</f>
        <v>RF-00000708-MCG</v>
      </c>
    </row>
    <row r="6892" spans="1:2" ht="12.5" x14ac:dyDescent="0.25">
      <c r="A6892" t="str">
        <f ca="1">IFERROR(__xludf.DUMMYFUNCTION("""COMPUTED_VALUE"""),"Salmonella Lika")</f>
        <v>Salmonella Lika</v>
      </c>
      <c r="B6892" t="str">
        <f ca="1">IFERROR(__xludf.DUMMYFUNCTION("""COMPUTED_VALUE"""),"RF-00000707-MCG")</f>
        <v>RF-00000707-MCG</v>
      </c>
    </row>
    <row r="6893" spans="1:2" ht="12.5" x14ac:dyDescent="0.25">
      <c r="A6893" t="str">
        <f ca="1">IFERROR(__xludf.DUMMYFUNCTION("""COMPUTED_VALUE"""),"Salmonella Lille")</f>
        <v>Salmonella Lille</v>
      </c>
      <c r="B6893" t="str">
        <f ca="1">IFERROR(__xludf.DUMMYFUNCTION("""COMPUTED_VALUE"""),"RF-00000706-MCG")</f>
        <v>RF-00000706-MCG</v>
      </c>
    </row>
    <row r="6894" spans="1:2" ht="12.5" x14ac:dyDescent="0.25">
      <c r="A6894" t="str">
        <f ca="1">IFERROR(__xludf.DUMMYFUNCTION("""COMPUTED_VALUE"""),"Salmonella Lille var. 14")</f>
        <v>Salmonella Lille var. 14</v>
      </c>
      <c r="B6894" t="str">
        <f ca="1">IFERROR(__xludf.DUMMYFUNCTION("""COMPUTED_VALUE"""),"RF-00000705-MCG")</f>
        <v>RF-00000705-MCG</v>
      </c>
    </row>
    <row r="6895" spans="1:2" ht="12.5" x14ac:dyDescent="0.25">
      <c r="A6895" t="str">
        <f ca="1">IFERROR(__xludf.DUMMYFUNCTION("""COMPUTED_VALUE"""),"Salmonella Limete")</f>
        <v>Salmonella Limete</v>
      </c>
      <c r="B6895" t="str">
        <f ca="1">IFERROR(__xludf.DUMMYFUNCTION("""COMPUTED_VALUE"""),"RF-00000704-MCG")</f>
        <v>RF-00000704-MCG</v>
      </c>
    </row>
    <row r="6896" spans="1:2" ht="12.5" x14ac:dyDescent="0.25">
      <c r="A6896" t="str">
        <f ca="1">IFERROR(__xludf.DUMMYFUNCTION("""COMPUTED_VALUE"""),"Salmonella Lindenburg")</f>
        <v>Salmonella Lindenburg</v>
      </c>
      <c r="B6896" t="str">
        <f ca="1">IFERROR(__xludf.DUMMYFUNCTION("""COMPUTED_VALUE"""),"RF-00000703-MCG")</f>
        <v>RF-00000703-MCG</v>
      </c>
    </row>
    <row r="6897" spans="1:2" ht="12.5" x14ac:dyDescent="0.25">
      <c r="A6897" t="str">
        <f ca="1">IFERROR(__xludf.DUMMYFUNCTION("""COMPUTED_VALUE"""),"Salmonella Lindern")</f>
        <v>Salmonella Lindern</v>
      </c>
      <c r="B6897" t="str">
        <f ca="1">IFERROR(__xludf.DUMMYFUNCTION("""COMPUTED_VALUE"""),"RF-00000702-MCG")</f>
        <v>RF-00000702-MCG</v>
      </c>
    </row>
    <row r="6898" spans="1:2" ht="12.5" x14ac:dyDescent="0.25">
      <c r="A6898" t="str">
        <f ca="1">IFERROR(__xludf.DUMMYFUNCTION("""COMPUTED_VALUE"""),"Salmonella Lindi")</f>
        <v>Salmonella Lindi</v>
      </c>
      <c r="B6898" t="str">
        <f ca="1">IFERROR(__xludf.DUMMYFUNCTION("""COMPUTED_VALUE"""),"RF-00000701-MCG")</f>
        <v>RF-00000701-MCG</v>
      </c>
    </row>
    <row r="6899" spans="1:2" ht="12.5" x14ac:dyDescent="0.25">
      <c r="A6899" t="str">
        <f ca="1">IFERROR(__xludf.DUMMYFUNCTION("""COMPUTED_VALUE"""),"Salmonella Linguere")</f>
        <v>Salmonella Linguere</v>
      </c>
      <c r="B6899" t="str">
        <f ca="1">IFERROR(__xludf.DUMMYFUNCTION("""COMPUTED_VALUE"""),"RF-00000700-MCG")</f>
        <v>RF-00000700-MCG</v>
      </c>
    </row>
    <row r="6900" spans="1:2" ht="12.5" x14ac:dyDescent="0.25">
      <c r="A6900" t="str">
        <f ca="1">IFERROR(__xludf.DUMMYFUNCTION("""COMPUTED_VALUE"""),"Salmonella Lingwala")</f>
        <v>Salmonella Lingwala</v>
      </c>
      <c r="B6900" t="str">
        <f ca="1">IFERROR(__xludf.DUMMYFUNCTION("""COMPUTED_VALUE"""),"RF-00000738-MCG")</f>
        <v>RF-00000738-MCG</v>
      </c>
    </row>
    <row r="6901" spans="1:2" ht="12.5" x14ac:dyDescent="0.25">
      <c r="A6901" t="str">
        <f ca="1">IFERROR(__xludf.DUMMYFUNCTION("""COMPUTED_VALUE"""),"Salmonella Linton")</f>
        <v>Salmonella Linton</v>
      </c>
      <c r="B6901" t="str">
        <f ca="1">IFERROR(__xludf.DUMMYFUNCTION("""COMPUTED_VALUE"""),"RF-00000740-MCG")</f>
        <v>RF-00000740-MCG</v>
      </c>
    </row>
    <row r="6902" spans="1:2" ht="12.5" x14ac:dyDescent="0.25">
      <c r="A6902" t="str">
        <f ca="1">IFERROR(__xludf.DUMMYFUNCTION("""COMPUTED_VALUE"""),"Salmonella Lisboa")</f>
        <v>Salmonella Lisboa</v>
      </c>
      <c r="B6902" t="str">
        <f ca="1">IFERROR(__xludf.DUMMYFUNCTION("""COMPUTED_VALUE"""),"RF-00000713-MCG")</f>
        <v>RF-00000713-MCG</v>
      </c>
    </row>
    <row r="6903" spans="1:2" ht="12.5" x14ac:dyDescent="0.25">
      <c r="A6903" t="str">
        <f ca="1">IFERROR(__xludf.DUMMYFUNCTION("""COMPUTED_VALUE"""),"Salmonella Lishabi")</f>
        <v>Salmonella Lishabi</v>
      </c>
      <c r="B6903" t="str">
        <f ca="1">IFERROR(__xludf.DUMMYFUNCTION("""COMPUTED_VALUE"""),"RF-00000751-MCG")</f>
        <v>RF-00000751-MCG</v>
      </c>
    </row>
    <row r="6904" spans="1:2" ht="12.5" x14ac:dyDescent="0.25">
      <c r="A6904" t="str">
        <f ca="1">IFERROR(__xludf.DUMMYFUNCTION("""COMPUTED_VALUE"""),"Salmonella Litchfield")</f>
        <v>Salmonella Litchfield</v>
      </c>
      <c r="B6904" t="str">
        <f ca="1">IFERROR(__xludf.DUMMYFUNCTION("""COMPUTED_VALUE"""),"RF-00000750-MCG")</f>
        <v>RF-00000750-MCG</v>
      </c>
    </row>
    <row r="6905" spans="1:2" ht="12.5" x14ac:dyDescent="0.25">
      <c r="A6905" t="str">
        <f ca="1">IFERROR(__xludf.DUMMYFUNCTION("""COMPUTED_VALUE"""),"Salmonella Liverpool")</f>
        <v>Salmonella Liverpool</v>
      </c>
      <c r="B6905" t="str">
        <f ca="1">IFERROR(__xludf.DUMMYFUNCTION("""COMPUTED_VALUE"""),"RF-00000749-MCG")</f>
        <v>RF-00000749-MCG</v>
      </c>
    </row>
    <row r="6906" spans="1:2" ht="12.5" x14ac:dyDescent="0.25">
      <c r="A6906" t="str">
        <f ca="1">IFERROR(__xludf.DUMMYFUNCTION("""COMPUTED_VALUE"""),"Salmonella Livingston var. 14")</f>
        <v>Salmonella Livingston var. 14</v>
      </c>
      <c r="B6906" t="str">
        <f ca="1">IFERROR(__xludf.DUMMYFUNCTION("""COMPUTED_VALUE"""),"RF-00000748-MCG")</f>
        <v>RF-00000748-MCG</v>
      </c>
    </row>
    <row r="6907" spans="1:2" ht="12.5" x14ac:dyDescent="0.25">
      <c r="A6907" t="str">
        <f ca="1">IFERROR(__xludf.DUMMYFUNCTION("""COMPUTED_VALUE"""),"Salmonella Livingstone")</f>
        <v>Salmonella Livingstone</v>
      </c>
      <c r="B6907" t="str">
        <f ca="1">IFERROR(__xludf.DUMMYFUNCTION("""COMPUTED_VALUE"""),"RF-00000747-MCG")</f>
        <v>RF-00000747-MCG</v>
      </c>
    </row>
    <row r="6908" spans="1:2" ht="12.5" x14ac:dyDescent="0.25">
      <c r="A6908" t="str">
        <f ca="1">IFERROR(__xludf.DUMMYFUNCTION("""COMPUTED_VALUE"""),"Salmonella Livulu")</f>
        <v>Salmonella Livulu</v>
      </c>
      <c r="B6908" t="str">
        <f ca="1">IFERROR(__xludf.DUMMYFUNCTION("""COMPUTED_VALUE"""),"RF-00000746-MCG")</f>
        <v>RF-00000746-MCG</v>
      </c>
    </row>
    <row r="6909" spans="1:2" ht="12.5" x14ac:dyDescent="0.25">
      <c r="A6909" t="str">
        <f ca="1">IFERROR(__xludf.DUMMYFUNCTION("""COMPUTED_VALUE"""),"Salmonella Ljubljana")</f>
        <v>Salmonella Ljubljana</v>
      </c>
      <c r="B6909" t="str">
        <f ca="1">IFERROR(__xludf.DUMMYFUNCTION("""COMPUTED_VALUE"""),"RF-00000745-MCG")</f>
        <v>RF-00000745-MCG</v>
      </c>
    </row>
    <row r="6910" spans="1:2" ht="12.5" x14ac:dyDescent="0.25">
      <c r="A6910" t="str">
        <f ca="1">IFERROR(__xludf.DUMMYFUNCTION("""COMPUTED_VALUE"""),"Salmonella Llandoff")</f>
        <v>Salmonella Llandoff</v>
      </c>
      <c r="B6910" t="str">
        <f ca="1">IFERROR(__xludf.DUMMYFUNCTION("""COMPUTED_VALUE"""),"RF-00000744-MCG")</f>
        <v>RF-00000744-MCG</v>
      </c>
    </row>
    <row r="6911" spans="1:2" ht="12.5" x14ac:dyDescent="0.25">
      <c r="A6911" t="str">
        <f ca="1">IFERROR(__xludf.DUMMYFUNCTION("""COMPUTED_VALUE"""),"Salmonella Llobregat")</f>
        <v>Salmonella Llobregat</v>
      </c>
      <c r="B6911" t="str">
        <f ca="1">IFERROR(__xludf.DUMMYFUNCTION("""COMPUTED_VALUE"""),"RF-00000743-MCG")</f>
        <v>RF-00000743-MCG</v>
      </c>
    </row>
    <row r="6912" spans="1:2" ht="12.5" x14ac:dyDescent="0.25">
      <c r="A6912" t="str">
        <f ca="1">IFERROR(__xludf.DUMMYFUNCTION("""COMPUTED_VALUE"""),"Salmonella Loanda")</f>
        <v>Salmonella Loanda</v>
      </c>
      <c r="B6912" t="str">
        <f ca="1">IFERROR(__xludf.DUMMYFUNCTION("""COMPUTED_VALUE"""),"RF-00000742-MCG")</f>
        <v>RF-00000742-MCG</v>
      </c>
    </row>
    <row r="6913" spans="1:2" ht="12.5" x14ac:dyDescent="0.25">
      <c r="A6913" t="str">
        <f ca="1">IFERROR(__xludf.DUMMYFUNCTION("""COMPUTED_VALUE"""),"Salmonella Lockleaze")</f>
        <v>Salmonella Lockleaze</v>
      </c>
      <c r="B6913" t="str">
        <f ca="1">IFERROR(__xludf.DUMMYFUNCTION("""COMPUTED_VALUE"""),"RF-00000741-MCG")</f>
        <v>RF-00000741-MCG</v>
      </c>
    </row>
    <row r="6914" spans="1:2" ht="12.5" x14ac:dyDescent="0.25">
      <c r="A6914" t="str">
        <f ca="1">IFERROR(__xludf.DUMMYFUNCTION("""COMPUTED_VALUE"""),"Salmonella Lode")</f>
        <v>Salmonella Lode</v>
      </c>
      <c r="B6914" t="str">
        <f ca="1">IFERROR(__xludf.DUMMYFUNCTION("""COMPUTED_VALUE"""),"RF-00000726-MCG")</f>
        <v>RF-00000726-MCG</v>
      </c>
    </row>
    <row r="6915" spans="1:2" ht="12.5" x14ac:dyDescent="0.25">
      <c r="A6915" t="str">
        <f ca="1">IFERROR(__xludf.DUMMYFUNCTION("""COMPUTED_VALUE"""),"Salmonella Lodz")</f>
        <v>Salmonella Lodz</v>
      </c>
      <c r="B6915" t="str">
        <f ca="1">IFERROR(__xludf.DUMMYFUNCTION("""COMPUTED_VALUE"""),"RF-00000739-MCG")</f>
        <v>RF-00000739-MCG</v>
      </c>
    </row>
    <row r="6916" spans="1:2" ht="12.5" x14ac:dyDescent="0.25">
      <c r="A6916" t="str">
        <f ca="1">IFERROR(__xludf.DUMMYFUNCTION("""COMPUTED_VALUE"""),"Salmonella Loenga")</f>
        <v>Salmonella Loenga</v>
      </c>
      <c r="B6916" t="str">
        <f ca="1">IFERROR(__xludf.DUMMYFUNCTION("""COMPUTED_VALUE"""),"RF-00000753-MCG")</f>
        <v>RF-00000753-MCG</v>
      </c>
    </row>
    <row r="6917" spans="1:2" ht="12.5" x14ac:dyDescent="0.25">
      <c r="A6917" t="str">
        <f ca="1">IFERROR(__xludf.DUMMYFUNCTION("""COMPUTED_VALUE"""),"Salmonella Logone")</f>
        <v>Salmonella Logone</v>
      </c>
      <c r="B6917" t="str">
        <f ca="1">IFERROR(__xludf.DUMMYFUNCTION("""COMPUTED_VALUE"""),"RF-00000737-MCG")</f>
        <v>RF-00000737-MCG</v>
      </c>
    </row>
    <row r="6918" spans="1:2" ht="12.5" x14ac:dyDescent="0.25">
      <c r="A6918" t="str">
        <f ca="1">IFERROR(__xludf.DUMMYFUNCTION("""COMPUTED_VALUE"""),"Salmonella Lokstedt")</f>
        <v>Salmonella Lokstedt</v>
      </c>
      <c r="B6918" t="str">
        <f ca="1">IFERROR(__xludf.DUMMYFUNCTION("""COMPUTED_VALUE"""),"RF-00000736-MCG")</f>
        <v>RF-00000736-MCG</v>
      </c>
    </row>
    <row r="6919" spans="1:2" ht="12.5" x14ac:dyDescent="0.25">
      <c r="A6919" t="str">
        <f ca="1">IFERROR(__xludf.DUMMYFUNCTION("""COMPUTED_VALUE"""),"Salmonella Lomalinda")</f>
        <v>Salmonella Lomalinda</v>
      </c>
      <c r="B6919" t="str">
        <f ca="1">IFERROR(__xludf.DUMMYFUNCTION("""COMPUTED_VALUE"""),"RF-00000735-MCG")</f>
        <v>RF-00000735-MCG</v>
      </c>
    </row>
    <row r="6920" spans="1:2" ht="12.5" x14ac:dyDescent="0.25">
      <c r="A6920" t="str">
        <f ca="1">IFERROR(__xludf.DUMMYFUNCTION("""COMPUTED_VALUE"""),"Salmonella Lome")</f>
        <v>Salmonella Lome</v>
      </c>
      <c r="B6920" t="str">
        <f ca="1">IFERROR(__xludf.DUMMYFUNCTION("""COMPUTED_VALUE"""),"RF-00000734-MCG")</f>
        <v>RF-00000734-MCG</v>
      </c>
    </row>
    <row r="6921" spans="1:2" ht="12.5" x14ac:dyDescent="0.25">
      <c r="A6921" t="str">
        <f ca="1">IFERROR(__xludf.DUMMYFUNCTION("""COMPUTED_VALUE"""),"Salmonella Lomita")</f>
        <v>Salmonella Lomita</v>
      </c>
      <c r="B6921" t="str">
        <f ca="1">IFERROR(__xludf.DUMMYFUNCTION("""COMPUTED_VALUE"""),"RF-00000733-MCG")</f>
        <v>RF-00000733-MCG</v>
      </c>
    </row>
    <row r="6922" spans="1:2" ht="12.5" x14ac:dyDescent="0.25">
      <c r="A6922" t="str">
        <f ca="1">IFERROR(__xludf.DUMMYFUNCTION("""COMPUTED_VALUE"""),"Salmonella Lomnava")</f>
        <v>Salmonella Lomnava</v>
      </c>
      <c r="B6922" t="str">
        <f ca="1">IFERROR(__xludf.DUMMYFUNCTION("""COMPUTED_VALUE"""),"RF-00000732-MCG")</f>
        <v>RF-00000732-MCG</v>
      </c>
    </row>
    <row r="6923" spans="1:2" ht="12.5" x14ac:dyDescent="0.25">
      <c r="A6923" t="str">
        <f ca="1">IFERROR(__xludf.DUMMYFUNCTION("""COMPUTED_VALUE"""),"Salmonella London")</f>
        <v>Salmonella London</v>
      </c>
      <c r="B6923" t="str">
        <f ca="1">IFERROR(__xludf.DUMMYFUNCTION("""COMPUTED_VALUE"""),"RF-00000731-MCG")</f>
        <v>RF-00000731-MCG</v>
      </c>
    </row>
    <row r="6924" spans="1:2" ht="12.5" x14ac:dyDescent="0.25">
      <c r="A6924" t="str">
        <f ca="1">IFERROR(__xludf.DUMMYFUNCTION("""COMPUTED_VALUE"""),"Salmonella London var. 15")</f>
        <v>Salmonella London var. 15</v>
      </c>
      <c r="B6924" t="str">
        <f ca="1">IFERROR(__xludf.DUMMYFUNCTION("""COMPUTED_VALUE"""),"RF-00000730-MCG")</f>
        <v>RF-00000730-MCG</v>
      </c>
    </row>
    <row r="6925" spans="1:2" ht="12.5" x14ac:dyDescent="0.25">
      <c r="A6925" t="str">
        <f ca="1">IFERROR(__xludf.DUMMYFUNCTION("""COMPUTED_VALUE"""),"Salmonella Losangeles")</f>
        <v>Salmonella Losangeles</v>
      </c>
      <c r="B6925" t="str">
        <f ca="1">IFERROR(__xludf.DUMMYFUNCTION("""COMPUTED_VALUE"""),"RF-00000729-MCG")</f>
        <v>RF-00000729-MCG</v>
      </c>
    </row>
    <row r="6926" spans="1:2" ht="12.5" x14ac:dyDescent="0.25">
      <c r="A6926" t="str">
        <f ca="1">IFERROR(__xludf.DUMMYFUNCTION("""COMPUTED_VALUE"""),"Salmonella Loubomo")</f>
        <v>Salmonella Loubomo</v>
      </c>
      <c r="B6926" t="str">
        <f ca="1">IFERROR(__xludf.DUMMYFUNCTION("""COMPUTED_VALUE"""),"RF-00000728-MCG")</f>
        <v>RF-00000728-MCG</v>
      </c>
    </row>
    <row r="6927" spans="1:2" ht="12.5" x14ac:dyDescent="0.25">
      <c r="A6927" t="str">
        <f ca="1">IFERROR(__xludf.DUMMYFUNCTION("""COMPUTED_VALUE"""),"Salmonella Louga")</f>
        <v>Salmonella Louga</v>
      </c>
      <c r="B6927" t="str">
        <f ca="1">IFERROR(__xludf.DUMMYFUNCTION("""COMPUTED_VALUE"""),"RF-00000686-MCG")</f>
        <v>RF-00000686-MCG</v>
      </c>
    </row>
    <row r="6928" spans="1:2" ht="12.5" x14ac:dyDescent="0.25">
      <c r="A6928" t="str">
        <f ca="1">IFERROR(__xludf.DUMMYFUNCTION("""COMPUTED_VALUE"""),"Salmonella Louisiana")</f>
        <v>Salmonella Louisiana</v>
      </c>
      <c r="B6928" t="str">
        <f ca="1">IFERROR(__xludf.DUMMYFUNCTION("""COMPUTED_VALUE"""),"RF-00000752-MCG")</f>
        <v>RF-00000752-MCG</v>
      </c>
    </row>
    <row r="6929" spans="1:2" ht="12.5" x14ac:dyDescent="0.25">
      <c r="A6929" t="str">
        <f ca="1">IFERROR(__xludf.DUMMYFUNCTION("""COMPUTED_VALUE"""),"Salmonella Lovelace")</f>
        <v>Salmonella Lovelace</v>
      </c>
      <c r="B6929" t="str">
        <f ca="1">IFERROR(__xludf.DUMMYFUNCTION("""COMPUTED_VALUE"""),"RF-00000711-MCG")</f>
        <v>RF-00000711-MCG</v>
      </c>
    </row>
    <row r="6930" spans="1:2" ht="12.5" x14ac:dyDescent="0.25">
      <c r="A6930" t="str">
        <f ca="1">IFERROR(__xludf.DUMMYFUNCTION("""COMPUTED_VALUE"""),"Salmonella Lowestoft")</f>
        <v>Salmonella Lowestoft</v>
      </c>
      <c r="B6930" t="str">
        <f ca="1">IFERROR(__xludf.DUMMYFUNCTION("""COMPUTED_VALUE"""),"RF-00000670-MCG")</f>
        <v>RF-00000670-MCG</v>
      </c>
    </row>
    <row r="6931" spans="1:2" ht="12.5" x14ac:dyDescent="0.25">
      <c r="A6931" t="str">
        <f ca="1">IFERROR(__xludf.DUMMYFUNCTION("""COMPUTED_VALUE"""),"Salmonella Lubumbashi")</f>
        <v>Salmonella Lubumbashi</v>
      </c>
      <c r="B6931" t="str">
        <f ca="1">IFERROR(__xludf.DUMMYFUNCTION("""COMPUTED_VALUE"""),"RF-00000669-MCG")</f>
        <v>RF-00000669-MCG</v>
      </c>
    </row>
    <row r="6932" spans="1:2" ht="12.5" x14ac:dyDescent="0.25">
      <c r="A6932" t="str">
        <f ca="1">IFERROR(__xludf.DUMMYFUNCTION("""COMPUTED_VALUE"""),"Salmonella Luciana")</f>
        <v>Salmonella Luciana</v>
      </c>
      <c r="B6932" t="str">
        <f ca="1">IFERROR(__xludf.DUMMYFUNCTION("""COMPUTED_VALUE"""),"RF-00000668-MCG")</f>
        <v>RF-00000668-MCG</v>
      </c>
    </row>
    <row r="6933" spans="1:2" ht="12.5" x14ac:dyDescent="0.25">
      <c r="A6933" t="str">
        <f ca="1">IFERROR(__xludf.DUMMYFUNCTION("""COMPUTED_VALUE"""),"Salmonella Luckenwalde")</f>
        <v>Salmonella Luckenwalde</v>
      </c>
      <c r="B6933" t="str">
        <f ca="1">IFERROR(__xludf.DUMMYFUNCTION("""COMPUTED_VALUE"""),"RF-00000667-MCG")</f>
        <v>RF-00000667-MCG</v>
      </c>
    </row>
    <row r="6934" spans="1:2" ht="12.5" x14ac:dyDescent="0.25">
      <c r="A6934" t="str">
        <f ca="1">IFERROR(__xludf.DUMMYFUNCTION("""COMPUTED_VALUE"""),"Salmonella Luedinghausen")</f>
        <v>Salmonella Luedinghausen</v>
      </c>
      <c r="B6934" t="str">
        <f ca="1">IFERROR(__xludf.DUMMYFUNCTION("""COMPUTED_VALUE"""),"RF-00000666-MCG")</f>
        <v>RF-00000666-MCG</v>
      </c>
    </row>
    <row r="6935" spans="1:2" ht="12.5" x14ac:dyDescent="0.25">
      <c r="A6935" t="str">
        <f ca="1">IFERROR(__xludf.DUMMYFUNCTION("""COMPUTED_VALUE"""),"Salmonella Luke")</f>
        <v>Salmonella Luke</v>
      </c>
      <c r="B6935" t="str">
        <f ca="1">IFERROR(__xludf.DUMMYFUNCTION("""COMPUTED_VALUE"""),"RF-00000665-MCG")</f>
        <v>RF-00000665-MCG</v>
      </c>
    </row>
    <row r="6936" spans="1:2" ht="12.5" x14ac:dyDescent="0.25">
      <c r="A6936" t="str">
        <f ca="1">IFERROR(__xludf.DUMMYFUNCTION("""COMPUTED_VALUE"""),"Salmonella Lutetia")</f>
        <v>Salmonella Lutetia</v>
      </c>
      <c r="B6936" t="str">
        <f ca="1">IFERROR(__xludf.DUMMYFUNCTION("""COMPUTED_VALUE"""),"RF-00000664-MCG")</f>
        <v>RF-00000664-MCG</v>
      </c>
    </row>
    <row r="6937" spans="1:2" ht="12.5" x14ac:dyDescent="0.25">
      <c r="A6937" t="str">
        <f ca="1">IFERROR(__xludf.DUMMYFUNCTION("""COMPUTED_VALUE"""),"Salmonella Lyon")</f>
        <v>Salmonella Lyon</v>
      </c>
      <c r="B6937" t="str">
        <f ca="1">IFERROR(__xludf.DUMMYFUNCTION("""COMPUTED_VALUE"""),"RF-00000663-MCG")</f>
        <v>RF-00000663-MCG</v>
      </c>
    </row>
    <row r="6938" spans="1:2" ht="12.5" x14ac:dyDescent="0.25">
      <c r="A6938" t="str">
        <f ca="1">IFERROR(__xludf.DUMMYFUNCTION("""COMPUTED_VALUE"""),"Salmonella Maastricht")</f>
        <v>Salmonella Maastricht</v>
      </c>
      <c r="B6938" t="str">
        <f ca="1">IFERROR(__xludf.DUMMYFUNCTION("""COMPUTED_VALUE"""),"RF-00000662-MCG")</f>
        <v>RF-00000662-MCG</v>
      </c>
    </row>
    <row r="6939" spans="1:2" ht="12.5" x14ac:dyDescent="0.25">
      <c r="A6939" t="str">
        <f ca="1">IFERROR(__xludf.DUMMYFUNCTION("""COMPUTED_VALUE"""),"Salmonella Macallen")</f>
        <v>Salmonella Macallen</v>
      </c>
      <c r="B6939" t="str">
        <f ca="1">IFERROR(__xludf.DUMMYFUNCTION("""COMPUTED_VALUE"""),"RF-00000661-MCG")</f>
        <v>RF-00000661-MCG</v>
      </c>
    </row>
    <row r="6940" spans="1:2" ht="12.5" x14ac:dyDescent="0.25">
      <c r="A6940" t="str">
        <f ca="1">IFERROR(__xludf.DUMMYFUNCTION("""COMPUTED_VALUE"""),"Salmonella Macclesfield")</f>
        <v>Salmonella Macclesfield</v>
      </c>
      <c r="B6940" t="str">
        <f ca="1">IFERROR(__xludf.DUMMYFUNCTION("""COMPUTED_VALUE"""),"RF-00000660-MCG")</f>
        <v>RF-00000660-MCG</v>
      </c>
    </row>
    <row r="6941" spans="1:2" ht="12.5" x14ac:dyDescent="0.25">
      <c r="A6941" t="str">
        <f ca="1">IFERROR(__xludf.DUMMYFUNCTION("""COMPUTED_VALUE"""),"Salmonella Machaga")</f>
        <v>Salmonella Machaga</v>
      </c>
      <c r="B6941" t="str">
        <f ca="1">IFERROR(__xludf.DUMMYFUNCTION("""COMPUTED_VALUE"""),"RF-00000645-MCG")</f>
        <v>RF-00000645-MCG</v>
      </c>
    </row>
    <row r="6942" spans="1:2" ht="12.5" x14ac:dyDescent="0.25">
      <c r="A6942" t="str">
        <f ca="1">IFERROR(__xludf.DUMMYFUNCTION("""COMPUTED_VALUE"""),"Salmonella Madelia")</f>
        <v>Salmonella Madelia</v>
      </c>
      <c r="B6942" t="str">
        <f ca="1">IFERROR(__xludf.DUMMYFUNCTION("""COMPUTED_VALUE"""),"RF-00000828-MCG")</f>
        <v>RF-00000828-MCG</v>
      </c>
    </row>
    <row r="6943" spans="1:2" ht="12.5" x14ac:dyDescent="0.25">
      <c r="A6943" t="str">
        <f ca="1">IFERROR(__xludf.DUMMYFUNCTION("""COMPUTED_VALUE"""),"Salmonella Madiago")</f>
        <v>Salmonella Madiago</v>
      </c>
      <c r="B6943" t="str">
        <f ca="1">IFERROR(__xludf.DUMMYFUNCTION("""COMPUTED_VALUE"""),"RF-00000827-MCG")</f>
        <v>RF-00000827-MCG</v>
      </c>
    </row>
    <row r="6944" spans="1:2" ht="12.5" x14ac:dyDescent="0.25">
      <c r="A6944" t="str">
        <f ca="1">IFERROR(__xludf.DUMMYFUNCTION("""COMPUTED_VALUE"""),"Salmonella Madigan")</f>
        <v>Salmonella Madigan</v>
      </c>
      <c r="B6944" t="str">
        <f ca="1">IFERROR(__xludf.DUMMYFUNCTION("""COMPUTED_VALUE"""),"RF-00000826-MCG")</f>
        <v>RF-00000826-MCG</v>
      </c>
    </row>
    <row r="6945" spans="1:2" ht="12.5" x14ac:dyDescent="0.25">
      <c r="A6945" t="str">
        <f ca="1">IFERROR(__xludf.DUMMYFUNCTION("""COMPUTED_VALUE"""),"Salmonella Madison")</f>
        <v>Salmonella Madison</v>
      </c>
      <c r="B6945" t="str">
        <f ca="1">IFERROR(__xludf.DUMMYFUNCTION("""COMPUTED_VALUE"""),"RF-00000825-MCG")</f>
        <v>RF-00000825-MCG</v>
      </c>
    </row>
    <row r="6946" spans="1:2" ht="12.5" x14ac:dyDescent="0.25">
      <c r="A6946" t="str">
        <f ca="1">IFERROR(__xludf.DUMMYFUNCTION("""COMPUTED_VALUE"""),"Salmonella Madjorio")</f>
        <v>Salmonella Madjorio</v>
      </c>
      <c r="B6946" t="str">
        <f ca="1">IFERROR(__xludf.DUMMYFUNCTION("""COMPUTED_VALUE"""),"RF-00000824-MCG")</f>
        <v>RF-00000824-MCG</v>
      </c>
    </row>
    <row r="6947" spans="1:2" ht="12.5" x14ac:dyDescent="0.25">
      <c r="A6947" t="str">
        <f ca="1">IFERROR(__xludf.DUMMYFUNCTION("""COMPUTED_VALUE"""),"Salmonella Madras")</f>
        <v>Salmonella Madras</v>
      </c>
      <c r="B6947" t="str">
        <f ca="1">IFERROR(__xludf.DUMMYFUNCTION("""COMPUTED_VALUE"""),"RF-00000823-MCG")</f>
        <v>RF-00000823-MCG</v>
      </c>
    </row>
    <row r="6948" spans="1:2" ht="12.5" x14ac:dyDescent="0.25">
      <c r="A6948" t="str">
        <f ca="1">IFERROR(__xludf.DUMMYFUNCTION("""COMPUTED_VALUE"""),"Salmonella Magherafelt")</f>
        <v>Salmonella Magherafelt</v>
      </c>
      <c r="B6948" t="str">
        <f ca="1">IFERROR(__xludf.DUMMYFUNCTION("""COMPUTED_VALUE"""),"RF-00000808-MCG")</f>
        <v>RF-00000808-MCG</v>
      </c>
    </row>
    <row r="6949" spans="1:2" ht="12.5" x14ac:dyDescent="0.25">
      <c r="A6949" t="str">
        <f ca="1">IFERROR(__xludf.DUMMYFUNCTION("""COMPUTED_VALUE"""),"Salmonella Magumeri")</f>
        <v>Salmonella Magumeri</v>
      </c>
      <c r="B6949" t="str">
        <f ca="1">IFERROR(__xludf.DUMMYFUNCTION("""COMPUTED_VALUE"""),"RF-00000821-MCG")</f>
        <v>RF-00000821-MCG</v>
      </c>
    </row>
    <row r="6950" spans="1:2" ht="12.5" x14ac:dyDescent="0.25">
      <c r="A6950" t="str">
        <f ca="1">IFERROR(__xludf.DUMMYFUNCTION("""COMPUTED_VALUE"""),"Salmonella Magwa")</f>
        <v>Salmonella Magwa</v>
      </c>
      <c r="B6950" t="str">
        <f ca="1">IFERROR(__xludf.DUMMYFUNCTION("""COMPUTED_VALUE"""),"RF-00000834-MCG")</f>
        <v>RF-00000834-MCG</v>
      </c>
    </row>
    <row r="6951" spans="1:2" ht="12.5" x14ac:dyDescent="0.25">
      <c r="A6951" t="str">
        <f ca="1">IFERROR(__xludf.DUMMYFUNCTION("""COMPUTED_VALUE"""),"Salmonella Mahina")</f>
        <v>Salmonella Mahina</v>
      </c>
      <c r="B6951" t="str">
        <f ca="1">IFERROR(__xludf.DUMMYFUNCTION("""COMPUTED_VALUE"""),"RF-00000819-MCG")</f>
        <v>RF-00000819-MCG</v>
      </c>
    </row>
    <row r="6952" spans="1:2" ht="12.5" x14ac:dyDescent="0.25">
      <c r="A6952" t="str">
        <f ca="1">IFERROR(__xludf.DUMMYFUNCTION("""COMPUTED_VALUE"""),"Salmonella Maiduguri")</f>
        <v>Salmonella Maiduguri</v>
      </c>
      <c r="B6952" t="str">
        <f ca="1">IFERROR(__xludf.DUMMYFUNCTION("""COMPUTED_VALUE"""),"RF-00000818-MCG")</f>
        <v>RF-00000818-MCG</v>
      </c>
    </row>
    <row r="6953" spans="1:2" ht="12.5" x14ac:dyDescent="0.25">
      <c r="A6953" t="str">
        <f ca="1">IFERROR(__xludf.DUMMYFUNCTION("""COMPUTED_VALUE"""),"Salmonella Makiling")</f>
        <v>Salmonella Makiling</v>
      </c>
      <c r="B6953" t="str">
        <f ca="1">IFERROR(__xludf.DUMMYFUNCTION("""COMPUTED_VALUE"""),"RF-00000817-MCG")</f>
        <v>RF-00000817-MCG</v>
      </c>
    </row>
    <row r="6954" spans="1:2" ht="12.5" x14ac:dyDescent="0.25">
      <c r="A6954" t="str">
        <f ca="1">IFERROR(__xludf.DUMMYFUNCTION("""COMPUTED_VALUE"""),"Salmonella Makiso")</f>
        <v>Salmonella Makiso</v>
      </c>
      <c r="B6954" t="str">
        <f ca="1">IFERROR(__xludf.DUMMYFUNCTION("""COMPUTED_VALUE"""),"RF-00000816-MCG")</f>
        <v>RF-00000816-MCG</v>
      </c>
    </row>
    <row r="6955" spans="1:2" ht="12.5" x14ac:dyDescent="0.25">
      <c r="A6955" t="str">
        <f ca="1">IFERROR(__xludf.DUMMYFUNCTION("""COMPUTED_VALUE"""),"Salmonella Malakal")</f>
        <v>Salmonella Malakal</v>
      </c>
      <c r="B6955" t="str">
        <f ca="1">IFERROR(__xludf.DUMMYFUNCTION("""COMPUTED_VALUE"""),"RF-00000815-MCG")</f>
        <v>RF-00000815-MCG</v>
      </c>
    </row>
    <row r="6956" spans="1:2" ht="12.5" x14ac:dyDescent="0.25">
      <c r="A6956" t="str">
        <f ca="1">IFERROR(__xludf.DUMMYFUNCTION("""COMPUTED_VALUE"""),"Salmonella Malaysia")</f>
        <v>Salmonella Malaysia</v>
      </c>
      <c r="B6956" t="str">
        <f ca="1">IFERROR(__xludf.DUMMYFUNCTION("""COMPUTED_VALUE"""),"RF-00000814-MCG")</f>
        <v>RF-00000814-MCG</v>
      </c>
    </row>
    <row r="6957" spans="1:2" ht="12.5" x14ac:dyDescent="0.25">
      <c r="A6957" t="str">
        <f ca="1">IFERROR(__xludf.DUMMYFUNCTION("""COMPUTED_VALUE"""),"Salmonella Malika")</f>
        <v>Salmonella Malika</v>
      </c>
      <c r="B6957" t="str">
        <f ca="1">IFERROR(__xludf.DUMMYFUNCTION("""COMPUTED_VALUE"""),"RF-00000813-MCG")</f>
        <v>RF-00000813-MCG</v>
      </c>
    </row>
    <row r="6958" spans="1:2" ht="12.5" x14ac:dyDescent="0.25">
      <c r="A6958" t="str">
        <f ca="1">IFERROR(__xludf.DUMMYFUNCTION("""COMPUTED_VALUE"""),"Salmonella Malmoe")</f>
        <v>Salmonella Malmoe</v>
      </c>
      <c r="B6958" t="str">
        <f ca="1">IFERROR(__xludf.DUMMYFUNCTION("""COMPUTED_VALUE"""),"RF-00000812-MCG")</f>
        <v>RF-00000812-MCG</v>
      </c>
    </row>
    <row r="6959" spans="1:2" ht="12.5" x14ac:dyDescent="0.25">
      <c r="A6959" t="str">
        <f ca="1">IFERROR(__xludf.DUMMYFUNCTION("""COMPUTED_VALUE"""),"Salmonella Malstatt")</f>
        <v>Salmonella Malstatt</v>
      </c>
      <c r="B6959" t="str">
        <f ca="1">IFERROR(__xludf.DUMMYFUNCTION("""COMPUTED_VALUE"""),"RF-00000811-MCG")</f>
        <v>RF-00000811-MCG</v>
      </c>
    </row>
    <row r="6960" spans="1:2" ht="12.5" x14ac:dyDescent="0.25">
      <c r="A6960" t="str">
        <f ca="1">IFERROR(__xludf.DUMMYFUNCTION("""COMPUTED_VALUE"""),"Salmonella Mampeza")</f>
        <v>Salmonella Mampeza</v>
      </c>
      <c r="B6960" t="str">
        <f ca="1">IFERROR(__xludf.DUMMYFUNCTION("""COMPUTED_VALUE"""),"RF-00000810-MCG")</f>
        <v>RF-00000810-MCG</v>
      </c>
    </row>
    <row r="6961" spans="1:2" ht="12.5" x14ac:dyDescent="0.25">
      <c r="A6961" t="str">
        <f ca="1">IFERROR(__xludf.DUMMYFUNCTION("""COMPUTED_VALUE"""),"Salmonella Mampong")</f>
        <v>Salmonella Mampong</v>
      </c>
      <c r="B6961" t="str">
        <f ca="1">IFERROR(__xludf.DUMMYFUNCTION("""COMPUTED_VALUE"""),"RF-00000847-MCG")</f>
        <v>RF-00000847-MCG</v>
      </c>
    </row>
    <row r="6962" spans="1:2" ht="12.5" x14ac:dyDescent="0.25">
      <c r="A6962" t="str">
        <f ca="1">IFERROR(__xludf.DUMMYFUNCTION("""COMPUTED_VALUE"""),"Salmonella Manchester")</f>
        <v>Salmonella Manchester</v>
      </c>
      <c r="B6962" t="str">
        <f ca="1">IFERROR(__xludf.DUMMYFUNCTION("""COMPUTED_VALUE"""),"RF-00000820-MCG")</f>
        <v>RF-00000820-MCG</v>
      </c>
    </row>
    <row r="6963" spans="1:2" ht="12.5" x14ac:dyDescent="0.25">
      <c r="A6963" t="str">
        <f ca="1">IFERROR(__xludf.DUMMYFUNCTION("""COMPUTED_VALUE"""),"Salmonella Mandera")</f>
        <v>Salmonella Mandera</v>
      </c>
      <c r="B6963" t="str">
        <f ca="1">IFERROR(__xludf.DUMMYFUNCTION("""COMPUTED_VALUE"""),"RF-00000822-MCG")</f>
        <v>RF-00000822-MCG</v>
      </c>
    </row>
    <row r="6964" spans="1:2" ht="12.5" x14ac:dyDescent="0.25">
      <c r="A6964" t="str">
        <f ca="1">IFERROR(__xludf.DUMMYFUNCTION("""COMPUTED_VALUE"""),"Salmonella Mango")</f>
        <v>Salmonella Mango</v>
      </c>
      <c r="B6964" t="str">
        <f ca="1">IFERROR(__xludf.DUMMYFUNCTION("""COMPUTED_VALUE"""),"RF-00000860-MCG")</f>
        <v>RF-00000860-MCG</v>
      </c>
    </row>
    <row r="6965" spans="1:2" ht="12.5" x14ac:dyDescent="0.25">
      <c r="A6965" t="str">
        <f ca="1">IFERROR(__xludf.DUMMYFUNCTION("""COMPUTED_VALUE"""),"Salmonella Manhattan")</f>
        <v>Salmonella Manhattan</v>
      </c>
      <c r="B6965" t="str">
        <f ca="1">IFERROR(__xludf.DUMMYFUNCTION("""COMPUTED_VALUE"""),"RF-00000859-MCG")</f>
        <v>RF-00000859-MCG</v>
      </c>
    </row>
    <row r="6966" spans="1:2" ht="12.5" x14ac:dyDescent="0.25">
      <c r="A6966" t="str">
        <f ca="1">IFERROR(__xludf.DUMMYFUNCTION("""COMPUTED_VALUE"""),"Salmonella Mannheim")</f>
        <v>Salmonella Mannheim</v>
      </c>
      <c r="B6966" t="str">
        <f ca="1">IFERROR(__xludf.DUMMYFUNCTION("""COMPUTED_VALUE"""),"RF-00000858-MCG")</f>
        <v>RF-00000858-MCG</v>
      </c>
    </row>
    <row r="6967" spans="1:2" ht="12.5" x14ac:dyDescent="0.25">
      <c r="A6967" t="str">
        <f ca="1">IFERROR(__xludf.DUMMYFUNCTION("""COMPUTED_VALUE"""),"Salmonella Mapo")</f>
        <v>Salmonella Mapo</v>
      </c>
      <c r="B6967" t="str">
        <f ca="1">IFERROR(__xludf.DUMMYFUNCTION("""COMPUTED_VALUE"""),"RF-00000857-MCG")</f>
        <v>RF-00000857-MCG</v>
      </c>
    </row>
    <row r="6968" spans="1:2" ht="12.5" x14ac:dyDescent="0.25">
      <c r="A6968" t="str">
        <f ca="1">IFERROR(__xludf.DUMMYFUNCTION("""COMPUTED_VALUE"""),"Salmonella Mara")</f>
        <v>Salmonella Mara</v>
      </c>
      <c r="B6968" t="str">
        <f ca="1">IFERROR(__xludf.DUMMYFUNCTION("""COMPUTED_VALUE"""),"RF-00000856-MCG")</f>
        <v>RF-00000856-MCG</v>
      </c>
    </row>
    <row r="6969" spans="1:2" ht="12.5" x14ac:dyDescent="0.25">
      <c r="A6969" t="str">
        <f ca="1">IFERROR(__xludf.DUMMYFUNCTION("""COMPUTED_VALUE"""),"Salmonella Maracaibo")</f>
        <v>Salmonella Maracaibo</v>
      </c>
      <c r="B6969" t="str">
        <f ca="1">IFERROR(__xludf.DUMMYFUNCTION("""COMPUTED_VALUE"""),"RF-00000855-MCG")</f>
        <v>RF-00000855-MCG</v>
      </c>
    </row>
    <row r="6970" spans="1:2" ht="12.5" x14ac:dyDescent="0.25">
      <c r="A6970" t="str">
        <f ca="1">IFERROR(__xludf.DUMMYFUNCTION("""COMPUTED_VALUE"""),"Salmonella Marburg")</f>
        <v>Salmonella Marburg</v>
      </c>
      <c r="B6970" t="str">
        <f ca="1">IFERROR(__xludf.DUMMYFUNCTION("""COMPUTED_VALUE"""),"RF-00000854-MCG")</f>
        <v>RF-00000854-MCG</v>
      </c>
    </row>
    <row r="6971" spans="1:2" ht="12.5" x14ac:dyDescent="0.25">
      <c r="A6971" t="str">
        <f ca="1">IFERROR(__xludf.DUMMYFUNCTION("""COMPUTED_VALUE"""),"Salmonella Maricopa")</f>
        <v>Salmonella Maricopa</v>
      </c>
      <c r="B6971" t="str">
        <f ca="1">IFERROR(__xludf.DUMMYFUNCTION("""COMPUTED_VALUE"""),"RF-00000853-MCG")</f>
        <v>RF-00000853-MCG</v>
      </c>
    </row>
    <row r="6972" spans="1:2" ht="12.5" x14ac:dyDescent="0.25">
      <c r="A6972" t="str">
        <f ca="1">IFERROR(__xludf.DUMMYFUNCTION("""COMPUTED_VALUE"""),"Salmonella Marienthal")</f>
        <v>Salmonella Marienthal</v>
      </c>
      <c r="B6972" t="str">
        <f ca="1">IFERROR(__xludf.DUMMYFUNCTION("""COMPUTED_VALUE"""),"RF-00000852-MCG")</f>
        <v>RF-00000852-MCG</v>
      </c>
    </row>
    <row r="6973" spans="1:2" ht="12.5" x14ac:dyDescent="0.25">
      <c r="A6973" t="str">
        <f ca="1">IFERROR(__xludf.DUMMYFUNCTION("""COMPUTED_VALUE"""),"Salmonella Maritzburg")</f>
        <v>Salmonella Maritzburg</v>
      </c>
      <c r="B6973" t="str">
        <f ca="1">IFERROR(__xludf.DUMMYFUNCTION("""COMPUTED_VALUE"""),"RF-00000851-MCG")</f>
        <v>RF-00000851-MCG</v>
      </c>
    </row>
    <row r="6974" spans="1:2" ht="12.5" x14ac:dyDescent="0.25">
      <c r="A6974" t="str">
        <f ca="1">IFERROR(__xludf.DUMMYFUNCTION("""COMPUTED_VALUE"""),"Salmonella Maron")</f>
        <v>Salmonella Maron</v>
      </c>
      <c r="B6974" t="str">
        <f ca="1">IFERROR(__xludf.DUMMYFUNCTION("""COMPUTED_VALUE"""),"RF-00000850-MCG")</f>
        <v>RF-00000850-MCG</v>
      </c>
    </row>
    <row r="6975" spans="1:2" ht="12.5" x14ac:dyDescent="0.25">
      <c r="A6975" t="str">
        <f ca="1">IFERROR(__xludf.DUMMYFUNCTION("""COMPUTED_VALUE"""),"Salmonella Maroua")</f>
        <v>Salmonella Maroua</v>
      </c>
      <c r="B6975" t="str">
        <f ca="1">IFERROR(__xludf.DUMMYFUNCTION("""COMPUTED_VALUE"""),"RF-00000835-MCG")</f>
        <v>RF-00000835-MCG</v>
      </c>
    </row>
    <row r="6976" spans="1:2" ht="12.5" x14ac:dyDescent="0.25">
      <c r="A6976" t="str">
        <f ca="1">IFERROR(__xludf.DUMMYFUNCTION("""COMPUTED_VALUE"""),"Salmonella Marseille")</f>
        <v>Salmonella Marseille</v>
      </c>
      <c r="B6976" t="str">
        <f ca="1">IFERROR(__xludf.DUMMYFUNCTION("""COMPUTED_VALUE"""),"RF-00000848-MCG")</f>
        <v>RF-00000848-MCG</v>
      </c>
    </row>
    <row r="6977" spans="1:2" ht="12.5" x14ac:dyDescent="0.25">
      <c r="A6977" t="str">
        <f ca="1">IFERROR(__xludf.DUMMYFUNCTION("""COMPUTED_VALUE"""),"Salmonella Marshall")</f>
        <v>Salmonella Marshall</v>
      </c>
      <c r="B6977" t="str">
        <f ca="1">IFERROR(__xludf.DUMMYFUNCTION("""COMPUTED_VALUE"""),"RF-00000861-MCG")</f>
        <v>RF-00000861-MCG</v>
      </c>
    </row>
    <row r="6978" spans="1:2" ht="12.5" x14ac:dyDescent="0.25">
      <c r="A6978" t="str">
        <f ca="1">IFERROR(__xludf.DUMMYFUNCTION("""COMPUTED_VALUE"""),"Salmonella Maryland")</f>
        <v>Salmonella Maryland</v>
      </c>
      <c r="B6978" t="str">
        <f ca="1">IFERROR(__xludf.DUMMYFUNCTION("""COMPUTED_VALUE"""),"RF-00000846-MCG")</f>
        <v>RF-00000846-MCG</v>
      </c>
    </row>
    <row r="6979" spans="1:2" ht="12.5" x14ac:dyDescent="0.25">
      <c r="A6979" t="str">
        <f ca="1">IFERROR(__xludf.DUMMYFUNCTION("""COMPUTED_VALUE"""),"Salmonella Marylebone")</f>
        <v>Salmonella Marylebone</v>
      </c>
      <c r="B6979" t="str">
        <f ca="1">IFERROR(__xludf.DUMMYFUNCTION("""COMPUTED_VALUE"""),"RF-00000845-MCG")</f>
        <v>RF-00000845-MCG</v>
      </c>
    </row>
    <row r="6980" spans="1:2" ht="12.5" x14ac:dyDescent="0.25">
      <c r="A6980" t="str">
        <f ca="1">IFERROR(__xludf.DUMMYFUNCTION("""COMPUTED_VALUE"""),"Salmonella Masembe")</f>
        <v>Salmonella Masembe</v>
      </c>
      <c r="B6980" t="str">
        <f ca="1">IFERROR(__xludf.DUMMYFUNCTION("""COMPUTED_VALUE"""),"RF-00000844-MCG")</f>
        <v>RF-00000844-MCG</v>
      </c>
    </row>
    <row r="6981" spans="1:2" ht="12.5" x14ac:dyDescent="0.25">
      <c r="A6981" t="str">
        <f ca="1">IFERROR(__xludf.DUMMYFUNCTION("""COMPUTED_VALUE"""),"Salmonella Maska")</f>
        <v>Salmonella Maska</v>
      </c>
      <c r="B6981" t="str">
        <f ca="1">IFERROR(__xludf.DUMMYFUNCTION("""COMPUTED_VALUE"""),"RF-00000843-MCG")</f>
        <v>RF-00000843-MCG</v>
      </c>
    </row>
    <row r="6982" spans="1:2" ht="12.5" x14ac:dyDescent="0.25">
      <c r="A6982" t="str">
        <f ca="1">IFERROR(__xludf.DUMMYFUNCTION("""COMPUTED_VALUE"""),"Salmonella Massakory")</f>
        <v>Salmonella Massakory</v>
      </c>
      <c r="B6982" t="str">
        <f ca="1">IFERROR(__xludf.DUMMYFUNCTION("""COMPUTED_VALUE"""),"RF-00000842-MCG")</f>
        <v>RF-00000842-MCG</v>
      </c>
    </row>
    <row r="6983" spans="1:2" ht="12.5" x14ac:dyDescent="0.25">
      <c r="A6983" t="str">
        <f ca="1">IFERROR(__xludf.DUMMYFUNCTION("""COMPUTED_VALUE"""),"Salmonella Massenya")</f>
        <v>Salmonella Massenya</v>
      </c>
      <c r="B6983" t="str">
        <f ca="1">IFERROR(__xludf.DUMMYFUNCTION("""COMPUTED_VALUE"""),"RF-00000841-MCG")</f>
        <v>RF-00000841-MCG</v>
      </c>
    </row>
    <row r="6984" spans="1:2" ht="12.5" x14ac:dyDescent="0.25">
      <c r="A6984" t="str">
        <f ca="1">IFERROR(__xludf.DUMMYFUNCTION("""COMPUTED_VALUE"""),"Salmonella Matadi")</f>
        <v>Salmonella Matadi</v>
      </c>
      <c r="B6984" t="str">
        <f ca="1">IFERROR(__xludf.DUMMYFUNCTION("""COMPUTED_VALUE"""),"RF-00000840-MCG")</f>
        <v>RF-00000840-MCG</v>
      </c>
    </row>
    <row r="6985" spans="1:2" ht="12.5" x14ac:dyDescent="0.25">
      <c r="A6985" t="str">
        <f ca="1">IFERROR(__xludf.DUMMYFUNCTION("""COMPUTED_VALUE"""),"Salmonella Mathura")</f>
        <v>Salmonella Mathura</v>
      </c>
      <c r="B6985" t="str">
        <f ca="1">IFERROR(__xludf.DUMMYFUNCTION("""COMPUTED_VALUE"""),"RF-00000839-MCG")</f>
        <v>RF-00000839-MCG</v>
      </c>
    </row>
    <row r="6986" spans="1:2" ht="12.5" x14ac:dyDescent="0.25">
      <c r="A6986" t="str">
        <f ca="1">IFERROR(__xludf.DUMMYFUNCTION("""COMPUTED_VALUE"""),"Salmonella Matopeni")</f>
        <v>Salmonella Matopeni</v>
      </c>
      <c r="B6986" t="str">
        <f ca="1">IFERROR(__xludf.DUMMYFUNCTION("""COMPUTED_VALUE"""),"RF-00000838-MCG")</f>
        <v>RF-00000838-MCG</v>
      </c>
    </row>
    <row r="6987" spans="1:2" ht="12.5" x14ac:dyDescent="0.25">
      <c r="A6987" t="str">
        <f ca="1">IFERROR(__xludf.DUMMYFUNCTION("""COMPUTED_VALUE"""),"Salmonella Mayday")</f>
        <v>Salmonella Mayday</v>
      </c>
      <c r="B6987" t="str">
        <f ca="1">IFERROR(__xludf.DUMMYFUNCTION("""COMPUTED_VALUE"""),"RF-00000837-MCG")</f>
        <v>RF-00000837-MCG</v>
      </c>
    </row>
    <row r="6988" spans="1:2" ht="12.5" x14ac:dyDescent="0.25">
      <c r="A6988" t="str">
        <f ca="1">IFERROR(__xludf.DUMMYFUNCTION("""COMPUTED_VALUE"""),"Salmonella Mbandaka")</f>
        <v>Salmonella Mbandaka</v>
      </c>
      <c r="B6988" t="str">
        <f ca="1">IFERROR(__xludf.DUMMYFUNCTION("""COMPUTED_VALUE"""),"RF-00000836-MCG")</f>
        <v>RF-00000836-MCG</v>
      </c>
    </row>
    <row r="6989" spans="1:2" ht="12.5" x14ac:dyDescent="0.25">
      <c r="A6989" t="str">
        <f ca="1">IFERROR(__xludf.DUMMYFUNCTION("""COMPUTED_VALUE"""),"Salmonella Mbao")</f>
        <v>Salmonella Mbao</v>
      </c>
      <c r="B6989" t="str">
        <f ca="1">IFERROR(__xludf.DUMMYFUNCTION("""COMPUTED_VALUE"""),"RF-00000795-MCG")</f>
        <v>RF-00000795-MCG</v>
      </c>
    </row>
    <row r="6990" spans="1:2" ht="12.5" x14ac:dyDescent="0.25">
      <c r="A6990" t="str">
        <f ca="1">IFERROR(__xludf.DUMMYFUNCTION("""COMPUTED_VALUE"""),"Salmonella Meekatharra")</f>
        <v>Salmonella Meekatharra</v>
      </c>
      <c r="B6990" t="str">
        <f ca="1">IFERROR(__xludf.DUMMYFUNCTION("""COMPUTED_VALUE"""),"RF-00000755-MCG")</f>
        <v>RF-00000755-MCG</v>
      </c>
    </row>
    <row r="6991" spans="1:2" ht="12.5" x14ac:dyDescent="0.25">
      <c r="A6991" t="str">
        <f ca="1">IFERROR(__xludf.DUMMYFUNCTION("""COMPUTED_VALUE"""),"Salmonella Melbourne")</f>
        <v>Salmonella Melbourne</v>
      </c>
      <c r="B6991" t="str">
        <f ca="1">IFERROR(__xludf.DUMMYFUNCTION("""COMPUTED_VALUE"""),"RF-00000809-MCG")</f>
        <v>RF-00000809-MCG</v>
      </c>
    </row>
    <row r="6992" spans="1:2" ht="12.5" x14ac:dyDescent="0.25">
      <c r="A6992" t="str">
        <f ca="1">IFERROR(__xludf.DUMMYFUNCTION("""COMPUTED_VALUE"""),"Salmonella Meleagridis")</f>
        <v>Salmonella Meleagridis</v>
      </c>
      <c r="B6992" t="str">
        <f ca="1">IFERROR(__xludf.DUMMYFUNCTION("""COMPUTED_VALUE"""),"RF-00000778-MCG")</f>
        <v>RF-00000778-MCG</v>
      </c>
    </row>
    <row r="6993" spans="1:2" ht="12.5" x14ac:dyDescent="0.25">
      <c r="A6993" t="str">
        <f ca="1">IFERROR(__xludf.DUMMYFUNCTION("""COMPUTED_VALUE"""),"Salmonella Meleagridis var. 15")</f>
        <v>Salmonella Meleagridis var. 15</v>
      </c>
      <c r="B6993" t="str">
        <f ca="1">IFERROR(__xludf.DUMMYFUNCTION("""COMPUTED_VALUE"""),"RF-00000777-MCG")</f>
        <v>RF-00000777-MCG</v>
      </c>
    </row>
    <row r="6994" spans="1:2" ht="12.5" x14ac:dyDescent="0.25">
      <c r="A6994" t="str">
        <f ca="1">IFERROR(__xludf.DUMMYFUNCTION("""COMPUTED_VALUE"""),"Salmonella Meleagridis var. 15,34")</f>
        <v>Salmonella Meleagridis var. 15,34</v>
      </c>
      <c r="B6994" t="str">
        <f ca="1">IFERROR(__xludf.DUMMYFUNCTION("""COMPUTED_VALUE"""),"RF-00000776-MCG")</f>
        <v>RF-00000776-MCG</v>
      </c>
    </row>
    <row r="6995" spans="1:2" ht="12.5" x14ac:dyDescent="0.25">
      <c r="A6995" t="str">
        <f ca="1">IFERROR(__xludf.DUMMYFUNCTION("""COMPUTED_VALUE"""),"Salmonella Memphis")</f>
        <v>Salmonella Memphis</v>
      </c>
      <c r="B6995" t="str">
        <f ca="1">IFERROR(__xludf.DUMMYFUNCTION("""COMPUTED_VALUE"""),"RF-00000775-MCG")</f>
        <v>RF-00000775-MCG</v>
      </c>
    </row>
    <row r="6996" spans="1:2" ht="12.5" x14ac:dyDescent="0.25">
      <c r="A6996" t="str">
        <f ca="1">IFERROR(__xludf.DUMMYFUNCTION("""COMPUTED_VALUE"""),"Salmonella Menden")</f>
        <v>Salmonella Menden</v>
      </c>
      <c r="B6996" t="str">
        <f ca="1">IFERROR(__xludf.DUMMYFUNCTION("""COMPUTED_VALUE"""),"RF-00000774-MCG")</f>
        <v>RF-00000774-MCG</v>
      </c>
    </row>
    <row r="6997" spans="1:2" ht="12.5" x14ac:dyDescent="0.25">
      <c r="A6997" t="str">
        <f ca="1">IFERROR(__xludf.DUMMYFUNCTION("""COMPUTED_VALUE"""),"Salmonella Mendoza")</f>
        <v>Salmonella Mendoza</v>
      </c>
      <c r="B6997" t="str">
        <f ca="1">IFERROR(__xludf.DUMMYFUNCTION("""COMPUTED_VALUE"""),"RF-00000773-MCG")</f>
        <v>RF-00000773-MCG</v>
      </c>
    </row>
    <row r="6998" spans="1:2" ht="12.5" x14ac:dyDescent="0.25">
      <c r="A6998" t="str">
        <f ca="1">IFERROR(__xludf.DUMMYFUNCTION("""COMPUTED_VALUE"""),"Salmonella Menston")</f>
        <v>Salmonella Menston</v>
      </c>
      <c r="B6998" t="str">
        <f ca="1">IFERROR(__xludf.DUMMYFUNCTION("""COMPUTED_VALUE"""),"RF-00000772-MCG")</f>
        <v>RF-00000772-MCG</v>
      </c>
    </row>
    <row r="6999" spans="1:2" ht="12.5" x14ac:dyDescent="0.25">
      <c r="A6999" t="str">
        <f ca="1">IFERROR(__xludf.DUMMYFUNCTION("""COMPUTED_VALUE"""),"Salmonella Mesbit")</f>
        <v>Salmonella Mesbit</v>
      </c>
      <c r="B6999" t="str">
        <f ca="1">IFERROR(__xludf.DUMMYFUNCTION("""COMPUTED_VALUE"""),"RF-00000771-MCG")</f>
        <v>RF-00000771-MCG</v>
      </c>
    </row>
    <row r="7000" spans="1:2" ht="12.5" x14ac:dyDescent="0.25">
      <c r="A7000" t="str">
        <f ca="1">IFERROR(__xludf.DUMMYFUNCTION("""COMPUTED_VALUE"""),"Salmonella Meskin")</f>
        <v>Salmonella Meskin</v>
      </c>
      <c r="B7000" t="str">
        <f ca="1">IFERROR(__xludf.DUMMYFUNCTION("""COMPUTED_VALUE"""),"RF-00000770-MCG")</f>
        <v>RF-00000770-MCG</v>
      </c>
    </row>
    <row r="7001" spans="1:2" ht="12.5" x14ac:dyDescent="0.25">
      <c r="A7001" t="str">
        <f ca="1">IFERROR(__xludf.DUMMYFUNCTION("""COMPUTED_VALUE"""),"Salmonella Messina")</f>
        <v>Salmonella Messina</v>
      </c>
      <c r="B7001" t="str">
        <f ca="1">IFERROR(__xludf.DUMMYFUNCTION("""COMPUTED_VALUE"""),"RF-00000769-MCG")</f>
        <v>RF-00000769-MCG</v>
      </c>
    </row>
    <row r="7002" spans="1:2" ht="12.5" x14ac:dyDescent="0.25">
      <c r="A7002" t="str">
        <f ca="1">IFERROR(__xludf.DUMMYFUNCTION("""COMPUTED_VALUE"""),"Salmonella Mgulani")</f>
        <v>Salmonella Mgulani</v>
      </c>
      <c r="B7002" t="str">
        <f ca="1">IFERROR(__xludf.DUMMYFUNCTION("""COMPUTED_VALUE"""),"RF-00000754-MCG")</f>
        <v>RF-00000754-MCG</v>
      </c>
    </row>
    <row r="7003" spans="1:2" ht="12.5" x14ac:dyDescent="0.25">
      <c r="A7003" t="str">
        <f ca="1">IFERROR(__xludf.DUMMYFUNCTION("""COMPUTED_VALUE"""),"Salmonella Miami")</f>
        <v>Salmonella Miami</v>
      </c>
      <c r="B7003" t="str">
        <f ca="1">IFERROR(__xludf.DUMMYFUNCTION("""COMPUTED_VALUE"""),"RF-00000767-MCG")</f>
        <v>RF-00000767-MCG</v>
      </c>
    </row>
    <row r="7004" spans="1:2" ht="12.5" x14ac:dyDescent="0.25">
      <c r="A7004" t="str">
        <f ca="1">IFERROR(__xludf.DUMMYFUNCTION("""COMPUTED_VALUE"""),"Salmonella Michigan")</f>
        <v>Salmonella Michigan</v>
      </c>
      <c r="B7004" t="str">
        <f ca="1">IFERROR(__xludf.DUMMYFUNCTION("""COMPUTED_VALUE"""),"RF-00000780-MCG")</f>
        <v>RF-00000780-MCG</v>
      </c>
    </row>
    <row r="7005" spans="1:2" ht="12.5" x14ac:dyDescent="0.25">
      <c r="A7005" t="str">
        <f ca="1">IFERROR(__xludf.DUMMYFUNCTION("""COMPUTED_VALUE"""),"Salmonella Middlesbrough")</f>
        <v>Salmonella Middlesbrough</v>
      </c>
      <c r="B7005" t="str">
        <f ca="1">IFERROR(__xludf.DUMMYFUNCTION("""COMPUTED_VALUE"""),"RF-00000765-MCG")</f>
        <v>RF-00000765-MCG</v>
      </c>
    </row>
    <row r="7006" spans="1:2" ht="12.5" x14ac:dyDescent="0.25">
      <c r="A7006" t="str">
        <f ca="1">IFERROR(__xludf.DUMMYFUNCTION("""COMPUTED_VALUE"""),"Salmonella Midway")</f>
        <v>Salmonella Midway</v>
      </c>
      <c r="B7006" t="str">
        <f ca="1">IFERROR(__xludf.DUMMYFUNCTION("""COMPUTED_VALUE"""),"RF-00000764-MCG")</f>
        <v>RF-00000764-MCG</v>
      </c>
    </row>
    <row r="7007" spans="1:2" ht="12.5" x14ac:dyDescent="0.25">
      <c r="A7007" t="str">
        <f ca="1">IFERROR(__xludf.DUMMYFUNCTION("""COMPUTED_VALUE"""),"Salmonella Mikawasima")</f>
        <v>Salmonella Mikawasima</v>
      </c>
      <c r="B7007" t="str">
        <f ca="1">IFERROR(__xludf.DUMMYFUNCTION("""COMPUTED_VALUE"""),"RF-00000763-MCG")</f>
        <v>RF-00000763-MCG</v>
      </c>
    </row>
    <row r="7008" spans="1:2" ht="12.5" x14ac:dyDescent="0.25">
      <c r="A7008" t="str">
        <f ca="1">IFERROR(__xludf.DUMMYFUNCTION("""COMPUTED_VALUE"""),"Salmonella Millesi")</f>
        <v>Salmonella Millesi</v>
      </c>
      <c r="B7008" t="str">
        <f ca="1">IFERROR(__xludf.DUMMYFUNCTION("""COMPUTED_VALUE"""),"RF-00000762-MCG")</f>
        <v>RF-00000762-MCG</v>
      </c>
    </row>
    <row r="7009" spans="1:2" ht="12.5" x14ac:dyDescent="0.25">
      <c r="A7009" t="str">
        <f ca="1">IFERROR(__xludf.DUMMYFUNCTION("""COMPUTED_VALUE"""),"Salmonella Milwaukee")</f>
        <v>Salmonella Milwaukee</v>
      </c>
      <c r="B7009" t="str">
        <f ca="1">IFERROR(__xludf.DUMMYFUNCTION("""COMPUTED_VALUE"""),"RF-00000761-MCG")</f>
        <v>RF-00000761-MCG</v>
      </c>
    </row>
    <row r="7010" spans="1:2" ht="12.5" x14ac:dyDescent="0.25">
      <c r="A7010" t="str">
        <f ca="1">IFERROR(__xludf.DUMMYFUNCTION("""COMPUTED_VALUE"""),"Salmonella Mim")</f>
        <v>Salmonella Mim</v>
      </c>
      <c r="B7010" t="str">
        <f ca="1">IFERROR(__xludf.DUMMYFUNCTION("""COMPUTED_VALUE"""),"RF-00000760-MCG")</f>
        <v>RF-00000760-MCG</v>
      </c>
    </row>
    <row r="7011" spans="1:2" ht="12.5" x14ac:dyDescent="0.25">
      <c r="A7011" t="str">
        <f ca="1">IFERROR(__xludf.DUMMYFUNCTION("""COMPUTED_VALUE"""),"Salmonella Minna")</f>
        <v>Salmonella Minna</v>
      </c>
      <c r="B7011" t="str">
        <f ca="1">IFERROR(__xludf.DUMMYFUNCTION("""COMPUTED_VALUE"""),"RF-00000759-MCG")</f>
        <v>RF-00000759-MCG</v>
      </c>
    </row>
    <row r="7012" spans="1:2" ht="12.5" x14ac:dyDescent="0.25">
      <c r="A7012" t="str">
        <f ca="1">IFERROR(__xludf.DUMMYFUNCTION("""COMPUTED_VALUE"""),"Salmonella Minnesota")</f>
        <v>Salmonella Minnesota</v>
      </c>
      <c r="B7012" t="str">
        <f ca="1">IFERROR(__xludf.DUMMYFUNCTION("""COMPUTED_VALUE"""),"RF-00000758-MCG")</f>
        <v>RF-00000758-MCG</v>
      </c>
    </row>
    <row r="7013" spans="1:2" ht="12.5" x14ac:dyDescent="0.25">
      <c r="A7013" t="str">
        <f ca="1">IFERROR(__xludf.DUMMYFUNCTION("""COMPUTED_VALUE"""),"Salmonella Mishmarhaemek")</f>
        <v>Salmonella Mishmarhaemek</v>
      </c>
      <c r="B7013" t="str">
        <f ca="1">IFERROR(__xludf.DUMMYFUNCTION("""COMPUTED_VALUE"""),"RF-00000757-MCG")</f>
        <v>RF-00000757-MCG</v>
      </c>
    </row>
    <row r="7014" spans="1:2" ht="12.5" x14ac:dyDescent="0.25">
      <c r="A7014" t="str">
        <f ca="1">IFERROR(__xludf.DUMMYFUNCTION("""COMPUTED_VALUE"""),"Salmonella Mississippi")</f>
        <v>Salmonella Mississippi</v>
      </c>
      <c r="B7014" t="str">
        <f ca="1">IFERROR(__xludf.DUMMYFUNCTION("""COMPUTED_VALUE"""),"RF-00000756-MCG")</f>
        <v>RF-00000756-MCG</v>
      </c>
    </row>
    <row r="7015" spans="1:2" ht="12.5" x14ac:dyDescent="0.25">
      <c r="A7015" t="str">
        <f ca="1">IFERROR(__xludf.DUMMYFUNCTION("""COMPUTED_VALUE"""),"Salmonella Missouri")</f>
        <v>Salmonella Missouri</v>
      </c>
      <c r="B7015" t="str">
        <f ca="1">IFERROR(__xludf.DUMMYFUNCTION("""COMPUTED_VALUE"""),"RF-00000793-MCG")</f>
        <v>RF-00000793-MCG</v>
      </c>
    </row>
    <row r="7016" spans="1:2" ht="12.5" x14ac:dyDescent="0.25">
      <c r="A7016" t="str">
        <f ca="1">IFERROR(__xludf.DUMMYFUNCTION("""COMPUTED_VALUE"""),"Salmonella Miyazaki")</f>
        <v>Salmonella Miyazaki</v>
      </c>
      <c r="B7016" t="str">
        <f ca="1">IFERROR(__xludf.DUMMYFUNCTION("""COMPUTED_VALUE"""),"RF-00000766-MCG")</f>
        <v>RF-00000766-MCG</v>
      </c>
    </row>
    <row r="7017" spans="1:2" ht="12.5" x14ac:dyDescent="0.25">
      <c r="A7017" t="str">
        <f ca="1">IFERROR(__xludf.DUMMYFUNCTION("""COMPUTED_VALUE"""),"Salmonella Mjordan")</f>
        <v>Salmonella Mjordan</v>
      </c>
      <c r="B7017" t="str">
        <f ca="1">IFERROR(__xludf.DUMMYFUNCTION("""COMPUTED_VALUE"""),"RF-00000768-MCG")</f>
        <v>RF-00000768-MCG</v>
      </c>
    </row>
    <row r="7018" spans="1:2" ht="12.5" x14ac:dyDescent="0.25">
      <c r="A7018" t="str">
        <f ca="1">IFERROR(__xludf.DUMMYFUNCTION("""COMPUTED_VALUE"""),"Salmonella Mkamba")</f>
        <v>Salmonella Mkamba</v>
      </c>
      <c r="B7018" t="str">
        <f ca="1">IFERROR(__xludf.DUMMYFUNCTION("""COMPUTED_VALUE"""),"RF-00000806-MCG")</f>
        <v>RF-00000806-MCG</v>
      </c>
    </row>
    <row r="7019" spans="1:2" ht="12.5" x14ac:dyDescent="0.25">
      <c r="A7019" t="str">
        <f ca="1">IFERROR(__xludf.DUMMYFUNCTION("""COMPUTED_VALUE"""),"Salmonella Mocamedes")</f>
        <v>Salmonella Mocamedes</v>
      </c>
      <c r="B7019" t="str">
        <f ca="1">IFERROR(__xludf.DUMMYFUNCTION("""COMPUTED_VALUE"""),"RF-00000805-MCG")</f>
        <v>RF-00000805-MCG</v>
      </c>
    </row>
    <row r="7020" spans="1:2" ht="12.5" x14ac:dyDescent="0.25">
      <c r="A7020" t="str">
        <f ca="1">IFERROR(__xludf.DUMMYFUNCTION("""COMPUTED_VALUE"""),"Salmonella Moero")</f>
        <v>Salmonella Moero</v>
      </c>
      <c r="B7020" t="str">
        <f ca="1">IFERROR(__xludf.DUMMYFUNCTION("""COMPUTED_VALUE"""),"RF-00000804-MCG")</f>
        <v>RF-00000804-MCG</v>
      </c>
    </row>
    <row r="7021" spans="1:2" ht="12.5" x14ac:dyDescent="0.25">
      <c r="A7021" t="str">
        <f ca="1">IFERROR(__xludf.DUMMYFUNCTION("""COMPUTED_VALUE"""),"Salmonella Moers")</f>
        <v>Salmonella Moers</v>
      </c>
      <c r="B7021" t="str">
        <f ca="1">IFERROR(__xludf.DUMMYFUNCTION("""COMPUTED_VALUE"""),"RF-00000803-MCG")</f>
        <v>RF-00000803-MCG</v>
      </c>
    </row>
    <row r="7022" spans="1:2" ht="12.5" x14ac:dyDescent="0.25">
      <c r="A7022" t="str">
        <f ca="1">IFERROR(__xludf.DUMMYFUNCTION("""COMPUTED_VALUE"""),"Salmonella Mokola")</f>
        <v>Salmonella Mokola</v>
      </c>
      <c r="B7022" t="str">
        <f ca="1">IFERROR(__xludf.DUMMYFUNCTION("""COMPUTED_VALUE"""),"RF-00000802-MCG")</f>
        <v>RF-00000802-MCG</v>
      </c>
    </row>
    <row r="7023" spans="1:2" ht="12.5" x14ac:dyDescent="0.25">
      <c r="A7023" t="str">
        <f ca="1">IFERROR(__xludf.DUMMYFUNCTION("""COMPUTED_VALUE"""),"Salmonella Molade")</f>
        <v>Salmonella Molade</v>
      </c>
      <c r="B7023" t="str">
        <f ca="1">IFERROR(__xludf.DUMMYFUNCTION("""COMPUTED_VALUE"""),"RF-00000801-MCG")</f>
        <v>RF-00000801-MCG</v>
      </c>
    </row>
    <row r="7024" spans="1:2" ht="12.5" x14ac:dyDescent="0.25">
      <c r="A7024" t="str">
        <f ca="1">IFERROR(__xludf.DUMMYFUNCTION("""COMPUTED_VALUE"""),"Salmonella Molesey")</f>
        <v>Salmonella Molesey</v>
      </c>
      <c r="B7024" t="str">
        <f ca="1">IFERROR(__xludf.DUMMYFUNCTION("""COMPUTED_VALUE"""),"RF-00000800-MCG")</f>
        <v>RF-00000800-MCG</v>
      </c>
    </row>
    <row r="7025" spans="1:2" ht="12.5" x14ac:dyDescent="0.25">
      <c r="A7025" t="str">
        <f ca="1">IFERROR(__xludf.DUMMYFUNCTION("""COMPUTED_VALUE"""),"Salmonella Mono")</f>
        <v>Salmonella Mono</v>
      </c>
      <c r="B7025" t="str">
        <f ca="1">IFERROR(__xludf.DUMMYFUNCTION("""COMPUTED_VALUE"""),"RF-00000799-MCG")</f>
        <v>RF-00000799-MCG</v>
      </c>
    </row>
    <row r="7026" spans="1:2" ht="12.5" x14ac:dyDescent="0.25">
      <c r="A7026" t="str">
        <f ca="1">IFERROR(__xludf.DUMMYFUNCTION("""COMPUTED_VALUE"""),"Salmonella Mons")</f>
        <v>Salmonella Mons</v>
      </c>
      <c r="B7026" t="str">
        <f ca="1">IFERROR(__xludf.DUMMYFUNCTION("""COMPUTED_VALUE"""),"RF-00000798-MCG")</f>
        <v>RF-00000798-MCG</v>
      </c>
    </row>
    <row r="7027" spans="1:2" ht="12.5" x14ac:dyDescent="0.25">
      <c r="A7027" t="str">
        <f ca="1">IFERROR(__xludf.DUMMYFUNCTION("""COMPUTED_VALUE"""),"Salmonella Monschaui")</f>
        <v>Salmonella Monschaui</v>
      </c>
      <c r="B7027" t="str">
        <f ca="1">IFERROR(__xludf.DUMMYFUNCTION("""COMPUTED_VALUE"""),"RF-00000797-MCG")</f>
        <v>RF-00000797-MCG</v>
      </c>
    </row>
    <row r="7028" spans="1:2" ht="12.5" x14ac:dyDescent="0.25">
      <c r="A7028" t="str">
        <f ca="1">IFERROR(__xludf.DUMMYFUNCTION("""COMPUTED_VALUE"""),"Salmonella Montevideo")</f>
        <v>Salmonella Montevideo</v>
      </c>
      <c r="B7028" t="str">
        <f ca="1">IFERROR(__xludf.DUMMYFUNCTION("""COMPUTED_VALUE"""),"RF-00000796-MCG")</f>
        <v>RF-00000796-MCG</v>
      </c>
    </row>
    <row r="7029" spans="1:2" ht="12.5" x14ac:dyDescent="0.25">
      <c r="A7029" t="str">
        <f ca="1">IFERROR(__xludf.DUMMYFUNCTION("""COMPUTED_VALUE"""),"Salmonella Montreal")</f>
        <v>Salmonella Montreal</v>
      </c>
      <c r="B7029" t="str">
        <f ca="1">IFERROR(__xludf.DUMMYFUNCTION("""COMPUTED_VALUE"""),"RF-00000781-MCG")</f>
        <v>RF-00000781-MCG</v>
      </c>
    </row>
    <row r="7030" spans="1:2" ht="12.5" x14ac:dyDescent="0.25">
      <c r="A7030" t="str">
        <f ca="1">IFERROR(__xludf.DUMMYFUNCTION("""COMPUTED_VALUE"""),"Salmonella Morehead")</f>
        <v>Salmonella Morehead</v>
      </c>
      <c r="B7030" t="str">
        <f ca="1">IFERROR(__xludf.DUMMYFUNCTION("""COMPUTED_VALUE"""),"RF-00000794-MCG")</f>
        <v>RF-00000794-MCG</v>
      </c>
    </row>
    <row r="7031" spans="1:2" ht="12.5" x14ac:dyDescent="0.25">
      <c r="A7031" t="str">
        <f ca="1">IFERROR(__xludf.DUMMYFUNCTION("""COMPUTED_VALUE"""),"Salmonella Morillons")</f>
        <v>Salmonella Morillons</v>
      </c>
      <c r="B7031" t="str">
        <f ca="1">IFERROR(__xludf.DUMMYFUNCTION("""COMPUTED_VALUE"""),"RF-00000807-MCG")</f>
        <v>RF-00000807-MCG</v>
      </c>
    </row>
    <row r="7032" spans="1:2" ht="12.5" x14ac:dyDescent="0.25">
      <c r="A7032" t="str">
        <f ca="1">IFERROR(__xludf.DUMMYFUNCTION("""COMPUTED_VALUE"""),"Salmonella Morningside")</f>
        <v>Salmonella Morningside</v>
      </c>
      <c r="B7032" t="str">
        <f ca="1">IFERROR(__xludf.DUMMYFUNCTION("""COMPUTED_VALUE"""),"RF-00000792-MCG")</f>
        <v>RF-00000792-MCG</v>
      </c>
    </row>
    <row r="7033" spans="1:2" ht="12.5" x14ac:dyDescent="0.25">
      <c r="A7033" t="str">
        <f ca="1">IFERROR(__xludf.DUMMYFUNCTION("""COMPUTED_VALUE"""),"Salmonella Mornington")</f>
        <v>Salmonella Mornington</v>
      </c>
      <c r="B7033" t="str">
        <f ca="1">IFERROR(__xludf.DUMMYFUNCTION("""COMPUTED_VALUE"""),"RF-00000791-MCG")</f>
        <v>RF-00000791-MCG</v>
      </c>
    </row>
    <row r="7034" spans="1:2" ht="12.5" x14ac:dyDescent="0.25">
      <c r="A7034" t="str">
        <f ca="1">IFERROR(__xludf.DUMMYFUNCTION("""COMPUTED_VALUE"""),"Salmonella Morocco")</f>
        <v>Salmonella Morocco</v>
      </c>
      <c r="B7034" t="str">
        <f ca="1">IFERROR(__xludf.DUMMYFUNCTION("""COMPUTED_VALUE"""),"RF-00000790-MCG")</f>
        <v>RF-00000790-MCG</v>
      </c>
    </row>
    <row r="7035" spans="1:2" ht="12.5" x14ac:dyDescent="0.25">
      <c r="A7035" t="str">
        <f ca="1">IFERROR(__xludf.DUMMYFUNCTION("""COMPUTED_VALUE"""),"Salmonella Morotai")</f>
        <v>Salmonella Morotai</v>
      </c>
      <c r="B7035" t="str">
        <f ca="1">IFERROR(__xludf.DUMMYFUNCTION("""COMPUTED_VALUE"""),"RF-00000789-MCG")</f>
        <v>RF-00000789-MCG</v>
      </c>
    </row>
    <row r="7036" spans="1:2" ht="12.5" x14ac:dyDescent="0.25">
      <c r="A7036" t="str">
        <f ca="1">IFERROR(__xludf.DUMMYFUNCTION("""COMPUTED_VALUE"""),"Salmonella Moroto")</f>
        <v>Salmonella Moroto</v>
      </c>
      <c r="B7036" t="str">
        <f ca="1">IFERROR(__xludf.DUMMYFUNCTION("""COMPUTED_VALUE"""),"RF-00000788-MCG")</f>
        <v>RF-00000788-MCG</v>
      </c>
    </row>
    <row r="7037" spans="1:2" ht="12.5" x14ac:dyDescent="0.25">
      <c r="A7037" t="str">
        <f ca="1">IFERROR(__xludf.DUMMYFUNCTION("""COMPUTED_VALUE"""),"Salmonella Moscow")</f>
        <v>Salmonella Moscow</v>
      </c>
      <c r="B7037" t="str">
        <f ca="1">IFERROR(__xludf.DUMMYFUNCTION("""COMPUTED_VALUE"""),"RF-00000787-MCG")</f>
        <v>RF-00000787-MCG</v>
      </c>
    </row>
    <row r="7038" spans="1:2" ht="12.5" x14ac:dyDescent="0.25">
      <c r="A7038" t="str">
        <f ca="1">IFERROR(__xludf.DUMMYFUNCTION("""COMPUTED_VALUE"""),"Salmonella Moualine")</f>
        <v>Salmonella Moualine</v>
      </c>
      <c r="B7038" t="str">
        <f ca="1">IFERROR(__xludf.DUMMYFUNCTION("""COMPUTED_VALUE"""),"RF-00000786-MCG")</f>
        <v>RF-00000786-MCG</v>
      </c>
    </row>
    <row r="7039" spans="1:2" ht="12.5" x14ac:dyDescent="0.25">
      <c r="A7039" t="str">
        <f ca="1">IFERROR(__xludf.DUMMYFUNCTION("""COMPUTED_VALUE"""),"Salmonella Moundou")</f>
        <v>Salmonella Moundou</v>
      </c>
      <c r="B7039" t="str">
        <f ca="1">IFERROR(__xludf.DUMMYFUNCTION("""COMPUTED_VALUE"""),"RF-00000785-MCG")</f>
        <v>RF-00000785-MCG</v>
      </c>
    </row>
    <row r="7040" spans="1:2" ht="12.5" x14ac:dyDescent="0.25">
      <c r="A7040" t="str">
        <f ca="1">IFERROR(__xludf.DUMMYFUNCTION("""COMPUTED_VALUE"""),"Salmonella Mountmagnet")</f>
        <v>Salmonella Mountmagnet</v>
      </c>
      <c r="B7040" t="str">
        <f ca="1">IFERROR(__xludf.DUMMYFUNCTION("""COMPUTED_VALUE"""),"RF-00000784-MCG")</f>
        <v>RF-00000784-MCG</v>
      </c>
    </row>
    <row r="7041" spans="1:2" ht="12.5" x14ac:dyDescent="0.25">
      <c r="A7041" t="str">
        <f ca="1">IFERROR(__xludf.DUMMYFUNCTION("""COMPUTED_VALUE"""),"Salmonella Mountpleasant")</f>
        <v>Salmonella Mountpleasant</v>
      </c>
      <c r="B7041" t="str">
        <f ca="1">IFERROR(__xludf.DUMMYFUNCTION("""COMPUTED_VALUE"""),"RF-00000783-MCG")</f>
        <v>RF-00000783-MCG</v>
      </c>
    </row>
    <row r="7042" spans="1:2" ht="12.5" x14ac:dyDescent="0.25">
      <c r="A7042" t="str">
        <f ca="1">IFERROR(__xludf.DUMMYFUNCTION("""COMPUTED_VALUE"""),"Salmonella Moussoro")</f>
        <v>Salmonella Moussoro</v>
      </c>
      <c r="B7042" t="str">
        <f ca="1">IFERROR(__xludf.DUMMYFUNCTION("""COMPUTED_VALUE"""),"RF-00000782-MCG")</f>
        <v>RF-00000782-MCG</v>
      </c>
    </row>
    <row r="7043" spans="1:2" ht="12.5" x14ac:dyDescent="0.25">
      <c r="A7043" t="str">
        <f ca="1">IFERROR(__xludf.DUMMYFUNCTION("""COMPUTED_VALUE"""),"Salmonella Mowanjum")</f>
        <v>Salmonella Mowanjum</v>
      </c>
      <c r="B7043" t="str">
        <f ca="1">IFERROR(__xludf.DUMMYFUNCTION("""COMPUTED_VALUE"""),"RF-00000863-MCG")</f>
        <v>RF-00000863-MCG</v>
      </c>
    </row>
    <row r="7044" spans="1:2" ht="12.5" x14ac:dyDescent="0.25">
      <c r="A7044" t="str">
        <f ca="1">IFERROR(__xludf.DUMMYFUNCTION("""COMPUTED_VALUE"""),"Salmonella Mpouto")</f>
        <v>Salmonella Mpouto</v>
      </c>
      <c r="B7044" t="str">
        <f ca="1">IFERROR(__xludf.DUMMYFUNCTION("""COMPUTED_VALUE"""),"RF-00000944-MCG")</f>
        <v>RF-00000944-MCG</v>
      </c>
    </row>
    <row r="7045" spans="1:2" ht="12.5" x14ac:dyDescent="0.25">
      <c r="A7045" t="str">
        <f ca="1">IFERROR(__xludf.DUMMYFUNCTION("""COMPUTED_VALUE"""),"Salmonella Muenchen")</f>
        <v>Salmonella Muenchen</v>
      </c>
      <c r="B7045" t="str">
        <f ca="1">IFERROR(__xludf.DUMMYFUNCTION("""COMPUTED_VALUE"""),"RF-00000849-MCG")</f>
        <v>RF-00000849-MCG</v>
      </c>
    </row>
    <row r="7046" spans="1:2" ht="12.5" x14ac:dyDescent="0.25">
      <c r="A7046" t="str">
        <f ca="1">IFERROR(__xludf.DUMMYFUNCTION("""COMPUTED_VALUE"""),"Salmonella Muenster")</f>
        <v>Salmonella Muenster</v>
      </c>
      <c r="B7046" t="str">
        <f ca="1">IFERROR(__xludf.DUMMYFUNCTION("""COMPUTED_VALUE"""),"RF-00000940-MCG")</f>
        <v>RF-00000940-MCG</v>
      </c>
    </row>
    <row r="7047" spans="1:2" ht="12.5" x14ac:dyDescent="0.25">
      <c r="A7047" t="str">
        <f ca="1">IFERROR(__xludf.DUMMYFUNCTION("""COMPUTED_VALUE"""),"Salmonella Muenster var. 15")</f>
        <v>Salmonella Muenster var. 15</v>
      </c>
      <c r="B7047" t="str">
        <f ca="1">IFERROR(__xludf.DUMMYFUNCTION("""COMPUTED_VALUE"""),"RF-00000939-MCG")</f>
        <v>RF-00000939-MCG</v>
      </c>
    </row>
    <row r="7048" spans="1:2" ht="12.5" x14ac:dyDescent="0.25">
      <c r="A7048" t="str">
        <f ca="1">IFERROR(__xludf.DUMMYFUNCTION("""COMPUTED_VALUE"""),"Salmonella Muenster var. 15,34")</f>
        <v>Salmonella Muenster var. 15,34</v>
      </c>
      <c r="B7048" t="str">
        <f ca="1">IFERROR(__xludf.DUMMYFUNCTION("""COMPUTED_VALUE"""),"RF-00000938-MCG")</f>
        <v>RF-00000938-MCG</v>
      </c>
    </row>
    <row r="7049" spans="1:2" ht="12.5" x14ac:dyDescent="0.25">
      <c r="A7049" t="str">
        <f ca="1">IFERROR(__xludf.DUMMYFUNCTION("""COMPUTED_VALUE"""),"Salmonella Muguga")</f>
        <v>Salmonella Muguga</v>
      </c>
      <c r="B7049" t="str">
        <f ca="1">IFERROR(__xludf.DUMMYFUNCTION("""COMPUTED_VALUE"""),"RF-00000937-MCG")</f>
        <v>RF-00000937-MCG</v>
      </c>
    </row>
    <row r="7050" spans="1:2" ht="12.5" x14ac:dyDescent="0.25">
      <c r="A7050" t="str">
        <f ca="1">IFERROR(__xludf.DUMMYFUNCTION("""COMPUTED_VALUE"""),"Salmonella Mulhouse")</f>
        <v>Salmonella Mulhouse</v>
      </c>
      <c r="B7050" t="str">
        <f ca="1">IFERROR(__xludf.DUMMYFUNCTION("""COMPUTED_VALUE"""),"RF-00000936-MCG")</f>
        <v>RF-00000936-MCG</v>
      </c>
    </row>
    <row r="7051" spans="1:2" ht="12.5" x14ac:dyDescent="0.25">
      <c r="A7051" t="str">
        <f ca="1">IFERROR(__xludf.DUMMYFUNCTION("""COMPUTED_VALUE"""),"Salmonella Mundonobo")</f>
        <v>Salmonella Mundonobo</v>
      </c>
      <c r="B7051" t="str">
        <f ca="1">IFERROR(__xludf.DUMMYFUNCTION("""COMPUTED_VALUE"""),"RF-00000935-MCG")</f>
        <v>RF-00000935-MCG</v>
      </c>
    </row>
    <row r="7052" spans="1:2" ht="12.5" x14ac:dyDescent="0.25">
      <c r="A7052" t="str">
        <f ca="1">IFERROR(__xludf.DUMMYFUNCTION("""COMPUTED_VALUE"""),"Salmonella Mura")</f>
        <v>Salmonella Mura</v>
      </c>
      <c r="B7052" t="str">
        <f ca="1">IFERROR(__xludf.DUMMYFUNCTION("""COMPUTED_VALUE"""),"RF-00000934-MCG")</f>
        <v>RF-00000934-MCG</v>
      </c>
    </row>
    <row r="7053" spans="1:2" ht="12.5" x14ac:dyDescent="0.25">
      <c r="A7053" t="str">
        <f ca="1">IFERROR(__xludf.DUMMYFUNCTION("""COMPUTED_VALUE"""),"Salmonella Naestved")</f>
        <v>Salmonella Naestved</v>
      </c>
      <c r="B7053" t="str">
        <f ca="1">IFERROR(__xludf.DUMMYFUNCTION("""COMPUTED_VALUE"""),"RF-00000933-MCG")</f>
        <v>RF-00000933-MCG</v>
      </c>
    </row>
    <row r="7054" spans="1:2" ht="12.5" x14ac:dyDescent="0.25">
      <c r="A7054" t="str">
        <f ca="1">IFERROR(__xludf.DUMMYFUNCTION("""COMPUTED_VALUE"""),"Salmonella Nagoya")</f>
        <v>Salmonella Nagoya</v>
      </c>
      <c r="B7054" t="str">
        <f ca="1">IFERROR(__xludf.DUMMYFUNCTION("""COMPUTED_VALUE"""),"RF-00000932-MCG")</f>
        <v>RF-00000932-MCG</v>
      </c>
    </row>
    <row r="7055" spans="1:2" ht="12.5" x14ac:dyDescent="0.25">
      <c r="A7055" t="str">
        <f ca="1">IFERROR(__xludf.DUMMYFUNCTION("""COMPUTED_VALUE"""),"Salmonella Nairobi")</f>
        <v>Salmonella Nairobi</v>
      </c>
      <c r="B7055" t="str">
        <f ca="1">IFERROR(__xludf.DUMMYFUNCTION("""COMPUTED_VALUE"""),"RF-00000931-MCG")</f>
        <v>RF-00000931-MCG</v>
      </c>
    </row>
    <row r="7056" spans="1:2" ht="12.5" x14ac:dyDescent="0.25">
      <c r="A7056" t="str">
        <f ca="1">IFERROR(__xludf.DUMMYFUNCTION("""COMPUTED_VALUE"""),"Salmonella Nakuru")</f>
        <v>Salmonella Nakuru</v>
      </c>
      <c r="B7056" t="str">
        <f ca="1">IFERROR(__xludf.DUMMYFUNCTION("""COMPUTED_VALUE"""),"RF-00000916-MCG")</f>
        <v>RF-00000916-MCG</v>
      </c>
    </row>
    <row r="7057" spans="1:2" ht="12.5" x14ac:dyDescent="0.25">
      <c r="A7057" t="str">
        <f ca="1">IFERROR(__xludf.DUMMYFUNCTION("""COMPUTED_VALUE"""),"Salmonella Namibia")</f>
        <v>Salmonella Namibia</v>
      </c>
      <c r="B7057" t="str">
        <f ca="1">IFERROR(__xludf.DUMMYFUNCTION("""COMPUTED_VALUE"""),"RF-00000929-MCG")</f>
        <v>RF-00000929-MCG</v>
      </c>
    </row>
    <row r="7058" spans="1:2" ht="12.5" x14ac:dyDescent="0.25">
      <c r="A7058" t="str">
        <f ca="1">IFERROR(__xludf.DUMMYFUNCTION("""COMPUTED_VALUE"""),"Salmonella Namoda")</f>
        <v>Salmonella Namoda</v>
      </c>
      <c r="B7058" t="str">
        <f ca="1">IFERROR(__xludf.DUMMYFUNCTION("""COMPUTED_VALUE"""),"RF-00000942-MCG")</f>
        <v>RF-00000942-MCG</v>
      </c>
    </row>
    <row r="7059" spans="1:2" ht="12.5" x14ac:dyDescent="0.25">
      <c r="A7059" t="str">
        <f ca="1">IFERROR(__xludf.DUMMYFUNCTION("""COMPUTED_VALUE"""),"Salmonella Nanergou")</f>
        <v>Salmonella Nanergou</v>
      </c>
      <c r="B7059" t="str">
        <f ca="1">IFERROR(__xludf.DUMMYFUNCTION("""COMPUTED_VALUE"""),"RF-00000927-MCG")</f>
        <v>RF-00000927-MCG</v>
      </c>
    </row>
    <row r="7060" spans="1:2" ht="12.5" x14ac:dyDescent="0.25">
      <c r="A7060" t="str">
        <f ca="1">IFERROR(__xludf.DUMMYFUNCTION("""COMPUTED_VALUE"""),"Salmonella Nanga")</f>
        <v>Salmonella Nanga</v>
      </c>
      <c r="B7060" t="str">
        <f ca="1">IFERROR(__xludf.DUMMYFUNCTION("""COMPUTED_VALUE"""),"RF-00000926-MCG")</f>
        <v>RF-00000926-MCG</v>
      </c>
    </row>
    <row r="7061" spans="1:2" ht="12.5" x14ac:dyDescent="0.25">
      <c r="A7061" t="str">
        <f ca="1">IFERROR(__xludf.DUMMYFUNCTION("""COMPUTED_VALUE"""),"Salmonella Nantes")</f>
        <v>Salmonella Nantes</v>
      </c>
      <c r="B7061" t="str">
        <f ca="1">IFERROR(__xludf.DUMMYFUNCTION("""COMPUTED_VALUE"""),"RF-00000925-MCG")</f>
        <v>RF-00000925-MCG</v>
      </c>
    </row>
    <row r="7062" spans="1:2" ht="12.5" x14ac:dyDescent="0.25">
      <c r="A7062" t="str">
        <f ca="1">IFERROR(__xludf.DUMMYFUNCTION("""COMPUTED_VALUE"""),"Salmonella Napoli")</f>
        <v>Salmonella Napoli</v>
      </c>
      <c r="B7062" t="str">
        <f ca="1">IFERROR(__xludf.DUMMYFUNCTION("""COMPUTED_VALUE"""),"RF-00000924-MCG")</f>
        <v>RF-00000924-MCG</v>
      </c>
    </row>
    <row r="7063" spans="1:2" ht="12.5" x14ac:dyDescent="0.25">
      <c r="A7063" t="str">
        <f ca="1">IFERROR(__xludf.DUMMYFUNCTION("""COMPUTED_VALUE"""),"Salmonella Narashino")</f>
        <v>Salmonella Narashino</v>
      </c>
      <c r="B7063" t="str">
        <f ca="1">IFERROR(__xludf.DUMMYFUNCTION("""COMPUTED_VALUE"""),"RF-00000923-MCG")</f>
        <v>RF-00000923-MCG</v>
      </c>
    </row>
    <row r="7064" spans="1:2" ht="12.5" x14ac:dyDescent="0.25">
      <c r="A7064" t="str">
        <f ca="1">IFERROR(__xludf.DUMMYFUNCTION("""COMPUTED_VALUE"""),"Salmonella Nashua")</f>
        <v>Salmonella Nashua</v>
      </c>
      <c r="B7064" t="str">
        <f ca="1">IFERROR(__xludf.DUMMYFUNCTION("""COMPUTED_VALUE"""),"RF-00000922-MCG")</f>
        <v>RF-00000922-MCG</v>
      </c>
    </row>
    <row r="7065" spans="1:2" ht="12.5" x14ac:dyDescent="0.25">
      <c r="A7065" t="str">
        <f ca="1">IFERROR(__xludf.DUMMYFUNCTION("""COMPUTED_VALUE"""),"Salmonella Natal")</f>
        <v>Salmonella Natal</v>
      </c>
      <c r="B7065" t="str">
        <f ca="1">IFERROR(__xludf.DUMMYFUNCTION("""COMPUTED_VALUE"""),"RF-00001267-MCG")</f>
        <v>RF-00001267-MCG</v>
      </c>
    </row>
    <row r="7066" spans="1:2" ht="12.5" x14ac:dyDescent="0.25">
      <c r="A7066" t="str">
        <f ca="1">IFERROR(__xludf.DUMMYFUNCTION("""COMPUTED_VALUE"""),"Salmonella Naware")</f>
        <v>Salmonella Naware</v>
      </c>
      <c r="B7066" t="str">
        <f ca="1">IFERROR(__xludf.DUMMYFUNCTION("""COMPUTED_VALUE"""),"RF-00000920-MCG")</f>
        <v>RF-00000920-MCG</v>
      </c>
    </row>
    <row r="7067" spans="1:2" ht="12.5" x14ac:dyDescent="0.25">
      <c r="A7067" t="str">
        <f ca="1">IFERROR(__xludf.DUMMYFUNCTION("""COMPUTED_VALUE"""),"Salmonella Nchanga")</f>
        <v>Salmonella Nchanga</v>
      </c>
      <c r="B7067" t="str">
        <f ca="1">IFERROR(__xludf.DUMMYFUNCTION("""COMPUTED_VALUE"""),"RF-00001558-MCG")</f>
        <v>RF-00001558-MCG</v>
      </c>
    </row>
    <row r="7068" spans="1:2" ht="12.5" x14ac:dyDescent="0.25">
      <c r="A7068" t="str">
        <f ca="1">IFERROR(__xludf.DUMMYFUNCTION("""COMPUTED_VALUE"""),"Salmonella Nchanga var. 15")</f>
        <v>Salmonella Nchanga var. 15</v>
      </c>
      <c r="B7068" t="str">
        <f ca="1">IFERROR(__xludf.DUMMYFUNCTION("""COMPUTED_VALUE"""),"RF-00000918-MCG")</f>
        <v>RF-00000918-MCG</v>
      </c>
    </row>
    <row r="7069" spans="1:2" ht="12.5" x14ac:dyDescent="0.25">
      <c r="A7069" t="str">
        <f ca="1">IFERROR(__xludf.DUMMYFUNCTION("""COMPUTED_VALUE"""),"Salmonella Ndjamena")</f>
        <v>Salmonella Ndjamena</v>
      </c>
      <c r="B7069" t="str">
        <f ca="1">IFERROR(__xludf.DUMMYFUNCTION("""COMPUTED_VALUE"""),"RF-00000917-MCG")</f>
        <v>RF-00000917-MCG</v>
      </c>
    </row>
    <row r="7070" spans="1:2" ht="12.5" x14ac:dyDescent="0.25">
      <c r="A7070" t="str">
        <f ca="1">IFERROR(__xludf.DUMMYFUNCTION("""COMPUTED_VALUE"""),"Salmonella Ndolo")</f>
        <v>Salmonella Ndolo</v>
      </c>
      <c r="B7070" t="str">
        <f ca="1">IFERROR(__xludf.DUMMYFUNCTION("""COMPUTED_VALUE"""),"RF-00000955-MCG")</f>
        <v>RF-00000955-MCG</v>
      </c>
    </row>
    <row r="7071" spans="1:2" ht="12.5" x14ac:dyDescent="0.25">
      <c r="A7071" t="str">
        <f ca="1">IFERROR(__xludf.DUMMYFUNCTION("""COMPUTED_VALUE"""),"Salmonella Neftenbach")</f>
        <v>Salmonella Neftenbach</v>
      </c>
      <c r="B7071" t="str">
        <f ca="1">IFERROR(__xludf.DUMMYFUNCTION("""COMPUTED_VALUE"""),"RF-00000957-MCG")</f>
        <v>RF-00000957-MCG</v>
      </c>
    </row>
    <row r="7072" spans="1:2" ht="12.5" x14ac:dyDescent="0.25">
      <c r="A7072" t="str">
        <f ca="1">IFERROR(__xludf.DUMMYFUNCTION("""COMPUTED_VALUE"""),"Salmonella Nessa")</f>
        <v>Salmonella Nessa</v>
      </c>
      <c r="B7072" t="str">
        <f ca="1">IFERROR(__xludf.DUMMYFUNCTION("""COMPUTED_VALUE"""),"RF-00000930-MCG")</f>
        <v>RF-00000930-MCG</v>
      </c>
    </row>
    <row r="7073" spans="1:2" ht="12.5" x14ac:dyDescent="0.25">
      <c r="A7073" t="str">
        <f ca="1">IFERROR(__xludf.DUMMYFUNCTION("""COMPUTED_VALUE"""),"Salmonella Nessziona")</f>
        <v>Salmonella Nessziona</v>
      </c>
      <c r="B7073" t="str">
        <f ca="1">IFERROR(__xludf.DUMMYFUNCTION("""COMPUTED_VALUE"""),"RF-00000968-MCG")</f>
        <v>RF-00000968-MCG</v>
      </c>
    </row>
    <row r="7074" spans="1:2" ht="12.5" x14ac:dyDescent="0.25">
      <c r="A7074" t="str">
        <f ca="1">IFERROR(__xludf.DUMMYFUNCTION("""COMPUTED_VALUE"""),"Salmonella Neudorf")</f>
        <v>Salmonella Neudorf</v>
      </c>
      <c r="B7074" t="str">
        <f ca="1">IFERROR(__xludf.DUMMYFUNCTION("""COMPUTED_VALUE"""),"RF-00000967-MCG")</f>
        <v>RF-00000967-MCG</v>
      </c>
    </row>
    <row r="7075" spans="1:2" ht="12.5" x14ac:dyDescent="0.25">
      <c r="A7075" t="str">
        <f ca="1">IFERROR(__xludf.DUMMYFUNCTION("""COMPUTED_VALUE"""),"Salmonella Neukoelln")</f>
        <v>Salmonella Neukoelln</v>
      </c>
      <c r="B7075" t="str">
        <f ca="1">IFERROR(__xludf.DUMMYFUNCTION("""COMPUTED_VALUE"""),"RF-00000966-MCG")</f>
        <v>RF-00000966-MCG</v>
      </c>
    </row>
    <row r="7076" spans="1:2" ht="12.5" x14ac:dyDescent="0.25">
      <c r="A7076" t="str">
        <f ca="1">IFERROR(__xludf.DUMMYFUNCTION("""COMPUTED_VALUE"""),"Salmonella Neumuenster")</f>
        <v>Salmonella Neumuenster</v>
      </c>
      <c r="B7076" t="str">
        <f ca="1">IFERROR(__xludf.DUMMYFUNCTION("""COMPUTED_VALUE"""),"RF-00000965-MCG")</f>
        <v>RF-00000965-MCG</v>
      </c>
    </row>
    <row r="7077" spans="1:2" ht="12.5" x14ac:dyDescent="0.25">
      <c r="A7077" t="str">
        <f ca="1">IFERROR(__xludf.DUMMYFUNCTION("""COMPUTED_VALUE"""),"Salmonella Neunkirchen")</f>
        <v>Salmonella Neunkirchen</v>
      </c>
      <c r="B7077" t="str">
        <f ca="1">IFERROR(__xludf.DUMMYFUNCTION("""COMPUTED_VALUE"""),"RF-00000964-MCG")</f>
        <v>RF-00000964-MCG</v>
      </c>
    </row>
    <row r="7078" spans="1:2" ht="12.5" x14ac:dyDescent="0.25">
      <c r="A7078" t="str">
        <f ca="1">IFERROR(__xludf.DUMMYFUNCTION("""COMPUTED_VALUE"""),"Salmonella Newholland")</f>
        <v>Salmonella Newholland</v>
      </c>
      <c r="B7078" t="str">
        <f ca="1">IFERROR(__xludf.DUMMYFUNCTION("""COMPUTED_VALUE"""),"RF-00000963-MCG")</f>
        <v>RF-00000963-MCG</v>
      </c>
    </row>
    <row r="7079" spans="1:2" ht="12.5" x14ac:dyDescent="0.25">
      <c r="A7079" t="str">
        <f ca="1">IFERROR(__xludf.DUMMYFUNCTION("""COMPUTED_VALUE"""),"Salmonella Newlands")</f>
        <v>Salmonella Newlands</v>
      </c>
      <c r="B7079" t="str">
        <f ca="1">IFERROR(__xludf.DUMMYFUNCTION("""COMPUTED_VALUE"""),"RF-00000962-MCG")</f>
        <v>RF-00000962-MCG</v>
      </c>
    </row>
    <row r="7080" spans="1:2" ht="12.5" x14ac:dyDescent="0.25">
      <c r="A7080" t="str">
        <f ca="1">IFERROR(__xludf.DUMMYFUNCTION("""COMPUTED_VALUE"""),"Salmonella Newmexico")</f>
        <v>Salmonella Newmexico</v>
      </c>
      <c r="B7080" t="str">
        <f ca="1">IFERROR(__xludf.DUMMYFUNCTION("""COMPUTED_VALUE"""),"RF-00000961-MCG")</f>
        <v>RF-00000961-MCG</v>
      </c>
    </row>
    <row r="7081" spans="1:2" ht="12.5" x14ac:dyDescent="0.25">
      <c r="A7081" t="str">
        <f ca="1">IFERROR(__xludf.DUMMYFUNCTION("""COMPUTED_VALUE"""),"Salmonella Newport")</f>
        <v>Salmonella Newport</v>
      </c>
      <c r="B7081" t="str">
        <f ca="1">IFERROR(__xludf.DUMMYFUNCTION("""COMPUTED_VALUE"""),"RF-00000960-MCG")</f>
        <v>RF-00000960-MCG</v>
      </c>
    </row>
    <row r="7082" spans="1:2" ht="12.5" x14ac:dyDescent="0.25">
      <c r="A7082" t="str">
        <f ca="1">IFERROR(__xludf.DUMMYFUNCTION("""COMPUTED_VALUE"""),"Salmonella Newrochelle")</f>
        <v>Salmonella Newrochelle</v>
      </c>
      <c r="B7082" t="str">
        <f ca="1">IFERROR(__xludf.DUMMYFUNCTION("""COMPUTED_VALUE"""),"RF-00000959-MCG")</f>
        <v>RF-00000959-MCG</v>
      </c>
    </row>
    <row r="7083" spans="1:2" ht="12.5" x14ac:dyDescent="0.25">
      <c r="A7083" t="str">
        <f ca="1">IFERROR(__xludf.DUMMYFUNCTION("""COMPUTED_VALUE"""),"Salmonella Newyork")</f>
        <v>Salmonella Newyork</v>
      </c>
      <c r="B7083" t="str">
        <f ca="1">IFERROR(__xludf.DUMMYFUNCTION("""COMPUTED_VALUE"""),"RF-00000958-MCG")</f>
        <v>RF-00000958-MCG</v>
      </c>
    </row>
    <row r="7084" spans="1:2" ht="12.5" x14ac:dyDescent="0.25">
      <c r="A7084" t="str">
        <f ca="1">IFERROR(__xludf.DUMMYFUNCTION("""COMPUTED_VALUE"""),"Salmonella Ngaparou")</f>
        <v>Salmonella Ngaparou</v>
      </c>
      <c r="B7084" t="str">
        <f ca="1">IFERROR(__xludf.DUMMYFUNCTION("""COMPUTED_VALUE"""),"RF-00000943-MCG")</f>
        <v>RF-00000943-MCG</v>
      </c>
    </row>
    <row r="7085" spans="1:2" ht="12.5" x14ac:dyDescent="0.25">
      <c r="A7085" t="str">
        <f ca="1">IFERROR(__xludf.DUMMYFUNCTION("""COMPUTED_VALUE"""),"Salmonella Ngili")</f>
        <v>Salmonella Ngili</v>
      </c>
      <c r="B7085" t="str">
        <f ca="1">IFERROR(__xludf.DUMMYFUNCTION("""COMPUTED_VALUE"""),"RF-00000956-MCG")</f>
        <v>RF-00000956-MCG</v>
      </c>
    </row>
    <row r="7086" spans="1:2" ht="12.5" x14ac:dyDescent="0.25">
      <c r="A7086" t="str">
        <f ca="1">IFERROR(__xludf.DUMMYFUNCTION("""COMPUTED_VALUE"""),"Salmonella Ngor")</f>
        <v>Salmonella Ngor</v>
      </c>
      <c r="B7086" t="str">
        <f ca="1">IFERROR(__xludf.DUMMYFUNCTION("""COMPUTED_VALUE"""),"RF-00000970-MCG")</f>
        <v>RF-00000970-MCG</v>
      </c>
    </row>
    <row r="7087" spans="1:2" ht="12.5" x14ac:dyDescent="0.25">
      <c r="A7087" t="str">
        <f ca="1">IFERROR(__xludf.DUMMYFUNCTION("""COMPUTED_VALUE"""),"Salmonella Niakhar")</f>
        <v>Salmonella Niakhar</v>
      </c>
      <c r="B7087" t="str">
        <f ca="1">IFERROR(__xludf.DUMMYFUNCTION("""COMPUTED_VALUE"""),"RF-00000954-MCG")</f>
        <v>RF-00000954-MCG</v>
      </c>
    </row>
    <row r="7088" spans="1:2" ht="12.5" x14ac:dyDescent="0.25">
      <c r="A7088" t="str">
        <f ca="1">IFERROR(__xludf.DUMMYFUNCTION("""COMPUTED_VALUE"""),"Salmonella Niamey")</f>
        <v>Salmonella Niamey</v>
      </c>
      <c r="B7088" t="str">
        <f ca="1">IFERROR(__xludf.DUMMYFUNCTION("""COMPUTED_VALUE"""),"RF-00000953-MCG")</f>
        <v>RF-00000953-MCG</v>
      </c>
    </row>
    <row r="7089" spans="1:2" ht="12.5" x14ac:dyDescent="0.25">
      <c r="A7089" t="str">
        <f ca="1">IFERROR(__xludf.DUMMYFUNCTION("""COMPUTED_VALUE"""),"Salmonella Niarembe")</f>
        <v>Salmonella Niarembe</v>
      </c>
      <c r="B7089" t="str">
        <f ca="1">IFERROR(__xludf.DUMMYFUNCTION("""COMPUTED_VALUE"""),"RF-00000952-MCG")</f>
        <v>RF-00000952-MCG</v>
      </c>
    </row>
    <row r="7090" spans="1:2" ht="12.5" x14ac:dyDescent="0.25">
      <c r="A7090" t="str">
        <f ca="1">IFERROR(__xludf.DUMMYFUNCTION("""COMPUTED_VALUE"""),"Salmonella Niederoderwitz")</f>
        <v>Salmonella Niederoderwitz</v>
      </c>
      <c r="B7090" t="str">
        <f ca="1">IFERROR(__xludf.DUMMYFUNCTION("""COMPUTED_VALUE"""),"RF-00000951-MCG")</f>
        <v>RF-00000951-MCG</v>
      </c>
    </row>
    <row r="7091" spans="1:2" ht="12.5" x14ac:dyDescent="0.25">
      <c r="A7091" t="str">
        <f ca="1">IFERROR(__xludf.DUMMYFUNCTION("""COMPUTED_VALUE"""),"Salmonella Nieukerk")</f>
        <v>Salmonella Nieukerk</v>
      </c>
      <c r="B7091" t="str">
        <f ca="1">IFERROR(__xludf.DUMMYFUNCTION("""COMPUTED_VALUE"""),"RF-00000950-MCG")</f>
        <v>RF-00000950-MCG</v>
      </c>
    </row>
    <row r="7092" spans="1:2" ht="12.5" x14ac:dyDescent="0.25">
      <c r="A7092" t="str">
        <f ca="1">IFERROR(__xludf.DUMMYFUNCTION("""COMPUTED_VALUE"""),"Salmonella Nigeria")</f>
        <v>Salmonella Nigeria</v>
      </c>
      <c r="B7092" t="str">
        <f ca="1">IFERROR(__xludf.DUMMYFUNCTION("""COMPUTED_VALUE"""),"RF-00000949-MCG")</f>
        <v>RF-00000949-MCG</v>
      </c>
    </row>
    <row r="7093" spans="1:2" ht="12.5" x14ac:dyDescent="0.25">
      <c r="A7093" t="str">
        <f ca="1">IFERROR(__xludf.DUMMYFUNCTION("""COMPUTED_VALUE"""),"Salmonella Nijmegen")</f>
        <v>Salmonella Nijmegen</v>
      </c>
      <c r="B7093" t="str">
        <f ca="1">IFERROR(__xludf.DUMMYFUNCTION("""COMPUTED_VALUE"""),"RF-00000948-MCG")</f>
        <v>RF-00000948-MCG</v>
      </c>
    </row>
    <row r="7094" spans="1:2" ht="12.5" x14ac:dyDescent="0.25">
      <c r="A7094" t="str">
        <f ca="1">IFERROR(__xludf.DUMMYFUNCTION("""COMPUTED_VALUE"""),"Salmonella Nikolaifleet")</f>
        <v>Salmonella Nikolaifleet</v>
      </c>
      <c r="B7094" t="str">
        <f ca="1">IFERROR(__xludf.DUMMYFUNCTION("""COMPUTED_VALUE"""),"RF-00000947-MCG")</f>
        <v>RF-00000947-MCG</v>
      </c>
    </row>
    <row r="7095" spans="1:2" ht="12.5" x14ac:dyDescent="0.25">
      <c r="A7095" t="str">
        <f ca="1">IFERROR(__xludf.DUMMYFUNCTION("""COMPUTED_VALUE"""),"Salmonella Niloese")</f>
        <v>Salmonella Niloese</v>
      </c>
      <c r="B7095" t="str">
        <f ca="1">IFERROR(__xludf.DUMMYFUNCTION("""COMPUTED_VALUE"""),"RF-00000946-MCG")</f>
        <v>RF-00000946-MCG</v>
      </c>
    </row>
    <row r="7096" spans="1:2" ht="12.5" x14ac:dyDescent="0.25">
      <c r="A7096" t="str">
        <f ca="1">IFERROR(__xludf.DUMMYFUNCTION("""COMPUTED_VALUE"""),"Salmonella Nima")</f>
        <v>Salmonella Nima</v>
      </c>
      <c r="B7096" t="str">
        <f ca="1">IFERROR(__xludf.DUMMYFUNCTION("""COMPUTED_VALUE"""),"RF-00000945-MCG")</f>
        <v>RF-00000945-MCG</v>
      </c>
    </row>
    <row r="7097" spans="1:2" ht="12.5" x14ac:dyDescent="0.25">
      <c r="A7097" t="str">
        <f ca="1">IFERROR(__xludf.DUMMYFUNCTION("""COMPUTED_VALUE"""),"Salmonella Nimes")</f>
        <v>Salmonella Nimes</v>
      </c>
      <c r="B7097" t="str">
        <f ca="1">IFERROR(__xludf.DUMMYFUNCTION("""COMPUTED_VALUE"""),"RF-00000903-MCG")</f>
        <v>RF-00000903-MCG</v>
      </c>
    </row>
    <row r="7098" spans="1:2" ht="12.5" x14ac:dyDescent="0.25">
      <c r="A7098" t="str">
        <f ca="1">IFERROR(__xludf.DUMMYFUNCTION("""COMPUTED_VALUE"""),"Salmonella Nitra")</f>
        <v>Salmonella Nitra</v>
      </c>
      <c r="B7098" t="str">
        <f ca="1">IFERROR(__xludf.DUMMYFUNCTION("""COMPUTED_VALUE"""),"RF-00000969-MCG")</f>
        <v>RF-00000969-MCG</v>
      </c>
    </row>
    <row r="7099" spans="1:2" ht="12.5" x14ac:dyDescent="0.25">
      <c r="A7099" t="str">
        <f ca="1">IFERROR(__xludf.DUMMYFUNCTION("""COMPUTED_VALUE"""),"Salmonella Niumi")</f>
        <v>Salmonella Niumi</v>
      </c>
      <c r="B7099" t="str">
        <f ca="1">IFERROR(__xludf.DUMMYFUNCTION("""COMPUTED_VALUE"""),"RF-00000928-MCG")</f>
        <v>RF-00000928-MCG</v>
      </c>
    </row>
    <row r="7100" spans="1:2" ht="12.5" x14ac:dyDescent="0.25">
      <c r="A7100" t="str">
        <f ca="1">IFERROR(__xludf.DUMMYFUNCTION("""COMPUTED_VALUE"""),"Salmonella Njala")</f>
        <v>Salmonella Njala</v>
      </c>
      <c r="B7100" t="str">
        <f ca="1">IFERROR(__xludf.DUMMYFUNCTION("""COMPUTED_VALUE"""),"RF-00000887-MCG")</f>
        <v>RF-00000887-MCG</v>
      </c>
    </row>
    <row r="7101" spans="1:2" ht="12.5" x14ac:dyDescent="0.25">
      <c r="A7101" t="str">
        <f ca="1">IFERROR(__xludf.DUMMYFUNCTION("""COMPUTED_VALUE"""),"Salmonella Nola")</f>
        <v>Salmonella Nola</v>
      </c>
      <c r="B7101" t="str">
        <f ca="1">IFERROR(__xludf.DUMMYFUNCTION("""COMPUTED_VALUE"""),"RF-00000886-MCG")</f>
        <v>RF-00000886-MCG</v>
      </c>
    </row>
    <row r="7102" spans="1:2" ht="12.5" x14ac:dyDescent="0.25">
      <c r="A7102" t="str">
        <f ca="1">IFERROR(__xludf.DUMMYFUNCTION("""COMPUTED_VALUE"""),"Salmonella Nordrhein")</f>
        <v>Salmonella Nordrhein</v>
      </c>
      <c r="B7102" t="str">
        <f ca="1">IFERROR(__xludf.DUMMYFUNCTION("""COMPUTED_VALUE"""),"RF-00000885-MCG")</f>
        <v>RF-00000885-MCG</v>
      </c>
    </row>
    <row r="7103" spans="1:2" ht="12.5" x14ac:dyDescent="0.25">
      <c r="A7103" t="str">
        <f ca="1">IFERROR(__xludf.DUMMYFUNCTION("""COMPUTED_VALUE"""),"Salmonella Nordufer")</f>
        <v>Salmonella Nordufer</v>
      </c>
      <c r="B7103" t="str">
        <f ca="1">IFERROR(__xludf.DUMMYFUNCTION("""COMPUTED_VALUE"""),"RF-00000884-MCG")</f>
        <v>RF-00000884-MCG</v>
      </c>
    </row>
    <row r="7104" spans="1:2" ht="12.5" x14ac:dyDescent="0.25">
      <c r="A7104" t="str">
        <f ca="1">IFERROR(__xludf.DUMMYFUNCTION("""COMPUTED_VALUE"""),"Salmonella Norton")</f>
        <v>Salmonella Norton</v>
      </c>
      <c r="B7104" t="str">
        <f ca="1">IFERROR(__xludf.DUMMYFUNCTION("""COMPUTED_VALUE"""),"RF-00000883-MCG")</f>
        <v>RF-00000883-MCG</v>
      </c>
    </row>
    <row r="7105" spans="1:2" ht="12.5" x14ac:dyDescent="0.25">
      <c r="A7105" t="str">
        <f ca="1">IFERROR(__xludf.DUMMYFUNCTION("""COMPUTED_VALUE"""),"Salmonella Norwich")</f>
        <v>Salmonella Norwich</v>
      </c>
      <c r="B7105" t="str">
        <f ca="1">IFERROR(__xludf.DUMMYFUNCTION("""COMPUTED_VALUE"""),"RF-00000882-MCG")</f>
        <v>RF-00000882-MCG</v>
      </c>
    </row>
    <row r="7106" spans="1:2" ht="12.5" x14ac:dyDescent="0.25">
      <c r="A7106" t="str">
        <f ca="1">IFERROR(__xludf.DUMMYFUNCTION("""COMPUTED_VALUE"""),"Salmonella Nottingham")</f>
        <v>Salmonella Nottingham</v>
      </c>
      <c r="B7106" t="str">
        <f ca="1">IFERROR(__xludf.DUMMYFUNCTION("""COMPUTED_VALUE"""),"RF-00000881-MCG")</f>
        <v>RF-00000881-MCG</v>
      </c>
    </row>
    <row r="7107" spans="1:2" ht="12.5" x14ac:dyDescent="0.25">
      <c r="A7107" t="str">
        <f ca="1">IFERROR(__xludf.DUMMYFUNCTION("""COMPUTED_VALUE"""),"Salmonella Nowawes")</f>
        <v>Salmonella Nowawes</v>
      </c>
      <c r="B7107" t="str">
        <f ca="1">IFERROR(__xludf.DUMMYFUNCTION("""COMPUTED_VALUE"""),"RF-00000880-MCG")</f>
        <v>RF-00000880-MCG</v>
      </c>
    </row>
    <row r="7108" spans="1:2" ht="12.5" x14ac:dyDescent="0.25">
      <c r="A7108" t="str">
        <f ca="1">IFERROR(__xludf.DUMMYFUNCTION("""COMPUTED_VALUE"""),"Salmonella Noya")</f>
        <v>Salmonella Noya</v>
      </c>
      <c r="B7108" t="str">
        <f ca="1">IFERROR(__xludf.DUMMYFUNCTION("""COMPUTED_VALUE"""),"RF-00000879-MCG")</f>
        <v>RF-00000879-MCG</v>
      </c>
    </row>
    <row r="7109" spans="1:2" ht="12.5" x14ac:dyDescent="0.25">
      <c r="A7109" t="str">
        <f ca="1">IFERROR(__xludf.DUMMYFUNCTION("""COMPUTED_VALUE"""),"Salmonella Nuatja")</f>
        <v>Salmonella Nuatja</v>
      </c>
      <c r="B7109" t="str">
        <f ca="1">IFERROR(__xludf.DUMMYFUNCTION("""COMPUTED_VALUE"""),"RF-00000878-MCG")</f>
        <v>RF-00000878-MCG</v>
      </c>
    </row>
    <row r="7110" spans="1:2" ht="12.5" x14ac:dyDescent="0.25">
      <c r="A7110" t="str">
        <f ca="1">IFERROR(__xludf.DUMMYFUNCTION("""COMPUTED_VALUE"""),"Salmonella Nyanza")</f>
        <v>Salmonella Nyanza</v>
      </c>
      <c r="B7110" t="str">
        <f ca="1">IFERROR(__xludf.DUMMYFUNCTION("""COMPUTED_VALUE"""),"RF-00000877-MCG")</f>
        <v>RF-00000877-MCG</v>
      </c>
    </row>
    <row r="7111" spans="1:2" ht="12.5" x14ac:dyDescent="0.25">
      <c r="A7111" t="str">
        <f ca="1">IFERROR(__xludf.DUMMYFUNCTION("""COMPUTED_VALUE"""),"Salmonella Nyborg")</f>
        <v>Salmonella Nyborg</v>
      </c>
      <c r="B7111" t="str">
        <f ca="1">IFERROR(__xludf.DUMMYFUNCTION("""COMPUTED_VALUE"""),"RF-00000862-MCG")</f>
        <v>RF-00000862-MCG</v>
      </c>
    </row>
    <row r="7112" spans="1:2" ht="12.5" x14ac:dyDescent="0.25">
      <c r="A7112" t="str">
        <f ca="1">IFERROR(__xludf.DUMMYFUNCTION("""COMPUTED_VALUE"""),"Salmonella Nyborg var. 15")</f>
        <v>Salmonella Nyborg var. 15</v>
      </c>
      <c r="B7112" t="str">
        <f ca="1">IFERROR(__xludf.DUMMYFUNCTION("""COMPUTED_VALUE"""),"RF-00000875-MCG")</f>
        <v>RF-00000875-MCG</v>
      </c>
    </row>
    <row r="7113" spans="1:2" ht="12.5" x14ac:dyDescent="0.25">
      <c r="A7113" t="str">
        <f ca="1">IFERROR(__xludf.DUMMYFUNCTION("""COMPUTED_VALUE"""),"Salmonella Nyeko")</f>
        <v>Salmonella Nyeko</v>
      </c>
      <c r="B7113" t="str">
        <f ca="1">IFERROR(__xludf.DUMMYFUNCTION("""COMPUTED_VALUE"""),"RF-00000888-MCG")</f>
        <v>RF-00000888-MCG</v>
      </c>
    </row>
    <row r="7114" spans="1:2" ht="12.5" x14ac:dyDescent="0.25">
      <c r="A7114" t="str">
        <f ca="1">IFERROR(__xludf.DUMMYFUNCTION("""COMPUTED_VALUE"""),"Salmonella Oakey")</f>
        <v>Salmonella Oakey</v>
      </c>
      <c r="B7114" t="str">
        <f ca="1">IFERROR(__xludf.DUMMYFUNCTION("""COMPUTED_VALUE"""),"RF-00000873-MCG")</f>
        <v>RF-00000873-MCG</v>
      </c>
    </row>
    <row r="7115" spans="1:2" ht="12.5" x14ac:dyDescent="0.25">
      <c r="A7115" t="str">
        <f ca="1">IFERROR(__xludf.DUMMYFUNCTION("""COMPUTED_VALUE"""),"Salmonella Oakland")</f>
        <v>Salmonella Oakland</v>
      </c>
      <c r="B7115" t="str">
        <f ca="1">IFERROR(__xludf.DUMMYFUNCTION("""COMPUTED_VALUE"""),"RF-00000872-MCG")</f>
        <v>RF-00000872-MCG</v>
      </c>
    </row>
    <row r="7116" spans="1:2" ht="12.5" x14ac:dyDescent="0.25">
      <c r="A7116" t="str">
        <f ca="1">IFERROR(__xludf.DUMMYFUNCTION("""COMPUTED_VALUE"""),"Salmonella Obogu")</f>
        <v>Salmonella Obogu</v>
      </c>
      <c r="B7116" t="str">
        <f ca="1">IFERROR(__xludf.DUMMYFUNCTION("""COMPUTED_VALUE"""),"RF-00000871-MCG")</f>
        <v>RF-00000871-MCG</v>
      </c>
    </row>
    <row r="7117" spans="1:2" ht="12.5" x14ac:dyDescent="0.25">
      <c r="A7117" t="str">
        <f ca="1">IFERROR(__xludf.DUMMYFUNCTION("""COMPUTED_VALUE"""),"Salmonella Ochiogu")</f>
        <v>Salmonella Ochiogu</v>
      </c>
      <c r="B7117" t="str">
        <f ca="1">IFERROR(__xludf.DUMMYFUNCTION("""COMPUTED_VALUE"""),"RF-00000870-MCG")</f>
        <v>RF-00000870-MCG</v>
      </c>
    </row>
    <row r="7118" spans="1:2" ht="12.5" x14ac:dyDescent="0.25">
      <c r="A7118" t="str">
        <f ca="1">IFERROR(__xludf.DUMMYFUNCTION("""COMPUTED_VALUE"""),"Salmonella Ochsenwerder")</f>
        <v>Salmonella Ochsenwerder</v>
      </c>
      <c r="B7118" t="str">
        <f ca="1">IFERROR(__xludf.DUMMYFUNCTION("""COMPUTED_VALUE"""),"RF-00000869-MCG")</f>
        <v>RF-00000869-MCG</v>
      </c>
    </row>
    <row r="7119" spans="1:2" ht="12.5" x14ac:dyDescent="0.25">
      <c r="A7119" t="str">
        <f ca="1">IFERROR(__xludf.DUMMYFUNCTION("""COMPUTED_VALUE"""),"Salmonella Ockenheim")</f>
        <v>Salmonella Ockenheim</v>
      </c>
      <c r="B7119" t="str">
        <f ca="1">IFERROR(__xludf.DUMMYFUNCTION("""COMPUTED_VALUE"""),"RF-00000868-MCG")</f>
        <v>RF-00000868-MCG</v>
      </c>
    </row>
    <row r="7120" spans="1:2" ht="12.5" x14ac:dyDescent="0.25">
      <c r="A7120" t="str">
        <f ca="1">IFERROR(__xludf.DUMMYFUNCTION("""COMPUTED_VALUE"""),"Salmonella Odienne")</f>
        <v>Salmonella Odienne</v>
      </c>
      <c r="B7120" t="str">
        <f ca="1">IFERROR(__xludf.DUMMYFUNCTION("""COMPUTED_VALUE"""),"RF-00000867-MCG")</f>
        <v>RF-00000867-MCG</v>
      </c>
    </row>
    <row r="7121" spans="1:2" ht="12.5" x14ac:dyDescent="0.25">
      <c r="A7121" t="str">
        <f ca="1">IFERROR(__xludf.DUMMYFUNCTION("""COMPUTED_VALUE"""),"Salmonella Odozi")</f>
        <v>Salmonella Odozi</v>
      </c>
      <c r="B7121" t="str">
        <f ca="1">IFERROR(__xludf.DUMMYFUNCTION("""COMPUTED_VALUE"""),"RF-00000866-MCG")</f>
        <v>RF-00000866-MCG</v>
      </c>
    </row>
    <row r="7122" spans="1:2" ht="12.5" x14ac:dyDescent="0.25">
      <c r="A7122" t="str">
        <f ca="1">IFERROR(__xludf.DUMMYFUNCTION("""COMPUTED_VALUE"""),"Salmonella Oerlikon")</f>
        <v>Salmonella Oerlikon</v>
      </c>
      <c r="B7122" t="str">
        <f ca="1">IFERROR(__xludf.DUMMYFUNCTION("""COMPUTED_VALUE"""),"RF-00000865-MCG")</f>
        <v>RF-00000865-MCG</v>
      </c>
    </row>
    <row r="7123" spans="1:2" ht="12.5" x14ac:dyDescent="0.25">
      <c r="A7123" t="str">
        <f ca="1">IFERROR(__xludf.DUMMYFUNCTION("""COMPUTED_VALUE"""),"Salmonella Oesterbro")</f>
        <v>Salmonella Oesterbro</v>
      </c>
      <c r="B7123" t="str">
        <f ca="1">IFERROR(__xludf.DUMMYFUNCTION("""COMPUTED_VALUE"""),"RF-00000864-MCG")</f>
        <v>RF-00000864-MCG</v>
      </c>
    </row>
    <row r="7124" spans="1:2" ht="12.5" x14ac:dyDescent="0.25">
      <c r="A7124" t="str">
        <f ca="1">IFERROR(__xludf.DUMMYFUNCTION("""COMPUTED_VALUE"""),"Salmonella Offa")</f>
        <v>Salmonella Offa</v>
      </c>
      <c r="B7124" t="str">
        <f ca="1">IFERROR(__xludf.DUMMYFUNCTION("""COMPUTED_VALUE"""),"RF-00000901-MCG")</f>
        <v>RF-00000901-MCG</v>
      </c>
    </row>
    <row r="7125" spans="1:2" ht="12.5" x14ac:dyDescent="0.25">
      <c r="A7125" t="str">
        <f ca="1">IFERROR(__xludf.DUMMYFUNCTION("""COMPUTED_VALUE"""),"Salmonella Ogbete")</f>
        <v>Salmonella Ogbete</v>
      </c>
      <c r="B7125" t="str">
        <f ca="1">IFERROR(__xludf.DUMMYFUNCTION("""COMPUTED_VALUE"""),"RF-00000874-MCG")</f>
        <v>RF-00000874-MCG</v>
      </c>
    </row>
    <row r="7126" spans="1:2" ht="12.5" x14ac:dyDescent="0.25">
      <c r="A7126" t="str">
        <f ca="1">IFERROR(__xludf.DUMMYFUNCTION("""COMPUTED_VALUE"""),"Salmonella Ohio")</f>
        <v>Salmonella Ohio</v>
      </c>
      <c r="B7126" t="str">
        <f ca="1">IFERROR(__xludf.DUMMYFUNCTION("""COMPUTED_VALUE"""),"RF-00000876-MCG")</f>
        <v>RF-00000876-MCG</v>
      </c>
    </row>
    <row r="7127" spans="1:2" ht="12.5" x14ac:dyDescent="0.25">
      <c r="A7127" t="str">
        <f ca="1">IFERROR(__xludf.DUMMYFUNCTION("""COMPUTED_VALUE"""),"Salmonella Ohio var. 14")</f>
        <v>Salmonella Ohio var. 14</v>
      </c>
      <c r="B7127" t="str">
        <f ca="1">IFERROR(__xludf.DUMMYFUNCTION("""COMPUTED_VALUE"""),"RF-00000914-MCG")</f>
        <v>RF-00000914-MCG</v>
      </c>
    </row>
    <row r="7128" spans="1:2" ht="12.5" x14ac:dyDescent="0.25">
      <c r="A7128" t="str">
        <f ca="1">IFERROR(__xludf.DUMMYFUNCTION("""COMPUTED_VALUE"""),"Salmonella Ohlstedt")</f>
        <v>Salmonella Ohlstedt</v>
      </c>
      <c r="B7128" t="str">
        <f ca="1">IFERROR(__xludf.DUMMYFUNCTION("""COMPUTED_VALUE"""),"RF-00000913-MCG")</f>
        <v>RF-00000913-MCG</v>
      </c>
    </row>
    <row r="7129" spans="1:2" ht="12.5" x14ac:dyDescent="0.25">
      <c r="A7129" t="str">
        <f ca="1">IFERROR(__xludf.DUMMYFUNCTION("""COMPUTED_VALUE"""),"Salmonella Okatie")</f>
        <v>Salmonella Okatie</v>
      </c>
      <c r="B7129" t="str">
        <f ca="1">IFERROR(__xludf.DUMMYFUNCTION("""COMPUTED_VALUE"""),"RF-00000912-MCG")</f>
        <v>RF-00000912-MCG</v>
      </c>
    </row>
    <row r="7130" spans="1:2" ht="12.5" x14ac:dyDescent="0.25">
      <c r="A7130" t="str">
        <f ca="1">IFERROR(__xludf.DUMMYFUNCTION("""COMPUTED_VALUE"""),"Salmonella Okefoko")</f>
        <v>Salmonella Okefoko</v>
      </c>
      <c r="B7130" t="str">
        <f ca="1">IFERROR(__xludf.DUMMYFUNCTION("""COMPUTED_VALUE"""),"RF-00000911-MCG")</f>
        <v>RF-00000911-MCG</v>
      </c>
    </row>
    <row r="7131" spans="1:2" ht="12.5" x14ac:dyDescent="0.25">
      <c r="A7131" t="str">
        <f ca="1">IFERROR(__xludf.DUMMYFUNCTION("""COMPUTED_VALUE"""),"Salmonella Okerara")</f>
        <v>Salmonella Okerara</v>
      </c>
      <c r="B7131" t="str">
        <f ca="1">IFERROR(__xludf.DUMMYFUNCTION("""COMPUTED_VALUE"""),"RF-00000910-MCG")</f>
        <v>RF-00000910-MCG</v>
      </c>
    </row>
    <row r="7132" spans="1:2" ht="12.5" x14ac:dyDescent="0.25">
      <c r="A7132" t="str">
        <f ca="1">IFERROR(__xludf.DUMMYFUNCTION("""COMPUTED_VALUE"""),"Salmonella Oldenburg")</f>
        <v>Salmonella Oldenburg</v>
      </c>
      <c r="B7132" t="str">
        <f ca="1">IFERROR(__xludf.DUMMYFUNCTION("""COMPUTED_VALUE"""),"RF-00000909-MCG")</f>
        <v>RF-00000909-MCG</v>
      </c>
    </row>
    <row r="7133" spans="1:2" ht="12.5" x14ac:dyDescent="0.25">
      <c r="A7133" t="str">
        <f ca="1">IFERROR(__xludf.DUMMYFUNCTION("""COMPUTED_VALUE"""),"Salmonella Olten")</f>
        <v>Salmonella Olten</v>
      </c>
      <c r="B7133" t="str">
        <f ca="1">IFERROR(__xludf.DUMMYFUNCTION("""COMPUTED_VALUE"""),"RF-00000908-MCG")</f>
        <v>RF-00000908-MCG</v>
      </c>
    </row>
    <row r="7134" spans="1:2" ht="12.5" x14ac:dyDescent="0.25">
      <c r="A7134" t="str">
        <f ca="1">IFERROR(__xludf.DUMMYFUNCTION("""COMPUTED_VALUE"""),"Salmonella Omifisan")</f>
        <v>Salmonella Omifisan</v>
      </c>
      <c r="B7134" t="str">
        <f ca="1">IFERROR(__xludf.DUMMYFUNCTION("""COMPUTED_VALUE"""),"RF-00000907-MCG")</f>
        <v>RF-00000907-MCG</v>
      </c>
    </row>
    <row r="7135" spans="1:2" ht="12.5" x14ac:dyDescent="0.25">
      <c r="A7135" t="str">
        <f ca="1">IFERROR(__xludf.DUMMYFUNCTION("""COMPUTED_VALUE"""),"Salmonella Omuna")</f>
        <v>Salmonella Omuna</v>
      </c>
      <c r="B7135" t="str">
        <f ca="1">IFERROR(__xludf.DUMMYFUNCTION("""COMPUTED_VALUE"""),"RF-00000658-MCG")</f>
        <v>RF-00000658-MCG</v>
      </c>
    </row>
    <row r="7136" spans="1:2" ht="12.5" x14ac:dyDescent="0.25">
      <c r="A7136" t="str">
        <f ca="1">IFERROR(__xludf.DUMMYFUNCTION("""COMPUTED_VALUE"""),"Salmonella Ona")</f>
        <v>Salmonella Ona</v>
      </c>
      <c r="B7136" t="str">
        <f ca="1">IFERROR(__xludf.DUMMYFUNCTION("""COMPUTED_VALUE"""),"RF-00000671-MCG")</f>
        <v>RF-00000671-MCG</v>
      </c>
    </row>
    <row r="7137" spans="1:2" ht="12.5" x14ac:dyDescent="0.25">
      <c r="A7137" t="str">
        <f ca="1">IFERROR(__xludf.DUMMYFUNCTION("""COMPUTED_VALUE"""),"Salmonella Onarimon")</f>
        <v>Salmonella Onarimon</v>
      </c>
      <c r="B7137" t="str">
        <f ca="1">IFERROR(__xludf.DUMMYFUNCTION("""COMPUTED_VALUE"""),"RF-00000656-MCG")</f>
        <v>RF-00000656-MCG</v>
      </c>
    </row>
    <row r="7138" spans="1:2" ht="12.5" x14ac:dyDescent="0.25">
      <c r="A7138" t="str">
        <f ca="1">IFERROR(__xludf.DUMMYFUNCTION("""COMPUTED_VALUE"""),"Salmonella Onderstepoort")</f>
        <v>Salmonella Onderstepoort</v>
      </c>
      <c r="B7138" t="str">
        <f ca="1">IFERROR(__xludf.DUMMYFUNCTION("""COMPUTED_VALUE"""),"RF-00000655-MCG")</f>
        <v>RF-00000655-MCG</v>
      </c>
    </row>
    <row r="7139" spans="1:2" ht="12.5" x14ac:dyDescent="0.25">
      <c r="A7139" t="str">
        <f ca="1">IFERROR(__xludf.DUMMYFUNCTION("""COMPUTED_VALUE"""),"Salmonella Onireke")</f>
        <v>Salmonella Onireke</v>
      </c>
      <c r="B7139" t="str">
        <f ca="1">IFERROR(__xludf.DUMMYFUNCTION("""COMPUTED_VALUE"""),"RF-00000654-MCG")</f>
        <v>RF-00000654-MCG</v>
      </c>
    </row>
    <row r="7140" spans="1:2" ht="12.5" x14ac:dyDescent="0.25">
      <c r="A7140" t="str">
        <f ca="1">IFERROR(__xludf.DUMMYFUNCTION("""COMPUTED_VALUE"""),"Salmonella Ontario")</f>
        <v>Salmonella Ontario</v>
      </c>
      <c r="B7140" t="str">
        <f ca="1">IFERROR(__xludf.DUMMYFUNCTION("""COMPUTED_VALUE"""),"RF-00000653-MCG")</f>
        <v>RF-00000653-MCG</v>
      </c>
    </row>
    <row r="7141" spans="1:2" ht="12.5" x14ac:dyDescent="0.25">
      <c r="A7141" t="str">
        <f ca="1">IFERROR(__xludf.DUMMYFUNCTION("""COMPUTED_VALUE"""),"Salmonella Oran")</f>
        <v>Salmonella Oran</v>
      </c>
      <c r="B7141" t="str">
        <f ca="1">IFERROR(__xludf.DUMMYFUNCTION("""COMPUTED_VALUE"""),"RF-00000652-MCG")</f>
        <v>RF-00000652-MCG</v>
      </c>
    </row>
    <row r="7142" spans="1:2" ht="12.5" x14ac:dyDescent="0.25">
      <c r="A7142" t="str">
        <f ca="1">IFERROR(__xludf.DUMMYFUNCTION("""COMPUTED_VALUE"""),"Salmonella Oranienburg")</f>
        <v>Salmonella Oranienburg</v>
      </c>
      <c r="B7142" t="str">
        <f ca="1">IFERROR(__xludf.DUMMYFUNCTION("""COMPUTED_VALUE"""),"RF-00000651-MCG")</f>
        <v>RF-00000651-MCG</v>
      </c>
    </row>
    <row r="7143" spans="1:2" ht="12.5" x14ac:dyDescent="0.25">
      <c r="A7143" t="str">
        <f ca="1">IFERROR(__xludf.DUMMYFUNCTION("""COMPUTED_VALUE"""),"Salmonella Oranienburg var. 14")</f>
        <v>Salmonella Oranienburg var. 14</v>
      </c>
      <c r="B7143" t="str">
        <f ca="1">IFERROR(__xludf.DUMMYFUNCTION("""COMPUTED_VALUE"""),"RF-00000650-MCG")</f>
        <v>RF-00000650-MCG</v>
      </c>
    </row>
    <row r="7144" spans="1:2" ht="12.5" x14ac:dyDescent="0.25">
      <c r="A7144" t="str">
        <f ca="1">IFERROR(__xludf.DUMMYFUNCTION("""COMPUTED_VALUE"""),"Salmonella Orbe")</f>
        <v>Salmonella Orbe</v>
      </c>
      <c r="B7144" t="str">
        <f ca="1">IFERROR(__xludf.DUMMYFUNCTION("""COMPUTED_VALUE"""),"RF-00000649-MCG")</f>
        <v>RF-00000649-MCG</v>
      </c>
    </row>
    <row r="7145" spans="1:2" ht="12.5" x14ac:dyDescent="0.25">
      <c r="A7145" t="str">
        <f ca="1">IFERROR(__xludf.DUMMYFUNCTION("""COMPUTED_VALUE"""),"Salmonella Ord")</f>
        <v>Salmonella Ord</v>
      </c>
      <c r="B7145" t="str">
        <f ca="1">IFERROR(__xludf.DUMMYFUNCTION("""COMPUTED_VALUE"""),"RF-00000648-MCG")</f>
        <v>RF-00000648-MCG</v>
      </c>
    </row>
    <row r="7146" spans="1:2" ht="12.5" x14ac:dyDescent="0.25">
      <c r="A7146" t="str">
        <f ca="1">IFERROR(__xludf.DUMMYFUNCTION("""COMPUTED_VALUE"""),"Salmonella Ordonez")</f>
        <v>Salmonella Ordonez</v>
      </c>
      <c r="B7146" t="str">
        <f ca="1">IFERROR(__xludf.DUMMYFUNCTION("""COMPUTED_VALUE"""),"RF-00000647-MCG")</f>
        <v>RF-00000647-MCG</v>
      </c>
    </row>
    <row r="7147" spans="1:2" ht="12.5" x14ac:dyDescent="0.25">
      <c r="A7147" t="str">
        <f ca="1">IFERROR(__xludf.DUMMYFUNCTION("""COMPUTED_VALUE"""),"Salmonella Orientalis")</f>
        <v>Salmonella Orientalis</v>
      </c>
      <c r="B7147" t="str">
        <f ca="1">IFERROR(__xludf.DUMMYFUNCTION("""COMPUTED_VALUE"""),"RF-00000684-MCG")</f>
        <v>RF-00000684-MCG</v>
      </c>
    </row>
    <row r="7148" spans="1:2" ht="12.5" x14ac:dyDescent="0.25">
      <c r="A7148" t="str">
        <f ca="1">IFERROR(__xludf.DUMMYFUNCTION("""COMPUTED_VALUE"""),"Salmonella Orion")</f>
        <v>Salmonella Orion</v>
      </c>
      <c r="B7148" t="str">
        <f ca="1">IFERROR(__xludf.DUMMYFUNCTION("""COMPUTED_VALUE"""),"RF-00000657-MCG")</f>
        <v>RF-00000657-MCG</v>
      </c>
    </row>
    <row r="7149" spans="1:2" ht="12.5" x14ac:dyDescent="0.25">
      <c r="A7149" t="str">
        <f ca="1">IFERROR(__xludf.DUMMYFUNCTION("""COMPUTED_VALUE"""),"Salmonella Orion var. 15")</f>
        <v>Salmonella Orion var. 15</v>
      </c>
      <c r="B7149" t="str">
        <f ca="1">IFERROR(__xludf.DUMMYFUNCTION("""COMPUTED_VALUE"""),"RF-00000659-MCG")</f>
        <v>RF-00000659-MCG</v>
      </c>
    </row>
    <row r="7150" spans="1:2" ht="12.5" x14ac:dyDescent="0.25">
      <c r="A7150" t="str">
        <f ca="1">IFERROR(__xludf.DUMMYFUNCTION("""COMPUTED_VALUE"""),"Salmonella Orion var. 15,34")</f>
        <v>Salmonella Orion var. 15,34</v>
      </c>
      <c r="B7150" t="str">
        <f ca="1">IFERROR(__xludf.DUMMYFUNCTION("""COMPUTED_VALUE"""),"RF-00000697-MCG")</f>
        <v>RF-00000697-MCG</v>
      </c>
    </row>
    <row r="7151" spans="1:2" ht="12.5" x14ac:dyDescent="0.25">
      <c r="A7151" t="str">
        <f ca="1">IFERROR(__xludf.DUMMYFUNCTION("""COMPUTED_VALUE"""),"Salmonella Oritamerin")</f>
        <v>Salmonella Oritamerin</v>
      </c>
      <c r="B7151" t="str">
        <f ca="1">IFERROR(__xludf.DUMMYFUNCTION("""COMPUTED_VALUE"""),"RF-00000696-MCG")</f>
        <v>RF-00000696-MCG</v>
      </c>
    </row>
    <row r="7152" spans="1:2" ht="12.5" x14ac:dyDescent="0.25">
      <c r="A7152" t="str">
        <f ca="1">IFERROR(__xludf.DUMMYFUNCTION("""COMPUTED_VALUE"""),"Salmonella Orlando")</f>
        <v>Salmonella Orlando</v>
      </c>
      <c r="B7152" t="str">
        <f ca="1">IFERROR(__xludf.DUMMYFUNCTION("""COMPUTED_VALUE"""),"RF-00000695-MCG")</f>
        <v>RF-00000695-MCG</v>
      </c>
    </row>
    <row r="7153" spans="1:2" ht="12.5" x14ac:dyDescent="0.25">
      <c r="A7153" t="str">
        <f ca="1">IFERROR(__xludf.DUMMYFUNCTION("""COMPUTED_VALUE"""),"Salmonella Orleans")</f>
        <v>Salmonella Orleans</v>
      </c>
      <c r="B7153" t="str">
        <f ca="1">IFERROR(__xludf.DUMMYFUNCTION("""COMPUTED_VALUE"""),"RF-00000694-MCG")</f>
        <v>RF-00000694-MCG</v>
      </c>
    </row>
    <row r="7154" spans="1:2" ht="12.5" x14ac:dyDescent="0.25">
      <c r="A7154" t="str">
        <f ca="1">IFERROR(__xludf.DUMMYFUNCTION("""COMPUTED_VALUE"""),"Salmonella Os")</f>
        <v>Salmonella Os</v>
      </c>
      <c r="B7154" t="str">
        <f ca="1">IFERROR(__xludf.DUMMYFUNCTION("""COMPUTED_VALUE"""),"RF-00000693-MCG")</f>
        <v>RF-00000693-MCG</v>
      </c>
    </row>
    <row r="7155" spans="1:2" ht="12.5" x14ac:dyDescent="0.25">
      <c r="A7155" t="str">
        <f ca="1">IFERROR(__xludf.DUMMYFUNCTION("""COMPUTED_VALUE"""),"Salmonella Oskarshamn")</f>
        <v>Salmonella Oskarshamn</v>
      </c>
      <c r="B7155" t="str">
        <f ca="1">IFERROR(__xludf.DUMMYFUNCTION("""COMPUTED_VALUE"""),"RF-00000692-MCG")</f>
        <v>RF-00000692-MCG</v>
      </c>
    </row>
    <row r="7156" spans="1:2" ht="12.5" x14ac:dyDescent="0.25">
      <c r="A7156" t="str">
        <f ca="1">IFERROR(__xludf.DUMMYFUNCTION("""COMPUTED_VALUE"""),"Salmonella Oslo")</f>
        <v>Salmonella Oslo</v>
      </c>
      <c r="B7156" t="str">
        <f ca="1">IFERROR(__xludf.DUMMYFUNCTION("""COMPUTED_VALUE"""),"RF-00000691-MCG")</f>
        <v>RF-00000691-MCG</v>
      </c>
    </row>
    <row r="7157" spans="1:2" ht="12.5" x14ac:dyDescent="0.25">
      <c r="A7157" t="str">
        <f ca="1">IFERROR(__xludf.DUMMYFUNCTION("""COMPUTED_VALUE"""),"Salmonella Osnabrueck")</f>
        <v>Salmonella Osnabrueck</v>
      </c>
      <c r="B7157" t="str">
        <f ca="1">IFERROR(__xludf.DUMMYFUNCTION("""COMPUTED_VALUE"""),"RF-00000690-MCG")</f>
        <v>RF-00000690-MCG</v>
      </c>
    </row>
    <row r="7158" spans="1:2" ht="12.5" x14ac:dyDescent="0.25">
      <c r="A7158" t="str">
        <f ca="1">IFERROR(__xludf.DUMMYFUNCTION("""COMPUTED_VALUE"""),"Salmonella Othmarschen")</f>
        <v>Salmonella Othmarschen</v>
      </c>
      <c r="B7158" t="str">
        <f ca="1">IFERROR(__xludf.DUMMYFUNCTION("""COMPUTED_VALUE"""),"RF-00000689-MCG")</f>
        <v>RF-00000689-MCG</v>
      </c>
    </row>
    <row r="7159" spans="1:2" ht="12.5" x14ac:dyDescent="0.25">
      <c r="A7159" t="str">
        <f ca="1">IFERROR(__xludf.DUMMYFUNCTION("""COMPUTED_VALUE"""),"Salmonella Ottawa")</f>
        <v>Salmonella Ottawa</v>
      </c>
      <c r="B7159" t="str">
        <f ca="1">IFERROR(__xludf.DUMMYFUNCTION("""COMPUTED_VALUE"""),"RF-00000688-MCG")</f>
        <v>RF-00000688-MCG</v>
      </c>
    </row>
    <row r="7160" spans="1:2" ht="12.5" x14ac:dyDescent="0.25">
      <c r="A7160" t="str">
        <f ca="1">IFERROR(__xludf.DUMMYFUNCTION("""COMPUTED_VALUE"""),"Salmonella Ouakam")</f>
        <v>Salmonella Ouakam</v>
      </c>
      <c r="B7160" t="str">
        <f ca="1">IFERROR(__xludf.DUMMYFUNCTION("""COMPUTED_VALUE"""),"RF-00000687-MCG")</f>
        <v>RF-00000687-MCG</v>
      </c>
    </row>
    <row r="7161" spans="1:2" ht="12.5" x14ac:dyDescent="0.25">
      <c r="A7161" t="str">
        <f ca="1">IFERROR(__xludf.DUMMYFUNCTION("""COMPUTED_VALUE"""),"Salmonella Oudwijk")</f>
        <v>Salmonella Oudwijk</v>
      </c>
      <c r="B7161" t="str">
        <f ca="1">IFERROR(__xludf.DUMMYFUNCTION("""COMPUTED_VALUE"""),"RF-00000672-MCG")</f>
        <v>RF-00000672-MCG</v>
      </c>
    </row>
    <row r="7162" spans="1:2" ht="12.5" x14ac:dyDescent="0.25">
      <c r="A7162" t="str">
        <f ca="1">IFERROR(__xludf.DUMMYFUNCTION("""COMPUTED_VALUE"""),"Salmonella Overchurch")</f>
        <v>Salmonella Overchurch</v>
      </c>
      <c r="B7162" t="str">
        <f ca="1">IFERROR(__xludf.DUMMYFUNCTION("""COMPUTED_VALUE"""),"RF-00000685-MCG")</f>
        <v>RF-00000685-MCG</v>
      </c>
    </row>
    <row r="7163" spans="1:2" ht="12.5" x14ac:dyDescent="0.25">
      <c r="A7163" t="str">
        <f ca="1">IFERROR(__xludf.DUMMYFUNCTION("""COMPUTED_VALUE"""),"Salmonella Overschie")</f>
        <v>Salmonella Overschie</v>
      </c>
      <c r="B7163" t="str">
        <f ca="1">IFERROR(__xludf.DUMMYFUNCTION("""COMPUTED_VALUE"""),"RF-00000698-MCG")</f>
        <v>RF-00000698-MCG</v>
      </c>
    </row>
    <row r="7164" spans="1:2" ht="12.5" x14ac:dyDescent="0.25">
      <c r="A7164" t="str">
        <f ca="1">IFERROR(__xludf.DUMMYFUNCTION("""COMPUTED_VALUE"""),"Salmonella Overvecht")</f>
        <v>Salmonella Overvecht</v>
      </c>
      <c r="B7164" t="str">
        <f ca="1">IFERROR(__xludf.DUMMYFUNCTION("""COMPUTED_VALUE"""),"RF-00000683-MCG")</f>
        <v>RF-00000683-MCG</v>
      </c>
    </row>
    <row r="7165" spans="1:2" ht="12.5" x14ac:dyDescent="0.25">
      <c r="A7165" t="str">
        <f ca="1">IFERROR(__xludf.DUMMYFUNCTION("""COMPUTED_VALUE"""),"Salmonella Oxford")</f>
        <v>Salmonella Oxford</v>
      </c>
      <c r="B7165" t="str">
        <f ca="1">IFERROR(__xludf.DUMMYFUNCTION("""COMPUTED_VALUE"""),"RF-00000682-MCG")</f>
        <v>RF-00000682-MCG</v>
      </c>
    </row>
    <row r="7166" spans="1:2" ht="12.5" x14ac:dyDescent="0.25">
      <c r="A7166" t="str">
        <f ca="1">IFERROR(__xludf.DUMMYFUNCTION("""COMPUTED_VALUE"""),"Salmonella Oxford var. 15,34")</f>
        <v>Salmonella Oxford var. 15,34</v>
      </c>
      <c r="B7166" t="str">
        <f ca="1">IFERROR(__xludf.DUMMYFUNCTION("""COMPUTED_VALUE"""),"RF-00000681-MCG")</f>
        <v>RF-00000681-MCG</v>
      </c>
    </row>
    <row r="7167" spans="1:2" ht="12.5" x14ac:dyDescent="0.25">
      <c r="A7167" t="str">
        <f ca="1">IFERROR(__xludf.DUMMYFUNCTION("""COMPUTED_VALUE"""),"Salmonella Oyonnax")</f>
        <v>Salmonella Oyonnax</v>
      </c>
      <c r="B7167" t="str">
        <f ca="1">IFERROR(__xludf.DUMMYFUNCTION("""COMPUTED_VALUE"""),"RF-00000680-MCG")</f>
        <v>RF-00000680-MCG</v>
      </c>
    </row>
    <row r="7168" spans="1:2" ht="12.5" x14ac:dyDescent="0.25">
      <c r="A7168" t="str">
        <f ca="1">IFERROR(__xludf.DUMMYFUNCTION("""COMPUTED_VALUE"""),"Salmonella Pakistan")</f>
        <v>Salmonella Pakistan</v>
      </c>
      <c r="B7168" t="str">
        <f ca="1">IFERROR(__xludf.DUMMYFUNCTION("""COMPUTED_VALUE"""),"RF-00000679-MCG")</f>
        <v>RF-00000679-MCG</v>
      </c>
    </row>
    <row r="7169" spans="1:2" ht="12.5" x14ac:dyDescent="0.25">
      <c r="A7169" t="str">
        <f ca="1">IFERROR(__xludf.DUMMYFUNCTION("""COMPUTED_VALUE"""),"Salmonella Palamaner")</f>
        <v>Salmonella Palamaner</v>
      </c>
      <c r="B7169" t="str">
        <f ca="1">IFERROR(__xludf.DUMMYFUNCTION("""COMPUTED_VALUE"""),"RF-00000678-MCG")</f>
        <v>RF-00000678-MCG</v>
      </c>
    </row>
    <row r="7170" spans="1:2" ht="12.5" x14ac:dyDescent="0.25">
      <c r="A7170" t="str">
        <f ca="1">IFERROR(__xludf.DUMMYFUNCTION("""COMPUTED_VALUE"""),"Salmonella Palime")</f>
        <v>Salmonella Palime</v>
      </c>
      <c r="B7170" t="str">
        <f ca="1">IFERROR(__xludf.DUMMYFUNCTION("""COMPUTED_VALUE"""),"RF-00000677-MCG")</f>
        <v>RF-00000677-MCG</v>
      </c>
    </row>
    <row r="7171" spans="1:2" ht="12.5" x14ac:dyDescent="0.25">
      <c r="A7171" t="str">
        <f ca="1">IFERROR(__xludf.DUMMYFUNCTION("""COMPUTED_VALUE"""),"Salmonella Panama")</f>
        <v>Salmonella Panama</v>
      </c>
      <c r="B7171" t="str">
        <f ca="1">IFERROR(__xludf.DUMMYFUNCTION("""COMPUTED_VALUE"""),"RF-00000676-MCG")</f>
        <v>RF-00000676-MCG</v>
      </c>
    </row>
    <row r="7172" spans="1:2" ht="12.5" x14ac:dyDescent="0.25">
      <c r="A7172" t="str">
        <f ca="1">IFERROR(__xludf.DUMMYFUNCTION("""COMPUTED_VALUE"""),"Salmonella Papuana")</f>
        <v>Salmonella Papuana</v>
      </c>
      <c r="B7172" t="str">
        <f ca="1">IFERROR(__xludf.DUMMYFUNCTION("""COMPUTED_VALUE"""),"RF-00000675-MCG")</f>
        <v>RF-00000675-MCG</v>
      </c>
    </row>
    <row r="7173" spans="1:2" ht="12.5" x14ac:dyDescent="0.25">
      <c r="A7173" t="str">
        <f ca="1">IFERROR(__xludf.DUMMYFUNCTION("""COMPUTED_VALUE"""),"Salmonella Paratyphi")</f>
        <v>Salmonella Paratyphi</v>
      </c>
      <c r="B7173" t="str">
        <f ca="1">IFERROR(__xludf.DUMMYFUNCTION("""COMPUTED_VALUE"""),"RF-00000674-MCG")</f>
        <v>RF-00000674-MCG</v>
      </c>
    </row>
    <row r="7174" spans="1:2" ht="12.5" x14ac:dyDescent="0.25">
      <c r="A7174" t="str">
        <f ca="1">IFERROR(__xludf.DUMMYFUNCTION("""COMPUTED_VALUE"""),"Salmonella Paratyphi A")</f>
        <v>Salmonella Paratyphi A</v>
      </c>
      <c r="B7174" t="str">
        <f ca="1">IFERROR(__xludf.DUMMYFUNCTION("""COMPUTED_VALUE"""),"RF-00000673-MCG")</f>
        <v>RF-00000673-MCG</v>
      </c>
    </row>
    <row r="7175" spans="1:2" ht="12.5" x14ac:dyDescent="0.25">
      <c r="A7175" t="str">
        <f ca="1">IFERROR(__xludf.DUMMYFUNCTION("""COMPUTED_VALUE"""),"Salmonella Paratyphi B")</f>
        <v>Salmonella Paratyphi B</v>
      </c>
      <c r="B7175" t="str">
        <f ca="1">IFERROR(__xludf.DUMMYFUNCTION("""COMPUTED_VALUE"""),"RF-00000996-MCG")</f>
        <v>RF-00000996-MCG</v>
      </c>
    </row>
    <row r="7176" spans="1:2" ht="12.5" x14ac:dyDescent="0.25">
      <c r="A7176" t="str">
        <f ca="1">IFERROR(__xludf.DUMMYFUNCTION("""COMPUTED_VALUE"""),"Salmonella Paratyphi C")</f>
        <v>Salmonella Paratyphi C</v>
      </c>
      <c r="B7176" t="str">
        <f ca="1">IFERROR(__xludf.DUMMYFUNCTION("""COMPUTED_VALUE"""),"RF-00000941-MCG")</f>
        <v>RF-00000941-MCG</v>
      </c>
    </row>
    <row r="7177" spans="1:2" ht="12.5" x14ac:dyDescent="0.25">
      <c r="A7177" t="str">
        <f ca="1">IFERROR(__xludf.DUMMYFUNCTION("""COMPUTED_VALUE"""),"Salmonella Paris")</f>
        <v>Salmonella Paris</v>
      </c>
      <c r="B7177" t="str">
        <f ca="1">IFERROR(__xludf.DUMMYFUNCTION("""COMPUTED_VALUE"""),"RF-00001266-MCG")</f>
        <v>RF-00001266-MCG</v>
      </c>
    </row>
    <row r="7178" spans="1:2" ht="12.5" x14ac:dyDescent="0.25">
      <c r="A7178" t="str">
        <f ca="1">IFERROR(__xludf.DUMMYFUNCTION("""COMPUTED_VALUE"""),"Salmonella Parkroyal")</f>
        <v>Salmonella Parkroyal</v>
      </c>
      <c r="B7178" t="str">
        <f ca="1">IFERROR(__xludf.DUMMYFUNCTION("""COMPUTED_VALUE"""),"RF-00001265-MCG")</f>
        <v>RF-00001265-MCG</v>
      </c>
    </row>
    <row r="7179" spans="1:2" ht="12.5" x14ac:dyDescent="0.25">
      <c r="A7179" t="str">
        <f ca="1">IFERROR(__xludf.DUMMYFUNCTION("""COMPUTED_VALUE"""),"Salmonella Pasing")</f>
        <v>Salmonella Pasing</v>
      </c>
      <c r="B7179" t="str">
        <f ca="1">IFERROR(__xludf.DUMMYFUNCTION("""COMPUTED_VALUE"""),"RF-00001264-MCG")</f>
        <v>RF-00001264-MCG</v>
      </c>
    </row>
    <row r="7180" spans="1:2" ht="12.5" x14ac:dyDescent="0.25">
      <c r="A7180" t="str">
        <f ca="1">IFERROR(__xludf.DUMMYFUNCTION("""COMPUTED_VALUE"""),"Salmonella Patience")</f>
        <v>Salmonella Patience</v>
      </c>
      <c r="B7180" t="str">
        <f ca="1">IFERROR(__xludf.DUMMYFUNCTION("""COMPUTED_VALUE"""),"RF-00001263-MCG")</f>
        <v>RF-00001263-MCG</v>
      </c>
    </row>
    <row r="7181" spans="1:2" ht="12.5" x14ac:dyDescent="0.25">
      <c r="A7181" t="str">
        <f ca="1">IFERROR(__xludf.DUMMYFUNCTION("""COMPUTED_VALUE"""),"Salmonella Penarth")</f>
        <v>Salmonella Penarth</v>
      </c>
      <c r="B7181" t="str">
        <f ca="1">IFERROR(__xludf.DUMMYFUNCTION("""COMPUTED_VALUE"""),"RF-00001262-MCG")</f>
        <v>RF-00001262-MCG</v>
      </c>
    </row>
    <row r="7182" spans="1:2" ht="12.5" x14ac:dyDescent="0.25">
      <c r="A7182" t="str">
        <f ca="1">IFERROR(__xludf.DUMMYFUNCTION("""COMPUTED_VALUE"""),"Salmonella Penilla")</f>
        <v>Salmonella Penilla</v>
      </c>
      <c r="B7182" t="str">
        <f ca="1">IFERROR(__xludf.DUMMYFUNCTION("""COMPUTED_VALUE"""),"RF-00001261-MCG")</f>
        <v>RF-00001261-MCG</v>
      </c>
    </row>
    <row r="7183" spans="1:2" ht="12.5" x14ac:dyDescent="0.25">
      <c r="A7183" t="str">
        <f ca="1">IFERROR(__xludf.DUMMYFUNCTION("""COMPUTED_VALUE"""),"Salmonella Pensacola")</f>
        <v>Salmonella Pensacola</v>
      </c>
      <c r="B7183" t="str">
        <f ca="1">IFERROR(__xludf.DUMMYFUNCTION("""COMPUTED_VALUE"""),"RF-00001260-MCG")</f>
        <v>RF-00001260-MCG</v>
      </c>
    </row>
    <row r="7184" spans="1:2" ht="12.5" x14ac:dyDescent="0.25">
      <c r="A7184" t="str">
        <f ca="1">IFERROR(__xludf.DUMMYFUNCTION("""COMPUTED_VALUE"""),"Salmonella Perth")</f>
        <v>Salmonella Perth</v>
      </c>
      <c r="B7184" t="str">
        <f ca="1">IFERROR(__xludf.DUMMYFUNCTION("""COMPUTED_VALUE"""),"RF-00001259-MCG")</f>
        <v>RF-00001259-MCG</v>
      </c>
    </row>
    <row r="7185" spans="1:2" ht="12.5" x14ac:dyDescent="0.25">
      <c r="A7185" t="str">
        <f ca="1">IFERROR(__xludf.DUMMYFUNCTION("""COMPUTED_VALUE"""),"Salmonella Petahtikve")</f>
        <v>Salmonella Petahtikve</v>
      </c>
      <c r="B7185" t="str">
        <f ca="1">IFERROR(__xludf.DUMMYFUNCTION("""COMPUTED_VALUE"""),"RF-00001258-MCG")</f>
        <v>RF-00001258-MCG</v>
      </c>
    </row>
    <row r="7186" spans="1:2" ht="12.5" x14ac:dyDescent="0.25">
      <c r="A7186" t="str">
        <f ca="1">IFERROR(__xludf.DUMMYFUNCTION("""COMPUTED_VALUE"""),"Salmonella Phaliron")</f>
        <v>Salmonella Phaliron</v>
      </c>
      <c r="B7186" t="str">
        <f ca="1">IFERROR(__xludf.DUMMYFUNCTION("""COMPUTED_VALUE"""),"RF-00001257-MCG")</f>
        <v>RF-00001257-MCG</v>
      </c>
    </row>
    <row r="7187" spans="1:2" ht="12.5" x14ac:dyDescent="0.25">
      <c r="A7187" t="str">
        <f ca="1">IFERROR(__xludf.DUMMYFUNCTION("""COMPUTED_VALUE"""),"Salmonella Pharr")</f>
        <v>Salmonella Pharr</v>
      </c>
      <c r="B7187" t="str">
        <f ca="1">IFERROR(__xludf.DUMMYFUNCTION("""COMPUTED_VALUE"""),"RF-00001242-MCG")</f>
        <v>RF-00001242-MCG</v>
      </c>
    </row>
    <row r="7188" spans="1:2" ht="12.5" x14ac:dyDescent="0.25">
      <c r="A7188" t="str">
        <f ca="1">IFERROR(__xludf.DUMMYFUNCTION("""COMPUTED_VALUE"""),"Salmonella Pietersburg")</f>
        <v>Salmonella Pietersburg</v>
      </c>
      <c r="B7188" t="str">
        <f ca="1">IFERROR(__xludf.DUMMYFUNCTION("""COMPUTED_VALUE"""),"RF-00001255-MCG")</f>
        <v>RF-00001255-MCG</v>
      </c>
    </row>
    <row r="7189" spans="1:2" ht="12.5" x14ac:dyDescent="0.25">
      <c r="A7189" t="str">
        <f ca="1">IFERROR(__xludf.DUMMYFUNCTION("""COMPUTED_VALUE"""),"Salmonella Pisa")</f>
        <v>Salmonella Pisa</v>
      </c>
      <c r="B7189" t="str">
        <f ca="1">IFERROR(__xludf.DUMMYFUNCTION("""COMPUTED_VALUE"""),"RF-00001268-MCG")</f>
        <v>RF-00001268-MCG</v>
      </c>
    </row>
    <row r="7190" spans="1:2" ht="12.5" x14ac:dyDescent="0.25">
      <c r="A7190" t="str">
        <f ca="1">IFERROR(__xludf.DUMMYFUNCTION("""COMPUTED_VALUE"""),"Salmonella Planckendael")</f>
        <v>Salmonella Planckendael</v>
      </c>
      <c r="B7190" t="str">
        <f ca="1">IFERROR(__xludf.DUMMYFUNCTION("""COMPUTED_VALUE"""),"RF-00001253-MCG")</f>
        <v>RF-00001253-MCG</v>
      </c>
    </row>
    <row r="7191" spans="1:2" ht="12.5" x14ac:dyDescent="0.25">
      <c r="A7191" t="str">
        <f ca="1">IFERROR(__xludf.DUMMYFUNCTION("""COMPUTED_VALUE"""),"Salmonella Ploufragan")</f>
        <v>Salmonella Ploufragan</v>
      </c>
      <c r="B7191" t="str">
        <f ca="1">IFERROR(__xludf.DUMMYFUNCTION("""COMPUTED_VALUE"""),"RF-00001252-MCG")</f>
        <v>RF-00001252-MCG</v>
      </c>
    </row>
    <row r="7192" spans="1:2" ht="12.5" x14ac:dyDescent="0.25">
      <c r="A7192" t="str">
        <f ca="1">IFERROR(__xludf.DUMMYFUNCTION("""COMPUTED_VALUE"""),"Salmonella Plymouth")</f>
        <v>Salmonella Plymouth</v>
      </c>
      <c r="B7192" t="str">
        <f ca="1">IFERROR(__xludf.DUMMYFUNCTION("""COMPUTED_VALUE"""),"RF-00001251-MCG")</f>
        <v>RF-00001251-MCG</v>
      </c>
    </row>
    <row r="7193" spans="1:2" ht="12.5" x14ac:dyDescent="0.25">
      <c r="A7193" t="str">
        <f ca="1">IFERROR(__xludf.DUMMYFUNCTION("""COMPUTED_VALUE"""),"Salmonella Poano")</f>
        <v>Salmonella Poano</v>
      </c>
      <c r="B7193" t="str">
        <f ca="1">IFERROR(__xludf.DUMMYFUNCTION("""COMPUTED_VALUE"""),"RF-00001250-MCG")</f>
        <v>RF-00001250-MCG</v>
      </c>
    </row>
    <row r="7194" spans="1:2" ht="12.5" x14ac:dyDescent="0.25">
      <c r="A7194" t="str">
        <f ca="1">IFERROR(__xludf.DUMMYFUNCTION("""COMPUTED_VALUE"""),"Salmonella Poeseldorf")</f>
        <v>Salmonella Poeseldorf</v>
      </c>
      <c r="B7194" t="str">
        <f ca="1">IFERROR(__xludf.DUMMYFUNCTION("""COMPUTED_VALUE"""),"RF-00001249-MCG")</f>
        <v>RF-00001249-MCG</v>
      </c>
    </row>
    <row r="7195" spans="1:2" ht="12.5" x14ac:dyDescent="0.25">
      <c r="A7195" t="str">
        <f ca="1">IFERROR(__xludf.DUMMYFUNCTION("""COMPUTED_VALUE"""),"Salmonella Poitiers")</f>
        <v>Salmonella Poitiers</v>
      </c>
      <c r="B7195" t="str">
        <f ca="1">IFERROR(__xludf.DUMMYFUNCTION("""COMPUTED_VALUE"""),"RF-00001248-MCG")</f>
        <v>RF-00001248-MCG</v>
      </c>
    </row>
    <row r="7196" spans="1:2" ht="12.5" x14ac:dyDescent="0.25">
      <c r="A7196" t="str">
        <f ca="1">IFERROR(__xludf.DUMMYFUNCTION("""COMPUTED_VALUE"""),"Salmonella Pomona")</f>
        <v>Salmonella Pomona</v>
      </c>
      <c r="B7196" t="str">
        <f ca="1">IFERROR(__xludf.DUMMYFUNCTION("""COMPUTED_VALUE"""),"RF-00001247-MCG")</f>
        <v>RF-00001247-MCG</v>
      </c>
    </row>
    <row r="7197" spans="1:2" ht="12.5" x14ac:dyDescent="0.25">
      <c r="A7197" t="str">
        <f ca="1">IFERROR(__xludf.DUMMYFUNCTION("""COMPUTED_VALUE"""),"Salmonella Pontypridd")</f>
        <v>Salmonella Pontypridd</v>
      </c>
      <c r="B7197" t="str">
        <f ca="1">IFERROR(__xludf.DUMMYFUNCTION("""COMPUTED_VALUE"""),"RF-00001246-MCG")</f>
        <v>RF-00001246-MCG</v>
      </c>
    </row>
    <row r="7198" spans="1:2" ht="12.5" x14ac:dyDescent="0.25">
      <c r="A7198" t="str">
        <f ca="1">IFERROR(__xludf.DUMMYFUNCTION("""COMPUTED_VALUE"""),"Salmonella Poona")</f>
        <v>Salmonella Poona</v>
      </c>
      <c r="B7198" t="str">
        <f ca="1">IFERROR(__xludf.DUMMYFUNCTION("""COMPUTED_VALUE"""),"RF-00001245-MCG")</f>
        <v>RF-00001245-MCG</v>
      </c>
    </row>
    <row r="7199" spans="1:2" ht="12.5" x14ac:dyDescent="0.25">
      <c r="A7199" t="str">
        <f ca="1">IFERROR(__xludf.DUMMYFUNCTION("""COMPUTED_VALUE"""),"Salmonella Portanigra")</f>
        <v>Salmonella Portanigra</v>
      </c>
      <c r="B7199" t="str">
        <f ca="1">IFERROR(__xludf.DUMMYFUNCTION("""COMPUTED_VALUE"""),"RF-00001244-MCG")</f>
        <v>RF-00001244-MCG</v>
      </c>
    </row>
    <row r="7200" spans="1:2" ht="12.5" x14ac:dyDescent="0.25">
      <c r="A7200" t="str">
        <f ca="1">IFERROR(__xludf.DUMMYFUNCTION("""COMPUTED_VALUE"""),"Salmonella Portland")</f>
        <v>Salmonella Portland</v>
      </c>
      <c r="B7200" t="str">
        <f ca="1">IFERROR(__xludf.DUMMYFUNCTION("""COMPUTED_VALUE"""),"RF-00001243-MCG")</f>
        <v>RF-00001243-MCG</v>
      </c>
    </row>
    <row r="7201" spans="1:2" ht="12.5" x14ac:dyDescent="0.25">
      <c r="A7201" t="str">
        <f ca="1">IFERROR(__xludf.DUMMYFUNCTION("""COMPUTED_VALUE"""),"Salmonella Potengi")</f>
        <v>Salmonella Potengi</v>
      </c>
      <c r="B7201" t="str">
        <f ca="1">IFERROR(__xludf.DUMMYFUNCTION("""COMPUTED_VALUE"""),"RF-00001281-MCG")</f>
        <v>RF-00001281-MCG</v>
      </c>
    </row>
    <row r="7202" spans="1:2" ht="12.5" x14ac:dyDescent="0.25">
      <c r="A7202" t="str">
        <f ca="1">IFERROR(__xludf.DUMMYFUNCTION("""COMPUTED_VALUE"""),"Salmonella Potosi")</f>
        <v>Salmonella Potosi</v>
      </c>
      <c r="B7202" t="str">
        <f ca="1">IFERROR(__xludf.DUMMYFUNCTION("""COMPUTED_VALUE"""),"RF-00001283-MCG")</f>
        <v>RF-00001283-MCG</v>
      </c>
    </row>
    <row r="7203" spans="1:2" ht="12.5" x14ac:dyDescent="0.25">
      <c r="A7203" t="str">
        <f ca="1">IFERROR(__xludf.DUMMYFUNCTION("""COMPUTED_VALUE"""),"Salmonella Potsdam")</f>
        <v>Salmonella Potsdam</v>
      </c>
      <c r="B7203" t="str">
        <f ca="1">IFERROR(__xludf.DUMMYFUNCTION("""COMPUTED_VALUE"""),"RF-00001256-MCG")</f>
        <v>RF-00001256-MCG</v>
      </c>
    </row>
    <row r="7204" spans="1:2" ht="12.5" x14ac:dyDescent="0.25">
      <c r="A7204" t="str">
        <f ca="1">IFERROR(__xludf.DUMMYFUNCTION("""COMPUTED_VALUE"""),"Salmonella Potto")</f>
        <v>Salmonella Potto</v>
      </c>
      <c r="B7204" t="str">
        <f ca="1">IFERROR(__xludf.DUMMYFUNCTION("""COMPUTED_VALUE"""),"RF-00001294-MCG")</f>
        <v>RF-00001294-MCG</v>
      </c>
    </row>
    <row r="7205" spans="1:2" ht="12.5" x14ac:dyDescent="0.25">
      <c r="A7205" t="str">
        <f ca="1">IFERROR(__xludf.DUMMYFUNCTION("""COMPUTED_VALUE"""),"Salmonella Powell")</f>
        <v>Salmonella Powell</v>
      </c>
      <c r="B7205" t="str">
        <f ca="1">IFERROR(__xludf.DUMMYFUNCTION("""COMPUTED_VALUE"""),"RF-00001293-MCG")</f>
        <v>RF-00001293-MCG</v>
      </c>
    </row>
    <row r="7206" spans="1:2" ht="12.5" x14ac:dyDescent="0.25">
      <c r="A7206" t="str">
        <f ca="1">IFERROR(__xludf.DUMMYFUNCTION("""COMPUTED_VALUE"""),"Salmonella Praha")</f>
        <v>Salmonella Praha</v>
      </c>
      <c r="B7206" t="str">
        <f ca="1">IFERROR(__xludf.DUMMYFUNCTION("""COMPUTED_VALUE"""),"RF-00001292-MCG")</f>
        <v>RF-00001292-MCG</v>
      </c>
    </row>
    <row r="7207" spans="1:2" ht="12.5" x14ac:dyDescent="0.25">
      <c r="A7207" t="str">
        <f ca="1">IFERROR(__xludf.DUMMYFUNCTION("""COMPUTED_VALUE"""),"Salmonella Pramiso")</f>
        <v>Salmonella Pramiso</v>
      </c>
      <c r="B7207" t="str">
        <f ca="1">IFERROR(__xludf.DUMMYFUNCTION("""COMPUTED_VALUE"""),"RF-00001291-MCG")</f>
        <v>RF-00001291-MCG</v>
      </c>
    </row>
    <row r="7208" spans="1:2" ht="12.5" x14ac:dyDescent="0.25">
      <c r="A7208" t="str">
        <f ca="1">IFERROR(__xludf.DUMMYFUNCTION("""COMPUTED_VALUE"""),"Salmonella Presov")</f>
        <v>Salmonella Presov</v>
      </c>
      <c r="B7208" t="str">
        <f ca="1">IFERROR(__xludf.DUMMYFUNCTION("""COMPUTED_VALUE"""),"RF-00001290-MCG")</f>
        <v>RF-00001290-MCG</v>
      </c>
    </row>
    <row r="7209" spans="1:2" ht="12.5" x14ac:dyDescent="0.25">
      <c r="A7209" t="str">
        <f ca="1">IFERROR(__xludf.DUMMYFUNCTION("""COMPUTED_VALUE"""),"Salmonella Preston")</f>
        <v>Salmonella Preston</v>
      </c>
      <c r="B7209" t="str">
        <f ca="1">IFERROR(__xludf.DUMMYFUNCTION("""COMPUTED_VALUE"""),"RF-00001289-MCG")</f>
        <v>RF-00001289-MCG</v>
      </c>
    </row>
    <row r="7210" spans="1:2" ht="12.5" x14ac:dyDescent="0.25">
      <c r="A7210" t="str">
        <f ca="1">IFERROR(__xludf.DUMMYFUNCTION("""COMPUTED_VALUE"""),"Salmonella Pretoria")</f>
        <v>Salmonella Pretoria</v>
      </c>
      <c r="B7210" t="str">
        <f ca="1">IFERROR(__xludf.DUMMYFUNCTION("""COMPUTED_VALUE"""),"RF-00001288-MCG")</f>
        <v>RF-00001288-MCG</v>
      </c>
    </row>
    <row r="7211" spans="1:2" ht="12.5" x14ac:dyDescent="0.25">
      <c r="A7211" t="str">
        <f ca="1">IFERROR(__xludf.DUMMYFUNCTION("""COMPUTED_VALUE"""),"Salmonella Putten")</f>
        <v>Salmonella Putten</v>
      </c>
      <c r="B7211" t="str">
        <f ca="1">IFERROR(__xludf.DUMMYFUNCTION("""COMPUTED_VALUE"""),"RF-00001287-MCG")</f>
        <v>RF-00001287-MCG</v>
      </c>
    </row>
    <row r="7212" spans="1:2" ht="12.5" x14ac:dyDescent="0.25">
      <c r="A7212" t="str">
        <f ca="1">IFERROR(__xludf.DUMMYFUNCTION("""COMPUTED_VALUE"""),"Salmonella Quebec")</f>
        <v>Salmonella Quebec</v>
      </c>
      <c r="B7212" t="str">
        <f ca="1">IFERROR(__xludf.DUMMYFUNCTION("""COMPUTED_VALUE"""),"RF-00001286-MCG")</f>
        <v>RF-00001286-MCG</v>
      </c>
    </row>
    <row r="7213" spans="1:2" ht="12.5" x14ac:dyDescent="0.25">
      <c r="A7213" t="str">
        <f ca="1">IFERROR(__xludf.DUMMYFUNCTION("""COMPUTED_VALUE"""),"Salmonella Quentin")</f>
        <v>Salmonella Quentin</v>
      </c>
      <c r="B7213" t="str">
        <f ca="1">IFERROR(__xludf.DUMMYFUNCTION("""COMPUTED_VALUE"""),"RF-00001285-MCG")</f>
        <v>RF-00001285-MCG</v>
      </c>
    </row>
    <row r="7214" spans="1:2" ht="12.5" x14ac:dyDescent="0.25">
      <c r="A7214" t="str">
        <f ca="1">IFERROR(__xludf.DUMMYFUNCTION("""COMPUTED_VALUE"""),"Salmonella Quinhon")</f>
        <v>Salmonella Quinhon</v>
      </c>
      <c r="B7214" t="str">
        <f ca="1">IFERROR(__xludf.DUMMYFUNCTION("""COMPUTED_VALUE"""),"RF-00001284-MCG")</f>
        <v>RF-00001284-MCG</v>
      </c>
    </row>
    <row r="7215" spans="1:2" ht="12.5" x14ac:dyDescent="0.25">
      <c r="A7215" t="str">
        <f ca="1">IFERROR(__xludf.DUMMYFUNCTION("""COMPUTED_VALUE"""),"Salmonella Quiniela")</f>
        <v>Salmonella Quiniela</v>
      </c>
      <c r="B7215" t="str">
        <f ca="1">IFERROR(__xludf.DUMMYFUNCTION("""COMPUTED_VALUE"""),"RF-00001269-MCG")</f>
        <v>RF-00001269-MCG</v>
      </c>
    </row>
    <row r="7216" spans="1:2" ht="12.5" x14ac:dyDescent="0.25">
      <c r="A7216" t="str">
        <f ca="1">IFERROR(__xludf.DUMMYFUNCTION("""COMPUTED_VALUE"""),"Salmonella Ramatgan")</f>
        <v>Salmonella Ramatgan</v>
      </c>
      <c r="B7216" t="str">
        <f ca="1">IFERROR(__xludf.DUMMYFUNCTION("""COMPUTED_VALUE"""),"RF-00001282-MCG")</f>
        <v>RF-00001282-MCG</v>
      </c>
    </row>
    <row r="7217" spans="1:2" ht="12.5" x14ac:dyDescent="0.25">
      <c r="A7217" t="str">
        <f ca="1">IFERROR(__xludf.DUMMYFUNCTION("""COMPUTED_VALUE"""),"Salmonella Ramsey")</f>
        <v>Salmonella Ramsey</v>
      </c>
      <c r="B7217" t="str">
        <f ca="1">IFERROR(__xludf.DUMMYFUNCTION("""COMPUTED_VALUE"""),"RF-00001296-MCG")</f>
        <v>RF-00001296-MCG</v>
      </c>
    </row>
    <row r="7218" spans="1:2" ht="12.5" x14ac:dyDescent="0.25">
      <c r="A7218" t="str">
        <f ca="1">IFERROR(__xludf.DUMMYFUNCTION("""COMPUTED_VALUE"""),"Salmonella Raus")</f>
        <v>Salmonella Raus</v>
      </c>
      <c r="B7218" t="str">
        <f ca="1">IFERROR(__xludf.DUMMYFUNCTION("""COMPUTED_VALUE"""),"RF-00001280-MCG")</f>
        <v>RF-00001280-MCG</v>
      </c>
    </row>
    <row r="7219" spans="1:2" ht="12.5" x14ac:dyDescent="0.25">
      <c r="A7219" t="str">
        <f ca="1">IFERROR(__xludf.DUMMYFUNCTION("""COMPUTED_VALUE"""),"Salmonella Rawash")</f>
        <v>Salmonella Rawash</v>
      </c>
      <c r="B7219" t="str">
        <f ca="1">IFERROR(__xludf.DUMMYFUNCTION("""COMPUTED_VALUE"""),"RF-00001279-MCG")</f>
        <v>RF-00001279-MCG</v>
      </c>
    </row>
    <row r="7220" spans="1:2" ht="12.5" x14ac:dyDescent="0.25">
      <c r="A7220" t="str">
        <f ca="1">IFERROR(__xludf.DUMMYFUNCTION("""COMPUTED_VALUE"""),"Salmonella Reading")</f>
        <v>Salmonella Reading</v>
      </c>
      <c r="B7220" t="str">
        <f ca="1">IFERROR(__xludf.DUMMYFUNCTION("""COMPUTED_VALUE"""),"RF-00001278-MCG")</f>
        <v>RF-00001278-MCG</v>
      </c>
    </row>
    <row r="7221" spans="1:2" ht="12.5" x14ac:dyDescent="0.25">
      <c r="A7221" t="str">
        <f ca="1">IFERROR(__xludf.DUMMYFUNCTION("""COMPUTED_VALUE"""),"Salmonella Rechovot")</f>
        <v>Salmonella Rechovot</v>
      </c>
      <c r="B7221" t="str">
        <f ca="1">IFERROR(__xludf.DUMMYFUNCTION("""COMPUTED_VALUE"""),"RF-00001277-MCG")</f>
        <v>RF-00001277-MCG</v>
      </c>
    </row>
    <row r="7222" spans="1:2" ht="12.5" x14ac:dyDescent="0.25">
      <c r="A7222" t="str">
        <f ca="1">IFERROR(__xludf.DUMMYFUNCTION("""COMPUTED_VALUE"""),"Salmonella Redba")</f>
        <v>Salmonella Redba</v>
      </c>
      <c r="B7222" t="str">
        <f ca="1">IFERROR(__xludf.DUMMYFUNCTION("""COMPUTED_VALUE"""),"RF-00001276-MCG")</f>
        <v>RF-00001276-MCG</v>
      </c>
    </row>
    <row r="7223" spans="1:2" ht="12.5" x14ac:dyDescent="0.25">
      <c r="A7223" t="str">
        <f ca="1">IFERROR(__xludf.DUMMYFUNCTION("""COMPUTED_VALUE"""),"Salmonella Redhill")</f>
        <v>Salmonella Redhill</v>
      </c>
      <c r="B7223" t="str">
        <f ca="1">IFERROR(__xludf.DUMMYFUNCTION("""COMPUTED_VALUE"""),"RF-00001275-MCG")</f>
        <v>RF-00001275-MCG</v>
      </c>
    </row>
    <row r="7224" spans="1:2" ht="12.5" x14ac:dyDescent="0.25">
      <c r="A7224" t="str">
        <f ca="1">IFERROR(__xludf.DUMMYFUNCTION("""COMPUTED_VALUE"""),"Salmonella Redlands")</f>
        <v>Salmonella Redlands</v>
      </c>
      <c r="B7224" t="str">
        <f ca="1">IFERROR(__xludf.DUMMYFUNCTION("""COMPUTED_VALUE"""),"RF-00001274-MCG")</f>
        <v>RF-00001274-MCG</v>
      </c>
    </row>
    <row r="7225" spans="1:2" ht="12.5" x14ac:dyDescent="0.25">
      <c r="A7225" t="str">
        <f ca="1">IFERROR(__xludf.DUMMYFUNCTION("""COMPUTED_VALUE"""),"Salmonella Regent")</f>
        <v>Salmonella Regent</v>
      </c>
      <c r="B7225" t="str">
        <f ca="1">IFERROR(__xludf.DUMMYFUNCTION("""COMPUTED_VALUE"""),"RF-00001273-MCG")</f>
        <v>RF-00001273-MCG</v>
      </c>
    </row>
    <row r="7226" spans="1:2" ht="12.5" x14ac:dyDescent="0.25">
      <c r="A7226" t="str">
        <f ca="1">IFERROR(__xludf.DUMMYFUNCTION("""COMPUTED_VALUE"""),"Salmonella Reinickendorf")</f>
        <v>Salmonella Reinickendorf</v>
      </c>
      <c r="B7226" t="str">
        <f ca="1">IFERROR(__xludf.DUMMYFUNCTION("""COMPUTED_VALUE"""),"RF-00001272-MCG")</f>
        <v>RF-00001272-MCG</v>
      </c>
    </row>
    <row r="7227" spans="1:2" ht="12.5" x14ac:dyDescent="0.25">
      <c r="A7227" t="str">
        <f ca="1">IFERROR(__xludf.DUMMYFUNCTION("""COMPUTED_VALUE"""),"Salmonella Remete")</f>
        <v>Salmonella Remete</v>
      </c>
      <c r="B7227" t="str">
        <f ca="1">IFERROR(__xludf.DUMMYFUNCTION("""COMPUTED_VALUE"""),"RF-00001271-MCG")</f>
        <v>RF-00001271-MCG</v>
      </c>
    </row>
    <row r="7228" spans="1:2" ht="12.5" x14ac:dyDescent="0.25">
      <c r="A7228" t="str">
        <f ca="1">IFERROR(__xludf.DUMMYFUNCTION("""COMPUTED_VALUE"""),"Salmonella Remiremont")</f>
        <v>Salmonella Remiremont</v>
      </c>
      <c r="B7228" t="str">
        <f ca="1">IFERROR(__xludf.DUMMYFUNCTION("""COMPUTED_VALUE"""),"RF-00001229-MCG")</f>
        <v>RF-00001229-MCG</v>
      </c>
    </row>
    <row r="7229" spans="1:2" ht="12.5" x14ac:dyDescent="0.25">
      <c r="A7229" t="str">
        <f ca="1">IFERROR(__xludf.DUMMYFUNCTION("""COMPUTED_VALUE"""),"Salmonella Remo")</f>
        <v>Salmonella Remo</v>
      </c>
      <c r="B7229" t="str">
        <f ca="1">IFERROR(__xludf.DUMMYFUNCTION("""COMPUTED_VALUE"""),"RF-00001295-MCG")</f>
        <v>RF-00001295-MCG</v>
      </c>
    </row>
    <row r="7230" spans="1:2" ht="12.5" x14ac:dyDescent="0.25">
      <c r="A7230" t="str">
        <f ca="1">IFERROR(__xludf.DUMMYFUNCTION("""COMPUTED_VALUE"""),"Salmonella Reubeuss")</f>
        <v>Salmonella Reubeuss</v>
      </c>
      <c r="B7230" t="str">
        <f ca="1">IFERROR(__xludf.DUMMYFUNCTION("""COMPUTED_VALUE"""),"RF-00001254-MCG")</f>
        <v>RF-00001254-MCG</v>
      </c>
    </row>
    <row r="7231" spans="1:2" ht="12.5" x14ac:dyDescent="0.25">
      <c r="A7231" t="str">
        <f ca="1">IFERROR(__xludf.DUMMYFUNCTION("""COMPUTED_VALUE"""),"Salmonella Rhone")</f>
        <v>Salmonella Rhone</v>
      </c>
      <c r="B7231" t="str">
        <f ca="1">IFERROR(__xludf.DUMMYFUNCTION("""COMPUTED_VALUE"""),"RF-00001213-MCG")</f>
        <v>RF-00001213-MCG</v>
      </c>
    </row>
    <row r="7232" spans="1:2" ht="12.5" x14ac:dyDescent="0.25">
      <c r="A7232" t="str">
        <f ca="1">IFERROR(__xludf.DUMMYFUNCTION("""COMPUTED_VALUE"""),"Salmonella Rhydyfelin")</f>
        <v>Salmonella Rhydyfelin</v>
      </c>
      <c r="B7232" t="str">
        <f ca="1">IFERROR(__xludf.DUMMYFUNCTION("""COMPUTED_VALUE"""),"RF-00001212-MCG")</f>
        <v>RF-00001212-MCG</v>
      </c>
    </row>
    <row r="7233" spans="1:2" ht="12.5" x14ac:dyDescent="0.25">
      <c r="A7233" t="str">
        <f ca="1">IFERROR(__xludf.DUMMYFUNCTION("""COMPUTED_VALUE"""),"Salmonella Richmond")</f>
        <v>Salmonella Richmond</v>
      </c>
      <c r="B7233" t="str">
        <f ca="1">IFERROR(__xludf.DUMMYFUNCTION("""COMPUTED_VALUE"""),"RF-00001211-MCG")</f>
        <v>RF-00001211-MCG</v>
      </c>
    </row>
    <row r="7234" spans="1:2" ht="12.5" x14ac:dyDescent="0.25">
      <c r="A7234" t="str">
        <f ca="1">IFERROR(__xludf.DUMMYFUNCTION("""COMPUTED_VALUE"""),"Salmonella Rideau")</f>
        <v>Salmonella Rideau</v>
      </c>
      <c r="B7234" t="str">
        <f ca="1">IFERROR(__xludf.DUMMYFUNCTION("""COMPUTED_VALUE"""),"RF-00001210-MCG")</f>
        <v>RF-00001210-MCG</v>
      </c>
    </row>
    <row r="7235" spans="1:2" ht="12.5" x14ac:dyDescent="0.25">
      <c r="A7235" t="str">
        <f ca="1">IFERROR(__xludf.DUMMYFUNCTION("""COMPUTED_VALUE"""),"Salmonella Ridge")</f>
        <v>Salmonella Ridge</v>
      </c>
      <c r="B7235" t="str">
        <f ca="1">IFERROR(__xludf.DUMMYFUNCTION("""COMPUTED_VALUE"""),"RF-00001209-MCG")</f>
        <v>RF-00001209-MCG</v>
      </c>
    </row>
    <row r="7236" spans="1:2" ht="12.5" x14ac:dyDescent="0.25">
      <c r="A7236" t="str">
        <f ca="1">IFERROR(__xludf.DUMMYFUNCTION("""COMPUTED_VALUE"""),"Salmonella Ried")</f>
        <v>Salmonella Ried</v>
      </c>
      <c r="B7236" t="str">
        <f ca="1">IFERROR(__xludf.DUMMYFUNCTION("""COMPUTED_VALUE"""),"RF-00001208-MCG")</f>
        <v>RF-00001208-MCG</v>
      </c>
    </row>
    <row r="7237" spans="1:2" ht="12.5" x14ac:dyDescent="0.25">
      <c r="A7237" t="str">
        <f ca="1">IFERROR(__xludf.DUMMYFUNCTION("""COMPUTED_VALUE"""),"Salmonella Riggil")</f>
        <v>Salmonella Riggil</v>
      </c>
      <c r="B7237" t="str">
        <f ca="1">IFERROR(__xludf.DUMMYFUNCTION("""COMPUTED_VALUE"""),"RF-00001207-MCG")</f>
        <v>RF-00001207-MCG</v>
      </c>
    </row>
    <row r="7238" spans="1:2" ht="12.5" x14ac:dyDescent="0.25">
      <c r="A7238" t="str">
        <f ca="1">IFERROR(__xludf.DUMMYFUNCTION("""COMPUTED_VALUE"""),"Salmonella Riogrande")</f>
        <v>Salmonella Riogrande</v>
      </c>
      <c r="B7238" t="str">
        <f ca="1">IFERROR(__xludf.DUMMYFUNCTION("""COMPUTED_VALUE"""),"RF-00001206-MCG")</f>
        <v>RF-00001206-MCG</v>
      </c>
    </row>
    <row r="7239" spans="1:2" ht="12.5" x14ac:dyDescent="0.25">
      <c r="A7239" t="str">
        <f ca="1">IFERROR(__xludf.DUMMYFUNCTION("""COMPUTED_VALUE"""),"Salmonella Rissen")</f>
        <v>Salmonella Rissen</v>
      </c>
      <c r="B7239" t="str">
        <f ca="1">IFERROR(__xludf.DUMMYFUNCTION("""COMPUTED_VALUE"""),"RF-00001205-MCG")</f>
        <v>RF-00001205-MCG</v>
      </c>
    </row>
    <row r="7240" spans="1:2" ht="12.5" x14ac:dyDescent="0.25">
      <c r="A7240" t="str">
        <f ca="1">IFERROR(__xludf.DUMMYFUNCTION("""COMPUTED_VALUE"""),"Salmonella Rissen var. 14")</f>
        <v>Salmonella Rissen var. 14</v>
      </c>
      <c r="B7240" t="str">
        <f ca="1">IFERROR(__xludf.DUMMYFUNCTION("""COMPUTED_VALUE"""),"RF-00001204-MCG")</f>
        <v>RF-00001204-MCG</v>
      </c>
    </row>
    <row r="7241" spans="1:2" ht="12.5" x14ac:dyDescent="0.25">
      <c r="A7241" t="str">
        <f ca="1">IFERROR(__xludf.DUMMYFUNCTION("""COMPUTED_VALUE"""),"Salmonella Rittersbach")</f>
        <v>Salmonella Rittersbach</v>
      </c>
      <c r="B7241" t="str">
        <f ca="1">IFERROR(__xludf.DUMMYFUNCTION("""COMPUTED_VALUE"""),"RF-00001203-MCG")</f>
        <v>RF-00001203-MCG</v>
      </c>
    </row>
    <row r="7242" spans="1:2" ht="12.5" x14ac:dyDescent="0.25">
      <c r="A7242" t="str">
        <f ca="1">IFERROR(__xludf.DUMMYFUNCTION("""COMPUTED_VALUE"""),"Salmonella Riverside")</f>
        <v>Salmonella Riverside</v>
      </c>
      <c r="B7242" t="str">
        <f ca="1">IFERROR(__xludf.DUMMYFUNCTION("""COMPUTED_VALUE"""),"RF-00001188-MCG")</f>
        <v>RF-00001188-MCG</v>
      </c>
    </row>
    <row r="7243" spans="1:2" ht="12.5" x14ac:dyDescent="0.25">
      <c r="A7243" t="str">
        <f ca="1">IFERROR(__xludf.DUMMYFUNCTION("""COMPUTED_VALUE"""),"Salmonella Roan")</f>
        <v>Salmonella Roan</v>
      </c>
      <c r="B7243" t="str">
        <f ca="1">IFERROR(__xludf.DUMMYFUNCTION("""COMPUTED_VALUE"""),"RF-00001201-MCG")</f>
        <v>RF-00001201-MCG</v>
      </c>
    </row>
    <row r="7244" spans="1:2" ht="12.5" x14ac:dyDescent="0.25">
      <c r="A7244" t="str">
        <f ca="1">IFERROR(__xludf.DUMMYFUNCTION("""COMPUTED_VALUE"""),"Salmonella Rochdale")</f>
        <v>Salmonella Rochdale</v>
      </c>
      <c r="B7244" t="str">
        <f ca="1">IFERROR(__xludf.DUMMYFUNCTION("""COMPUTED_VALUE"""),"RF-00001214-MCG")</f>
        <v>RF-00001214-MCG</v>
      </c>
    </row>
    <row r="7245" spans="1:2" ht="12.5" x14ac:dyDescent="0.25">
      <c r="A7245" t="str">
        <f ca="1">IFERROR(__xludf.DUMMYFUNCTION("""COMPUTED_VALUE"""),"Salmonella Rogy")</f>
        <v>Salmonella Rogy</v>
      </c>
      <c r="B7245" t="str">
        <f ca="1">IFERROR(__xludf.DUMMYFUNCTION("""COMPUTED_VALUE"""),"RF-00001199-MCG")</f>
        <v>RF-00001199-MCG</v>
      </c>
    </row>
    <row r="7246" spans="1:2" ht="12.5" x14ac:dyDescent="0.25">
      <c r="A7246" t="str">
        <f ca="1">IFERROR(__xludf.DUMMYFUNCTION("""COMPUTED_VALUE"""),"Salmonella Romanby")</f>
        <v>Salmonella Romanby</v>
      </c>
      <c r="B7246" t="str">
        <f ca="1">IFERROR(__xludf.DUMMYFUNCTION("""COMPUTED_VALUE"""),"RF-00001198-MCG")</f>
        <v>RF-00001198-MCG</v>
      </c>
    </row>
    <row r="7247" spans="1:2" ht="12.5" x14ac:dyDescent="0.25">
      <c r="A7247" t="str">
        <f ca="1">IFERROR(__xludf.DUMMYFUNCTION("""COMPUTED_VALUE"""),"Salmonella Roodepoort")</f>
        <v>Salmonella Roodepoort</v>
      </c>
      <c r="B7247" t="str">
        <f ca="1">IFERROR(__xludf.DUMMYFUNCTION("""COMPUTED_VALUE"""),"RF-00001197-MCG")</f>
        <v>RF-00001197-MCG</v>
      </c>
    </row>
    <row r="7248" spans="1:2" ht="12.5" x14ac:dyDescent="0.25">
      <c r="A7248" t="str">
        <f ca="1">IFERROR(__xludf.DUMMYFUNCTION("""COMPUTED_VALUE"""),"Salmonella Rossleben")</f>
        <v>Salmonella Rossleben</v>
      </c>
      <c r="B7248" t="str">
        <f ca="1">IFERROR(__xludf.DUMMYFUNCTION("""COMPUTED_VALUE"""),"RF-00001196-MCG")</f>
        <v>RF-00001196-MCG</v>
      </c>
    </row>
    <row r="7249" spans="1:2" ht="12.5" x14ac:dyDescent="0.25">
      <c r="A7249" t="str">
        <f ca="1">IFERROR(__xludf.DUMMYFUNCTION("""COMPUTED_VALUE"""),"Salmonella Rostock")</f>
        <v>Salmonella Rostock</v>
      </c>
      <c r="B7249" t="str">
        <f ca="1">IFERROR(__xludf.DUMMYFUNCTION("""COMPUTED_VALUE"""),"RF-00001195-MCG")</f>
        <v>RF-00001195-MCG</v>
      </c>
    </row>
    <row r="7250" spans="1:2" ht="12.5" x14ac:dyDescent="0.25">
      <c r="A7250" t="str">
        <f ca="1">IFERROR(__xludf.DUMMYFUNCTION("""COMPUTED_VALUE"""),"Salmonella Rothenburgsort")</f>
        <v>Salmonella Rothenburgsort</v>
      </c>
      <c r="B7250" t="str">
        <f ca="1">IFERROR(__xludf.DUMMYFUNCTION("""COMPUTED_VALUE"""),"RF-00001194-MCG")</f>
        <v>RF-00001194-MCG</v>
      </c>
    </row>
    <row r="7251" spans="1:2" ht="12.5" x14ac:dyDescent="0.25">
      <c r="A7251" t="str">
        <f ca="1">IFERROR(__xludf.DUMMYFUNCTION("""COMPUTED_VALUE"""),"Salmonella Rottnest")</f>
        <v>Salmonella Rottnest</v>
      </c>
      <c r="B7251" t="str">
        <f ca="1">IFERROR(__xludf.DUMMYFUNCTION("""COMPUTED_VALUE"""),"RF-00001193-MCG")</f>
        <v>RF-00001193-MCG</v>
      </c>
    </row>
    <row r="7252" spans="1:2" ht="12.5" x14ac:dyDescent="0.25">
      <c r="A7252" t="str">
        <f ca="1">IFERROR(__xludf.DUMMYFUNCTION("""COMPUTED_VALUE"""),"Salmonella Rovaniemi")</f>
        <v>Salmonella Rovaniemi</v>
      </c>
      <c r="B7252" t="str">
        <f ca="1">IFERROR(__xludf.DUMMYFUNCTION("""COMPUTED_VALUE"""),"RF-00001192-MCG")</f>
        <v>RF-00001192-MCG</v>
      </c>
    </row>
    <row r="7253" spans="1:2" ht="12.5" x14ac:dyDescent="0.25">
      <c r="A7253" t="str">
        <f ca="1">IFERROR(__xludf.DUMMYFUNCTION("""COMPUTED_VALUE"""),"Salmonella Royan")</f>
        <v>Salmonella Royan</v>
      </c>
      <c r="B7253" t="str">
        <f ca="1">IFERROR(__xludf.DUMMYFUNCTION("""COMPUTED_VALUE"""),"RF-00001191-MCG")</f>
        <v>RF-00001191-MCG</v>
      </c>
    </row>
    <row r="7254" spans="1:2" ht="12.5" x14ac:dyDescent="0.25">
      <c r="A7254" t="str">
        <f ca="1">IFERROR(__xludf.DUMMYFUNCTION("""COMPUTED_VALUE"""),"Salmonella Ruanda")</f>
        <v>Salmonella Ruanda</v>
      </c>
      <c r="B7254" t="str">
        <f ca="1">IFERROR(__xludf.DUMMYFUNCTION("""COMPUTED_VALUE"""),"RF-00001190-MCG")</f>
        <v>RF-00001190-MCG</v>
      </c>
    </row>
    <row r="7255" spans="1:2" ht="12.5" x14ac:dyDescent="0.25">
      <c r="A7255" t="str">
        <f ca="1">IFERROR(__xludf.DUMMYFUNCTION("""COMPUTED_VALUE"""),"Salmonella Rubislaw")</f>
        <v>Salmonella Rubislaw</v>
      </c>
      <c r="B7255" t="str">
        <f ca="1">IFERROR(__xludf.DUMMYFUNCTION("""COMPUTED_VALUE"""),"RF-00001227-MCG")</f>
        <v>RF-00001227-MCG</v>
      </c>
    </row>
    <row r="7256" spans="1:2" ht="12.5" x14ac:dyDescent="0.25">
      <c r="A7256" t="str">
        <f ca="1">IFERROR(__xludf.DUMMYFUNCTION("""COMPUTED_VALUE"""),"Salmonella Ruiru")</f>
        <v>Salmonella Ruiru</v>
      </c>
      <c r="B7256" t="str">
        <f ca="1">IFERROR(__xludf.DUMMYFUNCTION("""COMPUTED_VALUE"""),"RF-00001200-MCG")</f>
        <v>RF-00001200-MCG</v>
      </c>
    </row>
    <row r="7257" spans="1:2" ht="12.5" x14ac:dyDescent="0.25">
      <c r="A7257" t="str">
        <f ca="1">IFERROR(__xludf.DUMMYFUNCTION("""COMPUTED_VALUE"""),"Salmonella Rumford")</f>
        <v>Salmonella Rumford</v>
      </c>
      <c r="B7257" t="str">
        <f ca="1">IFERROR(__xludf.DUMMYFUNCTION("""COMPUTED_VALUE"""),"RF-00001202-MCG")</f>
        <v>RF-00001202-MCG</v>
      </c>
    </row>
    <row r="7258" spans="1:2" ht="12.5" x14ac:dyDescent="0.25">
      <c r="A7258" t="str">
        <f ca="1">IFERROR(__xludf.DUMMYFUNCTION("""COMPUTED_VALUE"""),"Salmonella Runby")</f>
        <v>Salmonella Runby</v>
      </c>
      <c r="B7258" t="str">
        <f ca="1">IFERROR(__xludf.DUMMYFUNCTION("""COMPUTED_VALUE"""),"RF-00001240-MCG")</f>
        <v>RF-00001240-MCG</v>
      </c>
    </row>
    <row r="7259" spans="1:2" ht="12.5" x14ac:dyDescent="0.25">
      <c r="A7259" t="str">
        <f ca="1">IFERROR(__xludf.DUMMYFUNCTION("""COMPUTED_VALUE"""),"Salmonella Ruzizi")</f>
        <v>Salmonella Ruzizi</v>
      </c>
      <c r="B7259" t="str">
        <f ca="1">IFERROR(__xludf.DUMMYFUNCTION("""COMPUTED_VALUE"""),"RF-00001239-MCG")</f>
        <v>RF-00001239-MCG</v>
      </c>
    </row>
    <row r="7260" spans="1:2" ht="12.5" x14ac:dyDescent="0.25">
      <c r="A7260" t="str">
        <f ca="1">IFERROR(__xludf.DUMMYFUNCTION("""COMPUTED_VALUE"""),"Salmonella S. Typhimurium, monophasic DT 139")</f>
        <v>Salmonella S. Typhimurium, monophasic DT 139</v>
      </c>
      <c r="B7260" t="str">
        <f ca="1">IFERROR(__xludf.DUMMYFUNCTION("""COMPUTED_VALUE"""),"RF-00001326-PAR")</f>
        <v>RF-00001326-PAR</v>
      </c>
    </row>
    <row r="7261" spans="1:2" ht="12.5" x14ac:dyDescent="0.25">
      <c r="A7261" t="str">
        <f ca="1">IFERROR(__xludf.DUMMYFUNCTION("""COMPUTED_VALUE"""),"Salmonella S. Typhimurium, monophasic DT 190")</f>
        <v>Salmonella S. Typhimurium, monophasic DT 190</v>
      </c>
      <c r="B7261" t="str">
        <f ca="1">IFERROR(__xludf.DUMMYFUNCTION("""COMPUTED_VALUE"""),"RF-00001327-PAR")</f>
        <v>RF-00001327-PAR</v>
      </c>
    </row>
    <row r="7262" spans="1:2" ht="12.5" x14ac:dyDescent="0.25">
      <c r="A7262" t="str">
        <f ca="1">IFERROR(__xludf.DUMMYFUNCTION("""COMPUTED_VALUE"""),"Salmonella S.Typhimurium, monophasic DT 7a")</f>
        <v>Salmonella S.Typhimurium, monophasic DT 7a</v>
      </c>
      <c r="B7262" t="str">
        <f ca="1">IFERROR(__xludf.DUMMYFUNCTION("""COMPUTED_VALUE"""),"RF-00001314-PAR")</f>
        <v>RF-00001314-PAR</v>
      </c>
    </row>
    <row r="7263" spans="1:2" ht="12.5" x14ac:dyDescent="0.25">
      <c r="A7263" t="str">
        <f ca="1">IFERROR(__xludf.DUMMYFUNCTION("""COMPUTED_VALUE"""),"Salmonella Saarbruecken")</f>
        <v>Salmonella Saarbruecken</v>
      </c>
      <c r="B7263" t="str">
        <f ca="1">IFERROR(__xludf.DUMMYFUNCTION("""COMPUTED_VALUE"""),"RF-00001238-MCG")</f>
        <v>RF-00001238-MCG</v>
      </c>
    </row>
    <row r="7264" spans="1:2" ht="12.5" x14ac:dyDescent="0.25">
      <c r="A7264" t="str">
        <f ca="1">IFERROR(__xludf.DUMMYFUNCTION("""COMPUTED_VALUE"""),"Salmonella Saboya")</f>
        <v>Salmonella Saboya</v>
      </c>
      <c r="B7264" t="str">
        <f ca="1">IFERROR(__xludf.DUMMYFUNCTION("""COMPUTED_VALUE"""),"RF-00001237-MCG")</f>
        <v>RF-00001237-MCG</v>
      </c>
    </row>
    <row r="7265" spans="1:2" ht="12.5" x14ac:dyDescent="0.25">
      <c r="A7265" t="str">
        <f ca="1">IFERROR(__xludf.DUMMYFUNCTION("""COMPUTED_VALUE"""),"Salmonella Sada")</f>
        <v>Salmonella Sada</v>
      </c>
      <c r="B7265" t="str">
        <f ca="1">IFERROR(__xludf.DUMMYFUNCTION("""COMPUTED_VALUE"""),"RF-00001236-MCG")</f>
        <v>RF-00001236-MCG</v>
      </c>
    </row>
    <row r="7266" spans="1:2" ht="12.5" x14ac:dyDescent="0.25">
      <c r="A7266" t="str">
        <f ca="1">IFERROR(__xludf.DUMMYFUNCTION("""COMPUTED_VALUE"""),"Salmonella Saintemarie")</f>
        <v>Salmonella Saintemarie</v>
      </c>
      <c r="B7266" t="str">
        <f ca="1">IFERROR(__xludf.DUMMYFUNCTION("""COMPUTED_VALUE"""),"RF-00001235-MCG")</f>
        <v>RF-00001235-MCG</v>
      </c>
    </row>
    <row r="7267" spans="1:2" ht="12.5" x14ac:dyDescent="0.25">
      <c r="A7267" t="str">
        <f ca="1">IFERROR(__xludf.DUMMYFUNCTION("""COMPUTED_VALUE"""),"Salmonella Saintpaul")</f>
        <v>Salmonella Saintpaul</v>
      </c>
      <c r="B7267" t="str">
        <f ca="1">IFERROR(__xludf.DUMMYFUNCTION("""COMPUTED_VALUE"""),"RF-00001234-MCG")</f>
        <v>RF-00001234-MCG</v>
      </c>
    </row>
    <row r="7268" spans="1:2" ht="12.5" x14ac:dyDescent="0.25">
      <c r="A7268" t="str">
        <f ca="1">IFERROR(__xludf.DUMMYFUNCTION("""COMPUTED_VALUE"""),"Salmonella Salford")</f>
        <v>Salmonella Salford</v>
      </c>
      <c r="B7268" t="str">
        <f ca="1">IFERROR(__xludf.DUMMYFUNCTION("""COMPUTED_VALUE"""),"RF-00001233-MCG")</f>
        <v>RF-00001233-MCG</v>
      </c>
    </row>
    <row r="7269" spans="1:2" ht="12.5" x14ac:dyDescent="0.25">
      <c r="A7269" t="str">
        <f ca="1">IFERROR(__xludf.DUMMYFUNCTION("""COMPUTED_VALUE"""),"Salmonella Saloniki")</f>
        <v>Salmonella Saloniki</v>
      </c>
      <c r="B7269" t="str">
        <f ca="1">IFERROR(__xludf.DUMMYFUNCTION("""COMPUTED_VALUE"""),"RF-00001232-MCG")</f>
        <v>RF-00001232-MCG</v>
      </c>
    </row>
    <row r="7270" spans="1:2" ht="12.5" x14ac:dyDescent="0.25">
      <c r="A7270" t="str">
        <f ca="1">IFERROR(__xludf.DUMMYFUNCTION("""COMPUTED_VALUE"""),"Salmonella Samaru")</f>
        <v>Salmonella Samaru</v>
      </c>
      <c r="B7270" t="str">
        <f ca="1">IFERROR(__xludf.DUMMYFUNCTION("""COMPUTED_VALUE"""),"RF-00001231-MCG")</f>
        <v>RF-00001231-MCG</v>
      </c>
    </row>
    <row r="7271" spans="1:2" ht="12.5" x14ac:dyDescent="0.25">
      <c r="A7271" t="str">
        <f ca="1">IFERROR(__xludf.DUMMYFUNCTION("""COMPUTED_VALUE"""),"Salmonella Sambre")</f>
        <v>Salmonella Sambre</v>
      </c>
      <c r="B7271" t="str">
        <f ca="1">IFERROR(__xludf.DUMMYFUNCTION("""COMPUTED_VALUE"""),"RF-00001230-MCG")</f>
        <v>RF-00001230-MCG</v>
      </c>
    </row>
    <row r="7272" spans="1:2" ht="12.5" x14ac:dyDescent="0.25">
      <c r="A7272" t="str">
        <f ca="1">IFERROR(__xludf.DUMMYFUNCTION("""COMPUTED_VALUE"""),"Salmonella Sandiego")</f>
        <v>Salmonella Sandiego</v>
      </c>
      <c r="B7272" t="str">
        <f ca="1">IFERROR(__xludf.DUMMYFUNCTION("""COMPUTED_VALUE"""),"RF-00001215-MCG")</f>
        <v>RF-00001215-MCG</v>
      </c>
    </row>
    <row r="7273" spans="1:2" ht="12.5" x14ac:dyDescent="0.25">
      <c r="A7273" t="str">
        <f ca="1">IFERROR(__xludf.DUMMYFUNCTION("""COMPUTED_VALUE"""),"Salmonella Sandow")</f>
        <v>Salmonella Sandow</v>
      </c>
      <c r="B7273" t="str">
        <f ca="1">IFERROR(__xludf.DUMMYFUNCTION("""COMPUTED_VALUE"""),"RF-00001228-MCG")</f>
        <v>RF-00001228-MCG</v>
      </c>
    </row>
    <row r="7274" spans="1:2" ht="12.5" x14ac:dyDescent="0.25">
      <c r="A7274" t="str">
        <f ca="1">IFERROR(__xludf.DUMMYFUNCTION("""COMPUTED_VALUE"""),"Salmonella Sanga")</f>
        <v>Salmonella Sanga</v>
      </c>
      <c r="B7274" t="str">
        <f ca="1">IFERROR(__xludf.DUMMYFUNCTION("""COMPUTED_VALUE"""),"RF-00001241-MCG")</f>
        <v>RF-00001241-MCG</v>
      </c>
    </row>
    <row r="7275" spans="1:2" ht="12.5" x14ac:dyDescent="0.25">
      <c r="A7275" t="str">
        <f ca="1">IFERROR(__xludf.DUMMYFUNCTION("""COMPUTED_VALUE"""),"Salmonella Sangalkam")</f>
        <v>Salmonella Sangalkam</v>
      </c>
      <c r="B7275" t="str">
        <f ca="1">IFERROR(__xludf.DUMMYFUNCTION("""COMPUTED_VALUE"""),"RF-00001226-MCG")</f>
        <v>RF-00001226-MCG</v>
      </c>
    </row>
    <row r="7276" spans="1:2" ht="12.5" x14ac:dyDescent="0.25">
      <c r="A7276" t="str">
        <f ca="1">IFERROR(__xludf.DUMMYFUNCTION("""COMPUTED_VALUE"""),"Salmonella Sangera")</f>
        <v>Salmonella Sangera</v>
      </c>
      <c r="B7276" t="str">
        <f ca="1">IFERROR(__xludf.DUMMYFUNCTION("""COMPUTED_VALUE"""),"RF-00001225-MCG")</f>
        <v>RF-00001225-MCG</v>
      </c>
    </row>
    <row r="7277" spans="1:2" ht="12.5" x14ac:dyDescent="0.25">
      <c r="A7277" t="str">
        <f ca="1">IFERROR(__xludf.DUMMYFUNCTION("""COMPUTED_VALUE"""),"Salmonella Sanjuan")</f>
        <v>Salmonella Sanjuan</v>
      </c>
      <c r="B7277" t="str">
        <f ca="1">IFERROR(__xludf.DUMMYFUNCTION("""COMPUTED_VALUE"""),"RF-00001224-MCG")</f>
        <v>RF-00001224-MCG</v>
      </c>
    </row>
    <row r="7278" spans="1:2" ht="12.5" x14ac:dyDescent="0.25">
      <c r="A7278" t="str">
        <f ca="1">IFERROR(__xludf.DUMMYFUNCTION("""COMPUTED_VALUE"""),"Salmonella Sanktgeorg")</f>
        <v>Salmonella Sanktgeorg</v>
      </c>
      <c r="B7278" t="str">
        <f ca="1">IFERROR(__xludf.DUMMYFUNCTION("""COMPUTED_VALUE"""),"RF-00001223-MCG")</f>
        <v>RF-00001223-MCG</v>
      </c>
    </row>
    <row r="7279" spans="1:2" ht="12.5" x14ac:dyDescent="0.25">
      <c r="A7279" t="str">
        <f ca="1">IFERROR(__xludf.DUMMYFUNCTION("""COMPUTED_VALUE"""),"Salmonella Sanktjohann")</f>
        <v>Salmonella Sanktjohann</v>
      </c>
      <c r="B7279" t="str">
        <f ca="1">IFERROR(__xludf.DUMMYFUNCTION("""COMPUTED_VALUE"""),"RF-00001222-MCG")</f>
        <v>RF-00001222-MCG</v>
      </c>
    </row>
    <row r="7280" spans="1:2" ht="12.5" x14ac:dyDescent="0.25">
      <c r="A7280" t="str">
        <f ca="1">IFERROR(__xludf.DUMMYFUNCTION("""COMPUTED_VALUE"""),"Salmonella Sanktmarx")</f>
        <v>Salmonella Sanktmarx</v>
      </c>
      <c r="B7280" t="str">
        <f ca="1">IFERROR(__xludf.DUMMYFUNCTION("""COMPUTED_VALUE"""),"RF-00001221-MCG")</f>
        <v>RF-00001221-MCG</v>
      </c>
    </row>
    <row r="7281" spans="1:2" ht="12.5" x14ac:dyDescent="0.25">
      <c r="A7281" t="str">
        <f ca="1">IFERROR(__xludf.DUMMYFUNCTION("""COMPUTED_VALUE"""),"Salmonella Santander")</f>
        <v>Salmonella Santander</v>
      </c>
      <c r="B7281" t="str">
        <f ca="1">IFERROR(__xludf.DUMMYFUNCTION("""COMPUTED_VALUE"""),"RF-00001220-MCG")</f>
        <v>RF-00001220-MCG</v>
      </c>
    </row>
    <row r="7282" spans="1:2" ht="12.5" x14ac:dyDescent="0.25">
      <c r="A7282" t="str">
        <f ca="1">IFERROR(__xludf.DUMMYFUNCTION("""COMPUTED_VALUE"""),"Salmonella Santhiaba")</f>
        <v>Salmonella Santhiaba</v>
      </c>
      <c r="B7282" t="str">
        <f ca="1">IFERROR(__xludf.DUMMYFUNCTION("""COMPUTED_VALUE"""),"RF-00001219-MCG")</f>
        <v>RF-00001219-MCG</v>
      </c>
    </row>
    <row r="7283" spans="1:2" ht="12.5" x14ac:dyDescent="0.25">
      <c r="A7283" t="str">
        <f ca="1">IFERROR(__xludf.DUMMYFUNCTION("""COMPUTED_VALUE"""),"Salmonella Santiago")</f>
        <v>Salmonella Santiago</v>
      </c>
      <c r="B7283" t="str">
        <f ca="1">IFERROR(__xludf.DUMMYFUNCTION("""COMPUTED_VALUE"""),"RF-00001218-MCG")</f>
        <v>RF-00001218-MCG</v>
      </c>
    </row>
    <row r="7284" spans="1:2" ht="12.5" x14ac:dyDescent="0.25">
      <c r="A7284" t="str">
        <f ca="1">IFERROR(__xludf.DUMMYFUNCTION("""COMPUTED_VALUE"""),"Salmonella Sao")</f>
        <v>Salmonella Sao</v>
      </c>
      <c r="B7284" t="str">
        <f ca="1">IFERROR(__xludf.DUMMYFUNCTION("""COMPUTED_VALUE"""),"RF-00001217-MCG")</f>
        <v>RF-00001217-MCG</v>
      </c>
    </row>
    <row r="7285" spans="1:2" ht="12.5" x14ac:dyDescent="0.25">
      <c r="A7285" t="str">
        <f ca="1">IFERROR(__xludf.DUMMYFUNCTION("""COMPUTED_VALUE"""),"Salmonella Sapele")</f>
        <v>Salmonella Sapele</v>
      </c>
      <c r="B7285" t="str">
        <f ca="1">IFERROR(__xludf.DUMMYFUNCTION("""COMPUTED_VALUE"""),"RF-00001298-MCG")</f>
        <v>RF-00001298-MCG</v>
      </c>
    </row>
    <row r="7286" spans="1:2" ht="12.5" x14ac:dyDescent="0.25">
      <c r="A7286" t="str">
        <f ca="1">IFERROR(__xludf.DUMMYFUNCTION("""COMPUTED_VALUE"""),"Salmonella Saphra")</f>
        <v>Salmonella Saphra</v>
      </c>
      <c r="B7286" t="str">
        <f ca="1">IFERROR(__xludf.DUMMYFUNCTION("""COMPUTED_VALUE"""),"RF-00001189-MCG")</f>
        <v>RF-00001189-MCG</v>
      </c>
    </row>
    <row r="7287" spans="1:2" ht="12.5" x14ac:dyDescent="0.25">
      <c r="A7287" t="str">
        <f ca="1">IFERROR(__xludf.DUMMYFUNCTION("""COMPUTED_VALUE"""),"Salmonella Sara")</f>
        <v>Salmonella Sara</v>
      </c>
      <c r="B7287" t="str">
        <f ca="1">IFERROR(__xludf.DUMMYFUNCTION("""COMPUTED_VALUE"""),"RF-00001270-MCG")</f>
        <v>RF-00001270-MCG</v>
      </c>
    </row>
    <row r="7288" spans="1:2" ht="12.5" x14ac:dyDescent="0.25">
      <c r="A7288" t="str">
        <f ca="1">IFERROR(__xludf.DUMMYFUNCTION("""COMPUTED_VALUE"""),"Salmonella Sarajane")</f>
        <v>Salmonella Sarajane</v>
      </c>
      <c r="B7288" t="str">
        <f ca="1">IFERROR(__xludf.DUMMYFUNCTION("""COMPUTED_VALUE"""),"RF-00001376-MCG")</f>
        <v>RF-00001376-MCG</v>
      </c>
    </row>
    <row r="7289" spans="1:2" ht="12.5" x14ac:dyDescent="0.25">
      <c r="A7289" t="str">
        <f ca="1">IFERROR(__xludf.DUMMYFUNCTION("""COMPUTED_VALUE"""),"Salmonella Saugus")</f>
        <v>Salmonella Saugus</v>
      </c>
      <c r="B7289" t="str">
        <f ca="1">IFERROR(__xludf.DUMMYFUNCTION("""COMPUTED_VALUE"""),"RF-00001375-MCG")</f>
        <v>RF-00001375-MCG</v>
      </c>
    </row>
    <row r="7290" spans="1:2" ht="12.5" x14ac:dyDescent="0.25">
      <c r="A7290" t="str">
        <f ca="1">IFERROR(__xludf.DUMMYFUNCTION("""COMPUTED_VALUE"""),"Salmonella Schalkwijk")</f>
        <v>Salmonella Schalkwijk</v>
      </c>
      <c r="B7290" t="str">
        <f ca="1">IFERROR(__xludf.DUMMYFUNCTION("""COMPUTED_VALUE"""),"RF-00001374-MCG")</f>
        <v>RF-00001374-MCG</v>
      </c>
    </row>
    <row r="7291" spans="1:2" ht="12.5" x14ac:dyDescent="0.25">
      <c r="A7291" t="str">
        <f ca="1">IFERROR(__xludf.DUMMYFUNCTION("""COMPUTED_VALUE"""),"Salmonella Schleissheim")</f>
        <v>Salmonella Schleissheim</v>
      </c>
      <c r="B7291" t="str">
        <f ca="1">IFERROR(__xludf.DUMMYFUNCTION("""COMPUTED_VALUE"""),"RF-00001373-MCG")</f>
        <v>RF-00001373-MCG</v>
      </c>
    </row>
    <row r="7292" spans="1:2" ht="12.5" x14ac:dyDescent="0.25">
      <c r="A7292" t="str">
        <f ca="1">IFERROR(__xludf.DUMMYFUNCTION("""COMPUTED_VALUE"""),"Salmonella Schoeneberg")</f>
        <v>Salmonella Schoeneberg</v>
      </c>
      <c r="B7292" t="str">
        <f ca="1">IFERROR(__xludf.DUMMYFUNCTION("""COMPUTED_VALUE"""),"RF-00001372-MCG")</f>
        <v>RF-00001372-MCG</v>
      </c>
    </row>
    <row r="7293" spans="1:2" ht="12.5" x14ac:dyDescent="0.25">
      <c r="A7293" t="str">
        <f ca="1">IFERROR(__xludf.DUMMYFUNCTION("""COMPUTED_VALUE"""),"Salmonella Schwabach")</f>
        <v>Salmonella Schwabach</v>
      </c>
      <c r="B7293" t="str">
        <f ca="1">IFERROR(__xludf.DUMMYFUNCTION("""COMPUTED_VALUE"""),"RF-00001371-MCG")</f>
        <v>RF-00001371-MCG</v>
      </c>
    </row>
    <row r="7294" spans="1:2" ht="12.5" x14ac:dyDescent="0.25">
      <c r="A7294" t="str">
        <f ca="1">IFERROR(__xludf.DUMMYFUNCTION("""COMPUTED_VALUE"""),"Salmonella Schwarzengrund")</f>
        <v>Salmonella Schwarzengrund</v>
      </c>
      <c r="B7294" t="str">
        <f ca="1">IFERROR(__xludf.DUMMYFUNCTION("""COMPUTED_VALUE"""),"RF-00001370-MCG")</f>
        <v>RF-00001370-MCG</v>
      </c>
    </row>
    <row r="7295" spans="1:2" ht="12.5" x14ac:dyDescent="0.25">
      <c r="A7295" t="str">
        <f ca="1">IFERROR(__xludf.DUMMYFUNCTION("""COMPUTED_VALUE"""),"Salmonella Schwerin")</f>
        <v>Salmonella Schwerin</v>
      </c>
      <c r="B7295" t="str">
        <f ca="1">IFERROR(__xludf.DUMMYFUNCTION("""COMPUTED_VALUE"""),"RF-00001369-MCG")</f>
        <v>RF-00001369-MCG</v>
      </c>
    </row>
    <row r="7296" spans="1:2" ht="12.5" x14ac:dyDescent="0.25">
      <c r="A7296" t="str">
        <f ca="1">IFERROR(__xludf.DUMMYFUNCTION("""COMPUTED_VALUE"""),"Salmonella Sculcoates")</f>
        <v>Salmonella Sculcoates</v>
      </c>
      <c r="B7296" t="str">
        <f ca="1">IFERROR(__xludf.DUMMYFUNCTION("""COMPUTED_VALUE"""),"RF-00001368-MCG")</f>
        <v>RF-00001368-MCG</v>
      </c>
    </row>
    <row r="7297" spans="1:2" ht="12.5" x14ac:dyDescent="0.25">
      <c r="A7297" t="str">
        <f ca="1">IFERROR(__xludf.DUMMYFUNCTION("""COMPUTED_VALUE"""),"Salmonella Seattle")</f>
        <v>Salmonella Seattle</v>
      </c>
      <c r="B7297" t="str">
        <f ca="1">IFERROR(__xludf.DUMMYFUNCTION("""COMPUTED_VALUE"""),"RF-00001367-MCG")</f>
        <v>RF-00001367-MCG</v>
      </c>
    </row>
    <row r="7298" spans="1:2" ht="12.5" x14ac:dyDescent="0.25">
      <c r="A7298" t="str">
        <f ca="1">IFERROR(__xludf.DUMMYFUNCTION("""COMPUTED_VALUE"""),"Salmonella Sedgwick")</f>
        <v>Salmonella Sedgwick</v>
      </c>
      <c r="B7298" t="str">
        <f ca="1">IFERROR(__xludf.DUMMYFUNCTION("""COMPUTED_VALUE"""),"RF-00001366-MCG")</f>
        <v>RF-00001366-MCG</v>
      </c>
    </row>
    <row r="7299" spans="1:2" ht="12.5" x14ac:dyDescent="0.25">
      <c r="A7299" t="str">
        <f ca="1">IFERROR(__xludf.DUMMYFUNCTION("""COMPUTED_VALUE"""),"Salmonella Seegefeld")</f>
        <v>Salmonella Seegefeld</v>
      </c>
      <c r="B7299" t="str">
        <f ca="1">IFERROR(__xludf.DUMMYFUNCTION("""COMPUTED_VALUE"""),"RF-00001351-MCG")</f>
        <v>RF-00001351-MCG</v>
      </c>
    </row>
    <row r="7300" spans="1:2" ht="12.5" x14ac:dyDescent="0.25">
      <c r="A7300" t="str">
        <f ca="1">IFERROR(__xludf.DUMMYFUNCTION("""COMPUTED_VALUE"""),"Salmonella Sekondi")</f>
        <v>Salmonella Sekondi</v>
      </c>
      <c r="B7300" t="str">
        <f ca="1">IFERROR(__xludf.DUMMYFUNCTION("""COMPUTED_VALUE"""),"RF-00001364-MCG")</f>
        <v>RF-00001364-MCG</v>
      </c>
    </row>
    <row r="7301" spans="1:2" ht="12.5" x14ac:dyDescent="0.25">
      <c r="A7301" t="str">
        <f ca="1">IFERROR(__xludf.DUMMYFUNCTION("""COMPUTED_VALUE"""),"Salmonella Selby")</f>
        <v>Salmonella Selby</v>
      </c>
      <c r="B7301" t="str">
        <f ca="1">IFERROR(__xludf.DUMMYFUNCTION("""COMPUTED_VALUE"""),"RF-00001377-MCG")</f>
        <v>RF-00001377-MCG</v>
      </c>
    </row>
    <row r="7302" spans="1:2" ht="12.5" x14ac:dyDescent="0.25">
      <c r="A7302" t="str">
        <f ca="1">IFERROR(__xludf.DUMMYFUNCTION("""COMPUTED_VALUE"""),"Salmonella Sendai")</f>
        <v>Salmonella Sendai</v>
      </c>
      <c r="B7302" t="str">
        <f ca="1">IFERROR(__xludf.DUMMYFUNCTION("""COMPUTED_VALUE"""),"RF-00001362-MCG")</f>
        <v>RF-00001362-MCG</v>
      </c>
    </row>
    <row r="7303" spans="1:2" ht="12.5" x14ac:dyDescent="0.25">
      <c r="A7303" t="str">
        <f ca="1">IFERROR(__xludf.DUMMYFUNCTION("""COMPUTED_VALUE"""),"Salmonella Senegal")</f>
        <v>Salmonella Senegal</v>
      </c>
      <c r="B7303" t="str">
        <f ca="1">IFERROR(__xludf.DUMMYFUNCTION("""COMPUTED_VALUE"""),"RF-00001361-MCG")</f>
        <v>RF-00001361-MCG</v>
      </c>
    </row>
    <row r="7304" spans="1:2" ht="12.5" x14ac:dyDescent="0.25">
      <c r="A7304" t="str">
        <f ca="1">IFERROR(__xludf.DUMMYFUNCTION("""COMPUTED_VALUE"""),"Salmonella Senftenberg")</f>
        <v>Salmonella Senftenberg</v>
      </c>
      <c r="B7304" t="str">
        <f ca="1">IFERROR(__xludf.DUMMYFUNCTION("""COMPUTED_VALUE"""),"RF-00001360-MCG")</f>
        <v>RF-00001360-MCG</v>
      </c>
    </row>
    <row r="7305" spans="1:2" ht="12.5" x14ac:dyDescent="0.25">
      <c r="A7305" t="str">
        <f ca="1">IFERROR(__xludf.DUMMYFUNCTION("""COMPUTED_VALUE"""),"Salmonella Senftenberg var. Simsbury")</f>
        <v>Salmonella Senftenberg var. Simsbury</v>
      </c>
      <c r="B7305" t="str">
        <f ca="1">IFERROR(__xludf.DUMMYFUNCTION("""COMPUTED_VALUE"""),"RF-00001359-MCG")</f>
        <v>RF-00001359-MCG</v>
      </c>
    </row>
    <row r="7306" spans="1:2" ht="12.5" x14ac:dyDescent="0.25">
      <c r="A7306" t="str">
        <f ca="1">IFERROR(__xludf.DUMMYFUNCTION("""COMPUTED_VALUE"""),"Salmonella Senneville")</f>
        <v>Salmonella Senneville</v>
      </c>
      <c r="B7306" t="str">
        <f ca="1">IFERROR(__xludf.DUMMYFUNCTION("""COMPUTED_VALUE"""),"RF-00001358-MCG")</f>
        <v>RF-00001358-MCG</v>
      </c>
    </row>
    <row r="7307" spans="1:2" ht="12.5" x14ac:dyDescent="0.25">
      <c r="A7307" t="str">
        <f ca="1">IFERROR(__xludf.DUMMYFUNCTION("""COMPUTED_VALUE"""),"Salmonella Seremban")</f>
        <v>Salmonella Seremban</v>
      </c>
      <c r="B7307" t="str">
        <f ca="1">IFERROR(__xludf.DUMMYFUNCTION("""COMPUTED_VALUE"""),"RF-00001357-MCG")</f>
        <v>RF-00001357-MCG</v>
      </c>
    </row>
    <row r="7308" spans="1:2" ht="12.5" x14ac:dyDescent="0.25">
      <c r="A7308" t="str">
        <f ca="1">IFERROR(__xludf.DUMMYFUNCTION("""COMPUTED_VALUE"""),"Salmonella Serrekunda")</f>
        <v>Salmonella Serrekunda</v>
      </c>
      <c r="B7308" t="str">
        <f ca="1">IFERROR(__xludf.DUMMYFUNCTION("""COMPUTED_VALUE"""),"RF-00001356-MCG")</f>
        <v>RF-00001356-MCG</v>
      </c>
    </row>
    <row r="7309" spans="1:2" ht="12.5" x14ac:dyDescent="0.25">
      <c r="A7309" t="str">
        <f ca="1">IFERROR(__xludf.DUMMYFUNCTION("""COMPUTED_VALUE"""),"Salmonella Shamba")</f>
        <v>Salmonella Shamba</v>
      </c>
      <c r="B7309" t="str">
        <f ca="1">IFERROR(__xludf.DUMMYFUNCTION("""COMPUTED_VALUE"""),"RF-00001355-MCG")</f>
        <v>RF-00001355-MCG</v>
      </c>
    </row>
    <row r="7310" spans="1:2" ht="12.5" x14ac:dyDescent="0.25">
      <c r="A7310" t="str">
        <f ca="1">IFERROR(__xludf.DUMMYFUNCTION("""COMPUTED_VALUE"""),"Salmonella Shangani")</f>
        <v>Salmonella Shangani</v>
      </c>
      <c r="B7310" t="str">
        <f ca="1">IFERROR(__xludf.DUMMYFUNCTION("""COMPUTED_VALUE"""),"RF-00001354-MCG")</f>
        <v>RF-00001354-MCG</v>
      </c>
    </row>
    <row r="7311" spans="1:2" ht="12.5" x14ac:dyDescent="0.25">
      <c r="A7311" t="str">
        <f ca="1">IFERROR(__xludf.DUMMYFUNCTION("""COMPUTED_VALUE"""),"Salmonella Shanghai")</f>
        <v>Salmonella Shanghai</v>
      </c>
      <c r="B7311" t="str">
        <f ca="1">IFERROR(__xludf.DUMMYFUNCTION("""COMPUTED_VALUE"""),"RF-00001353-MCG")</f>
        <v>RF-00001353-MCG</v>
      </c>
    </row>
    <row r="7312" spans="1:2" ht="12.5" x14ac:dyDescent="0.25">
      <c r="A7312" t="str">
        <f ca="1">IFERROR(__xludf.DUMMYFUNCTION("""COMPUTED_VALUE"""),"Salmonella Shanghani var. 15")</f>
        <v>Salmonella Shanghani var. 15</v>
      </c>
      <c r="B7312" t="str">
        <f ca="1">IFERROR(__xludf.DUMMYFUNCTION("""COMPUTED_VALUE"""),"RF-00001352-MCG")</f>
        <v>RF-00001352-MCG</v>
      </c>
    </row>
    <row r="7313" spans="1:2" ht="12.5" x14ac:dyDescent="0.25">
      <c r="A7313" t="str">
        <f ca="1">IFERROR(__xludf.DUMMYFUNCTION("""COMPUTED_VALUE"""),"Salmonella Shannon")</f>
        <v>Salmonella Shannon</v>
      </c>
      <c r="B7313" t="str">
        <f ca="1">IFERROR(__xludf.DUMMYFUNCTION("""COMPUTED_VALUE"""),"RF-00001390-MCG")</f>
        <v>RF-00001390-MCG</v>
      </c>
    </row>
    <row r="7314" spans="1:2" ht="12.5" x14ac:dyDescent="0.25">
      <c r="A7314" t="str">
        <f ca="1">IFERROR(__xludf.DUMMYFUNCTION("""COMPUTED_VALUE"""),"Salmonella Sharon")</f>
        <v>Salmonella Sharon</v>
      </c>
      <c r="B7314" t="str">
        <f ca="1">IFERROR(__xludf.DUMMYFUNCTION("""COMPUTED_VALUE"""),"RF-00001392-MCG")</f>
        <v>RF-00001392-MCG</v>
      </c>
    </row>
    <row r="7315" spans="1:2" ht="12.5" x14ac:dyDescent="0.25">
      <c r="A7315" t="str">
        <f ca="1">IFERROR(__xludf.DUMMYFUNCTION("""COMPUTED_VALUE"""),"Salmonella Sheffield")</f>
        <v>Salmonella Sheffield</v>
      </c>
      <c r="B7315" t="str">
        <f ca="1">IFERROR(__xludf.DUMMYFUNCTION("""COMPUTED_VALUE"""),"RF-00001365-MCG")</f>
        <v>RF-00001365-MCG</v>
      </c>
    </row>
    <row r="7316" spans="1:2" ht="12.5" x14ac:dyDescent="0.25">
      <c r="A7316" t="str">
        <f ca="1">IFERROR(__xludf.DUMMYFUNCTION("""COMPUTED_VALUE"""),"Salmonella Sherbrooke")</f>
        <v>Salmonella Sherbrooke</v>
      </c>
      <c r="B7316" t="str">
        <f ca="1">IFERROR(__xludf.DUMMYFUNCTION("""COMPUTED_VALUE"""),"RF-00001403-MCG")</f>
        <v>RF-00001403-MCG</v>
      </c>
    </row>
    <row r="7317" spans="1:2" ht="12.5" x14ac:dyDescent="0.25">
      <c r="A7317" t="str">
        <f ca="1">IFERROR(__xludf.DUMMYFUNCTION("""COMPUTED_VALUE"""),"Salmonella Shikmonah")</f>
        <v>Salmonella Shikmonah</v>
      </c>
      <c r="B7317" t="str">
        <f ca="1">IFERROR(__xludf.DUMMYFUNCTION("""COMPUTED_VALUE"""),"RF-00001402-MCG")</f>
        <v>RF-00001402-MCG</v>
      </c>
    </row>
    <row r="7318" spans="1:2" ht="12.5" x14ac:dyDescent="0.25">
      <c r="A7318" t="str">
        <f ca="1">IFERROR(__xludf.DUMMYFUNCTION("""COMPUTED_VALUE"""),"Salmonella Shipley")</f>
        <v>Salmonella Shipley</v>
      </c>
      <c r="B7318" t="str">
        <f ca="1">IFERROR(__xludf.DUMMYFUNCTION("""COMPUTED_VALUE"""),"RF-00001401-MCG")</f>
        <v>RF-00001401-MCG</v>
      </c>
    </row>
    <row r="7319" spans="1:2" ht="12.5" x14ac:dyDescent="0.25">
      <c r="A7319" t="str">
        <f ca="1">IFERROR(__xludf.DUMMYFUNCTION("""COMPUTED_VALUE"""),"Salmonella Shomolu")</f>
        <v>Salmonella Shomolu</v>
      </c>
      <c r="B7319" t="str">
        <f ca="1">IFERROR(__xludf.DUMMYFUNCTION("""COMPUTED_VALUE"""),"RF-00001400-MCG")</f>
        <v>RF-00001400-MCG</v>
      </c>
    </row>
    <row r="7320" spans="1:2" ht="12.5" x14ac:dyDescent="0.25">
      <c r="A7320" t="str">
        <f ca="1">IFERROR(__xludf.DUMMYFUNCTION("""COMPUTED_VALUE"""),"Salmonella Shoreditch")</f>
        <v>Salmonella Shoreditch</v>
      </c>
      <c r="B7320" t="str">
        <f ca="1">IFERROR(__xludf.DUMMYFUNCTION("""COMPUTED_VALUE"""),"RF-00001399-MCG")</f>
        <v>RF-00001399-MCG</v>
      </c>
    </row>
    <row r="7321" spans="1:2" ht="12.5" x14ac:dyDescent="0.25">
      <c r="A7321" t="str">
        <f ca="1">IFERROR(__xludf.DUMMYFUNCTION("""COMPUTED_VALUE"""),"Salmonella Shubra")</f>
        <v>Salmonella Shubra</v>
      </c>
      <c r="B7321" t="str">
        <f ca="1">IFERROR(__xludf.DUMMYFUNCTION("""COMPUTED_VALUE"""),"RF-00001398-MCG")</f>
        <v>RF-00001398-MCG</v>
      </c>
    </row>
    <row r="7322" spans="1:2" ht="12.5" x14ac:dyDescent="0.25">
      <c r="A7322" t="str">
        <f ca="1">IFERROR(__xludf.DUMMYFUNCTION("""COMPUTED_VALUE"""),"Salmonella Sica")</f>
        <v>Salmonella Sica</v>
      </c>
      <c r="B7322" t="str">
        <f ca="1">IFERROR(__xludf.DUMMYFUNCTION("""COMPUTED_VALUE"""),"RF-00001397-MCG")</f>
        <v>RF-00001397-MCG</v>
      </c>
    </row>
    <row r="7323" spans="1:2" ht="12.5" x14ac:dyDescent="0.25">
      <c r="A7323" t="str">
        <f ca="1">IFERROR(__xludf.DUMMYFUNCTION("""COMPUTED_VALUE"""),"Salmonella Simi")</f>
        <v>Salmonella Simi</v>
      </c>
      <c r="B7323" t="str">
        <f ca="1">IFERROR(__xludf.DUMMYFUNCTION("""COMPUTED_VALUE"""),"RF-00001396-MCG")</f>
        <v>RF-00001396-MCG</v>
      </c>
    </row>
    <row r="7324" spans="1:2" ht="12.5" x14ac:dyDescent="0.25">
      <c r="A7324" t="str">
        <f ca="1">IFERROR(__xludf.DUMMYFUNCTION("""COMPUTED_VALUE"""),"Salmonella Sinchew")</f>
        <v>Salmonella Sinchew</v>
      </c>
      <c r="B7324" t="str">
        <f ca="1">IFERROR(__xludf.DUMMYFUNCTION("""COMPUTED_VALUE"""),"RF-00001395-MCG")</f>
        <v>RF-00001395-MCG</v>
      </c>
    </row>
    <row r="7325" spans="1:2" ht="12.5" x14ac:dyDescent="0.25">
      <c r="A7325" t="str">
        <f ca="1">IFERROR(__xludf.DUMMYFUNCTION("""COMPUTED_VALUE"""),"Salmonella Sindelfingen")</f>
        <v>Salmonella Sindelfingen</v>
      </c>
      <c r="B7325" t="str">
        <f ca="1">IFERROR(__xludf.DUMMYFUNCTION("""COMPUTED_VALUE"""),"RF-00001394-MCG")</f>
        <v>RF-00001394-MCG</v>
      </c>
    </row>
    <row r="7326" spans="1:2" ht="12.5" x14ac:dyDescent="0.25">
      <c r="A7326" t="str">
        <f ca="1">IFERROR(__xludf.DUMMYFUNCTION("""COMPUTED_VALUE"""),"Salmonella Singapore")</f>
        <v>Salmonella Singapore</v>
      </c>
      <c r="B7326" t="str">
        <f ca="1">IFERROR(__xludf.DUMMYFUNCTION("""COMPUTED_VALUE"""),"RF-00001393-MCG")</f>
        <v>RF-00001393-MCG</v>
      </c>
    </row>
    <row r="7327" spans="1:2" ht="12.5" x14ac:dyDescent="0.25">
      <c r="A7327" t="str">
        <f ca="1">IFERROR(__xludf.DUMMYFUNCTION("""COMPUTED_VALUE"""),"Salmonella Sinstorf")</f>
        <v>Salmonella Sinstorf</v>
      </c>
      <c r="B7327" t="str">
        <f ca="1">IFERROR(__xludf.DUMMYFUNCTION("""COMPUTED_VALUE"""),"RF-00001378-MCG")</f>
        <v>RF-00001378-MCG</v>
      </c>
    </row>
    <row r="7328" spans="1:2" ht="12.5" x14ac:dyDescent="0.25">
      <c r="A7328" t="str">
        <f ca="1">IFERROR(__xludf.DUMMYFUNCTION("""COMPUTED_VALUE"""),"Salmonella Sinthia")</f>
        <v>Salmonella Sinthia</v>
      </c>
      <c r="B7328" t="str">
        <f ca="1">IFERROR(__xludf.DUMMYFUNCTION("""COMPUTED_VALUE"""),"RF-00001391-MCG")</f>
        <v>RF-00001391-MCG</v>
      </c>
    </row>
    <row r="7329" spans="1:2" ht="12.5" x14ac:dyDescent="0.25">
      <c r="A7329" t="str">
        <f ca="1">IFERROR(__xludf.DUMMYFUNCTION("""COMPUTED_VALUE"""),"Salmonella Sipane")</f>
        <v>Salmonella Sipane</v>
      </c>
      <c r="B7329" t="str">
        <f ca="1">IFERROR(__xludf.DUMMYFUNCTION("""COMPUTED_VALUE"""),"RF-00001405-MCG")</f>
        <v>RF-00001405-MCG</v>
      </c>
    </row>
    <row r="7330" spans="1:2" ht="12.5" x14ac:dyDescent="0.25">
      <c r="A7330" t="str">
        <f ca="1">IFERROR(__xludf.DUMMYFUNCTION("""COMPUTED_VALUE"""),"Salmonella Skansen")</f>
        <v>Salmonella Skansen</v>
      </c>
      <c r="B7330" t="str">
        <f ca="1">IFERROR(__xludf.DUMMYFUNCTION("""COMPUTED_VALUE"""),"RF-00001389-MCG")</f>
        <v>RF-00001389-MCG</v>
      </c>
    </row>
    <row r="7331" spans="1:2" ht="12.5" x14ac:dyDescent="0.25">
      <c r="A7331" t="str">
        <f ca="1">IFERROR(__xludf.DUMMYFUNCTION("""COMPUTED_VALUE"""),"Salmonella Slade")</f>
        <v>Salmonella Slade</v>
      </c>
      <c r="B7331" t="str">
        <f ca="1">IFERROR(__xludf.DUMMYFUNCTION("""COMPUTED_VALUE"""),"RF-00001388-MCG")</f>
        <v>RF-00001388-MCG</v>
      </c>
    </row>
    <row r="7332" spans="1:2" ht="12.5" x14ac:dyDescent="0.25">
      <c r="A7332" t="str">
        <f ca="1">IFERROR(__xludf.DUMMYFUNCTION("""COMPUTED_VALUE"""),"Salmonella Sljeme")</f>
        <v>Salmonella Sljeme</v>
      </c>
      <c r="B7332" t="str">
        <f ca="1">IFERROR(__xludf.DUMMYFUNCTION("""COMPUTED_VALUE"""),"RF-00001387-MCG")</f>
        <v>RF-00001387-MCG</v>
      </c>
    </row>
    <row r="7333" spans="1:2" ht="12.5" x14ac:dyDescent="0.25">
      <c r="A7333" t="str">
        <f ca="1">IFERROR(__xludf.DUMMYFUNCTION("""COMPUTED_VALUE"""),"Salmonella Sloterdijk")</f>
        <v>Salmonella Sloterdijk</v>
      </c>
      <c r="B7333" t="str">
        <f ca="1">IFERROR(__xludf.DUMMYFUNCTION("""COMPUTED_VALUE"""),"RF-00001386-MCG")</f>
        <v>RF-00001386-MCG</v>
      </c>
    </row>
    <row r="7334" spans="1:2" ht="12.5" x14ac:dyDescent="0.25">
      <c r="A7334" t="str">
        <f ca="1">IFERROR(__xludf.DUMMYFUNCTION("""COMPUTED_VALUE"""),"Salmonella Soahanina")</f>
        <v>Salmonella Soahanina</v>
      </c>
      <c r="B7334" t="str">
        <f ca="1">IFERROR(__xludf.DUMMYFUNCTION("""COMPUTED_VALUE"""),"RF-00001385-MCG")</f>
        <v>RF-00001385-MCG</v>
      </c>
    </row>
    <row r="7335" spans="1:2" ht="12.5" x14ac:dyDescent="0.25">
      <c r="A7335" t="str">
        <f ca="1">IFERROR(__xludf.DUMMYFUNCTION("""COMPUTED_VALUE"""),"Salmonella Soerenga")</f>
        <v>Salmonella Soerenga</v>
      </c>
      <c r="B7335" t="str">
        <f ca="1">IFERROR(__xludf.DUMMYFUNCTION("""COMPUTED_VALUE"""),"RF-00001384-MCG")</f>
        <v>RF-00001384-MCG</v>
      </c>
    </row>
    <row r="7336" spans="1:2" ht="12.5" x14ac:dyDescent="0.25">
      <c r="A7336" t="str">
        <f ca="1">IFERROR(__xludf.DUMMYFUNCTION("""COMPUTED_VALUE"""),"Salmonella Sokode")</f>
        <v>Salmonella Sokode</v>
      </c>
      <c r="B7336" t="str">
        <f ca="1">IFERROR(__xludf.DUMMYFUNCTION("""COMPUTED_VALUE"""),"RF-00001383-MCG")</f>
        <v>RF-00001383-MCG</v>
      </c>
    </row>
    <row r="7337" spans="1:2" ht="12.5" x14ac:dyDescent="0.25">
      <c r="A7337" t="str">
        <f ca="1">IFERROR(__xludf.DUMMYFUNCTION("""COMPUTED_VALUE"""),"Salmonella Solna")</f>
        <v>Salmonella Solna</v>
      </c>
      <c r="B7337" t="str">
        <f ca="1">IFERROR(__xludf.DUMMYFUNCTION("""COMPUTED_VALUE"""),"RF-00001382-MCG")</f>
        <v>RF-00001382-MCG</v>
      </c>
    </row>
    <row r="7338" spans="1:2" ht="12.5" x14ac:dyDescent="0.25">
      <c r="A7338" t="str">
        <f ca="1">IFERROR(__xludf.DUMMYFUNCTION("""COMPUTED_VALUE"""),"Salmonella Solt")</f>
        <v>Salmonella Solt</v>
      </c>
      <c r="B7338" t="str">
        <f ca="1">IFERROR(__xludf.DUMMYFUNCTION("""COMPUTED_VALUE"""),"RF-00001381-MCG")</f>
        <v>RF-00001381-MCG</v>
      </c>
    </row>
    <row r="7339" spans="1:2" ht="12.5" x14ac:dyDescent="0.25">
      <c r="A7339" t="str">
        <f ca="1">IFERROR(__xludf.DUMMYFUNCTION("""COMPUTED_VALUE"""),"Salmonella Somone")</f>
        <v>Salmonella Somone</v>
      </c>
      <c r="B7339" t="str">
        <f ca="1">IFERROR(__xludf.DUMMYFUNCTION("""COMPUTED_VALUE"""),"RF-00001380-MCG")</f>
        <v>RF-00001380-MCG</v>
      </c>
    </row>
    <row r="7340" spans="1:2" ht="12.5" x14ac:dyDescent="0.25">
      <c r="A7340" t="str">
        <f ca="1">IFERROR(__xludf.DUMMYFUNCTION("""COMPUTED_VALUE"""),"Salmonella Soumbedioune")</f>
        <v>Salmonella Soumbedioune</v>
      </c>
      <c r="B7340" t="str">
        <f ca="1">IFERROR(__xludf.DUMMYFUNCTION("""COMPUTED_VALUE"""),"RF-00001338-MCG")</f>
        <v>RF-00001338-MCG</v>
      </c>
    </row>
    <row r="7341" spans="1:2" ht="12.5" x14ac:dyDescent="0.25">
      <c r="A7341" t="str">
        <f ca="1">IFERROR(__xludf.DUMMYFUNCTION("""COMPUTED_VALUE"""),"Salmonella Southampton")</f>
        <v>Salmonella Southampton</v>
      </c>
      <c r="B7341" t="str">
        <f ca="1">IFERROR(__xludf.DUMMYFUNCTION("""COMPUTED_VALUE"""),"RF-00001404-MCG")</f>
        <v>RF-00001404-MCG</v>
      </c>
    </row>
    <row r="7342" spans="1:2" ht="12.5" x14ac:dyDescent="0.25">
      <c r="A7342" t="str">
        <f ca="1">IFERROR(__xludf.DUMMYFUNCTION("""COMPUTED_VALUE"""),"Salmonella Southbank")</f>
        <v>Salmonella Southbank</v>
      </c>
      <c r="B7342" t="str">
        <f ca="1">IFERROR(__xludf.DUMMYFUNCTION("""COMPUTED_VALUE"""),"RF-00001363-MCG")</f>
        <v>RF-00001363-MCG</v>
      </c>
    </row>
    <row r="7343" spans="1:2" ht="12.5" x14ac:dyDescent="0.25">
      <c r="A7343" t="str">
        <f ca="1">IFERROR(__xludf.DUMMYFUNCTION("""COMPUTED_VALUE"""),"Salmonella Souza")</f>
        <v>Salmonella Souza</v>
      </c>
      <c r="B7343" t="str">
        <f ca="1">IFERROR(__xludf.DUMMYFUNCTION("""COMPUTED_VALUE"""),"RF-00001322-MCG")</f>
        <v>RF-00001322-MCG</v>
      </c>
    </row>
    <row r="7344" spans="1:2" ht="12.5" x14ac:dyDescent="0.25">
      <c r="A7344" t="str">
        <f ca="1">IFERROR(__xludf.DUMMYFUNCTION("""COMPUTED_VALUE"""),"Salmonella Spalentor")</f>
        <v>Salmonella Spalentor</v>
      </c>
      <c r="B7344" t="str">
        <f ca="1">IFERROR(__xludf.DUMMYFUNCTION("""COMPUTED_VALUE"""),"RF-00001321-MCG")</f>
        <v>RF-00001321-MCG</v>
      </c>
    </row>
    <row r="7345" spans="1:2" ht="12.5" x14ac:dyDescent="0.25">
      <c r="A7345" t="str">
        <f ca="1">IFERROR(__xludf.DUMMYFUNCTION("""COMPUTED_VALUE"""),"Salmonella Spartel")</f>
        <v>Salmonella Spartel</v>
      </c>
      <c r="B7345" t="str">
        <f ca="1">IFERROR(__xludf.DUMMYFUNCTION("""COMPUTED_VALUE"""),"RF-00001320-MCG")</f>
        <v>RF-00001320-MCG</v>
      </c>
    </row>
    <row r="7346" spans="1:2" ht="12.5" x14ac:dyDescent="0.25">
      <c r="A7346" t="str">
        <f ca="1">IFERROR(__xludf.DUMMYFUNCTION("""COMPUTED_VALUE"""),"Salmonella Species")</f>
        <v>Salmonella Species</v>
      </c>
      <c r="B7346" t="str">
        <f ca="1">IFERROR(__xludf.DUMMYFUNCTION("""COMPUTED_VALUE"""),"RF-00001319-MCG")</f>
        <v>RF-00001319-MCG</v>
      </c>
    </row>
    <row r="7347" spans="1:2" ht="12.5" x14ac:dyDescent="0.25">
      <c r="A7347" t="str">
        <f ca="1">IFERROR(__xludf.DUMMYFUNCTION("""COMPUTED_VALUE"""),"Salmonella Splott")</f>
        <v>Salmonella Splott</v>
      </c>
      <c r="B7347" t="str">
        <f ca="1">IFERROR(__xludf.DUMMYFUNCTION("""COMPUTED_VALUE"""),"RF-00001318-MCG")</f>
        <v>RF-00001318-MCG</v>
      </c>
    </row>
    <row r="7348" spans="1:2" ht="12.5" x14ac:dyDescent="0.25">
      <c r="A7348" t="str">
        <f ca="1">IFERROR(__xludf.DUMMYFUNCTION("""COMPUTED_VALUE"""),"Salmonella spp.")</f>
        <v>Salmonella spp.</v>
      </c>
      <c r="B7348" t="str">
        <f ca="1">IFERROR(__xludf.DUMMYFUNCTION("""COMPUTED_VALUE"""),"RF-00001108-MCG")</f>
        <v>RF-00001108-MCG</v>
      </c>
    </row>
    <row r="7349" spans="1:2" ht="12.5" x14ac:dyDescent="0.25">
      <c r="A7349" t="str">
        <f ca="1">IFERROR(__xludf.DUMMYFUNCTION("""COMPUTED_VALUE"""),"Salmonella spp., unspecified")</f>
        <v>Salmonella spp., unspecified</v>
      </c>
      <c r="B7349" t="str">
        <f ca="1">IFERROR(__xludf.DUMMYFUNCTION("""COMPUTED_VALUE"""),"RF-00001107-MCG")</f>
        <v>RF-00001107-MCG</v>
      </c>
    </row>
    <row r="7350" spans="1:2" ht="12.5" x14ac:dyDescent="0.25">
      <c r="A7350" t="str">
        <f ca="1">IFERROR(__xludf.DUMMYFUNCTION("""COMPUTED_VALUE"""),"Salmonella Stachus")</f>
        <v>Salmonella Stachus</v>
      </c>
      <c r="B7350" t="str">
        <f ca="1">IFERROR(__xludf.DUMMYFUNCTION("""COMPUTED_VALUE"""),"RF-00001317-MCG")</f>
        <v>RF-00001317-MCG</v>
      </c>
    </row>
    <row r="7351" spans="1:2" ht="12.5" x14ac:dyDescent="0.25">
      <c r="A7351" t="str">
        <f ca="1">IFERROR(__xludf.DUMMYFUNCTION("""COMPUTED_VALUE"""),"Salmonella Stanley")</f>
        <v>Salmonella Stanley</v>
      </c>
      <c r="B7351" t="str">
        <f ca="1">IFERROR(__xludf.DUMMYFUNCTION("""COMPUTED_VALUE"""),"RF-00001316-MCG")</f>
        <v>RF-00001316-MCG</v>
      </c>
    </row>
    <row r="7352" spans="1:2" ht="12.5" x14ac:dyDescent="0.25">
      <c r="A7352" t="str">
        <f ca="1">IFERROR(__xludf.DUMMYFUNCTION("""COMPUTED_VALUE"""),"Salmonella Stanleyville")</f>
        <v>Salmonella Stanleyville</v>
      </c>
      <c r="B7352" t="str">
        <f ca="1">IFERROR(__xludf.DUMMYFUNCTION("""COMPUTED_VALUE"""),"RF-00001315-MCG")</f>
        <v>RF-00001315-MCG</v>
      </c>
    </row>
    <row r="7353" spans="1:2" ht="12.5" x14ac:dyDescent="0.25">
      <c r="A7353" t="str">
        <f ca="1">IFERROR(__xludf.DUMMYFUNCTION("""COMPUTED_VALUE"""),"Salmonella Staoueli")</f>
        <v>Salmonella Staoueli</v>
      </c>
      <c r="B7353" t="str">
        <f ca="1">IFERROR(__xludf.DUMMYFUNCTION("""COMPUTED_VALUE"""),"RF-00001314-MCG")</f>
        <v>RF-00001314-MCG</v>
      </c>
    </row>
    <row r="7354" spans="1:2" ht="12.5" x14ac:dyDescent="0.25">
      <c r="A7354" t="str">
        <f ca="1">IFERROR(__xludf.DUMMYFUNCTION("""COMPUTED_VALUE"""),"Salmonella Steinplatz")</f>
        <v>Salmonella Steinplatz</v>
      </c>
      <c r="B7354" t="str">
        <f ca="1">IFERROR(__xludf.DUMMYFUNCTION("""COMPUTED_VALUE"""),"RF-00001313-MCG")</f>
        <v>RF-00001313-MCG</v>
      </c>
    </row>
    <row r="7355" spans="1:2" ht="12.5" x14ac:dyDescent="0.25">
      <c r="A7355" t="str">
        <f ca="1">IFERROR(__xludf.DUMMYFUNCTION("""COMPUTED_VALUE"""),"Salmonella Steinwerder")</f>
        <v>Salmonella Steinwerder</v>
      </c>
      <c r="B7355" t="str">
        <f ca="1">IFERROR(__xludf.DUMMYFUNCTION("""COMPUTED_VALUE"""),"RF-00001312-MCG")</f>
        <v>RF-00001312-MCG</v>
      </c>
    </row>
    <row r="7356" spans="1:2" ht="12.5" x14ac:dyDescent="0.25">
      <c r="A7356" t="str">
        <f ca="1">IFERROR(__xludf.DUMMYFUNCTION("""COMPUTED_VALUE"""),"Salmonella Stellingen")</f>
        <v>Salmonella Stellingen</v>
      </c>
      <c r="B7356" t="str">
        <f ca="1">IFERROR(__xludf.DUMMYFUNCTION("""COMPUTED_VALUE"""),"RF-00001297-MCG")</f>
        <v>RF-00001297-MCG</v>
      </c>
    </row>
    <row r="7357" spans="1:2" ht="12.5" x14ac:dyDescent="0.25">
      <c r="A7357" t="str">
        <f ca="1">IFERROR(__xludf.DUMMYFUNCTION("""COMPUTED_VALUE"""),"Salmonella Stendal")</f>
        <v>Salmonella Stendal</v>
      </c>
      <c r="B7357" t="str">
        <f ca="1">IFERROR(__xludf.DUMMYFUNCTION("""COMPUTED_VALUE"""),"RF-00001310-MCG")</f>
        <v>RF-00001310-MCG</v>
      </c>
    </row>
    <row r="7358" spans="1:2" ht="12.5" x14ac:dyDescent="0.25">
      <c r="A7358" t="str">
        <f ca="1">IFERROR(__xludf.DUMMYFUNCTION("""COMPUTED_VALUE"""),"Salmonella Sternschanze")</f>
        <v>Salmonella Sternschanze</v>
      </c>
      <c r="B7358" t="str">
        <f ca="1">IFERROR(__xludf.DUMMYFUNCTION("""COMPUTED_VALUE"""),"RF-00001323-MCG")</f>
        <v>RF-00001323-MCG</v>
      </c>
    </row>
    <row r="7359" spans="1:2" ht="12.5" x14ac:dyDescent="0.25">
      <c r="A7359" t="str">
        <f ca="1">IFERROR(__xludf.DUMMYFUNCTION("""COMPUTED_VALUE"""),"Salmonella Sterrenbos")</f>
        <v>Salmonella Sterrenbos</v>
      </c>
      <c r="B7359" t="str">
        <f ca="1">IFERROR(__xludf.DUMMYFUNCTION("""COMPUTED_VALUE"""),"RF-00001308-MCG")</f>
        <v>RF-00001308-MCG</v>
      </c>
    </row>
    <row r="7360" spans="1:2" ht="12.5" x14ac:dyDescent="0.25">
      <c r="A7360" t="str">
        <f ca="1">IFERROR(__xludf.DUMMYFUNCTION("""COMPUTED_VALUE"""),"Salmonella Stockholm")</f>
        <v>Salmonella Stockholm</v>
      </c>
      <c r="B7360" t="str">
        <f ca="1">IFERROR(__xludf.DUMMYFUNCTION("""COMPUTED_VALUE"""),"RF-00001307-MCG")</f>
        <v>RF-00001307-MCG</v>
      </c>
    </row>
    <row r="7361" spans="1:2" ht="12.5" x14ac:dyDescent="0.25">
      <c r="A7361" t="str">
        <f ca="1">IFERROR(__xludf.DUMMYFUNCTION("""COMPUTED_VALUE"""),"Salmonella Stockholm var. 15")</f>
        <v>Salmonella Stockholm var. 15</v>
      </c>
      <c r="B7361" t="str">
        <f ca="1">IFERROR(__xludf.DUMMYFUNCTION("""COMPUTED_VALUE"""),"RF-00001306-MCG")</f>
        <v>RF-00001306-MCG</v>
      </c>
    </row>
    <row r="7362" spans="1:2" ht="12.5" x14ac:dyDescent="0.25">
      <c r="A7362" t="str">
        <f ca="1">IFERROR(__xludf.DUMMYFUNCTION("""COMPUTED_VALUE"""),"Salmonella Stoneferry")</f>
        <v>Salmonella Stoneferry</v>
      </c>
      <c r="B7362" t="str">
        <f ca="1">IFERROR(__xludf.DUMMYFUNCTION("""COMPUTED_VALUE"""),"RF-00001305-MCG")</f>
        <v>RF-00001305-MCG</v>
      </c>
    </row>
    <row r="7363" spans="1:2" ht="12.5" x14ac:dyDescent="0.25">
      <c r="A7363" t="str">
        <f ca="1">IFERROR(__xludf.DUMMYFUNCTION("""COMPUTED_VALUE"""),"Salmonella Stormont")</f>
        <v>Salmonella Stormont</v>
      </c>
      <c r="B7363" t="str">
        <f ca="1">IFERROR(__xludf.DUMMYFUNCTION("""COMPUTED_VALUE"""),"RF-00001304-MCG")</f>
        <v>RF-00001304-MCG</v>
      </c>
    </row>
    <row r="7364" spans="1:2" ht="12.5" x14ac:dyDescent="0.25">
      <c r="A7364" t="str">
        <f ca="1">IFERROR(__xludf.DUMMYFUNCTION("""COMPUTED_VALUE"""),"Salmonella Stourbridge")</f>
        <v>Salmonella Stourbridge</v>
      </c>
      <c r="B7364" t="str">
        <f ca="1">IFERROR(__xludf.DUMMYFUNCTION("""COMPUTED_VALUE"""),"RF-00001303-MCG")</f>
        <v>RF-00001303-MCG</v>
      </c>
    </row>
    <row r="7365" spans="1:2" ht="12.5" x14ac:dyDescent="0.25">
      <c r="A7365" t="str">
        <f ca="1">IFERROR(__xludf.DUMMYFUNCTION("""COMPUTED_VALUE"""),"Salmonella Straengnaes")</f>
        <v>Salmonella Straengnaes</v>
      </c>
      <c r="B7365" t="str">
        <f ca="1">IFERROR(__xludf.DUMMYFUNCTION("""COMPUTED_VALUE"""),"RF-00001302-MCG")</f>
        <v>RF-00001302-MCG</v>
      </c>
    </row>
    <row r="7366" spans="1:2" ht="12.5" x14ac:dyDescent="0.25">
      <c r="A7366" t="str">
        <f ca="1">IFERROR(__xludf.DUMMYFUNCTION("""COMPUTED_VALUE"""),"Salmonella Strasbourg")</f>
        <v>Salmonella Strasbourg</v>
      </c>
      <c r="B7366" t="str">
        <f ca="1">IFERROR(__xludf.DUMMYFUNCTION("""COMPUTED_VALUE"""),"RF-00001301-MCG")</f>
        <v>RF-00001301-MCG</v>
      </c>
    </row>
    <row r="7367" spans="1:2" ht="12.5" x14ac:dyDescent="0.25">
      <c r="A7367" t="str">
        <f ca="1">IFERROR(__xludf.DUMMYFUNCTION("""COMPUTED_VALUE"""),"Salmonella Stratford")</f>
        <v>Salmonella Stratford</v>
      </c>
      <c r="B7367" t="str">
        <f ca="1">IFERROR(__xludf.DUMMYFUNCTION("""COMPUTED_VALUE"""),"RF-00001300-MCG")</f>
        <v>RF-00001300-MCG</v>
      </c>
    </row>
    <row r="7368" spans="1:2" ht="12.5" x14ac:dyDescent="0.25">
      <c r="A7368" t="str">
        <f ca="1">IFERROR(__xludf.DUMMYFUNCTION("""COMPUTED_VALUE"""),"Salmonella Strathcona")</f>
        <v>Salmonella Strathcona</v>
      </c>
      <c r="B7368" t="str">
        <f ca="1">IFERROR(__xludf.DUMMYFUNCTION("""COMPUTED_VALUE"""),"RF-00001299-MCG")</f>
        <v>RF-00001299-MCG</v>
      </c>
    </row>
    <row r="7369" spans="1:2" ht="12.5" x14ac:dyDescent="0.25">
      <c r="A7369" t="str">
        <f ca="1">IFERROR(__xludf.DUMMYFUNCTION("""COMPUTED_VALUE"""),"Salmonella Stuivenberg")</f>
        <v>Salmonella Stuivenberg</v>
      </c>
      <c r="B7369" t="str">
        <f ca="1">IFERROR(__xludf.DUMMYFUNCTION("""COMPUTED_VALUE"""),"RF-00001336-MCG")</f>
        <v>RF-00001336-MCG</v>
      </c>
    </row>
    <row r="7370" spans="1:2" ht="12.5" x14ac:dyDescent="0.25">
      <c r="A7370" t="str">
        <f ca="1">IFERROR(__xludf.DUMMYFUNCTION("""COMPUTED_VALUE"""),"Salmonella Stuttgart")</f>
        <v>Salmonella Stuttgart</v>
      </c>
      <c r="B7370" t="str">
        <f ca="1">IFERROR(__xludf.DUMMYFUNCTION("""COMPUTED_VALUE"""),"RF-00001309-MCG")</f>
        <v>RF-00001309-MCG</v>
      </c>
    </row>
    <row r="7371" spans="1:2" ht="12.5" x14ac:dyDescent="0.25">
      <c r="A7371" t="str">
        <f ca="1">IFERROR(__xludf.DUMMYFUNCTION("""COMPUTED_VALUE"""),"Salmonella Suberu")</f>
        <v>Salmonella Suberu</v>
      </c>
      <c r="B7371" t="str">
        <f ca="1">IFERROR(__xludf.DUMMYFUNCTION("""COMPUTED_VALUE"""),"RF-00001311-MCG")</f>
        <v>RF-00001311-MCG</v>
      </c>
    </row>
    <row r="7372" spans="1:2" ht="12.5" x14ac:dyDescent="0.25">
      <c r="A7372" t="str">
        <f ca="1">IFERROR(__xludf.DUMMYFUNCTION("""COMPUTED_VALUE"""),"Salmonella Sudan")</f>
        <v>Salmonella Sudan</v>
      </c>
      <c r="B7372" t="str">
        <f ca="1">IFERROR(__xludf.DUMMYFUNCTION("""COMPUTED_VALUE"""),"RF-00001349-MCG")</f>
        <v>RF-00001349-MCG</v>
      </c>
    </row>
    <row r="7373" spans="1:2" ht="12.5" x14ac:dyDescent="0.25">
      <c r="A7373" t="str">
        <f ca="1">IFERROR(__xludf.DUMMYFUNCTION("""COMPUTED_VALUE"""),"Salmonella Suelldorf")</f>
        <v>Salmonella Suelldorf</v>
      </c>
      <c r="B7373" t="str">
        <f ca="1">IFERROR(__xludf.DUMMYFUNCTION("""COMPUTED_VALUE"""),"RF-00001348-MCG")</f>
        <v>RF-00001348-MCG</v>
      </c>
    </row>
    <row r="7374" spans="1:2" ht="12.5" x14ac:dyDescent="0.25">
      <c r="A7374" t="str">
        <f ca="1">IFERROR(__xludf.DUMMYFUNCTION("""COMPUTED_VALUE"""),"Salmonella Sundsvall")</f>
        <v>Salmonella Sundsvall</v>
      </c>
      <c r="B7374" t="str">
        <f ca="1">IFERROR(__xludf.DUMMYFUNCTION("""COMPUTED_VALUE"""),"RF-00001347-MCG")</f>
        <v>RF-00001347-MCG</v>
      </c>
    </row>
    <row r="7375" spans="1:2" ht="12.5" x14ac:dyDescent="0.25">
      <c r="A7375" t="str">
        <f ca="1">IFERROR(__xludf.DUMMYFUNCTION("""COMPUTED_VALUE"""),"Salmonella Sunnycove")</f>
        <v>Salmonella Sunnycove</v>
      </c>
      <c r="B7375" t="str">
        <f ca="1">IFERROR(__xludf.DUMMYFUNCTION("""COMPUTED_VALUE"""),"RF-00001346-MCG")</f>
        <v>RF-00001346-MCG</v>
      </c>
    </row>
    <row r="7376" spans="1:2" ht="12.5" x14ac:dyDescent="0.25">
      <c r="A7376" t="str">
        <f ca="1">IFERROR(__xludf.DUMMYFUNCTION("""COMPUTED_VALUE"""),"Salmonella Surat")</f>
        <v>Salmonella Surat</v>
      </c>
      <c r="B7376" t="str">
        <f ca="1">IFERROR(__xludf.DUMMYFUNCTION("""COMPUTED_VALUE"""),"RF-00001345-MCG")</f>
        <v>RF-00001345-MCG</v>
      </c>
    </row>
    <row r="7377" spans="1:2" ht="12.5" x14ac:dyDescent="0.25">
      <c r="A7377" t="str">
        <f ca="1">IFERROR(__xludf.DUMMYFUNCTION("""COMPUTED_VALUE"""),"Salmonella Surrey")</f>
        <v>Salmonella Surrey</v>
      </c>
      <c r="B7377" t="str">
        <f ca="1">IFERROR(__xludf.DUMMYFUNCTION("""COMPUTED_VALUE"""),"RF-00001344-MCG")</f>
        <v>RF-00001344-MCG</v>
      </c>
    </row>
    <row r="7378" spans="1:2" ht="12.5" x14ac:dyDescent="0.25">
      <c r="A7378" t="str">
        <f ca="1">IFERROR(__xludf.DUMMYFUNCTION("""COMPUTED_VALUE"""),"Salmonella Svedvi")</f>
        <v>Salmonella Svedvi</v>
      </c>
      <c r="B7378" t="str">
        <f ca="1">IFERROR(__xludf.DUMMYFUNCTION("""COMPUTED_VALUE"""),"RF-00001343-MCG")</f>
        <v>RF-00001343-MCG</v>
      </c>
    </row>
    <row r="7379" spans="1:2" ht="12.5" x14ac:dyDescent="0.25">
      <c r="A7379" t="str">
        <f ca="1">IFERROR(__xludf.DUMMYFUNCTION("""COMPUTED_VALUE"""),"Salmonella Sya")</f>
        <v>Salmonella Sya</v>
      </c>
      <c r="B7379" t="str">
        <f ca="1">IFERROR(__xludf.DUMMYFUNCTION("""COMPUTED_VALUE"""),"RF-00001342-MCG")</f>
        <v>RF-00001342-MCG</v>
      </c>
    </row>
    <row r="7380" spans="1:2" ht="12.5" x14ac:dyDescent="0.25">
      <c r="A7380" t="str">
        <f ca="1">IFERROR(__xludf.DUMMYFUNCTION("""COMPUTED_VALUE"""),"Salmonella Sylvania")</f>
        <v>Salmonella Sylvania</v>
      </c>
      <c r="B7380" t="str">
        <f ca="1">IFERROR(__xludf.DUMMYFUNCTION("""COMPUTED_VALUE"""),"RF-00001341-MCG")</f>
        <v>RF-00001341-MCG</v>
      </c>
    </row>
    <row r="7381" spans="1:2" ht="12.5" x14ac:dyDescent="0.25">
      <c r="A7381" t="str">
        <f ca="1">IFERROR(__xludf.DUMMYFUNCTION("""COMPUTED_VALUE"""),"Salmonella Szentes")</f>
        <v>Salmonella Szentes</v>
      </c>
      <c r="B7381" t="str">
        <f ca="1">IFERROR(__xludf.DUMMYFUNCTION("""COMPUTED_VALUE"""),"RF-00001340-MCG")</f>
        <v>RF-00001340-MCG</v>
      </c>
    </row>
    <row r="7382" spans="1:2" ht="12.5" x14ac:dyDescent="0.25">
      <c r="A7382" t="str">
        <f ca="1">IFERROR(__xludf.DUMMYFUNCTION("""COMPUTED_VALUE"""),"Salmonella Tabligbo")</f>
        <v>Salmonella Tabligbo</v>
      </c>
      <c r="B7382" t="str">
        <f ca="1">IFERROR(__xludf.DUMMYFUNCTION("""COMPUTED_VALUE"""),"RF-00001339-MCG")</f>
        <v>RF-00001339-MCG</v>
      </c>
    </row>
    <row r="7383" spans="1:2" ht="12.5" x14ac:dyDescent="0.25">
      <c r="A7383" t="str">
        <f ca="1">IFERROR(__xludf.DUMMYFUNCTION("""COMPUTED_VALUE"""),"Salmonella Tado")</f>
        <v>Salmonella Tado</v>
      </c>
      <c r="B7383" t="str">
        <f ca="1">IFERROR(__xludf.DUMMYFUNCTION("""COMPUTED_VALUE"""),"RF-00001324-MCG")</f>
        <v>RF-00001324-MCG</v>
      </c>
    </row>
    <row r="7384" spans="1:2" ht="12.5" x14ac:dyDescent="0.25">
      <c r="A7384" t="str">
        <f ca="1">IFERROR(__xludf.DUMMYFUNCTION("""COMPUTED_VALUE"""),"Salmonella Tafo")</f>
        <v>Salmonella Tafo</v>
      </c>
      <c r="B7384" t="str">
        <f ca="1">IFERROR(__xludf.DUMMYFUNCTION("""COMPUTED_VALUE"""),"RF-00001337-MCG")</f>
        <v>RF-00001337-MCG</v>
      </c>
    </row>
    <row r="7385" spans="1:2" ht="12.5" x14ac:dyDescent="0.25">
      <c r="A7385" t="str">
        <f ca="1">IFERROR(__xludf.DUMMYFUNCTION("""COMPUTED_VALUE"""),"Salmonella Taiping")</f>
        <v>Salmonella Taiping</v>
      </c>
      <c r="B7385" t="str">
        <f ca="1">IFERROR(__xludf.DUMMYFUNCTION("""COMPUTED_VALUE"""),"RF-00001350-MCG")</f>
        <v>RF-00001350-MCG</v>
      </c>
    </row>
    <row r="7386" spans="1:2" ht="12.5" x14ac:dyDescent="0.25">
      <c r="A7386" t="str">
        <f ca="1">IFERROR(__xludf.DUMMYFUNCTION("""COMPUTED_VALUE"""),"Salmonella Takoradi")</f>
        <v>Salmonella Takoradi</v>
      </c>
      <c r="B7386" t="str">
        <f ca="1">IFERROR(__xludf.DUMMYFUNCTION("""COMPUTED_VALUE"""),"RF-00001335-MCG")</f>
        <v>RF-00001335-MCG</v>
      </c>
    </row>
    <row r="7387" spans="1:2" ht="12.5" x14ac:dyDescent="0.25">
      <c r="A7387" t="str">
        <f ca="1">IFERROR(__xludf.DUMMYFUNCTION("""COMPUTED_VALUE"""),"Salmonella Taksony")</f>
        <v>Salmonella Taksony</v>
      </c>
      <c r="B7387" t="str">
        <f ca="1">IFERROR(__xludf.DUMMYFUNCTION("""COMPUTED_VALUE"""),"RF-00001334-MCG")</f>
        <v>RF-00001334-MCG</v>
      </c>
    </row>
    <row r="7388" spans="1:2" ht="12.5" x14ac:dyDescent="0.25">
      <c r="A7388" t="str">
        <f ca="1">IFERROR(__xludf.DUMMYFUNCTION("""COMPUTED_VALUE"""),"Salmonella Tallahassee")</f>
        <v>Salmonella Tallahassee</v>
      </c>
      <c r="B7388" t="str">
        <f ca="1">IFERROR(__xludf.DUMMYFUNCTION("""COMPUTED_VALUE"""),"RF-00001333-MCG")</f>
        <v>RF-00001333-MCG</v>
      </c>
    </row>
    <row r="7389" spans="1:2" ht="12.5" x14ac:dyDescent="0.25">
      <c r="A7389" t="str">
        <f ca="1">IFERROR(__xludf.DUMMYFUNCTION("""COMPUTED_VALUE"""),"Salmonella Tamale")</f>
        <v>Salmonella Tamale</v>
      </c>
      <c r="B7389" t="str">
        <f ca="1">IFERROR(__xludf.DUMMYFUNCTION("""COMPUTED_VALUE"""),"RF-00001332-MCG")</f>
        <v>RF-00001332-MCG</v>
      </c>
    </row>
    <row r="7390" spans="1:2" ht="12.5" x14ac:dyDescent="0.25">
      <c r="A7390" t="str">
        <f ca="1">IFERROR(__xludf.DUMMYFUNCTION("""COMPUTED_VALUE"""),"Salmonella Tambacounda")</f>
        <v>Salmonella Tambacounda</v>
      </c>
      <c r="B7390" t="str">
        <f ca="1">IFERROR(__xludf.DUMMYFUNCTION("""COMPUTED_VALUE"""),"RF-00001331-MCG")</f>
        <v>RF-00001331-MCG</v>
      </c>
    </row>
    <row r="7391" spans="1:2" ht="12.5" x14ac:dyDescent="0.25">
      <c r="A7391" t="str">
        <f ca="1">IFERROR(__xludf.DUMMYFUNCTION("""COMPUTED_VALUE"""),"Salmonella Tamberma")</f>
        <v>Salmonella Tamberma</v>
      </c>
      <c r="B7391" t="str">
        <f ca="1">IFERROR(__xludf.DUMMYFUNCTION("""COMPUTED_VALUE"""),"RF-00001330-MCG")</f>
        <v>RF-00001330-MCG</v>
      </c>
    </row>
    <row r="7392" spans="1:2" ht="12.5" x14ac:dyDescent="0.25">
      <c r="A7392" t="str">
        <f ca="1">IFERROR(__xludf.DUMMYFUNCTION("""COMPUTED_VALUE"""),"Salmonella Tamilnadu")</f>
        <v>Salmonella Tamilnadu</v>
      </c>
      <c r="B7392" t="str">
        <f ca="1">IFERROR(__xludf.DUMMYFUNCTION("""COMPUTED_VALUE"""),"RF-00001329-MCG")</f>
        <v>RF-00001329-MCG</v>
      </c>
    </row>
    <row r="7393" spans="1:2" ht="12.5" x14ac:dyDescent="0.25">
      <c r="A7393" t="str">
        <f ca="1">IFERROR(__xludf.DUMMYFUNCTION("""COMPUTED_VALUE"""),"Salmonella Tampico")</f>
        <v>Salmonella Tampico</v>
      </c>
      <c r="B7393" t="str">
        <f ca="1">IFERROR(__xludf.DUMMYFUNCTION("""COMPUTED_VALUE"""),"RF-00001328-MCG")</f>
        <v>RF-00001328-MCG</v>
      </c>
    </row>
    <row r="7394" spans="1:2" ht="12.5" x14ac:dyDescent="0.25">
      <c r="A7394" t="str">
        <f ca="1">IFERROR(__xludf.DUMMYFUNCTION("""COMPUTED_VALUE"""),"Salmonella Tananarive")</f>
        <v>Salmonella Tananarive</v>
      </c>
      <c r="B7394" t="str">
        <f ca="1">IFERROR(__xludf.DUMMYFUNCTION("""COMPUTED_VALUE"""),"RF-00001327-MCG")</f>
        <v>RF-00001327-MCG</v>
      </c>
    </row>
    <row r="7395" spans="1:2" ht="12.5" x14ac:dyDescent="0.25">
      <c r="A7395" t="str">
        <f ca="1">IFERROR(__xludf.DUMMYFUNCTION("""COMPUTED_VALUE"""),"Salmonella Tanger")</f>
        <v>Salmonella Tanger</v>
      </c>
      <c r="B7395" t="str">
        <f ca="1">IFERROR(__xludf.DUMMYFUNCTION("""COMPUTED_VALUE"""),"RF-00001326-MCG")</f>
        <v>RF-00001326-MCG</v>
      </c>
    </row>
    <row r="7396" spans="1:2" ht="12.5" x14ac:dyDescent="0.25">
      <c r="A7396" t="str">
        <f ca="1">IFERROR(__xludf.DUMMYFUNCTION("""COMPUTED_VALUE"""),"Salmonella Tanzania")</f>
        <v>Salmonella Tanzania</v>
      </c>
      <c r="B7396" t="str">
        <f ca="1">IFERROR(__xludf.DUMMYFUNCTION("""COMPUTED_VALUE"""),"RF-00001158-MCG")</f>
        <v>RF-00001158-MCG</v>
      </c>
    </row>
    <row r="7397" spans="1:2" ht="12.5" x14ac:dyDescent="0.25">
      <c r="A7397" t="str">
        <f ca="1">IFERROR(__xludf.DUMMYFUNCTION("""COMPUTED_VALUE"""),"Salmonella Tarshyne")</f>
        <v>Salmonella Tarshyne</v>
      </c>
      <c r="B7397" t="str">
        <f ca="1">IFERROR(__xludf.DUMMYFUNCTION("""COMPUTED_VALUE"""),"RF-00001379-MCG")</f>
        <v>RF-00001379-MCG</v>
      </c>
    </row>
    <row r="7398" spans="1:2" ht="12.5" x14ac:dyDescent="0.25">
      <c r="A7398" t="str">
        <f ca="1">IFERROR(__xludf.DUMMYFUNCTION("""COMPUTED_VALUE"""),"Salmonella Taset")</f>
        <v>Salmonella Taset</v>
      </c>
      <c r="B7398" t="str">
        <f ca="1">IFERROR(__xludf.DUMMYFUNCTION("""COMPUTED_VALUE"""),"RF-00001216-MCG")</f>
        <v>RF-00001216-MCG</v>
      </c>
    </row>
    <row r="7399" spans="1:2" ht="12.5" x14ac:dyDescent="0.25">
      <c r="A7399" t="str">
        <f ca="1">IFERROR(__xludf.DUMMYFUNCTION("""COMPUTED_VALUE"""),"Salmonella Taunton")</f>
        <v>Salmonella Taunton</v>
      </c>
      <c r="B7399" t="str">
        <f ca="1">IFERROR(__xludf.DUMMYFUNCTION("""COMPUTED_VALUE"""),"RF-00001050-MCG")</f>
        <v>RF-00001050-MCG</v>
      </c>
    </row>
    <row r="7400" spans="1:2" ht="12.5" x14ac:dyDescent="0.25">
      <c r="A7400" t="str">
        <f ca="1">IFERROR(__xludf.DUMMYFUNCTION("""COMPUTED_VALUE"""),"Salmonella Taylor")</f>
        <v>Salmonella Taylor</v>
      </c>
      <c r="B7400" t="str">
        <f ca="1">IFERROR(__xludf.DUMMYFUNCTION("""COMPUTED_VALUE"""),"RF-00001049-MCG")</f>
        <v>RF-00001049-MCG</v>
      </c>
    </row>
    <row r="7401" spans="1:2" ht="12.5" x14ac:dyDescent="0.25">
      <c r="A7401" t="str">
        <f ca="1">IFERROR(__xludf.DUMMYFUNCTION("""COMPUTED_VALUE"""),"Salmonella Tchad")</f>
        <v>Salmonella Tchad</v>
      </c>
      <c r="B7401" t="str">
        <f ca="1">IFERROR(__xludf.DUMMYFUNCTION("""COMPUTED_VALUE"""),"RF-00001048-MCG")</f>
        <v>RF-00001048-MCG</v>
      </c>
    </row>
    <row r="7402" spans="1:2" ht="12.5" x14ac:dyDescent="0.25">
      <c r="A7402" t="str">
        <f ca="1">IFERROR(__xludf.DUMMYFUNCTION("""COMPUTED_VALUE"""),"Salmonella Tchamba")</f>
        <v>Salmonella Tchamba</v>
      </c>
      <c r="B7402" t="str">
        <f ca="1">IFERROR(__xludf.DUMMYFUNCTION("""COMPUTED_VALUE"""),"RF-00001047-MCG")</f>
        <v>RF-00001047-MCG</v>
      </c>
    </row>
    <row r="7403" spans="1:2" ht="12.5" x14ac:dyDescent="0.25">
      <c r="A7403" t="str">
        <f ca="1">IFERROR(__xludf.DUMMYFUNCTION("""COMPUTED_VALUE"""),"Salmonella Techimani")</f>
        <v>Salmonella Techimani</v>
      </c>
      <c r="B7403" t="str">
        <f ca="1">IFERROR(__xludf.DUMMYFUNCTION("""COMPUTED_VALUE"""),"RF-00001046-MCG")</f>
        <v>RF-00001046-MCG</v>
      </c>
    </row>
    <row r="7404" spans="1:2" ht="12.5" x14ac:dyDescent="0.25">
      <c r="A7404" t="str">
        <f ca="1">IFERROR(__xludf.DUMMYFUNCTION("""COMPUTED_VALUE"""),"Salmonella Teddington")</f>
        <v>Salmonella Teddington</v>
      </c>
      <c r="B7404" t="str">
        <f ca="1">IFERROR(__xludf.DUMMYFUNCTION("""COMPUTED_VALUE"""),"RF-00001045-MCG")</f>
        <v>RF-00001045-MCG</v>
      </c>
    </row>
    <row r="7405" spans="1:2" ht="12.5" x14ac:dyDescent="0.25">
      <c r="A7405" t="str">
        <f ca="1">IFERROR(__xludf.DUMMYFUNCTION("""COMPUTED_VALUE"""),"Salmonella Tees")</f>
        <v>Salmonella Tees</v>
      </c>
      <c r="B7405" t="str">
        <f ca="1">IFERROR(__xludf.DUMMYFUNCTION("""COMPUTED_VALUE"""),"RF-00001044-MCG")</f>
        <v>RF-00001044-MCG</v>
      </c>
    </row>
    <row r="7406" spans="1:2" ht="12.5" x14ac:dyDescent="0.25">
      <c r="A7406" t="str">
        <f ca="1">IFERROR(__xludf.DUMMYFUNCTION("""COMPUTED_VALUE"""),"Salmonella Tejas")</f>
        <v>Salmonella Tejas</v>
      </c>
      <c r="B7406" t="str">
        <f ca="1">IFERROR(__xludf.DUMMYFUNCTION("""COMPUTED_VALUE"""),"RF-00001043-MCG")</f>
        <v>RF-00001043-MCG</v>
      </c>
    </row>
    <row r="7407" spans="1:2" ht="12.5" x14ac:dyDescent="0.25">
      <c r="A7407" t="str">
        <f ca="1">IFERROR(__xludf.DUMMYFUNCTION("""COMPUTED_VALUE"""),"Salmonella Teko")</f>
        <v>Salmonella Teko</v>
      </c>
      <c r="B7407" t="str">
        <f ca="1">IFERROR(__xludf.DUMMYFUNCTION("""COMPUTED_VALUE"""),"RF-00001042-MCG")</f>
        <v>RF-00001042-MCG</v>
      </c>
    </row>
    <row r="7408" spans="1:2" ht="12.5" x14ac:dyDescent="0.25">
      <c r="A7408" t="str">
        <f ca="1">IFERROR(__xludf.DUMMYFUNCTION("""COMPUTED_VALUE"""),"Salmonella Telaviv")</f>
        <v>Salmonella Telaviv</v>
      </c>
      <c r="B7408" t="str">
        <f ca="1">IFERROR(__xludf.DUMMYFUNCTION("""COMPUTED_VALUE"""),"RF-00001041-MCG")</f>
        <v>RF-00001041-MCG</v>
      </c>
    </row>
    <row r="7409" spans="1:2" ht="12.5" x14ac:dyDescent="0.25">
      <c r="A7409" t="str">
        <f ca="1">IFERROR(__xludf.DUMMYFUNCTION("""COMPUTED_VALUE"""),"Salmonella Telelkebir")</f>
        <v>Salmonella Telelkebir</v>
      </c>
      <c r="B7409" t="str">
        <f ca="1">IFERROR(__xludf.DUMMYFUNCTION("""COMPUTED_VALUE"""),"RF-00001040-MCG")</f>
        <v>RF-00001040-MCG</v>
      </c>
    </row>
    <row r="7410" spans="1:2" ht="12.5" x14ac:dyDescent="0.25">
      <c r="A7410" t="str">
        <f ca="1">IFERROR(__xludf.DUMMYFUNCTION("""COMPUTED_VALUE"""),"Salmonella Telhashomer")</f>
        <v>Salmonella Telhashomer</v>
      </c>
      <c r="B7410" t="str">
        <f ca="1">IFERROR(__xludf.DUMMYFUNCTION("""COMPUTED_VALUE"""),"RF-00001025-MCG")</f>
        <v>RF-00001025-MCG</v>
      </c>
    </row>
    <row r="7411" spans="1:2" ht="12.5" x14ac:dyDescent="0.25">
      <c r="A7411" t="str">
        <f ca="1">IFERROR(__xludf.DUMMYFUNCTION("""COMPUTED_VALUE"""),"Salmonella Teltow")</f>
        <v>Salmonella Teltow</v>
      </c>
      <c r="B7411" t="str">
        <f ca="1">IFERROR(__xludf.DUMMYFUNCTION("""COMPUTED_VALUE"""),"RF-00001038-MCG")</f>
        <v>RF-00001038-MCG</v>
      </c>
    </row>
    <row r="7412" spans="1:2" ht="12.5" x14ac:dyDescent="0.25">
      <c r="A7412" t="str">
        <f ca="1">IFERROR(__xludf.DUMMYFUNCTION("""COMPUTED_VALUE"""),"Salmonella Tema")</f>
        <v>Salmonella Tema</v>
      </c>
      <c r="B7412" t="str">
        <f ca="1">IFERROR(__xludf.DUMMYFUNCTION("""COMPUTED_VALUE"""),"RF-00001051-MCG")</f>
        <v>RF-00001051-MCG</v>
      </c>
    </row>
    <row r="7413" spans="1:2" ht="12.5" x14ac:dyDescent="0.25">
      <c r="A7413" t="str">
        <f ca="1">IFERROR(__xludf.DUMMYFUNCTION("""COMPUTED_VALUE"""),"Salmonella Tendeba")</f>
        <v>Salmonella Tendeba</v>
      </c>
      <c r="B7413" t="str">
        <f ca="1">IFERROR(__xludf.DUMMYFUNCTION("""COMPUTED_VALUE"""),"RF-00001036-MCG")</f>
        <v>RF-00001036-MCG</v>
      </c>
    </row>
    <row r="7414" spans="1:2" ht="12.5" x14ac:dyDescent="0.25">
      <c r="A7414" t="str">
        <f ca="1">IFERROR(__xludf.DUMMYFUNCTION("""COMPUTED_VALUE"""),"Salmonella Tennenlohe")</f>
        <v>Salmonella Tennenlohe</v>
      </c>
      <c r="B7414" t="str">
        <f ca="1">IFERROR(__xludf.DUMMYFUNCTION("""COMPUTED_VALUE"""),"RF-00001035-MCG")</f>
        <v>RF-00001035-MCG</v>
      </c>
    </row>
    <row r="7415" spans="1:2" ht="12.5" x14ac:dyDescent="0.25">
      <c r="A7415" t="str">
        <f ca="1">IFERROR(__xludf.DUMMYFUNCTION("""COMPUTED_VALUE"""),"Salmonella Tennessee")</f>
        <v>Salmonella Tennessee</v>
      </c>
      <c r="B7415" t="str">
        <f ca="1">IFERROR(__xludf.DUMMYFUNCTION("""COMPUTED_VALUE"""),"RF-00001034-MCG")</f>
        <v>RF-00001034-MCG</v>
      </c>
    </row>
    <row r="7416" spans="1:2" ht="12.5" x14ac:dyDescent="0.25">
      <c r="A7416" t="str">
        <f ca="1">IFERROR(__xludf.DUMMYFUNCTION("""COMPUTED_VALUE"""),"Salmonella Tennyson")</f>
        <v>Salmonella Tennyson</v>
      </c>
      <c r="B7416" t="str">
        <f ca="1">IFERROR(__xludf.DUMMYFUNCTION("""COMPUTED_VALUE"""),"RF-00001033-MCG")</f>
        <v>RF-00001033-MCG</v>
      </c>
    </row>
    <row r="7417" spans="1:2" ht="12.5" x14ac:dyDescent="0.25">
      <c r="A7417" t="str">
        <f ca="1">IFERROR(__xludf.DUMMYFUNCTION("""COMPUTED_VALUE"""),"Salmonella Teshie")</f>
        <v>Salmonella Teshie</v>
      </c>
      <c r="B7417" t="str">
        <f ca="1">IFERROR(__xludf.DUMMYFUNCTION("""COMPUTED_VALUE"""),"RF-00001032-MCG")</f>
        <v>RF-00001032-MCG</v>
      </c>
    </row>
    <row r="7418" spans="1:2" ht="12.5" x14ac:dyDescent="0.25">
      <c r="A7418" t="str">
        <f ca="1">IFERROR(__xludf.DUMMYFUNCTION("""COMPUTED_VALUE"""),"Salmonella Texas")</f>
        <v>Salmonella Texas</v>
      </c>
      <c r="B7418" t="str">
        <f ca="1">IFERROR(__xludf.DUMMYFUNCTION("""COMPUTED_VALUE"""),"RF-00001031-MCG")</f>
        <v>RF-00001031-MCG</v>
      </c>
    </row>
    <row r="7419" spans="1:2" ht="12.5" x14ac:dyDescent="0.25">
      <c r="A7419" t="str">
        <f ca="1">IFERROR(__xludf.DUMMYFUNCTION("""COMPUTED_VALUE"""),"Salmonella Thayngen")</f>
        <v>Salmonella Thayngen</v>
      </c>
      <c r="B7419" t="str">
        <f ca="1">IFERROR(__xludf.DUMMYFUNCTION("""COMPUTED_VALUE"""),"RF-00001030-MCG")</f>
        <v>RF-00001030-MCG</v>
      </c>
    </row>
    <row r="7420" spans="1:2" ht="12.5" x14ac:dyDescent="0.25">
      <c r="A7420" t="str">
        <f ca="1">IFERROR(__xludf.DUMMYFUNCTION("""COMPUTED_VALUE"""),"Salmonella Thetford")</f>
        <v>Salmonella Thetford</v>
      </c>
      <c r="B7420" t="str">
        <f ca="1">IFERROR(__xludf.DUMMYFUNCTION("""COMPUTED_VALUE"""),"RF-00001029-MCG")</f>
        <v>RF-00001029-MCG</v>
      </c>
    </row>
    <row r="7421" spans="1:2" ht="12.5" x14ac:dyDescent="0.25">
      <c r="A7421" t="str">
        <f ca="1">IFERROR(__xludf.DUMMYFUNCTION("""COMPUTED_VALUE"""),"Salmonella Thiaroye")</f>
        <v>Salmonella Thiaroye</v>
      </c>
      <c r="B7421" t="str">
        <f ca="1">IFERROR(__xludf.DUMMYFUNCTION("""COMPUTED_VALUE"""),"RF-00001028-MCG")</f>
        <v>RF-00001028-MCG</v>
      </c>
    </row>
    <row r="7422" spans="1:2" ht="12.5" x14ac:dyDescent="0.25">
      <c r="A7422" t="str">
        <f ca="1">IFERROR(__xludf.DUMMYFUNCTION("""COMPUTED_VALUE"""),"Salmonella Thies")</f>
        <v>Salmonella Thies</v>
      </c>
      <c r="B7422" t="str">
        <f ca="1">IFERROR(__xludf.DUMMYFUNCTION("""COMPUTED_VALUE"""),"RF-00001027-MCG")</f>
        <v>RF-00001027-MCG</v>
      </c>
    </row>
    <row r="7423" spans="1:2" ht="12.5" x14ac:dyDescent="0.25">
      <c r="A7423" t="str">
        <f ca="1">IFERROR(__xludf.DUMMYFUNCTION("""COMPUTED_VALUE"""),"Salmonella Thompson")</f>
        <v>Salmonella Thompson</v>
      </c>
      <c r="B7423" t="str">
        <f ca="1">IFERROR(__xludf.DUMMYFUNCTION("""COMPUTED_VALUE"""),"RF-00001064-MCG")</f>
        <v>RF-00001064-MCG</v>
      </c>
    </row>
    <row r="7424" spans="1:2" ht="12.5" x14ac:dyDescent="0.25">
      <c r="A7424" t="str">
        <f ca="1">IFERROR(__xludf.DUMMYFUNCTION("""COMPUTED_VALUE"""),"Salmonella Tibati")</f>
        <v>Salmonella Tibati</v>
      </c>
      <c r="B7424" t="str">
        <f ca="1">IFERROR(__xludf.DUMMYFUNCTION("""COMPUTED_VALUE"""),"RF-00001037-MCG")</f>
        <v>RF-00001037-MCG</v>
      </c>
    </row>
    <row r="7425" spans="1:2" ht="12.5" x14ac:dyDescent="0.25">
      <c r="A7425" t="str">
        <f ca="1">IFERROR(__xludf.DUMMYFUNCTION("""COMPUTED_VALUE"""),"Salmonella Tienba")</f>
        <v>Salmonella Tienba</v>
      </c>
      <c r="B7425" t="str">
        <f ca="1">IFERROR(__xludf.DUMMYFUNCTION("""COMPUTED_VALUE"""),"RF-00001039-MCG")</f>
        <v>RF-00001039-MCG</v>
      </c>
    </row>
    <row r="7426" spans="1:2" ht="12.5" x14ac:dyDescent="0.25">
      <c r="A7426" t="str">
        <f ca="1">IFERROR(__xludf.DUMMYFUNCTION("""COMPUTED_VALUE"""),"Salmonella Tiergarten")</f>
        <v>Salmonella Tiergarten</v>
      </c>
      <c r="B7426" t="str">
        <f ca="1">IFERROR(__xludf.DUMMYFUNCTION("""COMPUTED_VALUE"""),"RF-00001077-MCG")</f>
        <v>RF-00001077-MCG</v>
      </c>
    </row>
    <row r="7427" spans="1:2" ht="12.5" x14ac:dyDescent="0.25">
      <c r="A7427" t="str">
        <f ca="1">IFERROR(__xludf.DUMMYFUNCTION("""COMPUTED_VALUE"""),"Salmonella Tiko")</f>
        <v>Salmonella Tiko</v>
      </c>
      <c r="B7427" t="str">
        <f ca="1">IFERROR(__xludf.DUMMYFUNCTION("""COMPUTED_VALUE"""),"RF-00001076-MCG")</f>
        <v>RF-00001076-MCG</v>
      </c>
    </row>
    <row r="7428" spans="1:2" ht="12.5" x14ac:dyDescent="0.25">
      <c r="A7428" t="str">
        <f ca="1">IFERROR(__xludf.DUMMYFUNCTION("""COMPUTED_VALUE"""),"Salmonella Tilburg")</f>
        <v>Salmonella Tilburg</v>
      </c>
      <c r="B7428" t="str">
        <f ca="1">IFERROR(__xludf.DUMMYFUNCTION("""COMPUTED_VALUE"""),"RF-00001075-MCG")</f>
        <v>RF-00001075-MCG</v>
      </c>
    </row>
    <row r="7429" spans="1:2" ht="12.5" x14ac:dyDescent="0.25">
      <c r="A7429" t="str">
        <f ca="1">IFERROR(__xludf.DUMMYFUNCTION("""COMPUTED_VALUE"""),"Salmonella Tilene")</f>
        <v>Salmonella Tilene</v>
      </c>
      <c r="B7429" t="str">
        <f ca="1">IFERROR(__xludf.DUMMYFUNCTION("""COMPUTED_VALUE"""),"RF-00001074-MCG")</f>
        <v>RF-00001074-MCG</v>
      </c>
    </row>
    <row r="7430" spans="1:2" ht="12.5" x14ac:dyDescent="0.25">
      <c r="A7430" t="str">
        <f ca="1">IFERROR(__xludf.DUMMYFUNCTION("""COMPUTED_VALUE"""),"Salmonella Tinda")</f>
        <v>Salmonella Tinda</v>
      </c>
      <c r="B7430" t="str">
        <f ca="1">IFERROR(__xludf.DUMMYFUNCTION("""COMPUTED_VALUE"""),"RF-00001073-MCG")</f>
        <v>RF-00001073-MCG</v>
      </c>
    </row>
    <row r="7431" spans="1:2" ht="12.5" x14ac:dyDescent="0.25">
      <c r="A7431" t="str">
        <f ca="1">IFERROR(__xludf.DUMMYFUNCTION("""COMPUTED_VALUE"""),"Salmonella Tione")</f>
        <v>Salmonella Tione</v>
      </c>
      <c r="B7431" t="str">
        <f ca="1">IFERROR(__xludf.DUMMYFUNCTION("""COMPUTED_VALUE"""),"RF-00001072-MCG")</f>
        <v>RF-00001072-MCG</v>
      </c>
    </row>
    <row r="7432" spans="1:2" ht="12.5" x14ac:dyDescent="0.25">
      <c r="A7432" t="str">
        <f ca="1">IFERROR(__xludf.DUMMYFUNCTION("""COMPUTED_VALUE"""),"Salmonella Togba")</f>
        <v>Salmonella Togba</v>
      </c>
      <c r="B7432" t="str">
        <f ca="1">IFERROR(__xludf.DUMMYFUNCTION("""COMPUTED_VALUE"""),"RF-00001071-MCG")</f>
        <v>RF-00001071-MCG</v>
      </c>
    </row>
    <row r="7433" spans="1:2" ht="12.5" x14ac:dyDescent="0.25">
      <c r="A7433" t="str">
        <f ca="1">IFERROR(__xludf.DUMMYFUNCTION("""COMPUTED_VALUE"""),"Salmonella Togo")</f>
        <v>Salmonella Togo</v>
      </c>
      <c r="B7433" t="str">
        <f ca="1">IFERROR(__xludf.DUMMYFUNCTION("""COMPUTED_VALUE"""),"RF-00001070-MCG")</f>
        <v>RF-00001070-MCG</v>
      </c>
    </row>
    <row r="7434" spans="1:2" ht="12.5" x14ac:dyDescent="0.25">
      <c r="A7434" t="str">
        <f ca="1">IFERROR(__xludf.DUMMYFUNCTION("""COMPUTED_VALUE"""),"Salmonella Tokoin")</f>
        <v>Salmonella Tokoin</v>
      </c>
      <c r="B7434" t="str">
        <f ca="1">IFERROR(__xludf.DUMMYFUNCTION("""COMPUTED_VALUE"""),"RF-00001069-MCG")</f>
        <v>RF-00001069-MCG</v>
      </c>
    </row>
    <row r="7435" spans="1:2" ht="12.5" x14ac:dyDescent="0.25">
      <c r="A7435" t="str">
        <f ca="1">IFERROR(__xludf.DUMMYFUNCTION("""COMPUTED_VALUE"""),"Salmonella Tomegbe")</f>
        <v>Salmonella Tomegbe</v>
      </c>
      <c r="B7435" t="str">
        <f ca="1">IFERROR(__xludf.DUMMYFUNCTION("""COMPUTED_VALUE"""),"RF-00001068-MCG")</f>
        <v>RF-00001068-MCG</v>
      </c>
    </row>
    <row r="7436" spans="1:2" ht="12.5" x14ac:dyDescent="0.25">
      <c r="A7436" t="str">
        <f ca="1">IFERROR(__xludf.DUMMYFUNCTION("""COMPUTED_VALUE"""),"Salmonella Tomelilla")</f>
        <v>Salmonella Tomelilla</v>
      </c>
      <c r="B7436" t="str">
        <f ca="1">IFERROR(__xludf.DUMMYFUNCTION("""COMPUTED_VALUE"""),"RF-00001067-MCG")</f>
        <v>RF-00001067-MCG</v>
      </c>
    </row>
    <row r="7437" spans="1:2" ht="12.5" x14ac:dyDescent="0.25">
      <c r="A7437" t="str">
        <f ca="1">IFERROR(__xludf.DUMMYFUNCTION("""COMPUTED_VALUE"""),"Salmonella Tonev")</f>
        <v>Salmonella Tonev</v>
      </c>
      <c r="B7437" t="str">
        <f ca="1">IFERROR(__xludf.DUMMYFUNCTION("""COMPUTED_VALUE"""),"RF-00001052-MCG")</f>
        <v>RF-00001052-MCG</v>
      </c>
    </row>
    <row r="7438" spans="1:2" ht="12.5" x14ac:dyDescent="0.25">
      <c r="A7438" t="str">
        <f ca="1">IFERROR(__xludf.DUMMYFUNCTION("""COMPUTED_VALUE"""),"Salmonella Toowong")</f>
        <v>Salmonella Toowong</v>
      </c>
      <c r="B7438" t="str">
        <f ca="1">IFERROR(__xludf.DUMMYFUNCTION("""COMPUTED_VALUE"""),"RF-00001065-MCG")</f>
        <v>RF-00001065-MCG</v>
      </c>
    </row>
    <row r="7439" spans="1:2" ht="12.5" x14ac:dyDescent="0.25">
      <c r="A7439" t="str">
        <f ca="1">IFERROR(__xludf.DUMMYFUNCTION("""COMPUTED_VALUE"""),"Salmonella Torhout")</f>
        <v>Salmonella Torhout</v>
      </c>
      <c r="B7439" t="str">
        <f ca="1">IFERROR(__xludf.DUMMYFUNCTION("""COMPUTED_VALUE"""),"RF-00001078-MCG")</f>
        <v>RF-00001078-MCG</v>
      </c>
    </row>
    <row r="7440" spans="1:2" ht="12.5" x14ac:dyDescent="0.25">
      <c r="A7440" t="str">
        <f ca="1">IFERROR(__xludf.DUMMYFUNCTION("""COMPUTED_VALUE"""),"Salmonella Toricada")</f>
        <v>Salmonella Toricada</v>
      </c>
      <c r="B7440" t="str">
        <f ca="1">IFERROR(__xludf.DUMMYFUNCTION("""COMPUTED_VALUE"""),"RF-00001063-MCG")</f>
        <v>RF-00001063-MCG</v>
      </c>
    </row>
    <row r="7441" spans="1:2" ht="12.5" x14ac:dyDescent="0.25">
      <c r="A7441" t="str">
        <f ca="1">IFERROR(__xludf.DUMMYFUNCTION("""COMPUTED_VALUE"""),"Salmonella Tornow")</f>
        <v>Salmonella Tornow</v>
      </c>
      <c r="B7441" t="str">
        <f ca="1">IFERROR(__xludf.DUMMYFUNCTION("""COMPUTED_VALUE"""),"RF-00001062-MCG")</f>
        <v>RF-00001062-MCG</v>
      </c>
    </row>
    <row r="7442" spans="1:2" ht="12.5" x14ac:dyDescent="0.25">
      <c r="A7442" t="str">
        <f ca="1">IFERROR(__xludf.DUMMYFUNCTION("""COMPUTED_VALUE"""),"Salmonella Toronto")</f>
        <v>Salmonella Toronto</v>
      </c>
      <c r="B7442" t="str">
        <f ca="1">IFERROR(__xludf.DUMMYFUNCTION("""COMPUTED_VALUE"""),"RF-00001061-MCG")</f>
        <v>RF-00001061-MCG</v>
      </c>
    </row>
    <row r="7443" spans="1:2" ht="12.5" x14ac:dyDescent="0.25">
      <c r="A7443" t="str">
        <f ca="1">IFERROR(__xludf.DUMMYFUNCTION("""COMPUTED_VALUE"""),"Salmonella Toucra")</f>
        <v>Salmonella Toucra</v>
      </c>
      <c r="B7443" t="str">
        <f ca="1">IFERROR(__xludf.DUMMYFUNCTION("""COMPUTED_VALUE"""),"RF-00001060-MCG")</f>
        <v>RF-00001060-MCG</v>
      </c>
    </row>
    <row r="7444" spans="1:2" ht="12.5" x14ac:dyDescent="0.25">
      <c r="A7444" t="str">
        <f ca="1">IFERROR(__xludf.DUMMYFUNCTION("""COMPUTED_VALUE"""),"Salmonella Toulon")</f>
        <v>Salmonella Toulon</v>
      </c>
      <c r="B7444" t="str">
        <f ca="1">IFERROR(__xludf.DUMMYFUNCTION("""COMPUTED_VALUE"""),"RF-00001059-MCG")</f>
        <v>RF-00001059-MCG</v>
      </c>
    </row>
    <row r="7445" spans="1:2" ht="12.5" x14ac:dyDescent="0.25">
      <c r="A7445" t="str">
        <f ca="1">IFERROR(__xludf.DUMMYFUNCTION("""COMPUTED_VALUE"""),"Salmonella Tounouma")</f>
        <v>Salmonella Tounouma</v>
      </c>
      <c r="B7445" t="str">
        <f ca="1">IFERROR(__xludf.DUMMYFUNCTION("""COMPUTED_VALUE"""),"RF-00001058-MCG")</f>
        <v>RF-00001058-MCG</v>
      </c>
    </row>
    <row r="7446" spans="1:2" ht="12.5" x14ac:dyDescent="0.25">
      <c r="A7446" t="str">
        <f ca="1">IFERROR(__xludf.DUMMYFUNCTION("""COMPUTED_VALUE"""),"Salmonella Tours")</f>
        <v>Salmonella Tours</v>
      </c>
      <c r="B7446" t="str">
        <f ca="1">IFERROR(__xludf.DUMMYFUNCTION("""COMPUTED_VALUE"""),"RF-00001057-MCG")</f>
        <v>RF-00001057-MCG</v>
      </c>
    </row>
    <row r="7447" spans="1:2" ht="12.5" x14ac:dyDescent="0.25">
      <c r="A7447" t="str">
        <f ca="1">IFERROR(__xludf.DUMMYFUNCTION("""COMPUTED_VALUE"""),"Salmonella Trachau")</f>
        <v>Salmonella Trachau</v>
      </c>
      <c r="B7447" t="str">
        <f ca="1">IFERROR(__xludf.DUMMYFUNCTION("""COMPUTED_VALUE"""),"RF-00001056-MCG")</f>
        <v>RF-00001056-MCG</v>
      </c>
    </row>
    <row r="7448" spans="1:2" ht="12.5" x14ac:dyDescent="0.25">
      <c r="A7448" t="str">
        <f ca="1">IFERROR(__xludf.DUMMYFUNCTION("""COMPUTED_VALUE"""),"Salmonella Transvaal")</f>
        <v>Salmonella Transvaal</v>
      </c>
      <c r="B7448" t="str">
        <f ca="1">IFERROR(__xludf.DUMMYFUNCTION("""COMPUTED_VALUE"""),"RF-00001055-MCG")</f>
        <v>RF-00001055-MCG</v>
      </c>
    </row>
    <row r="7449" spans="1:2" ht="12.5" x14ac:dyDescent="0.25">
      <c r="A7449" t="str">
        <f ca="1">IFERROR(__xludf.DUMMYFUNCTION("""COMPUTED_VALUE"""),"Salmonella Travis")</f>
        <v>Salmonella Travis</v>
      </c>
      <c r="B7449" t="str">
        <f ca="1">IFERROR(__xludf.DUMMYFUNCTION("""COMPUTED_VALUE"""),"RF-00001054-MCG")</f>
        <v>RF-00001054-MCG</v>
      </c>
    </row>
    <row r="7450" spans="1:2" ht="12.5" x14ac:dyDescent="0.25">
      <c r="A7450" t="str">
        <f ca="1">IFERROR(__xludf.DUMMYFUNCTION("""COMPUTED_VALUE"""),"Salmonella Treforest")</f>
        <v>Salmonella Treforest</v>
      </c>
      <c r="B7450" t="str">
        <f ca="1">IFERROR(__xludf.DUMMYFUNCTION("""COMPUTED_VALUE"""),"RF-00001053-MCG")</f>
        <v>RF-00001053-MCG</v>
      </c>
    </row>
    <row r="7451" spans="1:2" ht="12.5" x14ac:dyDescent="0.25">
      <c r="A7451" t="str">
        <f ca="1">IFERROR(__xludf.DUMMYFUNCTION("""COMPUTED_VALUE"""),"Salmonella Treguier")</f>
        <v>Salmonella Treguier</v>
      </c>
      <c r="B7451" t="str">
        <f ca="1">IFERROR(__xludf.DUMMYFUNCTION("""COMPUTED_VALUE"""),"RF-00001012-MCG")</f>
        <v>RF-00001012-MCG</v>
      </c>
    </row>
    <row r="7452" spans="1:2" ht="12.5" x14ac:dyDescent="0.25">
      <c r="A7452" t="str">
        <f ca="1">IFERROR(__xludf.DUMMYFUNCTION("""COMPUTED_VALUE"""),"Salmonella Trier")</f>
        <v>Salmonella Trier</v>
      </c>
      <c r="B7452" t="str">
        <f ca="1">IFERROR(__xludf.DUMMYFUNCTION("""COMPUTED_VALUE"""),"RF-00000972-MCG")</f>
        <v>RF-00000972-MCG</v>
      </c>
    </row>
    <row r="7453" spans="1:2" ht="12.5" x14ac:dyDescent="0.25">
      <c r="A7453" t="str">
        <f ca="1">IFERROR(__xludf.DUMMYFUNCTION("""COMPUTED_VALUE"""),"Salmonella Trimdon")</f>
        <v>Salmonella Trimdon</v>
      </c>
      <c r="B7453" t="str">
        <f ca="1">IFERROR(__xludf.DUMMYFUNCTION("""COMPUTED_VALUE"""),"RF-00001026-MCG")</f>
        <v>RF-00001026-MCG</v>
      </c>
    </row>
    <row r="7454" spans="1:2" ht="12.5" x14ac:dyDescent="0.25">
      <c r="A7454" t="str">
        <f ca="1">IFERROR(__xludf.DUMMYFUNCTION("""COMPUTED_VALUE"""),"Salmonella Tripoli")</f>
        <v>Salmonella Tripoli</v>
      </c>
      <c r="B7454" t="str">
        <f ca="1">IFERROR(__xludf.DUMMYFUNCTION("""COMPUTED_VALUE"""),"RF-00000995-MCG")</f>
        <v>RF-00000995-MCG</v>
      </c>
    </row>
    <row r="7455" spans="1:2" ht="12.5" x14ac:dyDescent="0.25">
      <c r="A7455" t="str">
        <f ca="1">IFERROR(__xludf.DUMMYFUNCTION("""COMPUTED_VALUE"""),"Salmonella Trotha")</f>
        <v>Salmonella Trotha</v>
      </c>
      <c r="B7455" t="str">
        <f ca="1">IFERROR(__xludf.DUMMYFUNCTION("""COMPUTED_VALUE"""),"RF-00000994-MCG")</f>
        <v>RF-00000994-MCG</v>
      </c>
    </row>
    <row r="7456" spans="1:2" ht="12.5" x14ac:dyDescent="0.25">
      <c r="A7456" t="str">
        <f ca="1">IFERROR(__xludf.DUMMYFUNCTION("""COMPUTED_VALUE"""),"Salmonella Truro")</f>
        <v>Salmonella Truro</v>
      </c>
      <c r="B7456" t="str">
        <f ca="1">IFERROR(__xludf.DUMMYFUNCTION("""COMPUTED_VALUE"""),"RF-00000993-MCG")</f>
        <v>RF-00000993-MCG</v>
      </c>
    </row>
    <row r="7457" spans="1:2" ht="12.5" x14ac:dyDescent="0.25">
      <c r="A7457" t="str">
        <f ca="1">IFERROR(__xludf.DUMMYFUNCTION("""COMPUTED_VALUE"""),"Salmonella Tschangu")</f>
        <v>Salmonella Tschangu</v>
      </c>
      <c r="B7457" t="str">
        <f ca="1">IFERROR(__xludf.DUMMYFUNCTION("""COMPUTED_VALUE"""),"RF-00000992-MCG")</f>
        <v>RF-00000992-MCG</v>
      </c>
    </row>
    <row r="7458" spans="1:2" ht="12.5" x14ac:dyDescent="0.25">
      <c r="A7458" t="str">
        <f ca="1">IFERROR(__xludf.DUMMYFUNCTION("""COMPUTED_VALUE"""),"Salmonella Tsevie")</f>
        <v>Salmonella Tsevie</v>
      </c>
      <c r="B7458" t="str">
        <f ca="1">IFERROR(__xludf.DUMMYFUNCTION("""COMPUTED_VALUE"""),"RF-00000991-MCG")</f>
        <v>RF-00000991-MCG</v>
      </c>
    </row>
    <row r="7459" spans="1:2" ht="12.5" x14ac:dyDescent="0.25">
      <c r="A7459" t="str">
        <f ca="1">IFERROR(__xludf.DUMMYFUNCTION("""COMPUTED_VALUE"""),"Salmonella Tshiongwe")</f>
        <v>Salmonella Tshiongwe</v>
      </c>
      <c r="B7459" t="str">
        <f ca="1">IFERROR(__xludf.DUMMYFUNCTION("""COMPUTED_VALUE"""),"RF-00000990-MCG")</f>
        <v>RF-00000990-MCG</v>
      </c>
    </row>
    <row r="7460" spans="1:2" ht="12.5" x14ac:dyDescent="0.25">
      <c r="A7460" t="str">
        <f ca="1">IFERROR(__xludf.DUMMYFUNCTION("""COMPUTED_VALUE"""),"Salmonella Tucson")</f>
        <v>Salmonella Tucson</v>
      </c>
      <c r="B7460" t="str">
        <f ca="1">IFERROR(__xludf.DUMMYFUNCTION("""COMPUTED_VALUE"""),"RF-00000989-MCG")</f>
        <v>RF-00000989-MCG</v>
      </c>
    </row>
    <row r="7461" spans="1:2" ht="12.5" x14ac:dyDescent="0.25">
      <c r="A7461" t="str">
        <f ca="1">IFERROR(__xludf.DUMMYFUNCTION("""COMPUTED_VALUE"""),"Salmonella Tudu")</f>
        <v>Salmonella Tudu</v>
      </c>
      <c r="B7461" t="str">
        <f ca="1">IFERROR(__xludf.DUMMYFUNCTION("""COMPUTED_VALUE"""),"RF-00000988-MCG")</f>
        <v>RF-00000988-MCG</v>
      </c>
    </row>
    <row r="7462" spans="1:2" ht="12.5" x14ac:dyDescent="0.25">
      <c r="A7462" t="str">
        <f ca="1">IFERROR(__xludf.DUMMYFUNCTION("""COMPUTED_VALUE"""),"Salmonella Tumodi")</f>
        <v>Salmonella Tumodi</v>
      </c>
      <c r="B7462" t="str">
        <f ca="1">IFERROR(__xludf.DUMMYFUNCTION("""COMPUTED_VALUE"""),"RF-00000987-MCG")</f>
        <v>RF-00000987-MCG</v>
      </c>
    </row>
    <row r="7463" spans="1:2" ht="12.5" x14ac:dyDescent="0.25">
      <c r="A7463" t="str">
        <f ca="1">IFERROR(__xludf.DUMMYFUNCTION("""COMPUTED_VALUE"""),"Salmonella Tunis")</f>
        <v>Salmonella Tunis</v>
      </c>
      <c r="B7463" t="str">
        <f ca="1">IFERROR(__xludf.DUMMYFUNCTION("""COMPUTED_VALUE"""),"RF-00000986-MCG")</f>
        <v>RF-00000986-MCG</v>
      </c>
    </row>
    <row r="7464" spans="1:2" ht="12.5" x14ac:dyDescent="0.25">
      <c r="A7464" t="str">
        <f ca="1">IFERROR(__xludf.DUMMYFUNCTION("""COMPUTED_VALUE"""),"Salmonella Typhi")</f>
        <v>Salmonella Typhi</v>
      </c>
      <c r="B7464" t="str">
        <f ca="1">IFERROR(__xludf.DUMMYFUNCTION("""COMPUTED_VALUE"""),"RF-00000971-MCG")</f>
        <v>RF-00000971-MCG</v>
      </c>
    </row>
    <row r="7465" spans="1:2" ht="12.5" x14ac:dyDescent="0.25">
      <c r="A7465" t="str">
        <f ca="1">IFERROR(__xludf.DUMMYFUNCTION("""COMPUTED_VALUE"""),"Salmonella typhimurium")</f>
        <v>Salmonella typhimurium</v>
      </c>
      <c r="B7465" t="str">
        <f ca="1">IFERROR(__xludf.DUMMYFUNCTION("""COMPUTED_VALUE"""),"RF-00002265-MCG")</f>
        <v>RF-00002265-MCG</v>
      </c>
    </row>
    <row r="7466" spans="1:2" ht="12.5" x14ac:dyDescent="0.25">
      <c r="A7466" t="str">
        <f ca="1">IFERROR(__xludf.DUMMYFUNCTION("""COMPUTED_VALUE"""),"Salmonella Typhimurium 1")</f>
        <v>Salmonella Typhimurium 1</v>
      </c>
      <c r="B7466" t="str">
        <f ca="1">IFERROR(__xludf.DUMMYFUNCTION("""COMPUTED_VALUE"""),"RF-00002369-MCG")</f>
        <v>RF-00002369-MCG</v>
      </c>
    </row>
    <row r="7467" spans="1:2" ht="12.5" x14ac:dyDescent="0.25">
      <c r="A7467" t="str">
        <f ca="1">IFERROR(__xludf.DUMMYFUNCTION("""COMPUTED_VALUE"""),"Salmonella Typhimurium 193")</f>
        <v>Salmonella Typhimurium 193</v>
      </c>
      <c r="B7467" t="str">
        <f ca="1">IFERROR(__xludf.DUMMYFUNCTION("""COMPUTED_VALUE"""),"RF-00002368-MCG")</f>
        <v>RF-00002368-MCG</v>
      </c>
    </row>
    <row r="7468" spans="1:2" ht="12.5" x14ac:dyDescent="0.25">
      <c r="A7468" t="str">
        <f ca="1">IFERROR(__xludf.DUMMYFUNCTION("""COMPUTED_VALUE"""),"Salmonella Typhimurium 1a")</f>
        <v>Salmonella Typhimurium 1a</v>
      </c>
      <c r="B7468" t="str">
        <f ca="1">IFERROR(__xludf.DUMMYFUNCTION("""COMPUTED_VALUE"""),"RF-00002367-MCG")</f>
        <v>RF-00002367-MCG</v>
      </c>
    </row>
    <row r="7469" spans="1:2" ht="12.5" x14ac:dyDescent="0.25">
      <c r="A7469" t="str">
        <f ca="1">IFERROR(__xludf.DUMMYFUNCTION("""COMPUTED_VALUE"""),"Salmonella Typhimurium 1a var1")</f>
        <v>Salmonella Typhimurium 1a var1</v>
      </c>
      <c r="B7469" t="str">
        <f ca="1">IFERROR(__xludf.DUMMYFUNCTION("""COMPUTED_VALUE"""),"RF-00002366-MCG")</f>
        <v>RF-00002366-MCG</v>
      </c>
    </row>
    <row r="7470" spans="1:2" ht="12.5" x14ac:dyDescent="0.25">
      <c r="A7470" t="str">
        <f ca="1">IFERROR(__xludf.DUMMYFUNCTION("""COMPUTED_VALUE"""),"Salmonella Typhimurium 1b")</f>
        <v>Salmonella Typhimurium 1b</v>
      </c>
      <c r="B7470" t="str">
        <f ca="1">IFERROR(__xludf.DUMMYFUNCTION("""COMPUTED_VALUE"""),"RF-00002365-MCG")</f>
        <v>RF-00002365-MCG</v>
      </c>
    </row>
    <row r="7471" spans="1:2" ht="12.5" x14ac:dyDescent="0.25">
      <c r="A7471" t="str">
        <f ca="1">IFERROR(__xludf.DUMMYFUNCTION("""COMPUTED_VALUE"""),"Salmonella Typhimurium 2")</f>
        <v>Salmonella Typhimurium 2</v>
      </c>
      <c r="B7471" t="str">
        <f ca="1">IFERROR(__xludf.DUMMYFUNCTION("""COMPUTED_VALUE"""),"RF-00002364-MCG")</f>
        <v>RF-00002364-MCG</v>
      </c>
    </row>
    <row r="7472" spans="1:2" ht="12.5" x14ac:dyDescent="0.25">
      <c r="A7472" t="str">
        <f ca="1">IFERROR(__xludf.DUMMYFUNCTION("""COMPUTED_VALUE"""),"Salmonella Typhimurium 2a")</f>
        <v>Salmonella Typhimurium 2a</v>
      </c>
      <c r="B7472" t="str">
        <f ca="1">IFERROR(__xludf.DUMMYFUNCTION("""COMPUTED_VALUE"""),"RF-00002363-MCG")</f>
        <v>RF-00002363-MCG</v>
      </c>
    </row>
    <row r="7473" spans="1:2" ht="12.5" x14ac:dyDescent="0.25">
      <c r="A7473" t="str">
        <f ca="1">IFERROR(__xludf.DUMMYFUNCTION("""COMPUTED_VALUE"""),"Salmonella Typhimurium 2b")</f>
        <v>Salmonella Typhimurium 2b</v>
      </c>
      <c r="B7473" t="str">
        <f ca="1">IFERROR(__xludf.DUMMYFUNCTION("""COMPUTED_VALUE"""),"RF-00002362-MCG")</f>
        <v>RF-00002362-MCG</v>
      </c>
    </row>
    <row r="7474" spans="1:2" ht="12.5" x14ac:dyDescent="0.25">
      <c r="A7474" t="str">
        <f ca="1">IFERROR(__xludf.DUMMYFUNCTION("""COMPUTED_VALUE"""),"Salmonella Typhimurium 2c")</f>
        <v>Salmonella Typhimurium 2c</v>
      </c>
      <c r="B7474" t="str">
        <f ca="1">IFERROR(__xludf.DUMMYFUNCTION("""COMPUTED_VALUE"""),"RF-00002350-MCG")</f>
        <v>RF-00002350-MCG</v>
      </c>
    </row>
    <row r="7475" spans="1:2" ht="12.5" x14ac:dyDescent="0.25">
      <c r="A7475" t="str">
        <f ca="1">IFERROR(__xludf.DUMMYFUNCTION("""COMPUTED_VALUE"""),"Salmonella Typhimurium 2d")</f>
        <v>Salmonella Typhimurium 2d</v>
      </c>
      <c r="B7475" t="str">
        <f ca="1">IFERROR(__xludf.DUMMYFUNCTION("""COMPUTED_VALUE"""),"RF-00002360-MCG")</f>
        <v>RF-00002360-MCG</v>
      </c>
    </row>
    <row r="7476" spans="1:2" ht="12.5" x14ac:dyDescent="0.25">
      <c r="A7476" t="str">
        <f ca="1">IFERROR(__xludf.DUMMYFUNCTION("""COMPUTED_VALUE"""),"Salmonella Typhimurium 3")</f>
        <v>Salmonella Typhimurium 3</v>
      </c>
      <c r="B7476" t="str">
        <f ca="1">IFERROR(__xludf.DUMMYFUNCTION("""COMPUTED_VALUE"""),"RF-00002370-MCG")</f>
        <v>RF-00002370-MCG</v>
      </c>
    </row>
    <row r="7477" spans="1:2" ht="12.5" x14ac:dyDescent="0.25">
      <c r="A7477" t="str">
        <f ca="1">IFERROR(__xludf.DUMMYFUNCTION("""COMPUTED_VALUE"""),"Salmonella Typhimurium 35")</f>
        <v>Salmonella Typhimurium 35</v>
      </c>
      <c r="B7477" t="str">
        <f ca="1">IFERROR(__xludf.DUMMYFUNCTION("""COMPUTED_VALUE"""),"RF-00002358-MCG")</f>
        <v>RF-00002358-MCG</v>
      </c>
    </row>
    <row r="7478" spans="1:2" ht="12.5" x14ac:dyDescent="0.25">
      <c r="A7478" t="str">
        <f ca="1">IFERROR(__xludf.DUMMYFUNCTION("""COMPUTED_VALUE"""),"Salmonella Typhimurium 3a")</f>
        <v>Salmonella Typhimurium 3a</v>
      </c>
      <c r="B7478" t="str">
        <f ca="1">IFERROR(__xludf.DUMMYFUNCTION("""COMPUTED_VALUE"""),"RF-00002357-MCG")</f>
        <v>RF-00002357-MCG</v>
      </c>
    </row>
    <row r="7479" spans="1:2" ht="12.5" x14ac:dyDescent="0.25">
      <c r="A7479" t="str">
        <f ca="1">IFERROR(__xludf.DUMMYFUNCTION("""COMPUTED_VALUE"""),"Salmonella Typhimurium 4")</f>
        <v>Salmonella Typhimurium 4</v>
      </c>
      <c r="B7479" t="str">
        <f ca="1">IFERROR(__xludf.DUMMYFUNCTION("""COMPUTED_VALUE"""),"RF-00002356-MCG")</f>
        <v>RF-00002356-MCG</v>
      </c>
    </row>
    <row r="7480" spans="1:2" ht="12.5" x14ac:dyDescent="0.25">
      <c r="A7480" t="str">
        <f ca="1">IFERROR(__xludf.DUMMYFUNCTION("""COMPUTED_VALUE"""),"Salmonella Typhimurium 5")</f>
        <v>Salmonella Typhimurium 5</v>
      </c>
      <c r="B7480" t="str">
        <f ca="1">IFERROR(__xludf.DUMMYFUNCTION("""COMPUTED_VALUE"""),"RF-00002355-MCG")</f>
        <v>RF-00002355-MCG</v>
      </c>
    </row>
    <row r="7481" spans="1:2" ht="12.5" x14ac:dyDescent="0.25">
      <c r="A7481" t="str">
        <f ca="1">IFERROR(__xludf.DUMMYFUNCTION("""COMPUTED_VALUE"""),"Salmonella Typhimurium 56a")</f>
        <v>Salmonella Typhimurium 56a</v>
      </c>
      <c r="B7481" t="str">
        <f ca="1">IFERROR(__xludf.DUMMYFUNCTION("""COMPUTED_VALUE"""),"RF-00002354-MCG")</f>
        <v>RF-00002354-MCG</v>
      </c>
    </row>
    <row r="7482" spans="1:2" ht="12.5" x14ac:dyDescent="0.25">
      <c r="A7482" t="str">
        <f ca="1">IFERROR(__xludf.DUMMYFUNCTION("""COMPUTED_VALUE"""),"Salmonella Typhimurium 7 var.")</f>
        <v>Salmonella Typhimurium 7 var.</v>
      </c>
      <c r="B7482" t="str">
        <f ca="1">IFERROR(__xludf.DUMMYFUNCTION("""COMPUTED_VALUE"""),"RF-00002353-MCG")</f>
        <v>RF-00002353-MCG</v>
      </c>
    </row>
    <row r="7483" spans="1:2" ht="12.5" x14ac:dyDescent="0.25">
      <c r="A7483" t="str">
        <f ca="1">IFERROR(__xludf.DUMMYFUNCTION("""COMPUTED_VALUE"""),"Salmonella Typhimurium DT 1")</f>
        <v>Salmonella Typhimurium DT 1</v>
      </c>
      <c r="B7483" t="str">
        <f ca="1">IFERROR(__xludf.DUMMYFUNCTION("""COMPUTED_VALUE"""),"RF-00002352-MCG")</f>
        <v>RF-00002352-MCG</v>
      </c>
    </row>
    <row r="7484" spans="1:2" ht="12.5" x14ac:dyDescent="0.25">
      <c r="A7484" t="str">
        <f ca="1">IFERROR(__xludf.DUMMYFUNCTION("""COMPUTED_VALUE"""),"Salmonella Typhimurium DT 10")</f>
        <v>Salmonella Typhimurium DT 10</v>
      </c>
      <c r="B7484" t="str">
        <f ca="1">IFERROR(__xludf.DUMMYFUNCTION("""COMPUTED_VALUE"""),"RF-00002351-MCG")</f>
        <v>RF-00002351-MCG</v>
      </c>
    </row>
    <row r="7485" spans="1:2" ht="12.5" x14ac:dyDescent="0.25">
      <c r="A7485" t="str">
        <f ca="1">IFERROR(__xludf.DUMMYFUNCTION("""COMPUTED_VALUE"""),"Salmonella Typhimurium DT 103")</f>
        <v>Salmonella Typhimurium DT 103</v>
      </c>
      <c r="B7485" t="str">
        <f ca="1">IFERROR(__xludf.DUMMYFUNCTION("""COMPUTED_VALUE"""),"RF-00002380-MCG")</f>
        <v>RF-00002380-MCG</v>
      </c>
    </row>
    <row r="7486" spans="1:2" ht="12.5" x14ac:dyDescent="0.25">
      <c r="A7486" t="str">
        <f ca="1">IFERROR(__xludf.DUMMYFUNCTION("""COMPUTED_VALUE"""),"Salmonella Typhimurium DT 104")</f>
        <v>Salmonella Typhimurium DT 104</v>
      </c>
      <c r="B7486" t="str">
        <f ca="1">IFERROR(__xludf.DUMMYFUNCTION("""COMPUTED_VALUE"""),"RF-00002382-MCG")</f>
        <v>RF-00002382-MCG</v>
      </c>
    </row>
    <row r="7487" spans="1:2" ht="12.5" x14ac:dyDescent="0.25">
      <c r="A7487" t="str">
        <f ca="1">IFERROR(__xludf.DUMMYFUNCTION("""COMPUTED_VALUE"""),"Salmonella Typhimurium DT 104a")</f>
        <v>Salmonella Typhimurium DT 104a</v>
      </c>
      <c r="B7487" t="str">
        <f ca="1">IFERROR(__xludf.DUMMYFUNCTION("""COMPUTED_VALUE"""),"RF-00002361-MCG")</f>
        <v>RF-00002361-MCG</v>
      </c>
    </row>
    <row r="7488" spans="1:2" ht="12.5" x14ac:dyDescent="0.25">
      <c r="A7488" t="str">
        <f ca="1">IFERROR(__xludf.DUMMYFUNCTION("""COMPUTED_VALUE"""),"Salmonella Typhimurium DT 104b")</f>
        <v>Salmonella Typhimurium DT 104b</v>
      </c>
      <c r="B7488" t="str">
        <f ca="1">IFERROR(__xludf.DUMMYFUNCTION("""COMPUTED_VALUE"""),"RF-00002390-MCG")</f>
        <v>RF-00002390-MCG</v>
      </c>
    </row>
    <row r="7489" spans="1:2" ht="12.5" x14ac:dyDescent="0.25">
      <c r="A7489" t="str">
        <f ca="1">IFERROR(__xludf.DUMMYFUNCTION("""COMPUTED_VALUE"""),"Salmonella Typhimurium DT 104b low")</f>
        <v>Salmonella Typhimurium DT 104b low</v>
      </c>
      <c r="B7489" t="str">
        <f ca="1">IFERROR(__xludf.DUMMYFUNCTION("""COMPUTED_VALUE"""),"RF-00002389-MCG")</f>
        <v>RF-00002389-MCG</v>
      </c>
    </row>
    <row r="7490" spans="1:2" ht="12.5" x14ac:dyDescent="0.25">
      <c r="A7490" t="str">
        <f ca="1">IFERROR(__xludf.DUMMYFUNCTION("""COMPUTED_VALUE"""),"Salmonella Typhimurium DT 104c")</f>
        <v>Salmonella Typhimurium DT 104c</v>
      </c>
      <c r="B7490" t="str">
        <f ca="1">IFERROR(__xludf.DUMMYFUNCTION("""COMPUTED_VALUE"""),"RF-00002388-MCG")</f>
        <v>RF-00002388-MCG</v>
      </c>
    </row>
    <row r="7491" spans="1:2" ht="12.5" x14ac:dyDescent="0.25">
      <c r="A7491" t="str">
        <f ca="1">IFERROR(__xludf.DUMMYFUNCTION("""COMPUTED_VALUE"""),"Salmonella Typhimurium DT 104H")</f>
        <v>Salmonella Typhimurium DT 104H</v>
      </c>
      <c r="B7491" t="str">
        <f ca="1">IFERROR(__xludf.DUMMYFUNCTION("""COMPUTED_VALUE"""),"RF-00002387-MCG")</f>
        <v>RF-00002387-MCG</v>
      </c>
    </row>
    <row r="7492" spans="1:2" ht="12.5" x14ac:dyDescent="0.25">
      <c r="A7492" t="str">
        <f ca="1">IFERROR(__xludf.DUMMYFUNCTION("""COMPUTED_VALUE"""),"Salmonella Typhimurium DT 104l")</f>
        <v>Salmonella Typhimurium DT 104l</v>
      </c>
      <c r="B7492" t="str">
        <f ca="1">IFERROR(__xludf.DUMMYFUNCTION("""COMPUTED_VALUE"""),"RF-00002386-MCG")</f>
        <v>RF-00002386-MCG</v>
      </c>
    </row>
    <row r="7493" spans="1:2" ht="12.5" x14ac:dyDescent="0.25">
      <c r="A7493" t="str">
        <f ca="1">IFERROR(__xludf.DUMMYFUNCTION("""COMPUTED_VALUE"""),"Salmonella Typhimurium DT 107")</f>
        <v>Salmonella Typhimurium DT 107</v>
      </c>
      <c r="B7493" t="str">
        <f ca="1">IFERROR(__xludf.DUMMYFUNCTION("""COMPUTED_VALUE"""),"RF-00002385-MCG")</f>
        <v>RF-00002385-MCG</v>
      </c>
    </row>
    <row r="7494" spans="1:2" ht="12.5" x14ac:dyDescent="0.25">
      <c r="A7494" t="str">
        <f ca="1">IFERROR(__xludf.DUMMYFUNCTION("""COMPUTED_VALUE"""),"Salmonella Typhimurium DT 107b")</f>
        <v>Salmonella Typhimurium DT 107b</v>
      </c>
      <c r="B7494" t="str">
        <f ca="1">IFERROR(__xludf.DUMMYFUNCTION("""COMPUTED_VALUE"""),"RF-00002288-MCG")</f>
        <v>RF-00002288-MCG</v>
      </c>
    </row>
    <row r="7495" spans="1:2" ht="12.5" x14ac:dyDescent="0.25">
      <c r="A7495" t="str">
        <f ca="1">IFERROR(__xludf.DUMMYFUNCTION("""COMPUTED_VALUE"""),"Salmonella Typhimurium DT 109")</f>
        <v>Salmonella Typhimurium DT 109</v>
      </c>
      <c r="B7495" t="str">
        <f ca="1">IFERROR(__xludf.DUMMYFUNCTION("""COMPUTED_VALUE"""),"RF-00002384-MCG")</f>
        <v>RF-00002384-MCG</v>
      </c>
    </row>
    <row r="7496" spans="1:2" ht="12.5" x14ac:dyDescent="0.25">
      <c r="A7496" t="str">
        <f ca="1">IFERROR(__xludf.DUMMYFUNCTION("""COMPUTED_VALUE"""),"Salmonella Typhimurium DT 11")</f>
        <v>Salmonella Typhimurium DT 11</v>
      </c>
      <c r="B7496" t="str">
        <f ca="1">IFERROR(__xludf.DUMMYFUNCTION("""COMPUTED_VALUE"""),"RF-00002315-MCG")</f>
        <v>RF-00002315-MCG</v>
      </c>
    </row>
    <row r="7497" spans="1:2" ht="12.5" x14ac:dyDescent="0.25">
      <c r="A7497" t="str">
        <f ca="1">IFERROR(__xludf.DUMMYFUNCTION("""COMPUTED_VALUE"""),"Salmonella Typhimurium DT 110")</f>
        <v>Salmonella Typhimurium DT 110</v>
      </c>
      <c r="B7497" t="str">
        <f ca="1">IFERROR(__xludf.DUMMYFUNCTION("""COMPUTED_VALUE"""),"RF-00002383-MCG")</f>
        <v>RF-00002383-MCG</v>
      </c>
    </row>
    <row r="7498" spans="1:2" ht="12.5" x14ac:dyDescent="0.25">
      <c r="A7498" t="str">
        <f ca="1">IFERROR(__xludf.DUMMYFUNCTION("""COMPUTED_VALUE"""),"Salmonella Typhimurium DT 110a")</f>
        <v>Salmonella Typhimurium DT 110a</v>
      </c>
      <c r="B7498" t="str">
        <f ca="1">IFERROR(__xludf.DUMMYFUNCTION("""COMPUTED_VALUE"""),"RF-00002371-MCG")</f>
        <v>RF-00002371-MCG</v>
      </c>
    </row>
    <row r="7499" spans="1:2" ht="12.5" x14ac:dyDescent="0.25">
      <c r="A7499" t="str">
        <f ca="1">IFERROR(__xludf.DUMMYFUNCTION("""COMPUTED_VALUE"""),"Salmonella Typhimurium DT 110b")</f>
        <v>Salmonella Typhimurium DT 110b</v>
      </c>
      <c r="B7499" t="str">
        <f ca="1">IFERROR(__xludf.DUMMYFUNCTION("""COMPUTED_VALUE"""),"RF-00002381-MCG")</f>
        <v>RF-00002381-MCG</v>
      </c>
    </row>
    <row r="7500" spans="1:2" ht="12.5" x14ac:dyDescent="0.25">
      <c r="A7500" t="str">
        <f ca="1">IFERROR(__xludf.DUMMYFUNCTION("""COMPUTED_VALUE"""),"Salmonella Typhimurium DT 112")</f>
        <v>Salmonella Typhimurium DT 112</v>
      </c>
      <c r="B7500" t="str">
        <f ca="1">IFERROR(__xludf.DUMMYFUNCTION("""COMPUTED_VALUE"""),"RF-00002392-MCG")</f>
        <v>RF-00002392-MCG</v>
      </c>
    </row>
    <row r="7501" spans="1:2" ht="12.5" x14ac:dyDescent="0.25">
      <c r="A7501" t="str">
        <f ca="1">IFERROR(__xludf.DUMMYFUNCTION("""COMPUTED_VALUE"""),"Salmonella Typhimurium DT 114")</f>
        <v>Salmonella Typhimurium DT 114</v>
      </c>
      <c r="B7501" t="str">
        <f ca="1">IFERROR(__xludf.DUMMYFUNCTION("""COMPUTED_VALUE"""),"RF-00002379-MCG")</f>
        <v>RF-00002379-MCG</v>
      </c>
    </row>
    <row r="7502" spans="1:2" ht="12.5" x14ac:dyDescent="0.25">
      <c r="A7502" t="str">
        <f ca="1">IFERROR(__xludf.DUMMYFUNCTION("""COMPUTED_VALUE"""),"Salmonella Typhimurium DT 12")</f>
        <v>Salmonella Typhimurium DT 12</v>
      </c>
      <c r="B7502" t="str">
        <f ca="1">IFERROR(__xludf.DUMMYFUNCTION("""COMPUTED_VALUE"""),"RF-00002378-MCG")</f>
        <v>RF-00002378-MCG</v>
      </c>
    </row>
    <row r="7503" spans="1:2" ht="12.5" x14ac:dyDescent="0.25">
      <c r="A7503" t="str">
        <f ca="1">IFERROR(__xludf.DUMMYFUNCTION("""COMPUTED_VALUE"""),"Salmonella Typhimurium DT 120")</f>
        <v>Salmonella Typhimurium DT 120</v>
      </c>
      <c r="B7503" t="str">
        <f ca="1">IFERROR(__xludf.DUMMYFUNCTION("""COMPUTED_VALUE"""),"RF-00002377-MCG")</f>
        <v>RF-00002377-MCG</v>
      </c>
    </row>
    <row r="7504" spans="1:2" ht="12.5" x14ac:dyDescent="0.25">
      <c r="A7504" t="str">
        <f ca="1">IFERROR(__xludf.DUMMYFUNCTION("""COMPUTED_VALUE"""),"Salmonella Typhimurium DT 124")</f>
        <v>Salmonella Typhimurium DT 124</v>
      </c>
      <c r="B7504" t="str">
        <f ca="1">IFERROR(__xludf.DUMMYFUNCTION("""COMPUTED_VALUE"""),"RF-00002376-MCG")</f>
        <v>RF-00002376-MCG</v>
      </c>
    </row>
    <row r="7505" spans="1:2" ht="12.5" x14ac:dyDescent="0.25">
      <c r="A7505" t="str">
        <f ca="1">IFERROR(__xludf.DUMMYFUNCTION("""COMPUTED_VALUE"""),"Salmonella Typhimurium DT 125")</f>
        <v>Salmonella Typhimurium DT 125</v>
      </c>
      <c r="B7505" t="str">
        <f ca="1">IFERROR(__xludf.DUMMYFUNCTION("""COMPUTED_VALUE"""),"RF-00002375-MCG")</f>
        <v>RF-00002375-MCG</v>
      </c>
    </row>
    <row r="7506" spans="1:2" ht="12.5" x14ac:dyDescent="0.25">
      <c r="A7506" t="str">
        <f ca="1">IFERROR(__xludf.DUMMYFUNCTION("""COMPUTED_VALUE"""),"Salmonella Typhimurium DT 126")</f>
        <v>Salmonella Typhimurium DT 126</v>
      </c>
      <c r="B7506" t="str">
        <f ca="1">IFERROR(__xludf.DUMMYFUNCTION("""COMPUTED_VALUE"""),"RF-00002374-MCG")</f>
        <v>RF-00002374-MCG</v>
      </c>
    </row>
    <row r="7507" spans="1:2" ht="12.5" x14ac:dyDescent="0.25">
      <c r="A7507" t="str">
        <f ca="1">IFERROR(__xludf.DUMMYFUNCTION("""COMPUTED_VALUE"""),"Salmonella Typhimurium DT 126a")</f>
        <v>Salmonella Typhimurium DT 126a</v>
      </c>
      <c r="B7507" t="str">
        <f ca="1">IFERROR(__xludf.DUMMYFUNCTION("""COMPUTED_VALUE"""),"RF-00002373-MCG")</f>
        <v>RF-00002373-MCG</v>
      </c>
    </row>
    <row r="7508" spans="1:2" ht="12.5" x14ac:dyDescent="0.25">
      <c r="A7508" t="str">
        <f ca="1">IFERROR(__xludf.DUMMYFUNCTION("""COMPUTED_VALUE"""),"Salmonella Typhimurium DT 129")</f>
        <v>Salmonella Typhimurium DT 129</v>
      </c>
      <c r="B7508" t="str">
        <f ca="1">IFERROR(__xludf.DUMMYFUNCTION("""COMPUTED_VALUE"""),"RF-00002372-MCG")</f>
        <v>RF-00002372-MCG</v>
      </c>
    </row>
    <row r="7509" spans="1:2" ht="12.5" x14ac:dyDescent="0.25">
      <c r="A7509" t="str">
        <f ca="1">IFERROR(__xludf.DUMMYFUNCTION("""COMPUTED_VALUE"""),"Salmonella Typhimurium DT 12a")</f>
        <v>Salmonella Typhimurium DT 12a</v>
      </c>
      <c r="B7509" t="str">
        <f ca="1">IFERROR(__xludf.DUMMYFUNCTION("""COMPUTED_VALUE"""),"RF-00002348-MCG")</f>
        <v>RF-00002348-MCG</v>
      </c>
    </row>
    <row r="7510" spans="1:2" ht="12.5" x14ac:dyDescent="0.25">
      <c r="A7510" t="str">
        <f ca="1">IFERROR(__xludf.DUMMYFUNCTION("""COMPUTED_VALUE"""),"Salmonella Typhimurium DT 13")</f>
        <v>Salmonella Typhimurium DT 13</v>
      </c>
      <c r="B7510" t="str">
        <f ca="1">IFERROR(__xludf.DUMMYFUNCTION("""COMPUTED_VALUE"""),"RF-00002316-MCG")</f>
        <v>RF-00002316-MCG</v>
      </c>
    </row>
    <row r="7511" spans="1:2" ht="12.5" x14ac:dyDescent="0.25">
      <c r="A7511" t="str">
        <f ca="1">IFERROR(__xludf.DUMMYFUNCTION("""COMPUTED_VALUE"""),"Salmonella Typhimurium DT 131")</f>
        <v>Salmonella Typhimurium DT 131</v>
      </c>
      <c r="B7511" t="str">
        <f ca="1">IFERROR(__xludf.DUMMYFUNCTION("""COMPUTED_VALUE"""),"RF-00002359-MCG")</f>
        <v>RF-00002359-MCG</v>
      </c>
    </row>
    <row r="7512" spans="1:2" ht="12.5" x14ac:dyDescent="0.25">
      <c r="A7512" t="str">
        <f ca="1">IFERROR(__xludf.DUMMYFUNCTION("""COMPUTED_VALUE"""),"Salmonella Typhimurium DT 132")</f>
        <v>Salmonella Typhimurium DT 132</v>
      </c>
      <c r="B7512" t="str">
        <f ca="1">IFERROR(__xludf.DUMMYFUNCTION("""COMPUTED_VALUE"""),"RF-00002325-MCG")</f>
        <v>RF-00002325-MCG</v>
      </c>
    </row>
    <row r="7513" spans="1:2" ht="12.5" x14ac:dyDescent="0.25">
      <c r="A7513" t="str">
        <f ca="1">IFERROR(__xludf.DUMMYFUNCTION("""COMPUTED_VALUE"""),"Salmonella Typhimurium DT 135")</f>
        <v>Salmonella Typhimurium DT 135</v>
      </c>
      <c r="B7513" t="str">
        <f ca="1">IFERROR(__xludf.DUMMYFUNCTION("""COMPUTED_VALUE"""),"RF-00002324-MCG")</f>
        <v>RF-00002324-MCG</v>
      </c>
    </row>
    <row r="7514" spans="1:2" ht="12.5" x14ac:dyDescent="0.25">
      <c r="A7514" t="str">
        <f ca="1">IFERROR(__xludf.DUMMYFUNCTION("""COMPUTED_VALUE"""),"Salmonella Typhimurium DT 136")</f>
        <v>Salmonella Typhimurium DT 136</v>
      </c>
      <c r="B7514" t="str">
        <f ca="1">IFERROR(__xludf.DUMMYFUNCTION("""COMPUTED_VALUE"""),"RF-00002323-MCG")</f>
        <v>RF-00002323-MCG</v>
      </c>
    </row>
    <row r="7515" spans="1:2" ht="12.5" x14ac:dyDescent="0.25">
      <c r="A7515" t="str">
        <f ca="1">IFERROR(__xludf.DUMMYFUNCTION("""COMPUTED_VALUE"""),"Salmonella Typhimurium DT 137")</f>
        <v>Salmonella Typhimurium DT 137</v>
      </c>
      <c r="B7515" t="str">
        <f ca="1">IFERROR(__xludf.DUMMYFUNCTION("""COMPUTED_VALUE"""),"RF-00002322-MCG")</f>
        <v>RF-00002322-MCG</v>
      </c>
    </row>
    <row r="7516" spans="1:2" ht="12.5" x14ac:dyDescent="0.25">
      <c r="A7516" t="str">
        <f ca="1">IFERROR(__xludf.DUMMYFUNCTION("""COMPUTED_VALUE"""),"Salmonella Typhimurium DT 138")</f>
        <v>Salmonella Typhimurium DT 138</v>
      </c>
      <c r="B7516" t="str">
        <f ca="1">IFERROR(__xludf.DUMMYFUNCTION("""COMPUTED_VALUE"""),"RF-00002321-MCG")</f>
        <v>RF-00002321-MCG</v>
      </c>
    </row>
    <row r="7517" spans="1:2" ht="12.5" x14ac:dyDescent="0.25">
      <c r="A7517" t="str">
        <f ca="1">IFERROR(__xludf.DUMMYFUNCTION("""COMPUTED_VALUE"""),"Salmonella Typhimurium DT 139")</f>
        <v>Salmonella Typhimurium DT 139</v>
      </c>
      <c r="B7517" t="str">
        <f ca="1">IFERROR(__xludf.DUMMYFUNCTION("""COMPUTED_VALUE"""),"RF-00001323-PAR")</f>
        <v>RF-00001323-PAR</v>
      </c>
    </row>
    <row r="7518" spans="1:2" ht="12.5" x14ac:dyDescent="0.25">
      <c r="A7518" t="str">
        <f ca="1">IFERROR(__xludf.DUMMYFUNCTION("""COMPUTED_VALUE"""),"Salmonella Typhimurium DT 14")</f>
        <v>Salmonella Typhimurium DT 14</v>
      </c>
      <c r="B7518" t="str">
        <f ca="1">IFERROR(__xludf.DUMMYFUNCTION("""COMPUTED_VALUE"""),"RF-00002320-MCG")</f>
        <v>RF-00002320-MCG</v>
      </c>
    </row>
    <row r="7519" spans="1:2" ht="12.5" x14ac:dyDescent="0.25">
      <c r="A7519" t="str">
        <f ca="1">IFERROR(__xludf.DUMMYFUNCTION("""COMPUTED_VALUE"""),"Salmonella Typhimurium DT 140")</f>
        <v>Salmonella Typhimurium DT 140</v>
      </c>
      <c r="B7519" t="str">
        <f ca="1">IFERROR(__xludf.DUMMYFUNCTION("""COMPUTED_VALUE"""),"RF-00002319-MCG")</f>
        <v>RF-00002319-MCG</v>
      </c>
    </row>
    <row r="7520" spans="1:2" ht="12.5" x14ac:dyDescent="0.25">
      <c r="A7520" t="str">
        <f ca="1">IFERROR(__xludf.DUMMYFUNCTION("""COMPUTED_VALUE"""),"Salmonella Typhimurium DT 141")</f>
        <v>Salmonella Typhimurium DT 141</v>
      </c>
      <c r="B7520" t="str">
        <f ca="1">IFERROR(__xludf.DUMMYFUNCTION("""COMPUTED_VALUE"""),"RF-00002307-MCG")</f>
        <v>RF-00002307-MCG</v>
      </c>
    </row>
    <row r="7521" spans="1:2" ht="12.5" x14ac:dyDescent="0.25">
      <c r="A7521" t="str">
        <f ca="1">IFERROR(__xludf.DUMMYFUNCTION("""COMPUTED_VALUE"""),"Salmonella Typhimurium DT 143")</f>
        <v>Salmonella Typhimurium DT 143</v>
      </c>
      <c r="B7521" t="str">
        <f ca="1">IFERROR(__xludf.DUMMYFUNCTION("""COMPUTED_VALUE"""),"RF-00002317-MCG")</f>
        <v>RF-00002317-MCG</v>
      </c>
    </row>
    <row r="7522" spans="1:2" ht="12.5" x14ac:dyDescent="0.25">
      <c r="A7522" t="str">
        <f ca="1">IFERROR(__xludf.DUMMYFUNCTION("""COMPUTED_VALUE"""),"Salmonella Typhimurium DT 144")</f>
        <v>Salmonella Typhimurium DT 144</v>
      </c>
      <c r="B7522" t="str">
        <f ca="1">IFERROR(__xludf.DUMMYFUNCTION("""COMPUTED_VALUE"""),"RF-00002327-MCG")</f>
        <v>RF-00002327-MCG</v>
      </c>
    </row>
    <row r="7523" spans="1:2" ht="12.5" x14ac:dyDescent="0.25">
      <c r="A7523" t="str">
        <f ca="1">IFERROR(__xludf.DUMMYFUNCTION("""COMPUTED_VALUE"""),"Salmonella Typhimurium DT 14b")</f>
        <v>Salmonella Typhimurium DT 14b</v>
      </c>
      <c r="B7523" t="str">
        <f ca="1">IFERROR(__xludf.DUMMYFUNCTION("""COMPUTED_VALUE"""),"RF-00002426-MCG")</f>
        <v>RF-00002426-MCG</v>
      </c>
    </row>
    <row r="7524" spans="1:2" ht="12.5" x14ac:dyDescent="0.25">
      <c r="A7524" t="str">
        <f ca="1">IFERROR(__xludf.DUMMYFUNCTION("""COMPUTED_VALUE"""),"Salmonella Typhimurium DT 15")</f>
        <v>Salmonella Typhimurium DT 15</v>
      </c>
      <c r="B7524" t="str">
        <f ca="1">IFERROR(__xludf.DUMMYFUNCTION("""COMPUTED_VALUE"""),"RF-00002314-MCG")</f>
        <v>RF-00002314-MCG</v>
      </c>
    </row>
    <row r="7525" spans="1:2" ht="12.5" x14ac:dyDescent="0.25">
      <c r="A7525" t="str">
        <f ca="1">IFERROR(__xludf.DUMMYFUNCTION("""COMPUTED_VALUE"""),"Salmonella Typhimurium DT 151")</f>
        <v>Salmonella Typhimurium DT 151</v>
      </c>
      <c r="B7525" t="str">
        <f ca="1">IFERROR(__xludf.DUMMYFUNCTION("""COMPUTED_VALUE"""),"RF-00002391-MCG")</f>
        <v>RF-00002391-MCG</v>
      </c>
    </row>
    <row r="7526" spans="1:2" ht="12.5" x14ac:dyDescent="0.25">
      <c r="A7526" t="str">
        <f ca="1">IFERROR(__xludf.DUMMYFUNCTION("""COMPUTED_VALUE"""),"Salmonella Typhimurium DT 153")</f>
        <v>Salmonella Typhimurium DT 153</v>
      </c>
      <c r="B7526" t="str">
        <f ca="1">IFERROR(__xludf.DUMMYFUNCTION("""COMPUTED_VALUE"""),"RF-00002312-MCG")</f>
        <v>RF-00002312-MCG</v>
      </c>
    </row>
    <row r="7527" spans="1:2" ht="12.5" x14ac:dyDescent="0.25">
      <c r="A7527" t="str">
        <f ca="1">IFERROR(__xludf.DUMMYFUNCTION("""COMPUTED_VALUE"""),"Salmonella Typhimurium DT 15a")</f>
        <v>Salmonella Typhimurium DT 15a</v>
      </c>
      <c r="B7527" t="str">
        <f ca="1">IFERROR(__xludf.DUMMYFUNCTION("""COMPUTED_VALUE"""),"RF-00002311-MCG")</f>
        <v>RF-00002311-MCG</v>
      </c>
    </row>
    <row r="7528" spans="1:2" ht="12.5" x14ac:dyDescent="0.25">
      <c r="A7528" t="str">
        <f ca="1">IFERROR(__xludf.DUMMYFUNCTION("""COMPUTED_VALUE"""),"Salmonella Typhimurium DT 160")</f>
        <v>Salmonella Typhimurium DT 160</v>
      </c>
      <c r="B7528" t="str">
        <f ca="1">IFERROR(__xludf.DUMMYFUNCTION("""COMPUTED_VALUE"""),"RF-00002310-MCG")</f>
        <v>RF-00002310-MCG</v>
      </c>
    </row>
    <row r="7529" spans="1:2" ht="12.5" x14ac:dyDescent="0.25">
      <c r="A7529" t="str">
        <f ca="1">IFERROR(__xludf.DUMMYFUNCTION("""COMPUTED_VALUE"""),"Salmonella Typhimurium DT 161")</f>
        <v>Salmonella Typhimurium DT 161</v>
      </c>
      <c r="B7529" t="str">
        <f ca="1">IFERROR(__xludf.DUMMYFUNCTION("""COMPUTED_VALUE"""),"RF-00002309-MCG")</f>
        <v>RF-00002309-MCG</v>
      </c>
    </row>
    <row r="7530" spans="1:2" ht="12.5" x14ac:dyDescent="0.25">
      <c r="A7530" t="str">
        <f ca="1">IFERROR(__xludf.DUMMYFUNCTION("""COMPUTED_VALUE"""),"Salmonella Typhimurium DT 164")</f>
        <v>Salmonella Typhimurium DT 164</v>
      </c>
      <c r="B7530" t="str">
        <f ca="1">IFERROR(__xludf.DUMMYFUNCTION("""COMPUTED_VALUE"""),"RF-00002308-MCG")</f>
        <v>RF-00002308-MCG</v>
      </c>
    </row>
    <row r="7531" spans="1:2" ht="12.5" x14ac:dyDescent="0.25">
      <c r="A7531" t="str">
        <f ca="1">IFERROR(__xludf.DUMMYFUNCTION("""COMPUTED_VALUE"""),"Salmonella Typhimurium DT 166")</f>
        <v>Salmonella Typhimurium DT 166</v>
      </c>
      <c r="B7531" t="str">
        <f ca="1">IFERROR(__xludf.DUMMYFUNCTION("""COMPUTED_VALUE"""),"RF-00002337-MCG")</f>
        <v>RF-00002337-MCG</v>
      </c>
    </row>
    <row r="7532" spans="1:2" ht="12.5" x14ac:dyDescent="0.25">
      <c r="A7532" t="str">
        <f ca="1">IFERROR(__xludf.DUMMYFUNCTION("""COMPUTED_VALUE"""),"Salmonella Typhimurium DT 170")</f>
        <v>Salmonella Typhimurium DT 170</v>
      </c>
      <c r="B7532" t="str">
        <f ca="1">IFERROR(__xludf.DUMMYFUNCTION("""COMPUTED_VALUE"""),"RF-00002318-MCG")</f>
        <v>RF-00002318-MCG</v>
      </c>
    </row>
    <row r="7533" spans="1:2" ht="12.5" x14ac:dyDescent="0.25">
      <c r="A7533" t="str">
        <f ca="1">IFERROR(__xludf.DUMMYFUNCTION("""COMPUTED_VALUE"""),"Salmonella Typhimurium DT 170b")</f>
        <v>Salmonella Typhimurium DT 170b</v>
      </c>
      <c r="B7533" t="str">
        <f ca="1">IFERROR(__xludf.DUMMYFUNCTION("""COMPUTED_VALUE"""),"RF-00002347-MCG")</f>
        <v>RF-00002347-MCG</v>
      </c>
    </row>
    <row r="7534" spans="1:2" ht="12.5" x14ac:dyDescent="0.25">
      <c r="A7534" t="str">
        <f ca="1">IFERROR(__xludf.DUMMYFUNCTION("""COMPUTED_VALUE"""),"Salmonella Typhimurium DT 177")</f>
        <v>Salmonella Typhimurium DT 177</v>
      </c>
      <c r="B7534" t="str">
        <f ca="1">IFERROR(__xludf.DUMMYFUNCTION("""COMPUTED_VALUE"""),"RF-00002346-MCG")</f>
        <v>RF-00002346-MCG</v>
      </c>
    </row>
    <row r="7535" spans="1:2" ht="12.5" x14ac:dyDescent="0.25">
      <c r="A7535" t="str">
        <f ca="1">IFERROR(__xludf.DUMMYFUNCTION("""COMPUTED_VALUE"""),"Salmonella Typhimurium DT 178")</f>
        <v>Salmonella Typhimurium DT 178</v>
      </c>
      <c r="B7535" t="str">
        <f ca="1">IFERROR(__xludf.DUMMYFUNCTION("""COMPUTED_VALUE"""),"RF-00002345-MCG")</f>
        <v>RF-00002345-MCG</v>
      </c>
    </row>
    <row r="7536" spans="1:2" ht="12.5" x14ac:dyDescent="0.25">
      <c r="A7536" t="str">
        <f ca="1">IFERROR(__xludf.DUMMYFUNCTION("""COMPUTED_VALUE"""),"Salmonella Typhimurium DT 18")</f>
        <v>Salmonella Typhimurium DT 18</v>
      </c>
      <c r="B7536" t="str">
        <f ca="1">IFERROR(__xludf.DUMMYFUNCTION("""COMPUTED_VALUE"""),"RF-00002344-MCG")</f>
        <v>RF-00002344-MCG</v>
      </c>
    </row>
    <row r="7537" spans="1:2" ht="12.5" x14ac:dyDescent="0.25">
      <c r="A7537" t="str">
        <f ca="1">IFERROR(__xludf.DUMMYFUNCTION("""COMPUTED_VALUE"""),"Salmonella Typhimurium DT 185")</f>
        <v>Salmonella Typhimurium DT 185</v>
      </c>
      <c r="B7537" t="str">
        <f ca="1">IFERROR(__xludf.DUMMYFUNCTION("""COMPUTED_VALUE"""),"RF-00002343-MCG")</f>
        <v>RF-00002343-MCG</v>
      </c>
    </row>
    <row r="7538" spans="1:2" ht="12.5" x14ac:dyDescent="0.25">
      <c r="A7538" t="str">
        <f ca="1">IFERROR(__xludf.DUMMYFUNCTION("""COMPUTED_VALUE"""),"Salmonella Typhimurium DT 186")</f>
        <v>Salmonella Typhimurium DT 186</v>
      </c>
      <c r="B7538" t="str">
        <f ca="1">IFERROR(__xludf.DUMMYFUNCTION("""COMPUTED_VALUE"""),"RF-00002342-MCG")</f>
        <v>RF-00002342-MCG</v>
      </c>
    </row>
    <row r="7539" spans="1:2" ht="12.5" x14ac:dyDescent="0.25">
      <c r="A7539" t="str">
        <f ca="1">IFERROR(__xludf.DUMMYFUNCTION("""COMPUTED_VALUE"""),"Salmonella Typhimurium DT 19")</f>
        <v>Salmonella Typhimurium DT 19</v>
      </c>
      <c r="B7539" t="str">
        <f ca="1">IFERROR(__xludf.DUMMYFUNCTION("""COMPUTED_VALUE"""),"RF-00002341-MCG")</f>
        <v>RF-00002341-MCG</v>
      </c>
    </row>
    <row r="7540" spans="1:2" ht="12.5" x14ac:dyDescent="0.25">
      <c r="A7540" t="str">
        <f ca="1">IFERROR(__xludf.DUMMYFUNCTION("""COMPUTED_VALUE"""),"Salmonella Typhimurium DT 190")</f>
        <v>Salmonella Typhimurium DT 190</v>
      </c>
      <c r="B7540" t="str">
        <f ca="1">IFERROR(__xludf.DUMMYFUNCTION("""COMPUTED_VALUE"""),"RF-00001324-PAR")</f>
        <v>RF-00001324-PAR</v>
      </c>
    </row>
    <row r="7541" spans="1:2" ht="12.5" x14ac:dyDescent="0.25">
      <c r="A7541" t="str">
        <f ca="1">IFERROR(__xludf.DUMMYFUNCTION("""COMPUTED_VALUE"""),"Salmonella Typhimurium DT 191")</f>
        <v>Salmonella Typhimurium DT 191</v>
      </c>
      <c r="B7541" t="str">
        <f ca="1">IFERROR(__xludf.DUMMYFUNCTION("""COMPUTED_VALUE"""),"RF-00002340-MCG")</f>
        <v>RF-00002340-MCG</v>
      </c>
    </row>
    <row r="7542" spans="1:2" ht="12.5" x14ac:dyDescent="0.25">
      <c r="A7542" t="str">
        <f ca="1">IFERROR(__xludf.DUMMYFUNCTION("""COMPUTED_VALUE"""),"Salmonella Typhimurium DT 192")</f>
        <v>Salmonella Typhimurium DT 192</v>
      </c>
      <c r="B7542" t="str">
        <f ca="1">IFERROR(__xludf.DUMMYFUNCTION("""COMPUTED_VALUE"""),"RF-00002328-MCG")</f>
        <v>RF-00002328-MCG</v>
      </c>
    </row>
    <row r="7543" spans="1:2" ht="12.5" x14ac:dyDescent="0.25">
      <c r="A7543" t="str">
        <f ca="1">IFERROR(__xludf.DUMMYFUNCTION("""COMPUTED_VALUE"""),"Salmonella Typhimurium DT 193")</f>
        <v>Salmonella Typhimurium DT 193</v>
      </c>
      <c r="B7543" t="str">
        <f ca="1">IFERROR(__xludf.DUMMYFUNCTION("""COMPUTED_VALUE"""),"RF-00002338-MCG")</f>
        <v>RF-00002338-MCG</v>
      </c>
    </row>
    <row r="7544" spans="1:2" ht="12.5" x14ac:dyDescent="0.25">
      <c r="A7544" t="str">
        <f ca="1">IFERROR(__xludf.DUMMYFUNCTION("""COMPUTED_VALUE"""),"Salmonella Typhimurium DT 193a")</f>
        <v>Salmonella Typhimurium DT 193a</v>
      </c>
      <c r="B7544" t="str">
        <f ca="1">IFERROR(__xludf.DUMMYFUNCTION("""COMPUTED_VALUE"""),"RF-00002349-MCG")</f>
        <v>RF-00002349-MCG</v>
      </c>
    </row>
    <row r="7545" spans="1:2" ht="12.5" x14ac:dyDescent="0.25">
      <c r="A7545" t="str">
        <f ca="1">IFERROR(__xludf.DUMMYFUNCTION("""COMPUTED_VALUE"""),"Salmonella Typhimurium DT 194")</f>
        <v>Salmonella Typhimurium DT 194</v>
      </c>
      <c r="B7545" t="str">
        <f ca="1">IFERROR(__xludf.DUMMYFUNCTION("""COMPUTED_VALUE"""),"RF-00002336-MCG")</f>
        <v>RF-00002336-MCG</v>
      </c>
    </row>
    <row r="7546" spans="1:2" ht="12.5" x14ac:dyDescent="0.25">
      <c r="A7546" t="str">
        <f ca="1">IFERROR(__xludf.DUMMYFUNCTION("""COMPUTED_VALUE"""),"Salmonella Typhimurium DT 195")</f>
        <v>Salmonella Typhimurium DT 195</v>
      </c>
      <c r="B7546" t="str">
        <f ca="1">IFERROR(__xludf.DUMMYFUNCTION("""COMPUTED_VALUE"""),"RF-00002335-MCG")</f>
        <v>RF-00002335-MCG</v>
      </c>
    </row>
    <row r="7547" spans="1:2" ht="12.5" x14ac:dyDescent="0.25">
      <c r="A7547" t="str">
        <f ca="1">IFERROR(__xludf.DUMMYFUNCTION("""COMPUTED_VALUE"""),"Salmonella Typhimurium DT 197")</f>
        <v>Salmonella Typhimurium DT 197</v>
      </c>
      <c r="B7547" t="str">
        <f ca="1">IFERROR(__xludf.DUMMYFUNCTION("""COMPUTED_VALUE"""),"RF-00002334-MCG")</f>
        <v>RF-00002334-MCG</v>
      </c>
    </row>
    <row r="7548" spans="1:2" ht="12.5" x14ac:dyDescent="0.25">
      <c r="A7548" t="str">
        <f ca="1">IFERROR(__xludf.DUMMYFUNCTION("""COMPUTED_VALUE"""),"Salmonella Typhimurium DT 2")</f>
        <v>Salmonella Typhimurium DT 2</v>
      </c>
      <c r="B7548" t="str">
        <f ca="1">IFERROR(__xludf.DUMMYFUNCTION("""COMPUTED_VALUE"""),"RF-00002333-MCG")</f>
        <v>RF-00002333-MCG</v>
      </c>
    </row>
    <row r="7549" spans="1:2" ht="12.5" x14ac:dyDescent="0.25">
      <c r="A7549" t="str">
        <f ca="1">IFERROR(__xludf.DUMMYFUNCTION("""COMPUTED_VALUE"""),"Salmonella Typhimurium DT 20")</f>
        <v>Salmonella Typhimurium DT 20</v>
      </c>
      <c r="B7549" t="str">
        <f ca="1">IFERROR(__xludf.DUMMYFUNCTION("""COMPUTED_VALUE"""),"RF-00002332-MCG")</f>
        <v>RF-00002332-MCG</v>
      </c>
    </row>
    <row r="7550" spans="1:2" ht="12.5" x14ac:dyDescent="0.25">
      <c r="A7550" t="str">
        <f ca="1">IFERROR(__xludf.DUMMYFUNCTION("""COMPUTED_VALUE"""),"Salmonella Typhimurium DT 203")</f>
        <v>Salmonella Typhimurium DT 203</v>
      </c>
      <c r="B7550" t="str">
        <f ca="1">IFERROR(__xludf.DUMMYFUNCTION("""COMPUTED_VALUE"""),"RF-00002331-MCG")</f>
        <v>RF-00002331-MCG</v>
      </c>
    </row>
    <row r="7551" spans="1:2" ht="12.5" x14ac:dyDescent="0.25">
      <c r="A7551" t="str">
        <f ca="1">IFERROR(__xludf.DUMMYFUNCTION("""COMPUTED_VALUE"""),"Salmonella Typhimurium DT 206")</f>
        <v>Salmonella Typhimurium DT 206</v>
      </c>
      <c r="B7551" t="str">
        <f ca="1">IFERROR(__xludf.DUMMYFUNCTION("""COMPUTED_VALUE"""),"RF-00002330-MCG")</f>
        <v>RF-00002330-MCG</v>
      </c>
    </row>
    <row r="7552" spans="1:2" ht="12.5" x14ac:dyDescent="0.25">
      <c r="A7552" t="str">
        <f ca="1">IFERROR(__xludf.DUMMYFUNCTION("""COMPUTED_VALUE"""),"Salmonella Typhimurium DT 208")</f>
        <v>Salmonella Typhimurium DT 208</v>
      </c>
      <c r="B7552" t="str">
        <f ca="1">IFERROR(__xludf.DUMMYFUNCTION("""COMPUTED_VALUE"""),"RF-00002329-MCG")</f>
        <v>RF-00002329-MCG</v>
      </c>
    </row>
    <row r="7553" spans="1:2" ht="12.5" x14ac:dyDescent="0.25">
      <c r="A7553" t="str">
        <f ca="1">IFERROR(__xludf.DUMMYFUNCTION("""COMPUTED_VALUE"""),"Salmonella Typhimurium DT 20a")</f>
        <v>Salmonella Typhimurium DT 20a</v>
      </c>
      <c r="B7553" t="str">
        <f ca="1">IFERROR(__xludf.DUMMYFUNCTION("""COMPUTED_VALUE"""),"RF-00002326-MCG")</f>
        <v>RF-00002326-MCG</v>
      </c>
    </row>
    <row r="7554" spans="1:2" ht="12.5" x14ac:dyDescent="0.25">
      <c r="A7554" t="str">
        <f ca="1">IFERROR(__xludf.DUMMYFUNCTION("""COMPUTED_VALUE"""),"Salmonella Typhimurium DT 22")</f>
        <v>Salmonella Typhimurium DT 22</v>
      </c>
      <c r="B7554" t="str">
        <f ca="1">IFERROR(__xludf.DUMMYFUNCTION("""COMPUTED_VALUE"""),"RF-00002428-MCG")</f>
        <v>RF-00002428-MCG</v>
      </c>
    </row>
    <row r="7555" spans="1:2" ht="12.5" x14ac:dyDescent="0.25">
      <c r="A7555" t="str">
        <f ca="1">IFERROR(__xludf.DUMMYFUNCTION("""COMPUTED_VALUE"""),"Salmonella Typhimurium DT 26")</f>
        <v>Salmonella Typhimurium DT 26</v>
      </c>
      <c r="B7555" t="str">
        <f ca="1">IFERROR(__xludf.DUMMYFUNCTION("""COMPUTED_VALUE"""),"RF-00002454-MCG")</f>
        <v>RF-00002454-MCG</v>
      </c>
    </row>
    <row r="7556" spans="1:2" ht="12.5" x14ac:dyDescent="0.25">
      <c r="A7556" t="str">
        <f ca="1">IFERROR(__xludf.DUMMYFUNCTION("""COMPUTED_VALUE"""),"Salmonella Typhimurium DT 27")</f>
        <v>Salmonella Typhimurium DT 27</v>
      </c>
      <c r="B7556" t="str">
        <f ca="1">IFERROR(__xludf.DUMMYFUNCTION("""COMPUTED_VALUE"""),"RF-00002453-MCG")</f>
        <v>RF-00002453-MCG</v>
      </c>
    </row>
    <row r="7557" spans="1:2" ht="12.5" x14ac:dyDescent="0.25">
      <c r="A7557" t="str">
        <f ca="1">IFERROR(__xludf.DUMMYFUNCTION("""COMPUTED_VALUE"""),"Salmonella Typhimurium DT 28")</f>
        <v>Salmonella Typhimurium DT 28</v>
      </c>
      <c r="B7557" t="str">
        <f ca="1">IFERROR(__xludf.DUMMYFUNCTION("""COMPUTED_VALUE"""),"RF-00002452-MCG")</f>
        <v>RF-00002452-MCG</v>
      </c>
    </row>
    <row r="7558" spans="1:2" ht="12.5" x14ac:dyDescent="0.25">
      <c r="A7558" t="str">
        <f ca="1">IFERROR(__xludf.DUMMYFUNCTION("""COMPUTED_VALUE"""),"Salmonella Typhimurium DT 29")</f>
        <v>Salmonella Typhimurium DT 29</v>
      </c>
      <c r="B7558" t="str">
        <f ca="1">IFERROR(__xludf.DUMMYFUNCTION("""COMPUTED_VALUE"""),"RF-00002451-MCG")</f>
        <v>RF-00002451-MCG</v>
      </c>
    </row>
    <row r="7559" spans="1:2" ht="12.5" x14ac:dyDescent="0.25">
      <c r="A7559" t="str">
        <f ca="1">IFERROR(__xludf.DUMMYFUNCTION("""COMPUTED_VALUE"""),"Salmonella Typhimurium DT 2a")</f>
        <v>Salmonella Typhimurium DT 2a</v>
      </c>
      <c r="B7559" t="str">
        <f ca="1">IFERROR(__xludf.DUMMYFUNCTION("""COMPUTED_VALUE"""),"RF-00002450-MCG")</f>
        <v>RF-00002450-MCG</v>
      </c>
    </row>
    <row r="7560" spans="1:2" ht="12.5" x14ac:dyDescent="0.25">
      <c r="A7560" t="str">
        <f ca="1">IFERROR(__xludf.DUMMYFUNCTION("""COMPUTED_VALUE"""),"Salmonella Typhimurium DT 3")</f>
        <v>Salmonella Typhimurium DT 3</v>
      </c>
      <c r="B7560" t="str">
        <f ca="1">IFERROR(__xludf.DUMMYFUNCTION("""COMPUTED_VALUE"""),"RF-00002449-MCG")</f>
        <v>RF-00002449-MCG</v>
      </c>
    </row>
    <row r="7561" spans="1:2" ht="12.5" x14ac:dyDescent="0.25">
      <c r="A7561" t="str">
        <f ca="1">IFERROR(__xludf.DUMMYFUNCTION("""COMPUTED_VALUE"""),"Salmonella Typhimurium DT 30")</f>
        <v>Salmonella Typhimurium DT 30</v>
      </c>
      <c r="B7561" t="str">
        <f ca="1">IFERROR(__xludf.DUMMYFUNCTION("""COMPUTED_VALUE"""),"RF-00002448-MCG")</f>
        <v>RF-00002448-MCG</v>
      </c>
    </row>
    <row r="7562" spans="1:2" ht="12.5" x14ac:dyDescent="0.25">
      <c r="A7562" t="str">
        <f ca="1">IFERROR(__xludf.DUMMYFUNCTION("""COMPUTED_VALUE"""),"Salmonella Typhimurium DT 32")</f>
        <v>Salmonella Typhimurium DT 32</v>
      </c>
      <c r="B7562" t="str">
        <f ca="1">IFERROR(__xludf.DUMMYFUNCTION("""COMPUTED_VALUE"""),"RF-00002436-MCG")</f>
        <v>RF-00002436-MCG</v>
      </c>
    </row>
    <row r="7563" spans="1:2" ht="12.5" x14ac:dyDescent="0.25">
      <c r="A7563" t="str">
        <f ca="1">IFERROR(__xludf.DUMMYFUNCTION("""COMPUTED_VALUE"""),"Salmonella Typhimurium DT 35")</f>
        <v>Salmonella Typhimurium DT 35</v>
      </c>
      <c r="B7563" t="str">
        <f ca="1">IFERROR(__xludf.DUMMYFUNCTION("""COMPUTED_VALUE"""),"RF-00002446-MCG")</f>
        <v>RF-00002446-MCG</v>
      </c>
    </row>
    <row r="7564" spans="1:2" ht="12.5" x14ac:dyDescent="0.25">
      <c r="A7564" t="str">
        <f ca="1">IFERROR(__xludf.DUMMYFUNCTION("""COMPUTED_VALUE"""),"Salmonella Typhimurium DT 36")</f>
        <v>Salmonella Typhimurium DT 36</v>
      </c>
      <c r="B7564" t="str">
        <f ca="1">IFERROR(__xludf.DUMMYFUNCTION("""COMPUTED_VALUE"""),"RF-00002456-MCG")</f>
        <v>RF-00002456-MCG</v>
      </c>
    </row>
    <row r="7565" spans="1:2" ht="12.5" x14ac:dyDescent="0.25">
      <c r="A7565" t="str">
        <f ca="1">IFERROR(__xludf.DUMMYFUNCTION("""COMPUTED_VALUE"""),"Salmonella Typhimurium DT 38")</f>
        <v>Salmonella Typhimurium DT 38</v>
      </c>
      <c r="B7565" t="str">
        <f ca="1">IFERROR(__xludf.DUMMYFUNCTION("""COMPUTED_VALUE"""),"RF-00002444-MCG")</f>
        <v>RF-00002444-MCG</v>
      </c>
    </row>
    <row r="7566" spans="1:2" ht="12.5" x14ac:dyDescent="0.25">
      <c r="A7566" t="str">
        <f ca="1">IFERROR(__xludf.DUMMYFUNCTION("""COMPUTED_VALUE"""),"Salmonella Typhimurium DT 4")</f>
        <v>Salmonella Typhimurium DT 4</v>
      </c>
      <c r="B7566" t="str">
        <f ca="1">IFERROR(__xludf.DUMMYFUNCTION("""COMPUTED_VALUE"""),"RF-00002443-MCG")</f>
        <v>RF-00002443-MCG</v>
      </c>
    </row>
    <row r="7567" spans="1:2" ht="12.5" x14ac:dyDescent="0.25">
      <c r="A7567" t="str">
        <f ca="1">IFERROR(__xludf.DUMMYFUNCTION("""COMPUTED_VALUE"""),"Salmonella Typhimurium DT 40")</f>
        <v>Salmonella Typhimurium DT 40</v>
      </c>
      <c r="B7567" t="str">
        <f ca="1">IFERROR(__xludf.DUMMYFUNCTION("""COMPUTED_VALUE"""),"RF-00002442-MCG")</f>
        <v>RF-00002442-MCG</v>
      </c>
    </row>
    <row r="7568" spans="1:2" ht="12.5" x14ac:dyDescent="0.25">
      <c r="A7568" t="str">
        <f ca="1">IFERROR(__xludf.DUMMYFUNCTION("""COMPUTED_VALUE"""),"Salmonella Typhimurium DT 41")</f>
        <v>Salmonella Typhimurium DT 41</v>
      </c>
      <c r="B7568" t="str">
        <f ca="1">IFERROR(__xludf.DUMMYFUNCTION("""COMPUTED_VALUE"""),"RF-00002441-MCG")</f>
        <v>RF-00002441-MCG</v>
      </c>
    </row>
    <row r="7569" spans="1:2" ht="12.5" x14ac:dyDescent="0.25">
      <c r="A7569" t="str">
        <f ca="1">IFERROR(__xludf.DUMMYFUNCTION("""COMPUTED_VALUE"""),"Salmonella Typhimurium DT 41 var.")</f>
        <v>Salmonella Typhimurium DT 41 var.</v>
      </c>
      <c r="B7569" t="str">
        <f ca="1">IFERROR(__xludf.DUMMYFUNCTION("""COMPUTED_VALUE"""),"RF-00002463-MCG")</f>
        <v>RF-00002463-MCG</v>
      </c>
    </row>
    <row r="7570" spans="1:2" ht="12.5" x14ac:dyDescent="0.25">
      <c r="A7570" t="str">
        <f ca="1">IFERROR(__xludf.DUMMYFUNCTION("""COMPUTED_VALUE"""),"Salmonella Typhimurium DT 41a")</f>
        <v>Salmonella Typhimurium DT 41a</v>
      </c>
      <c r="B7570" t="str">
        <f ca="1">IFERROR(__xludf.DUMMYFUNCTION("""COMPUTED_VALUE"""),"RF-00002439-MCG")</f>
        <v>RF-00002439-MCG</v>
      </c>
    </row>
    <row r="7571" spans="1:2" ht="12.5" x14ac:dyDescent="0.25">
      <c r="A7571" t="str">
        <f ca="1">IFERROR(__xludf.DUMMYFUNCTION("""COMPUTED_VALUE"""),"Salmonella Typhimurium DT 42")</f>
        <v>Salmonella Typhimurium DT 42</v>
      </c>
      <c r="B7571" t="str">
        <f ca="1">IFERROR(__xludf.DUMMYFUNCTION("""COMPUTED_VALUE"""),"RF-00002447-MCG")</f>
        <v>RF-00002447-MCG</v>
      </c>
    </row>
    <row r="7572" spans="1:2" ht="12.5" x14ac:dyDescent="0.25">
      <c r="A7572" t="str">
        <f ca="1">IFERROR(__xludf.DUMMYFUNCTION("""COMPUTED_VALUE"""),"Salmonella Typhimurium DT 44")</f>
        <v>Salmonella Typhimurium DT 44</v>
      </c>
      <c r="B7572" t="str">
        <f ca="1">IFERROR(__xludf.DUMMYFUNCTION("""COMPUTED_VALUE"""),"RF-00002438-MCG")</f>
        <v>RF-00002438-MCG</v>
      </c>
    </row>
    <row r="7573" spans="1:2" ht="12.5" x14ac:dyDescent="0.25">
      <c r="A7573" t="str">
        <f ca="1">IFERROR(__xludf.DUMMYFUNCTION("""COMPUTED_VALUE"""),"Salmonella Typhimurium DT 46")</f>
        <v>Salmonella Typhimurium DT 46</v>
      </c>
      <c r="B7573" t="str">
        <f ca="1">IFERROR(__xludf.DUMMYFUNCTION("""COMPUTED_VALUE"""),"RF-00002437-MCG")</f>
        <v>RF-00002437-MCG</v>
      </c>
    </row>
    <row r="7574" spans="1:2" ht="12.5" x14ac:dyDescent="0.25">
      <c r="A7574" t="str">
        <f ca="1">IFERROR(__xludf.DUMMYFUNCTION("""COMPUTED_VALUE"""),"Salmonella Typhimurium DT 46a")</f>
        <v>Salmonella Typhimurium DT 46a</v>
      </c>
      <c r="B7574" t="str">
        <f ca="1">IFERROR(__xludf.DUMMYFUNCTION("""COMPUTED_VALUE"""),"RF-00002445-MCG")</f>
        <v>RF-00002445-MCG</v>
      </c>
    </row>
    <row r="7575" spans="1:2" ht="12.5" x14ac:dyDescent="0.25">
      <c r="A7575" t="str">
        <f ca="1">IFERROR(__xludf.DUMMYFUNCTION("""COMPUTED_VALUE"""),"Salmonella Typhimurium DT 49")</f>
        <v>Salmonella Typhimurium DT 49</v>
      </c>
      <c r="B7575" t="str">
        <f ca="1">IFERROR(__xludf.DUMMYFUNCTION("""COMPUTED_VALUE"""),"RF-00002465-MCG")</f>
        <v>RF-00002465-MCG</v>
      </c>
    </row>
    <row r="7576" spans="1:2" ht="12.5" x14ac:dyDescent="0.25">
      <c r="A7576" t="str">
        <f ca="1">IFERROR(__xludf.DUMMYFUNCTION("""COMPUTED_VALUE"""),"Salmonella Typhimurium DT 49a")</f>
        <v>Salmonella Typhimurium DT 49a</v>
      </c>
      <c r="B7576" t="str">
        <f ca="1">IFERROR(__xludf.DUMMYFUNCTION("""COMPUTED_VALUE"""),"RF-00002471-MCG")</f>
        <v>RF-00002471-MCG</v>
      </c>
    </row>
    <row r="7577" spans="1:2" ht="12.5" x14ac:dyDescent="0.25">
      <c r="A7577" t="str">
        <f ca="1">IFERROR(__xludf.DUMMYFUNCTION("""COMPUTED_VALUE"""),"Salmonella Typhimurium DT 52")</f>
        <v>Salmonella Typhimurium DT 52</v>
      </c>
      <c r="B7577" t="str">
        <f ca="1">IFERROR(__xludf.DUMMYFUNCTION("""COMPUTED_VALUE"""),"RF-00002472-MCG")</f>
        <v>RF-00002472-MCG</v>
      </c>
    </row>
    <row r="7578" spans="1:2" ht="12.5" x14ac:dyDescent="0.25">
      <c r="A7578" t="str">
        <f ca="1">IFERROR(__xludf.DUMMYFUNCTION("""COMPUTED_VALUE"""),"Salmonella Typhimurium DT 54")</f>
        <v>Salmonella Typhimurium DT 54</v>
      </c>
      <c r="B7578" t="str">
        <f ca="1">IFERROR(__xludf.DUMMYFUNCTION("""COMPUTED_VALUE"""),"RF-00002470-MCG")</f>
        <v>RF-00002470-MCG</v>
      </c>
    </row>
    <row r="7579" spans="1:2" ht="12.5" x14ac:dyDescent="0.25">
      <c r="A7579" t="str">
        <f ca="1">IFERROR(__xludf.DUMMYFUNCTION("""COMPUTED_VALUE"""),"Salmonella Typhimurium DT 55")</f>
        <v>Salmonella Typhimurium DT 55</v>
      </c>
      <c r="B7579" t="str">
        <f ca="1">IFERROR(__xludf.DUMMYFUNCTION("""COMPUTED_VALUE"""),"RF-00002469-MCG")</f>
        <v>RF-00002469-MCG</v>
      </c>
    </row>
    <row r="7580" spans="1:2" ht="12.5" x14ac:dyDescent="0.25">
      <c r="A7580" t="str">
        <f ca="1">IFERROR(__xludf.DUMMYFUNCTION("""COMPUTED_VALUE"""),"Salmonella Typhimurium DT 56")</f>
        <v>Salmonella Typhimurium DT 56</v>
      </c>
      <c r="B7580" t="str">
        <f ca="1">IFERROR(__xludf.DUMMYFUNCTION("""COMPUTED_VALUE"""),"RF-00002468-MCG")</f>
        <v>RF-00002468-MCG</v>
      </c>
    </row>
    <row r="7581" spans="1:2" ht="12.5" x14ac:dyDescent="0.25">
      <c r="A7581" t="str">
        <f ca="1">IFERROR(__xludf.DUMMYFUNCTION("""COMPUTED_VALUE"""),"Salmonella Typhimurium DT 56 var.")</f>
        <v>Salmonella Typhimurium DT 56 var.</v>
      </c>
      <c r="B7581" t="str">
        <f ca="1">IFERROR(__xludf.DUMMYFUNCTION("""COMPUTED_VALUE"""),"RF-00002473-MCG")</f>
        <v>RF-00002473-MCG</v>
      </c>
    </row>
    <row r="7582" spans="1:2" ht="12.5" x14ac:dyDescent="0.25">
      <c r="A7582" t="str">
        <f ca="1">IFERROR(__xludf.DUMMYFUNCTION("""COMPUTED_VALUE"""),"Salmonella Typhimurium DT 58")</f>
        <v>Salmonella Typhimurium DT 58</v>
      </c>
      <c r="B7582" t="str">
        <f ca="1">IFERROR(__xludf.DUMMYFUNCTION("""COMPUTED_VALUE"""),"RF-00002467-MCG")</f>
        <v>RF-00002467-MCG</v>
      </c>
    </row>
    <row r="7583" spans="1:2" ht="12.5" x14ac:dyDescent="0.25">
      <c r="A7583" t="str">
        <f ca="1">IFERROR(__xludf.DUMMYFUNCTION("""COMPUTED_VALUE"""),"Salmonella Typhimurium DT 59")</f>
        <v>Salmonella Typhimurium DT 59</v>
      </c>
      <c r="B7583" t="str">
        <f ca="1">IFERROR(__xludf.DUMMYFUNCTION("""COMPUTED_VALUE"""),"RF-00002466-MCG")</f>
        <v>RF-00002466-MCG</v>
      </c>
    </row>
    <row r="7584" spans="1:2" ht="12.5" x14ac:dyDescent="0.25">
      <c r="A7584" t="str">
        <f ca="1">IFERROR(__xludf.DUMMYFUNCTION("""COMPUTED_VALUE"""),"Salmonella Typhimurium DT 6")</f>
        <v>Salmonella Typhimurium DT 6</v>
      </c>
      <c r="B7584" t="str">
        <f ca="1">IFERROR(__xludf.DUMMYFUNCTION("""COMPUTED_VALUE"""),"RF-00002457-MCG")</f>
        <v>RF-00002457-MCG</v>
      </c>
    </row>
    <row r="7585" spans="1:2" ht="12.5" x14ac:dyDescent="0.25">
      <c r="A7585" t="str">
        <f ca="1">IFERROR(__xludf.DUMMYFUNCTION("""COMPUTED_VALUE"""),"Salmonella Typhimurium DT 63")</f>
        <v>Salmonella Typhimurium DT 63</v>
      </c>
      <c r="B7585" t="str">
        <f ca="1">IFERROR(__xludf.DUMMYFUNCTION("""COMPUTED_VALUE"""),"RF-00002464-MCG")</f>
        <v>RF-00002464-MCG</v>
      </c>
    </row>
    <row r="7586" spans="1:2" ht="12.5" x14ac:dyDescent="0.25">
      <c r="A7586" t="str">
        <f ca="1">IFERROR(__xludf.DUMMYFUNCTION("""COMPUTED_VALUE"""),"Salmonella Typhimurium DT 64")</f>
        <v>Salmonella Typhimurium DT 64</v>
      </c>
      <c r="B7586" t="str">
        <f ca="1">IFERROR(__xludf.DUMMYFUNCTION("""COMPUTED_VALUE"""),"RF-00002474-MCG")</f>
        <v>RF-00002474-MCG</v>
      </c>
    </row>
    <row r="7587" spans="1:2" ht="12.5" x14ac:dyDescent="0.25">
      <c r="A7587" t="str">
        <f ca="1">IFERROR(__xludf.DUMMYFUNCTION("""COMPUTED_VALUE"""),"Salmonella Typhimurium DT 66")</f>
        <v>Salmonella Typhimurium DT 66</v>
      </c>
      <c r="B7587" t="str">
        <f ca="1">IFERROR(__xludf.DUMMYFUNCTION("""COMPUTED_VALUE"""),"RF-00002462-MCG")</f>
        <v>RF-00002462-MCG</v>
      </c>
    </row>
    <row r="7588" spans="1:2" ht="12.5" x14ac:dyDescent="0.25">
      <c r="A7588" t="str">
        <f ca="1">IFERROR(__xludf.DUMMYFUNCTION("""COMPUTED_VALUE"""),"Salmonella Typhimurium DT 66a")</f>
        <v>Salmonella Typhimurium DT 66a</v>
      </c>
      <c r="B7588" t="str">
        <f ca="1">IFERROR(__xludf.DUMMYFUNCTION("""COMPUTED_VALUE"""),"RF-00002461-MCG")</f>
        <v>RF-00002461-MCG</v>
      </c>
    </row>
    <row r="7589" spans="1:2" ht="12.5" x14ac:dyDescent="0.25">
      <c r="A7589" t="str">
        <f ca="1">IFERROR(__xludf.DUMMYFUNCTION("""COMPUTED_VALUE"""),"Salmonella Typhimurium DT 67")</f>
        <v>Salmonella Typhimurium DT 67</v>
      </c>
      <c r="B7589" t="str">
        <f ca="1">IFERROR(__xludf.DUMMYFUNCTION("""COMPUTED_VALUE"""),"RF-00002460-MCG")</f>
        <v>RF-00002460-MCG</v>
      </c>
    </row>
    <row r="7590" spans="1:2" ht="12.5" x14ac:dyDescent="0.25">
      <c r="A7590" t="str">
        <f ca="1">IFERROR(__xludf.DUMMYFUNCTION("""COMPUTED_VALUE"""),"Salmonella Typhimurium DT 68")</f>
        <v>Salmonella Typhimurium DT 68</v>
      </c>
      <c r="B7590" t="str">
        <f ca="1">IFERROR(__xludf.DUMMYFUNCTION("""COMPUTED_VALUE"""),"RF-00002459-MCG")</f>
        <v>RF-00002459-MCG</v>
      </c>
    </row>
    <row r="7591" spans="1:2" ht="12.5" x14ac:dyDescent="0.25">
      <c r="A7591" t="str">
        <f ca="1">IFERROR(__xludf.DUMMYFUNCTION("""COMPUTED_VALUE"""),"Salmonella Typhimurium DT 7")</f>
        <v>Salmonella Typhimurium DT 7</v>
      </c>
      <c r="B7591" t="str">
        <f ca="1">IFERROR(__xludf.DUMMYFUNCTION("""COMPUTED_VALUE"""),"RF-00002458-MCG")</f>
        <v>RF-00002458-MCG</v>
      </c>
    </row>
    <row r="7592" spans="1:2" ht="12.5" x14ac:dyDescent="0.25">
      <c r="A7592" t="str">
        <f ca="1">IFERROR(__xludf.DUMMYFUNCTION("""COMPUTED_VALUE"""),"Salmonella Typhimurium DT 73")</f>
        <v>Salmonella Typhimurium DT 73</v>
      </c>
      <c r="B7592" t="str">
        <f ca="1">IFERROR(__xludf.DUMMYFUNCTION("""COMPUTED_VALUE"""),"RF-00002440-MCG")</f>
        <v>RF-00002440-MCG</v>
      </c>
    </row>
    <row r="7593" spans="1:2" ht="12.5" x14ac:dyDescent="0.25">
      <c r="A7593" t="str">
        <f ca="1">IFERROR(__xludf.DUMMYFUNCTION("""COMPUTED_VALUE"""),"Salmonella Typhimurium DT 74")</f>
        <v>Salmonella Typhimurium DT 74</v>
      </c>
      <c r="B7593" t="str">
        <f ca="1">IFERROR(__xludf.DUMMYFUNCTION("""COMPUTED_VALUE"""),"RF-00002402-MCG")</f>
        <v>RF-00002402-MCG</v>
      </c>
    </row>
    <row r="7594" spans="1:2" ht="12.5" x14ac:dyDescent="0.25">
      <c r="A7594" t="str">
        <f ca="1">IFERROR(__xludf.DUMMYFUNCTION("""COMPUTED_VALUE"""),"Salmonella Typhimurium DT 7a")</f>
        <v>Salmonella Typhimurium DT 7a</v>
      </c>
      <c r="B7594" t="str">
        <f ca="1">IFERROR(__xludf.DUMMYFUNCTION("""COMPUTED_VALUE"""),"RF-00001313-PAR")</f>
        <v>RF-00001313-PAR</v>
      </c>
    </row>
    <row r="7595" spans="1:2" ht="12.5" x14ac:dyDescent="0.25">
      <c r="A7595" t="str">
        <f ca="1">IFERROR(__xludf.DUMMYFUNCTION("""COMPUTED_VALUE"""),"Salmonella Typhimurium DT 8")</f>
        <v>Salmonella Typhimurium DT 8</v>
      </c>
      <c r="B7595" t="str">
        <f ca="1">IFERROR(__xludf.DUMMYFUNCTION("""COMPUTED_VALUE"""),"RF-00002412-MCG")</f>
        <v>RF-00002412-MCG</v>
      </c>
    </row>
    <row r="7596" spans="1:2" ht="12.5" x14ac:dyDescent="0.25">
      <c r="A7596" t="str">
        <f ca="1">IFERROR(__xludf.DUMMYFUNCTION("""COMPUTED_VALUE"""),"Salmonella Typhimurium DT 80")</f>
        <v>Salmonella Typhimurium DT 80</v>
      </c>
      <c r="B7596" t="str">
        <f ca="1">IFERROR(__xludf.DUMMYFUNCTION("""COMPUTED_VALUE"""),"RF-00002411-MCG")</f>
        <v>RF-00002411-MCG</v>
      </c>
    </row>
    <row r="7597" spans="1:2" ht="12.5" x14ac:dyDescent="0.25">
      <c r="A7597" t="str">
        <f ca="1">IFERROR(__xludf.DUMMYFUNCTION("""COMPUTED_VALUE"""),"Salmonella Typhimurium DT 82")</f>
        <v>Salmonella Typhimurium DT 82</v>
      </c>
      <c r="B7597" t="str">
        <f ca="1">IFERROR(__xludf.DUMMYFUNCTION("""COMPUTED_VALUE"""),"RF-00002410-MCG")</f>
        <v>RF-00002410-MCG</v>
      </c>
    </row>
    <row r="7598" spans="1:2" ht="12.5" x14ac:dyDescent="0.25">
      <c r="A7598" t="str">
        <f ca="1">IFERROR(__xludf.DUMMYFUNCTION("""COMPUTED_VALUE"""),"Salmonella Typhimurium DT 83")</f>
        <v>Salmonella Typhimurium DT 83</v>
      </c>
      <c r="B7598" t="str">
        <f ca="1">IFERROR(__xludf.DUMMYFUNCTION("""COMPUTED_VALUE"""),"RF-00002409-MCG")</f>
        <v>RF-00002409-MCG</v>
      </c>
    </row>
    <row r="7599" spans="1:2" ht="12.5" x14ac:dyDescent="0.25">
      <c r="A7599" t="str">
        <f ca="1">IFERROR(__xludf.DUMMYFUNCTION("""COMPUTED_VALUE"""),"Salmonella Typhimurium DT 85")</f>
        <v>Salmonella Typhimurium DT 85</v>
      </c>
      <c r="B7599" t="str">
        <f ca="1">IFERROR(__xludf.DUMMYFUNCTION("""COMPUTED_VALUE"""),"RF-00002408-MCG")</f>
        <v>RF-00002408-MCG</v>
      </c>
    </row>
    <row r="7600" spans="1:2" ht="12.5" x14ac:dyDescent="0.25">
      <c r="A7600" t="str">
        <f ca="1">IFERROR(__xludf.DUMMYFUNCTION("""COMPUTED_VALUE"""),"Salmonella Typhimurium DT 86")</f>
        <v>Salmonella Typhimurium DT 86</v>
      </c>
      <c r="B7600" t="str">
        <f ca="1">IFERROR(__xludf.DUMMYFUNCTION("""COMPUTED_VALUE"""),"RF-00002407-MCG")</f>
        <v>RF-00002407-MCG</v>
      </c>
    </row>
    <row r="7601" spans="1:2" ht="12.5" x14ac:dyDescent="0.25">
      <c r="A7601" t="str">
        <f ca="1">IFERROR(__xludf.DUMMYFUNCTION("""COMPUTED_VALUE"""),"Salmonella Typhimurium DT 87")</f>
        <v>Salmonella Typhimurium DT 87</v>
      </c>
      <c r="B7601" t="str">
        <f ca="1">IFERROR(__xludf.DUMMYFUNCTION("""COMPUTED_VALUE"""),"RF-00002406-MCG")</f>
        <v>RF-00002406-MCG</v>
      </c>
    </row>
    <row r="7602" spans="1:2" ht="12.5" x14ac:dyDescent="0.25">
      <c r="A7602" t="str">
        <f ca="1">IFERROR(__xludf.DUMMYFUNCTION("""COMPUTED_VALUE"""),"Salmonella Typhimurium DT 89")</f>
        <v>Salmonella Typhimurium DT 89</v>
      </c>
      <c r="B7602" t="str">
        <f ca="1">IFERROR(__xludf.DUMMYFUNCTION("""COMPUTED_VALUE"""),"RF-00002405-MCG")</f>
        <v>RF-00002405-MCG</v>
      </c>
    </row>
    <row r="7603" spans="1:2" ht="12.5" x14ac:dyDescent="0.25">
      <c r="A7603" t="str">
        <f ca="1">IFERROR(__xludf.DUMMYFUNCTION("""COMPUTED_VALUE"""),"Salmonella Typhimurium DT 9")</f>
        <v>Salmonella Typhimurium DT 9</v>
      </c>
      <c r="B7603" t="str">
        <f ca="1">IFERROR(__xludf.DUMMYFUNCTION("""COMPUTED_VALUE"""),"RF-00002393-MCG")</f>
        <v>RF-00002393-MCG</v>
      </c>
    </row>
    <row r="7604" spans="1:2" ht="12.5" x14ac:dyDescent="0.25">
      <c r="A7604" t="str">
        <f ca="1">IFERROR(__xludf.DUMMYFUNCTION("""COMPUTED_VALUE"""),"Salmonella Typhimurium DT 9 var.")</f>
        <v>Salmonella Typhimurium DT 9 var.</v>
      </c>
      <c r="B7604" t="str">
        <f ca="1">IFERROR(__xludf.DUMMYFUNCTION("""COMPUTED_VALUE"""),"RF-00002403-MCG")</f>
        <v>RF-00002403-MCG</v>
      </c>
    </row>
    <row r="7605" spans="1:2" ht="12.5" x14ac:dyDescent="0.25">
      <c r="A7605" t="str">
        <f ca="1">IFERROR(__xludf.DUMMYFUNCTION("""COMPUTED_VALUE"""),"Salmonella Typhimurium DT 93")</f>
        <v>Salmonella Typhimurium DT 93</v>
      </c>
      <c r="B7605" t="str">
        <f ca="1">IFERROR(__xludf.DUMMYFUNCTION("""COMPUTED_VALUE"""),"RF-00002413-MCG")</f>
        <v>RF-00002413-MCG</v>
      </c>
    </row>
    <row r="7606" spans="1:2" ht="12.5" x14ac:dyDescent="0.25">
      <c r="A7606" t="str">
        <f ca="1">IFERROR(__xludf.DUMMYFUNCTION("""COMPUTED_VALUE"""),"Salmonella Typhimurium DT 94")</f>
        <v>Salmonella Typhimurium DT 94</v>
      </c>
      <c r="B7606" t="str">
        <f ca="1">IFERROR(__xludf.DUMMYFUNCTION("""COMPUTED_VALUE"""),"RF-00002401-MCG")</f>
        <v>RF-00002401-MCG</v>
      </c>
    </row>
    <row r="7607" spans="1:2" ht="12.5" x14ac:dyDescent="0.25">
      <c r="A7607" t="str">
        <f ca="1">IFERROR(__xludf.DUMMYFUNCTION("""COMPUTED_VALUE"""),"Salmonella Typhimurium DT 96")</f>
        <v>Salmonella Typhimurium DT 96</v>
      </c>
      <c r="B7607" t="str">
        <f ca="1">IFERROR(__xludf.DUMMYFUNCTION("""COMPUTED_VALUE"""),"RF-00002400-MCG")</f>
        <v>RF-00002400-MCG</v>
      </c>
    </row>
    <row r="7608" spans="1:2" ht="12.5" x14ac:dyDescent="0.25">
      <c r="A7608" t="str">
        <f ca="1">IFERROR(__xludf.DUMMYFUNCTION("""COMPUTED_VALUE"""),"Salmonella Typhimurium DT 97")</f>
        <v>Salmonella Typhimurium DT 97</v>
      </c>
      <c r="B7608" t="str">
        <f ca="1">IFERROR(__xludf.DUMMYFUNCTION("""COMPUTED_VALUE"""),"RF-00002399-MCG")</f>
        <v>RF-00002399-MCG</v>
      </c>
    </row>
    <row r="7609" spans="1:2" ht="12.5" x14ac:dyDescent="0.25">
      <c r="A7609" t="str">
        <f ca="1">IFERROR(__xludf.DUMMYFUNCTION("""COMPUTED_VALUE"""),"Salmonella Typhimurium DT 99")</f>
        <v>Salmonella Typhimurium DT 99</v>
      </c>
      <c r="B7609" t="str">
        <f ca="1">IFERROR(__xludf.DUMMYFUNCTION("""COMPUTED_VALUE"""),"RF-00002398-MCG")</f>
        <v>RF-00002398-MCG</v>
      </c>
    </row>
    <row r="7610" spans="1:2" ht="12.5" x14ac:dyDescent="0.25">
      <c r="A7610" t="str">
        <f ca="1">IFERROR(__xludf.DUMMYFUNCTION("""COMPUTED_VALUE"""),"Salmonella Typhimurium DT RDNC")</f>
        <v>Salmonella Typhimurium DT RDNC</v>
      </c>
      <c r="B7610" t="str">
        <f ca="1">IFERROR(__xludf.DUMMYFUNCTION("""COMPUTED_VALUE"""),"RF-00002397-MCG")</f>
        <v>RF-00002397-MCG</v>
      </c>
    </row>
    <row r="7611" spans="1:2" ht="12.5" x14ac:dyDescent="0.25">
      <c r="A7611" t="str">
        <f ca="1">IFERROR(__xludf.DUMMYFUNCTION("""COMPUTED_VALUE"""),"Salmonella Typhimurium DT U")</f>
        <v>Salmonella Typhimurium DT U</v>
      </c>
      <c r="B7611" t="str">
        <f ca="1">IFERROR(__xludf.DUMMYFUNCTION("""COMPUTED_VALUE"""),"RF-00002396-MCG")</f>
        <v>RF-00002396-MCG</v>
      </c>
    </row>
    <row r="7612" spans="1:2" ht="12.5" x14ac:dyDescent="0.25">
      <c r="A7612" t="str">
        <f ca="1">IFERROR(__xludf.DUMMYFUNCTION("""COMPUTED_VALUE"""),"Salmonella Typhimurium DT U291")</f>
        <v>Salmonella Typhimurium DT U291</v>
      </c>
      <c r="B7612" t="str">
        <f ca="1">IFERROR(__xludf.DUMMYFUNCTION("""COMPUTED_VALUE"""),"RF-00002395-MCG")</f>
        <v>RF-00002395-MCG</v>
      </c>
    </row>
    <row r="7613" spans="1:2" ht="12.5" x14ac:dyDescent="0.25">
      <c r="A7613" t="str">
        <f ca="1">IFERROR(__xludf.DUMMYFUNCTION("""COMPUTED_VALUE"""),"Salmonella Typhimurium DT U302")</f>
        <v>Salmonella Typhimurium DT U302</v>
      </c>
      <c r="B7613" t="str">
        <f ca="1">IFERROR(__xludf.DUMMYFUNCTION("""COMPUTED_VALUE"""),"RF-00002394-MCG")</f>
        <v>RF-00002394-MCG</v>
      </c>
    </row>
    <row r="7614" spans="1:2" ht="12.5" x14ac:dyDescent="0.25">
      <c r="A7614" t="str">
        <f ca="1">IFERROR(__xludf.DUMMYFUNCTION("""COMPUTED_VALUE"""),"Salmonella Typhimurium FT 104")</f>
        <v>Salmonella Typhimurium FT 104</v>
      </c>
      <c r="B7614" t="str">
        <f ca="1">IFERROR(__xludf.DUMMYFUNCTION("""COMPUTED_VALUE"""),"RF-00002423-MCG")</f>
        <v>RF-00002423-MCG</v>
      </c>
    </row>
    <row r="7615" spans="1:2" ht="12.5" x14ac:dyDescent="0.25">
      <c r="A7615" t="str">
        <f ca="1">IFERROR(__xludf.DUMMYFUNCTION("""COMPUTED_VALUE"""),"Salmonella Typhimurium FT 110")</f>
        <v>Salmonella Typhimurium FT 110</v>
      </c>
      <c r="B7615" t="str">
        <f ca="1">IFERROR(__xludf.DUMMYFUNCTION("""COMPUTED_VALUE"""),"RF-00002425-MCG")</f>
        <v>RF-00002425-MCG</v>
      </c>
    </row>
    <row r="7616" spans="1:2" ht="12.5" x14ac:dyDescent="0.25">
      <c r="A7616" t="str">
        <f ca="1">IFERROR(__xludf.DUMMYFUNCTION("""COMPUTED_VALUE"""),"Salmonella Typhimurium FT 13 var.")</f>
        <v>Salmonella Typhimurium FT 13 var.</v>
      </c>
      <c r="B7616" t="str">
        <f ca="1">IFERROR(__xludf.DUMMYFUNCTION("""COMPUTED_VALUE"""),"RF-00002404-MCG")</f>
        <v>RF-00002404-MCG</v>
      </c>
    </row>
    <row r="7617" spans="1:2" ht="12.5" x14ac:dyDescent="0.25">
      <c r="A7617" t="str">
        <f ca="1">IFERROR(__xludf.DUMMYFUNCTION("""COMPUTED_VALUE"""),"Salmonella Typhimurium FT 150")</f>
        <v>Salmonella Typhimurium FT 150</v>
      </c>
      <c r="B7617" t="str">
        <f ca="1">IFERROR(__xludf.DUMMYFUNCTION("""COMPUTED_VALUE"""),"RF-00002433-MCG")</f>
        <v>RF-00002433-MCG</v>
      </c>
    </row>
    <row r="7618" spans="1:2" ht="12.5" x14ac:dyDescent="0.25">
      <c r="A7618" t="str">
        <f ca="1">IFERROR(__xludf.DUMMYFUNCTION("""COMPUTED_VALUE"""),"Salmonella Typhimurium FT 2")</f>
        <v>Salmonella Typhimurium FT 2</v>
      </c>
      <c r="B7618" t="str">
        <f ca="1">IFERROR(__xludf.DUMMYFUNCTION("""COMPUTED_VALUE"""),"RF-00002432-MCG")</f>
        <v>RF-00002432-MCG</v>
      </c>
    </row>
    <row r="7619" spans="1:2" ht="12.5" x14ac:dyDescent="0.25">
      <c r="A7619" t="str">
        <f ca="1">IFERROR(__xludf.DUMMYFUNCTION("""COMPUTED_VALUE"""),"Salmonella Typhimurium FT 20")</f>
        <v>Salmonella Typhimurium FT 20</v>
      </c>
      <c r="B7619" t="str">
        <f ca="1">IFERROR(__xludf.DUMMYFUNCTION("""COMPUTED_VALUE"""),"RF-00002431-MCG")</f>
        <v>RF-00002431-MCG</v>
      </c>
    </row>
    <row r="7620" spans="1:2" ht="12.5" x14ac:dyDescent="0.25">
      <c r="A7620" t="str">
        <f ca="1">IFERROR(__xludf.DUMMYFUNCTION("""COMPUTED_VALUE"""),"Salmonella Typhimurium FT 204")</f>
        <v>Salmonella Typhimurium FT 204</v>
      </c>
      <c r="B7620" t="str">
        <f ca="1">IFERROR(__xludf.DUMMYFUNCTION("""COMPUTED_VALUE"""),"RF-00002430-MCG")</f>
        <v>RF-00002430-MCG</v>
      </c>
    </row>
    <row r="7621" spans="1:2" ht="12.5" x14ac:dyDescent="0.25">
      <c r="A7621" t="str">
        <f ca="1">IFERROR(__xludf.DUMMYFUNCTION("""COMPUTED_VALUE"""),"Salmonella Typhimurium FT 207")</f>
        <v>Salmonella Typhimurium FT 207</v>
      </c>
      <c r="B7621" t="str">
        <f ca="1">IFERROR(__xludf.DUMMYFUNCTION("""COMPUTED_VALUE"""),"RF-00002429-MCG")</f>
        <v>RF-00002429-MCG</v>
      </c>
    </row>
    <row r="7622" spans="1:2" ht="12.5" x14ac:dyDescent="0.25">
      <c r="A7622" t="str">
        <f ca="1">IFERROR(__xludf.DUMMYFUNCTION("""COMPUTED_VALUE"""),"Salmonella Typhimurium FT 281")</f>
        <v>Salmonella Typhimurium FT 281</v>
      </c>
      <c r="B7622" t="str">
        <f ca="1">IFERROR(__xludf.DUMMYFUNCTION("""COMPUTED_VALUE"""),"RF-00002434-MCG")</f>
        <v>RF-00002434-MCG</v>
      </c>
    </row>
    <row r="7623" spans="1:2" ht="12.5" x14ac:dyDescent="0.25">
      <c r="A7623" t="str">
        <f ca="1">IFERROR(__xludf.DUMMYFUNCTION("""COMPUTED_VALUE"""),"Salmonella Typhimurium FT 295")</f>
        <v>Salmonella Typhimurium FT 295</v>
      </c>
      <c r="B7623" t="str">
        <f ca="1">IFERROR(__xludf.DUMMYFUNCTION("""COMPUTED_VALUE"""),"RF-00002427-MCG")</f>
        <v>RF-00002427-MCG</v>
      </c>
    </row>
    <row r="7624" spans="1:2" ht="12.5" x14ac:dyDescent="0.25">
      <c r="A7624" t="str">
        <f ca="1">IFERROR(__xludf.DUMMYFUNCTION("""COMPUTED_VALUE"""),"Salmonella Typhimurium FT 296")</f>
        <v>Salmonella Typhimurium FT 296</v>
      </c>
      <c r="B7624" t="str">
        <f ca="1">IFERROR(__xludf.DUMMYFUNCTION("""COMPUTED_VALUE"""),"RF-00002455-MCG")</f>
        <v>RF-00002455-MCG</v>
      </c>
    </row>
    <row r="7625" spans="1:2" ht="12.5" x14ac:dyDescent="0.25">
      <c r="A7625" t="str">
        <f ca="1">IFERROR(__xludf.DUMMYFUNCTION("""COMPUTED_VALUE"""),"Salmonella Typhimurium FT 3")</f>
        <v>Salmonella Typhimurium FT 3</v>
      </c>
      <c r="B7625" t="str">
        <f ca="1">IFERROR(__xludf.DUMMYFUNCTION("""COMPUTED_VALUE"""),"RF-00002414-MCG")</f>
        <v>RF-00002414-MCG</v>
      </c>
    </row>
    <row r="7626" spans="1:2" ht="12.5" x14ac:dyDescent="0.25">
      <c r="A7626" t="str">
        <f ca="1">IFERROR(__xludf.DUMMYFUNCTION("""COMPUTED_VALUE"""),"Salmonella Typhimurium FT 301")</f>
        <v>Salmonella Typhimurium FT 301</v>
      </c>
      <c r="B7626" t="str">
        <f ca="1">IFERROR(__xludf.DUMMYFUNCTION("""COMPUTED_VALUE"""),"RF-00002424-MCG")</f>
        <v>RF-00002424-MCG</v>
      </c>
    </row>
    <row r="7627" spans="1:2" ht="12.5" x14ac:dyDescent="0.25">
      <c r="A7627" t="str">
        <f ca="1">IFERROR(__xludf.DUMMYFUNCTION("""COMPUTED_VALUE"""),"Salmonella Typhimurium FT 350")</f>
        <v>Salmonella Typhimurium FT 350</v>
      </c>
      <c r="B7627" t="str">
        <f ca="1">IFERROR(__xludf.DUMMYFUNCTION("""COMPUTED_VALUE"""),"RF-00002435-MCG")</f>
        <v>RF-00002435-MCG</v>
      </c>
    </row>
    <row r="7628" spans="1:2" ht="12.5" x14ac:dyDescent="0.25">
      <c r="A7628" t="str">
        <f ca="1">IFERROR(__xludf.DUMMYFUNCTION("""COMPUTED_VALUE"""),"Salmonella Typhimurium FT 351")</f>
        <v>Salmonella Typhimurium FT 351</v>
      </c>
      <c r="B7628" t="str">
        <f ca="1">IFERROR(__xludf.DUMMYFUNCTION("""COMPUTED_VALUE"""),"RF-00002422-MCG")</f>
        <v>RF-00002422-MCG</v>
      </c>
    </row>
    <row r="7629" spans="1:2" ht="12.5" x14ac:dyDescent="0.25">
      <c r="A7629" t="str">
        <f ca="1">IFERROR(__xludf.DUMMYFUNCTION("""COMPUTED_VALUE"""),"Salmonella Typhimurium FT 353")</f>
        <v>Salmonella Typhimurium FT 353</v>
      </c>
      <c r="B7629" t="str">
        <f ca="1">IFERROR(__xludf.DUMMYFUNCTION("""COMPUTED_VALUE"""),"RF-00002421-MCG")</f>
        <v>RF-00002421-MCG</v>
      </c>
    </row>
    <row r="7630" spans="1:2" ht="12.5" x14ac:dyDescent="0.25">
      <c r="A7630" t="str">
        <f ca="1">IFERROR(__xludf.DUMMYFUNCTION("""COMPUTED_VALUE"""),"Salmonella Typhimurium FT 380")</f>
        <v>Salmonella Typhimurium FT 380</v>
      </c>
      <c r="B7630" t="str">
        <f ca="1">IFERROR(__xludf.DUMMYFUNCTION("""COMPUTED_VALUE"""),"RF-00002420-MCG")</f>
        <v>RF-00002420-MCG</v>
      </c>
    </row>
    <row r="7631" spans="1:2" ht="12.5" x14ac:dyDescent="0.25">
      <c r="A7631" t="str">
        <f ca="1">IFERROR(__xludf.DUMMYFUNCTION("""COMPUTED_VALUE"""),"Salmonella Typhimurium FT 401")</f>
        <v>Salmonella Typhimurium FT 401</v>
      </c>
      <c r="B7631" t="str">
        <f ca="1">IFERROR(__xludf.DUMMYFUNCTION("""COMPUTED_VALUE"""),"RF-00002419-MCG")</f>
        <v>RF-00002419-MCG</v>
      </c>
    </row>
    <row r="7632" spans="1:2" ht="12.5" x14ac:dyDescent="0.25">
      <c r="A7632" t="str">
        <f ca="1">IFERROR(__xludf.DUMMYFUNCTION("""COMPUTED_VALUE"""),"Salmonella Typhimurium FT 450")</f>
        <v>Salmonella Typhimurium FT 450</v>
      </c>
      <c r="B7632" t="str">
        <f ca="1">IFERROR(__xludf.DUMMYFUNCTION("""COMPUTED_VALUE"""),"RF-00002418-MCG")</f>
        <v>RF-00002418-MCG</v>
      </c>
    </row>
    <row r="7633" spans="1:2" ht="12.5" x14ac:dyDescent="0.25">
      <c r="A7633" t="str">
        <f ca="1">IFERROR(__xludf.DUMMYFUNCTION("""COMPUTED_VALUE"""),"Salmonella Typhimurium FT 461")</f>
        <v>Salmonella Typhimurium FT 461</v>
      </c>
      <c r="B7633" t="str">
        <f ca="1">IFERROR(__xludf.DUMMYFUNCTION("""COMPUTED_VALUE"""),"RF-00002417-MCG")</f>
        <v>RF-00002417-MCG</v>
      </c>
    </row>
    <row r="7634" spans="1:2" ht="12.5" x14ac:dyDescent="0.25">
      <c r="A7634" t="str">
        <f ca="1">IFERROR(__xludf.DUMMYFUNCTION("""COMPUTED_VALUE"""),"Salmonella Typhimurium FT 505")</f>
        <v>Salmonella Typhimurium FT 505</v>
      </c>
      <c r="B7634" t="str">
        <f ca="1">IFERROR(__xludf.DUMMYFUNCTION("""COMPUTED_VALUE"""),"RF-00002416-MCG")</f>
        <v>RF-00002416-MCG</v>
      </c>
    </row>
    <row r="7635" spans="1:2" ht="12.5" x14ac:dyDescent="0.25">
      <c r="A7635" t="str">
        <f ca="1">IFERROR(__xludf.DUMMYFUNCTION("""COMPUTED_VALUE"""),"Salmonella Typhimurium FT 506")</f>
        <v>Salmonella Typhimurium FT 506</v>
      </c>
      <c r="B7635" t="str">
        <f ca="1">IFERROR(__xludf.DUMMYFUNCTION("""COMPUTED_VALUE"""),"RF-00002415-MCG")</f>
        <v>RF-00002415-MCG</v>
      </c>
    </row>
    <row r="7636" spans="1:2" ht="12.5" x14ac:dyDescent="0.25">
      <c r="A7636" t="str">
        <f ca="1">IFERROR(__xludf.DUMMYFUNCTION("""COMPUTED_VALUE"""),"Salmonella Typhimurium FT 507")</f>
        <v>Salmonella Typhimurium FT 507</v>
      </c>
      <c r="B7636" t="str">
        <f ca="1">IFERROR(__xludf.DUMMYFUNCTION("""COMPUTED_VALUE"""),"RF-00002313-MCG")</f>
        <v>RF-00002313-MCG</v>
      </c>
    </row>
    <row r="7637" spans="1:2" ht="12.5" x14ac:dyDescent="0.25">
      <c r="A7637" t="str">
        <f ca="1">IFERROR(__xludf.DUMMYFUNCTION("""COMPUTED_VALUE"""),"Salmonella Typhimurium FT 508")</f>
        <v>Salmonella Typhimurium FT 508</v>
      </c>
      <c r="B7637" t="str">
        <f ca="1">IFERROR(__xludf.DUMMYFUNCTION("""COMPUTED_VALUE"""),"RF-00002287-MCG")</f>
        <v>RF-00002287-MCG</v>
      </c>
    </row>
    <row r="7638" spans="1:2" ht="12.5" x14ac:dyDescent="0.25">
      <c r="A7638" t="str">
        <f ca="1">IFERROR(__xludf.DUMMYFUNCTION("""COMPUTED_VALUE"""),"Salmonella Typhimurium FT 510")</f>
        <v>Salmonella Typhimurium FT 510</v>
      </c>
      <c r="B7638" t="str">
        <f ca="1">IFERROR(__xludf.DUMMYFUNCTION("""COMPUTED_VALUE"""),"RF-00002282-MCG")</f>
        <v>RF-00002282-MCG</v>
      </c>
    </row>
    <row r="7639" spans="1:2" ht="12.5" x14ac:dyDescent="0.25">
      <c r="A7639" t="str">
        <f ca="1">IFERROR(__xludf.DUMMYFUNCTION("""COMPUTED_VALUE"""),"Salmonella Typhimurium FT 530")</f>
        <v>Salmonella Typhimurium FT 530</v>
      </c>
      <c r="B7639" t="str">
        <f ca="1">IFERROR(__xludf.DUMMYFUNCTION("""COMPUTED_VALUE"""),"RF-00002281-MCG")</f>
        <v>RF-00002281-MCG</v>
      </c>
    </row>
    <row r="7640" spans="1:2" ht="12.5" x14ac:dyDescent="0.25">
      <c r="A7640" t="str">
        <f ca="1">IFERROR(__xludf.DUMMYFUNCTION("""COMPUTED_VALUE"""),"Salmonella Typhimurium FT 560")</f>
        <v>Salmonella Typhimurium FT 560</v>
      </c>
      <c r="B7640" t="str">
        <f ca="1">IFERROR(__xludf.DUMMYFUNCTION("""COMPUTED_VALUE"""),"RF-00002280-MCG")</f>
        <v>RF-00002280-MCG</v>
      </c>
    </row>
    <row r="7641" spans="1:2" ht="12.5" x14ac:dyDescent="0.25">
      <c r="A7641" t="str">
        <f ca="1">IFERROR(__xludf.DUMMYFUNCTION("""COMPUTED_VALUE"""),"Salmonella Typhimurium FT 60")</f>
        <v>Salmonella Typhimurium FT 60</v>
      </c>
      <c r="B7641" t="str">
        <f ca="1">IFERROR(__xludf.DUMMYFUNCTION("""COMPUTED_VALUE"""),"RF-00002285-MCG")</f>
        <v>RF-00002285-MCG</v>
      </c>
    </row>
    <row r="7642" spans="1:2" ht="12.5" x14ac:dyDescent="0.25">
      <c r="A7642" t="str">
        <f ca="1">IFERROR(__xludf.DUMMYFUNCTION("""COMPUTED_VALUE"""),"Salmonella Typhimurium FT 61")</f>
        <v>Salmonella Typhimurium FT 61</v>
      </c>
      <c r="B7642" t="str">
        <f ca="1">IFERROR(__xludf.DUMMYFUNCTION("""COMPUTED_VALUE"""),"RF-00002279-MCG")</f>
        <v>RF-00002279-MCG</v>
      </c>
    </row>
    <row r="7643" spans="1:2" ht="12.5" x14ac:dyDescent="0.25">
      <c r="A7643" t="str">
        <f ca="1">IFERROR(__xludf.DUMMYFUNCTION("""COMPUTED_VALUE"""),"Salmonella Typhimurium FT 655")</f>
        <v>Salmonella Typhimurium FT 655</v>
      </c>
      <c r="B7643" t="str">
        <f ca="1">IFERROR(__xludf.DUMMYFUNCTION("""COMPUTED_VALUE"""),"RF-00002278-MCG")</f>
        <v>RF-00002278-MCG</v>
      </c>
    </row>
    <row r="7644" spans="1:2" ht="12.5" x14ac:dyDescent="0.25">
      <c r="A7644" t="str">
        <f ca="1">IFERROR(__xludf.DUMMYFUNCTION("""COMPUTED_VALUE"""),"Salmonella Typhimurium FT 656")</f>
        <v>Salmonella Typhimurium FT 656</v>
      </c>
      <c r="B7644" t="str">
        <f ca="1">IFERROR(__xludf.DUMMYFUNCTION("""COMPUTED_VALUE"""),"RF-00002277-MCG")</f>
        <v>RF-00002277-MCG</v>
      </c>
    </row>
    <row r="7645" spans="1:2" ht="12.5" x14ac:dyDescent="0.25">
      <c r="A7645" t="str">
        <f ca="1">IFERROR(__xludf.DUMMYFUNCTION("""COMPUTED_VALUE"""),"Salmonella Typhimurium FT 80")</f>
        <v>Salmonella Typhimurium FT 80</v>
      </c>
      <c r="B7645" t="str">
        <f ca="1">IFERROR(__xludf.DUMMYFUNCTION("""COMPUTED_VALUE"""),"RF-00002276-MCG")</f>
        <v>RF-00002276-MCG</v>
      </c>
    </row>
    <row r="7646" spans="1:2" ht="12.5" x14ac:dyDescent="0.25">
      <c r="A7646" t="str">
        <f ca="1">IFERROR(__xludf.DUMMYFUNCTION("""COMPUTED_VALUE"""),"Salmonella Typhimurium FT 90")</f>
        <v>Salmonella Typhimurium FT 90</v>
      </c>
      <c r="B7646" t="str">
        <f ca="1">IFERROR(__xludf.DUMMYFUNCTION("""COMPUTED_VALUE"""),"RF-00002275-MCG")</f>
        <v>RF-00002275-MCG</v>
      </c>
    </row>
    <row r="7647" spans="1:2" ht="12.5" x14ac:dyDescent="0.25">
      <c r="A7647" t="str">
        <f ca="1">IFERROR(__xludf.DUMMYFUNCTION("""COMPUTED_VALUE"""),"Salmonella Typhimurium Not typable")</f>
        <v>Salmonella Typhimurium Not typable</v>
      </c>
      <c r="B7647" t="str">
        <f ca="1">IFERROR(__xludf.DUMMYFUNCTION("""COMPUTED_VALUE"""),"RF-00002272-MCG")</f>
        <v>RF-00002272-MCG</v>
      </c>
    </row>
    <row r="7648" spans="1:2" ht="12.5" x14ac:dyDescent="0.25">
      <c r="A7648" t="str">
        <f ca="1">IFERROR(__xludf.DUMMYFUNCTION("""COMPUTED_VALUE"""),"Salmonella Typhimurium Nt-L30")</f>
        <v>Salmonella Typhimurium Nt-L30</v>
      </c>
      <c r="B7648" t="str">
        <f ca="1">IFERROR(__xludf.DUMMYFUNCTION("""COMPUTED_VALUE"""),"RF-00002266-MCG")</f>
        <v>RF-00002266-MCG</v>
      </c>
    </row>
    <row r="7649" spans="1:2" ht="12.5" x14ac:dyDescent="0.25">
      <c r="A7649" t="str">
        <f ca="1">IFERROR(__xludf.DUMMYFUNCTION("""COMPUTED_VALUE"""),"Salmonella Typhimurium Nt-L30,31")</f>
        <v>Salmonella Typhimurium Nt-L30,31</v>
      </c>
      <c r="B7649" t="str">
        <f ca="1">IFERROR(__xludf.DUMMYFUNCTION("""COMPUTED_VALUE"""),"RF-00002267-MCG")</f>
        <v>RF-00002267-MCG</v>
      </c>
    </row>
    <row r="7650" spans="1:2" ht="12.5" x14ac:dyDescent="0.25">
      <c r="A7650" t="str">
        <f ca="1">IFERROR(__xludf.DUMMYFUNCTION("""COMPUTED_VALUE"""),"Salmonella Typhimurium Nt-L30,31,37")</f>
        <v>Salmonella Typhimurium Nt-L30,31,37</v>
      </c>
      <c r="B7650" t="str">
        <f ca="1">IFERROR(__xludf.DUMMYFUNCTION("""COMPUTED_VALUE"""),"RF-00002268-MCG")</f>
        <v>RF-00002268-MCG</v>
      </c>
    </row>
    <row r="7651" spans="1:2" ht="12.5" x14ac:dyDescent="0.25">
      <c r="A7651" t="str">
        <f ca="1">IFERROR(__xludf.DUMMYFUNCTION("""COMPUTED_VALUE"""),"Salmonella Typhimurium Nt-L30,37")</f>
        <v>Salmonella Typhimurium Nt-L30,37</v>
      </c>
      <c r="B7651" t="str">
        <f ca="1">IFERROR(__xludf.DUMMYFUNCTION("""COMPUTED_VALUE"""),"RF-00002269-MCG")</f>
        <v>RF-00002269-MCG</v>
      </c>
    </row>
    <row r="7652" spans="1:2" ht="12.5" x14ac:dyDescent="0.25">
      <c r="A7652" t="str">
        <f ca="1">IFERROR(__xludf.DUMMYFUNCTION("""COMPUTED_VALUE"""),"Salmonella Typhimurium Nt-L31")</f>
        <v>Salmonella Typhimurium Nt-L31</v>
      </c>
      <c r="B7652" t="str">
        <f ca="1">IFERROR(__xludf.DUMMYFUNCTION("""COMPUTED_VALUE"""),"RF-00002274-MCG")</f>
        <v>RF-00002274-MCG</v>
      </c>
    </row>
    <row r="7653" spans="1:2" ht="12.5" x14ac:dyDescent="0.25">
      <c r="A7653" t="str">
        <f ca="1">IFERROR(__xludf.DUMMYFUNCTION("""COMPUTED_VALUE"""),"Salmonella Typhimurium Nt-L31,37")</f>
        <v>Salmonella Typhimurium Nt-L31,37</v>
      </c>
      <c r="B7653" t="str">
        <f ca="1">IFERROR(__xludf.DUMMYFUNCTION("""COMPUTED_VALUE"""),"RF-00002271-MCG")</f>
        <v>RF-00002271-MCG</v>
      </c>
    </row>
    <row r="7654" spans="1:2" ht="12.5" x14ac:dyDescent="0.25">
      <c r="A7654" t="str">
        <f ca="1">IFERROR(__xludf.DUMMYFUNCTION("""COMPUTED_VALUE"""),"Salmonella Typhimurium Nt-L37")</f>
        <v>Salmonella Typhimurium Nt-L37</v>
      </c>
      <c r="B7654" t="str">
        <f ca="1">IFERROR(__xludf.DUMMYFUNCTION("""COMPUTED_VALUE"""),"RF-00002270-MCG")</f>
        <v>RF-00002270-MCG</v>
      </c>
    </row>
    <row r="7655" spans="1:2" ht="12.5" x14ac:dyDescent="0.25">
      <c r="A7655" t="str">
        <f ca="1">IFERROR(__xludf.DUMMYFUNCTION("""COMPUTED_VALUE"""),"Salmonella Typhimurium other")</f>
        <v>Salmonella Typhimurium other</v>
      </c>
      <c r="B7655" t="str">
        <f ca="1">IFERROR(__xludf.DUMMYFUNCTION("""COMPUTED_VALUE"""),"RF-00002273-MCG")</f>
        <v>RF-00002273-MCG</v>
      </c>
    </row>
    <row r="7656" spans="1:2" ht="12.5" x14ac:dyDescent="0.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x14ac:dyDescent="0.25">
      <c r="A7657" t="str">
        <f ca="1">IFERROR(__xludf.DUMMYFUNCTION("""COMPUTED_VALUE"""),"Salmonella Typhimurium PT 193")</f>
        <v>Salmonella Typhimurium PT 193</v>
      </c>
      <c r="B7657" t="str">
        <f ca="1">IFERROR(__xludf.DUMMYFUNCTION("""COMPUTED_VALUE"""),"RF-00002297-MCG")</f>
        <v>RF-00002297-MCG</v>
      </c>
    </row>
    <row r="7658" spans="1:2" ht="12.5" x14ac:dyDescent="0.25">
      <c r="A7658" t="str">
        <f ca="1">IFERROR(__xludf.DUMMYFUNCTION("""COMPUTED_VALUE"""),"Salmonella Typhimurium RDNC")</f>
        <v>Salmonella Typhimurium RDNC</v>
      </c>
      <c r="B7658" t="str">
        <f ca="1">IFERROR(__xludf.DUMMYFUNCTION("""COMPUTED_VALUE"""),"RF-00002305-MCG")</f>
        <v>RF-00002305-MCG</v>
      </c>
    </row>
    <row r="7659" spans="1:2" ht="12.5" x14ac:dyDescent="0.25">
      <c r="A7659" t="str">
        <f ca="1">IFERROR(__xludf.DUMMYFUNCTION("""COMPUTED_VALUE"""),"Salmonella Typhimurium U")</f>
        <v>Salmonella Typhimurium U</v>
      </c>
      <c r="B7659" t="str">
        <f ca="1">IFERROR(__xludf.DUMMYFUNCTION("""COMPUTED_VALUE"""),"RF-00002304-MCG")</f>
        <v>RF-00002304-MCG</v>
      </c>
    </row>
    <row r="7660" spans="1:2" ht="12.5" x14ac:dyDescent="0.25">
      <c r="A7660" t="str">
        <f ca="1">IFERROR(__xludf.DUMMYFUNCTION("""COMPUTED_VALUE"""),"Salmonella Typhimurium U 276")</f>
        <v>Salmonella Typhimurium U 276</v>
      </c>
      <c r="B7660" t="str">
        <f ca="1">IFERROR(__xludf.DUMMYFUNCTION("""COMPUTED_VALUE"""),"RF-00002303-MCG")</f>
        <v>RF-00002303-MCG</v>
      </c>
    </row>
    <row r="7661" spans="1:2" ht="12.5" x14ac:dyDescent="0.25">
      <c r="A7661" t="str">
        <f ca="1">IFERROR(__xludf.DUMMYFUNCTION("""COMPUTED_VALUE"""),"Salmonella Typhimurium U 277")</f>
        <v>Salmonella Typhimurium U 277</v>
      </c>
      <c r="B7661" t="str">
        <f ca="1">IFERROR(__xludf.DUMMYFUNCTION("""COMPUTED_VALUE"""),"RF-00002302-MCG")</f>
        <v>RF-00002302-MCG</v>
      </c>
    </row>
    <row r="7662" spans="1:2" ht="12.5" x14ac:dyDescent="0.25">
      <c r="A7662" t="str">
        <f ca="1">IFERROR(__xludf.DUMMYFUNCTION("""COMPUTED_VALUE"""),"Salmonella Typhimurium U 278")</f>
        <v>Salmonella Typhimurium U 278</v>
      </c>
      <c r="B7662" t="str">
        <f ca="1">IFERROR(__xludf.DUMMYFUNCTION("""COMPUTED_VALUE"""),"RF-00002301-MCG")</f>
        <v>RF-00002301-MCG</v>
      </c>
    </row>
    <row r="7663" spans="1:2" ht="12.5" x14ac:dyDescent="0.25">
      <c r="A7663" t="str">
        <f ca="1">IFERROR(__xludf.DUMMYFUNCTION("""COMPUTED_VALUE"""),"Salmonella Typhimurium U 288")</f>
        <v>Salmonella Typhimurium U 288</v>
      </c>
      <c r="B7663" t="str">
        <f ca="1">IFERROR(__xludf.DUMMYFUNCTION("""COMPUTED_VALUE"""),"RF-00002300-MCG")</f>
        <v>RF-00002300-MCG</v>
      </c>
    </row>
    <row r="7664" spans="1:2" ht="12.5" x14ac:dyDescent="0.25">
      <c r="A7664" t="str">
        <f ca="1">IFERROR(__xludf.DUMMYFUNCTION("""COMPUTED_VALUE"""),"Salmonella Typhimurium U 289")</f>
        <v>Salmonella Typhimurium U 289</v>
      </c>
      <c r="B7664" t="str">
        <f ca="1">IFERROR(__xludf.DUMMYFUNCTION("""COMPUTED_VALUE"""),"RF-00002299-MCG")</f>
        <v>RF-00002299-MCG</v>
      </c>
    </row>
    <row r="7665" spans="1:2" ht="12.5" x14ac:dyDescent="0.25">
      <c r="A7665" t="str">
        <f ca="1">IFERROR(__xludf.DUMMYFUNCTION("""COMPUTED_VALUE"""),"Salmonella Typhimurium U 291")</f>
        <v>Salmonella Typhimurium U 291</v>
      </c>
      <c r="B7665" t="str">
        <f ca="1">IFERROR(__xludf.DUMMYFUNCTION("""COMPUTED_VALUE"""),"RF-00002298-MCG")</f>
        <v>RF-00002298-MCG</v>
      </c>
    </row>
    <row r="7666" spans="1:2" ht="12.5" x14ac:dyDescent="0.25">
      <c r="A7666" t="str">
        <f ca="1">IFERROR(__xludf.DUMMYFUNCTION("""COMPUTED_VALUE"""),"Salmonella Typhimurium U 292")</f>
        <v>Salmonella Typhimurium U 292</v>
      </c>
      <c r="B7666" t="str">
        <f ca="1">IFERROR(__xludf.DUMMYFUNCTION("""COMPUTED_VALUE"""),"RF-00002286-MCG")</f>
        <v>RF-00002286-MCG</v>
      </c>
    </row>
    <row r="7667" spans="1:2" ht="12.5" x14ac:dyDescent="0.25">
      <c r="A7667" t="str">
        <f ca="1">IFERROR(__xludf.DUMMYFUNCTION("""COMPUTED_VALUE"""),"Salmonella Typhimurium U 298")</f>
        <v>Salmonella Typhimurium U 298</v>
      </c>
      <c r="B7667" t="str">
        <f ca="1">IFERROR(__xludf.DUMMYFUNCTION("""COMPUTED_VALUE"""),"RF-00001312-PAR")</f>
        <v>RF-00001312-PAR</v>
      </c>
    </row>
    <row r="7668" spans="1:2" ht="12.5" x14ac:dyDescent="0.25">
      <c r="A7668" t="str">
        <f ca="1">IFERROR(__xludf.DUMMYFUNCTION("""COMPUTED_VALUE"""),"Salmonella Typhimurium U 302")</f>
        <v>Salmonella Typhimurium U 302</v>
      </c>
      <c r="B7668" t="str">
        <f ca="1">IFERROR(__xludf.DUMMYFUNCTION("""COMPUTED_VALUE"""),"RF-00002296-MCG")</f>
        <v>RF-00002296-MCG</v>
      </c>
    </row>
    <row r="7669" spans="1:2" ht="12.5" x14ac:dyDescent="0.25">
      <c r="A7669" t="str">
        <f ca="1">IFERROR(__xludf.DUMMYFUNCTION("""COMPUTED_VALUE"""),"Salmonella Typhimurium U 307")</f>
        <v>Salmonella Typhimurium U 307</v>
      </c>
      <c r="B7669" t="str">
        <f ca="1">IFERROR(__xludf.DUMMYFUNCTION("""COMPUTED_VALUE"""),"RF-00002306-MCG")</f>
        <v>RF-00002306-MCG</v>
      </c>
    </row>
    <row r="7670" spans="1:2" ht="12.5" x14ac:dyDescent="0.25">
      <c r="A7670" t="str">
        <f ca="1">IFERROR(__xludf.DUMMYFUNCTION("""COMPUTED_VALUE"""),"Salmonella Typhimurium U 308")</f>
        <v>Salmonella Typhimurium U 308</v>
      </c>
      <c r="B7670" t="str">
        <f ca="1">IFERROR(__xludf.DUMMYFUNCTION("""COMPUTED_VALUE"""),"RF-00002294-MCG")</f>
        <v>RF-00002294-MCG</v>
      </c>
    </row>
    <row r="7671" spans="1:2" ht="12.5" x14ac:dyDescent="0.25">
      <c r="A7671" t="str">
        <f ca="1">IFERROR(__xludf.DUMMYFUNCTION("""COMPUTED_VALUE"""),"Salmonella Typhimurium U 308b")</f>
        <v>Salmonella Typhimurium U 308b</v>
      </c>
      <c r="B7671" t="str">
        <f ca="1">IFERROR(__xludf.DUMMYFUNCTION("""COMPUTED_VALUE"""),"RF-00002293-MCG")</f>
        <v>RF-00002293-MCG</v>
      </c>
    </row>
    <row r="7672" spans="1:2" ht="12.5" x14ac:dyDescent="0.25">
      <c r="A7672" t="str">
        <f ca="1">IFERROR(__xludf.DUMMYFUNCTION("""COMPUTED_VALUE"""),"Salmonella Typhimurium U 309")</f>
        <v>Salmonella Typhimurium U 309</v>
      </c>
      <c r="B7672" t="str">
        <f ca="1">IFERROR(__xludf.DUMMYFUNCTION("""COMPUTED_VALUE"""),"RF-00002292-MCG")</f>
        <v>RF-00002292-MCG</v>
      </c>
    </row>
    <row r="7673" spans="1:2" ht="12.5" x14ac:dyDescent="0.25">
      <c r="A7673" t="str">
        <f ca="1">IFERROR(__xludf.DUMMYFUNCTION("""COMPUTED_VALUE"""),"Salmonella Typhimurium U 310")</f>
        <v>Salmonella Typhimurium U 310</v>
      </c>
      <c r="B7673" t="str">
        <f ca="1">IFERROR(__xludf.DUMMYFUNCTION("""COMPUTED_VALUE"""),"RF-00002295-MCG")</f>
        <v>RF-00002295-MCG</v>
      </c>
    </row>
    <row r="7674" spans="1:2" ht="12.5" x14ac:dyDescent="0.25">
      <c r="A7674" t="str">
        <f ca="1">IFERROR(__xludf.DUMMYFUNCTION("""COMPUTED_VALUE"""),"Salmonella Typhimurium U 311")</f>
        <v>Salmonella Typhimurium U 311</v>
      </c>
      <c r="B7674" t="str">
        <f ca="1">IFERROR(__xludf.DUMMYFUNCTION("""COMPUTED_VALUE"""),"RF-00002291-MCG")</f>
        <v>RF-00002291-MCG</v>
      </c>
    </row>
    <row r="7675" spans="1:2" ht="12.5" x14ac:dyDescent="0.25">
      <c r="A7675" t="str">
        <f ca="1">IFERROR(__xludf.DUMMYFUNCTION("""COMPUTED_VALUE"""),"Salmonella Typhimurium U 312")</f>
        <v>Salmonella Typhimurium U 312</v>
      </c>
      <c r="B7675" t="str">
        <f ca="1">IFERROR(__xludf.DUMMYFUNCTION("""COMPUTED_VALUE"""),"RF-00002284-MCG")</f>
        <v>RF-00002284-MCG</v>
      </c>
    </row>
    <row r="7676" spans="1:2" ht="12.5" x14ac:dyDescent="0.25">
      <c r="A7676" t="str">
        <f ca="1">IFERROR(__xludf.DUMMYFUNCTION("""COMPUTED_VALUE"""),"Salmonella Typhimurium U 313")</f>
        <v>Salmonella Typhimurium U 313</v>
      </c>
      <c r="B7676" t="str">
        <f ca="1">IFERROR(__xludf.DUMMYFUNCTION("""COMPUTED_VALUE"""),"RF-00002290-MCG")</f>
        <v>RF-00002290-MCG</v>
      </c>
    </row>
    <row r="7677" spans="1:2" ht="12.5" x14ac:dyDescent="0.25">
      <c r="A7677" t="str">
        <f ca="1">IFERROR(__xludf.DUMMYFUNCTION("""COMPUTED_VALUE"""),"Salmonella Typhimurium U 314")</f>
        <v>Salmonella Typhimurium U 314</v>
      </c>
      <c r="B7677" t="str">
        <f ca="1">IFERROR(__xludf.DUMMYFUNCTION("""COMPUTED_VALUE"""),"RF-00002289-MCG")</f>
        <v>RF-00002289-MCG</v>
      </c>
    </row>
    <row r="7678" spans="1:2" ht="12.5" x14ac:dyDescent="0.25">
      <c r="A7678" t="str">
        <f ca="1">IFERROR(__xludf.DUMMYFUNCTION("""COMPUTED_VALUE"""),"Salmonella Typhimurium var. Copenhagen")</f>
        <v>Salmonella Typhimurium var. Copenhagen</v>
      </c>
      <c r="B7678" t="str">
        <f ca="1">IFERROR(__xludf.DUMMYFUNCTION("""COMPUTED_VALUE"""),"RF-00000984-MCG")</f>
        <v>RF-00000984-MCG</v>
      </c>
    </row>
    <row r="7679" spans="1:2" ht="12.5" x14ac:dyDescent="0.25">
      <c r="A7679" t="str">
        <f ca="1">IFERROR(__xludf.DUMMYFUNCTION("""COMPUTED_VALUE"""),"Salmonella Typhisuis")</f>
        <v>Salmonella Typhisuis</v>
      </c>
      <c r="B7679" t="str">
        <f ca="1">IFERROR(__xludf.DUMMYFUNCTION("""COMPUTED_VALUE"""),"RF-00000997-MCG")</f>
        <v>RF-00000997-MCG</v>
      </c>
    </row>
    <row r="7680" spans="1:2" ht="12.5" x14ac:dyDescent="0.25">
      <c r="A7680" t="str">
        <f ca="1">IFERROR(__xludf.DUMMYFUNCTION("""COMPUTED_VALUE"""),"Salmonella Tyresoe")</f>
        <v>Salmonella Tyresoe</v>
      </c>
      <c r="B7680" t="str">
        <f ca="1">IFERROR(__xludf.DUMMYFUNCTION("""COMPUTED_VALUE"""),"RF-00000982-MCG")</f>
        <v>RF-00000982-MCG</v>
      </c>
    </row>
    <row r="7681" spans="1:2" ht="12.5" x14ac:dyDescent="0.25">
      <c r="A7681" t="str">
        <f ca="1">IFERROR(__xludf.DUMMYFUNCTION("""COMPUTED_VALUE"""),"Salmonella Uccle")</f>
        <v>Salmonella Uccle</v>
      </c>
      <c r="B7681" t="str">
        <f ca="1">IFERROR(__xludf.DUMMYFUNCTION("""COMPUTED_VALUE"""),"RF-00000981-MCG")</f>
        <v>RF-00000981-MCG</v>
      </c>
    </row>
    <row r="7682" spans="1:2" ht="12.5" x14ac:dyDescent="0.25">
      <c r="A7682" t="str">
        <f ca="1">IFERROR(__xludf.DUMMYFUNCTION("""COMPUTED_VALUE"""),"Salmonella Uganda")</f>
        <v>Salmonella Uganda</v>
      </c>
      <c r="B7682" t="str">
        <f ca="1">IFERROR(__xludf.DUMMYFUNCTION("""COMPUTED_VALUE"""),"RF-00000980-MCG")</f>
        <v>RF-00000980-MCG</v>
      </c>
    </row>
    <row r="7683" spans="1:2" ht="12.5" x14ac:dyDescent="0.25">
      <c r="A7683" t="str">
        <f ca="1">IFERROR(__xludf.DUMMYFUNCTION("""COMPUTED_VALUE"""),"Salmonella Uganda var. 15")</f>
        <v>Salmonella Uganda var. 15</v>
      </c>
      <c r="B7683" t="str">
        <f ca="1">IFERROR(__xludf.DUMMYFUNCTION("""COMPUTED_VALUE"""),"RF-00000979-MCG")</f>
        <v>RF-00000979-MCG</v>
      </c>
    </row>
    <row r="7684" spans="1:2" ht="12.5" x14ac:dyDescent="0.25">
      <c r="A7684" t="str">
        <f ca="1">IFERROR(__xludf.DUMMYFUNCTION("""COMPUTED_VALUE"""),"Salmonella Ughelli")</f>
        <v>Salmonella Ughelli</v>
      </c>
      <c r="B7684" t="str">
        <f ca="1">IFERROR(__xludf.DUMMYFUNCTION("""COMPUTED_VALUE"""),"RF-00000978-MCG")</f>
        <v>RF-00000978-MCG</v>
      </c>
    </row>
    <row r="7685" spans="1:2" ht="12.5" x14ac:dyDescent="0.25">
      <c r="A7685" t="str">
        <f ca="1">IFERROR(__xludf.DUMMYFUNCTION("""COMPUTED_VALUE"""),"Salmonella Uhlenhorst")</f>
        <v>Salmonella Uhlenhorst</v>
      </c>
      <c r="B7685" t="str">
        <f ca="1">IFERROR(__xludf.DUMMYFUNCTION("""COMPUTED_VALUE"""),"RF-00000977-MCG")</f>
        <v>RF-00000977-MCG</v>
      </c>
    </row>
    <row r="7686" spans="1:2" ht="12.5" x14ac:dyDescent="0.25">
      <c r="A7686" t="str">
        <f ca="1">IFERROR(__xludf.DUMMYFUNCTION("""COMPUTED_VALUE"""),"Salmonella Uithof")</f>
        <v>Salmonella Uithof</v>
      </c>
      <c r="B7686" t="str">
        <f ca="1">IFERROR(__xludf.DUMMYFUNCTION("""COMPUTED_VALUE"""),"RF-00000976-MCG")</f>
        <v>RF-00000976-MCG</v>
      </c>
    </row>
    <row r="7687" spans="1:2" ht="12.5" x14ac:dyDescent="0.25">
      <c r="A7687" t="str">
        <f ca="1">IFERROR(__xludf.DUMMYFUNCTION("""COMPUTED_VALUE"""),"Salmonella Ullevi")</f>
        <v>Salmonella Ullevi</v>
      </c>
      <c r="B7687" t="str">
        <f ca="1">IFERROR(__xludf.DUMMYFUNCTION("""COMPUTED_VALUE"""),"RF-00000975-MCG")</f>
        <v>RF-00000975-MCG</v>
      </c>
    </row>
    <row r="7688" spans="1:2" ht="12.5" x14ac:dyDescent="0.25">
      <c r="A7688" t="str">
        <f ca="1">IFERROR(__xludf.DUMMYFUNCTION("""COMPUTED_VALUE"""),"Salmonella Umbilo")</f>
        <v>Salmonella Umbilo</v>
      </c>
      <c r="B7688" t="str">
        <f ca="1">IFERROR(__xludf.DUMMYFUNCTION("""COMPUTED_VALUE"""),"RF-00000974-MCG")</f>
        <v>RF-00000974-MCG</v>
      </c>
    </row>
    <row r="7689" spans="1:2" ht="12.5" x14ac:dyDescent="0.25">
      <c r="A7689" t="str">
        <f ca="1">IFERROR(__xludf.DUMMYFUNCTION("""COMPUTED_VALUE"""),"Salmonella Umhlali")</f>
        <v>Salmonella Umhlali</v>
      </c>
      <c r="B7689" t="str">
        <f ca="1">IFERROR(__xludf.DUMMYFUNCTION("""COMPUTED_VALUE"""),"RF-00000973-MCG")</f>
        <v>RF-00000973-MCG</v>
      </c>
    </row>
    <row r="7690" spans="1:2" ht="12.5" x14ac:dyDescent="0.25">
      <c r="A7690" t="str">
        <f ca="1">IFERROR(__xludf.DUMMYFUNCTION("""COMPUTED_VALUE"""),"Salmonella Umhlatazana")</f>
        <v>Salmonella Umhlatazana</v>
      </c>
      <c r="B7690" t="str">
        <f ca="1">IFERROR(__xludf.DUMMYFUNCTION("""COMPUTED_VALUE"""),"RF-00001010-MCG")</f>
        <v>RF-00001010-MCG</v>
      </c>
    </row>
    <row r="7691" spans="1:2" ht="12.5" x14ac:dyDescent="0.25">
      <c r="A7691" t="str">
        <f ca="1">IFERROR(__xludf.DUMMYFUNCTION("""COMPUTED_VALUE"""),"Salmonella Uno")</f>
        <v>Salmonella Uno</v>
      </c>
      <c r="B7691" t="str">
        <f ca="1">IFERROR(__xludf.DUMMYFUNCTION("""COMPUTED_VALUE"""),"RF-00000983-MCG")</f>
        <v>RF-00000983-MCG</v>
      </c>
    </row>
    <row r="7692" spans="1:2" ht="12.5" x14ac:dyDescent="0.25">
      <c r="A7692" t="str">
        <f ca="1">IFERROR(__xludf.DUMMYFUNCTION("""COMPUTED_VALUE"""),"Salmonella Uppsala")</f>
        <v>Salmonella Uppsala</v>
      </c>
      <c r="B7692" t="str">
        <f ca="1">IFERROR(__xludf.DUMMYFUNCTION("""COMPUTED_VALUE"""),"RF-00000985-MCG")</f>
        <v>RF-00000985-MCG</v>
      </c>
    </row>
    <row r="7693" spans="1:2" ht="12.5" x14ac:dyDescent="0.25">
      <c r="A7693" t="str">
        <f ca="1">IFERROR(__xludf.DUMMYFUNCTION("""COMPUTED_VALUE"""),"Salmonella Urbana")</f>
        <v>Salmonella Urbana</v>
      </c>
      <c r="B7693" t="str">
        <f ca="1">IFERROR(__xludf.DUMMYFUNCTION("""COMPUTED_VALUE"""),"RF-00001023-MCG")</f>
        <v>RF-00001023-MCG</v>
      </c>
    </row>
    <row r="7694" spans="1:2" ht="12.5" x14ac:dyDescent="0.25">
      <c r="A7694" t="str">
        <f ca="1">IFERROR(__xludf.DUMMYFUNCTION("""COMPUTED_VALUE"""),"Salmonella Ursenbach")</f>
        <v>Salmonella Ursenbach</v>
      </c>
      <c r="B7694" t="str">
        <f ca="1">IFERROR(__xludf.DUMMYFUNCTION("""COMPUTED_VALUE"""),"RF-00001022-MCG")</f>
        <v>RF-00001022-MCG</v>
      </c>
    </row>
    <row r="7695" spans="1:2" ht="12.5" x14ac:dyDescent="0.25">
      <c r="A7695" t="str">
        <f ca="1">IFERROR(__xludf.DUMMYFUNCTION("""COMPUTED_VALUE"""),"Salmonella Usumbura")</f>
        <v>Salmonella Usumbura</v>
      </c>
      <c r="B7695" t="str">
        <f ca="1">IFERROR(__xludf.DUMMYFUNCTION("""COMPUTED_VALUE"""),"RF-00001021-MCG")</f>
        <v>RF-00001021-MCG</v>
      </c>
    </row>
    <row r="7696" spans="1:2" ht="12.5" x14ac:dyDescent="0.25">
      <c r="A7696" t="str">
        <f ca="1">IFERROR(__xludf.DUMMYFUNCTION("""COMPUTED_VALUE"""),"Salmonella Utah")</f>
        <v>Salmonella Utah</v>
      </c>
      <c r="B7696" t="str">
        <f ca="1">IFERROR(__xludf.DUMMYFUNCTION("""COMPUTED_VALUE"""),"RF-00001020-MCG")</f>
        <v>RF-00001020-MCG</v>
      </c>
    </row>
    <row r="7697" spans="1:2" ht="12.5" x14ac:dyDescent="0.25">
      <c r="A7697" t="str">
        <f ca="1">IFERROR(__xludf.DUMMYFUNCTION("""COMPUTED_VALUE"""),"Salmonella Utrecht")</f>
        <v>Salmonella Utrecht</v>
      </c>
      <c r="B7697" t="str">
        <f ca="1">IFERROR(__xludf.DUMMYFUNCTION("""COMPUTED_VALUE"""),"RF-00001019-MCG")</f>
        <v>RF-00001019-MCG</v>
      </c>
    </row>
    <row r="7698" spans="1:2" ht="12.5" x14ac:dyDescent="0.25">
      <c r="A7698" t="str">
        <f ca="1">IFERROR(__xludf.DUMMYFUNCTION("""COMPUTED_VALUE"""),"Salmonella Uzaramo")</f>
        <v>Salmonella Uzaramo</v>
      </c>
      <c r="B7698" t="str">
        <f ca="1">IFERROR(__xludf.DUMMYFUNCTION("""COMPUTED_VALUE"""),"RF-00001018-MCG")</f>
        <v>RF-00001018-MCG</v>
      </c>
    </row>
    <row r="7699" spans="1:2" ht="12.5" x14ac:dyDescent="0.25">
      <c r="A7699" t="str">
        <f ca="1">IFERROR(__xludf.DUMMYFUNCTION("""COMPUTED_VALUE"""),"Salmonella V 44:r:-")</f>
        <v>Salmonella V 44:r:-</v>
      </c>
      <c r="B7699" t="str">
        <f ca="1">IFERROR(__xludf.DUMMYFUNCTION("""COMPUTED_VALUE"""),"RF-00001017-MCG")</f>
        <v>RF-00001017-MCG</v>
      </c>
    </row>
    <row r="7700" spans="1:2" ht="12.5" x14ac:dyDescent="0.25">
      <c r="A7700" t="str">
        <f ca="1">IFERROR(__xludf.DUMMYFUNCTION("""COMPUTED_VALUE"""),"Salmonella V 48:z35:-")</f>
        <v>Salmonella V 48:z35:-</v>
      </c>
      <c r="B7700" t="str">
        <f ca="1">IFERROR(__xludf.DUMMYFUNCTION("""COMPUTED_VALUE"""),"RF-00001016-MCG")</f>
        <v>RF-00001016-MCG</v>
      </c>
    </row>
    <row r="7701" spans="1:2" ht="12.5" x14ac:dyDescent="0.25">
      <c r="A7701" t="str">
        <f ca="1">IFERROR(__xludf.DUMMYFUNCTION("""COMPUTED_VALUE"""),"Salmonella V 48:z41:-")</f>
        <v>Salmonella V 48:z41:-</v>
      </c>
      <c r="B7701" t="str">
        <f ca="1">IFERROR(__xludf.DUMMYFUNCTION("""COMPUTED_VALUE"""),"RF-00001015-MCG")</f>
        <v>RF-00001015-MCG</v>
      </c>
    </row>
    <row r="7702" spans="1:2" ht="12.5" x14ac:dyDescent="0.25">
      <c r="A7702" t="str">
        <f ca="1">IFERROR(__xludf.DUMMYFUNCTION("""COMPUTED_VALUE"""),"Salmonella V 66:z35:-")</f>
        <v>Salmonella V 66:z35:-</v>
      </c>
      <c r="B7702" t="str">
        <f ca="1">IFERROR(__xludf.DUMMYFUNCTION("""COMPUTED_VALUE"""),"RF-00001014-MCG")</f>
        <v>RF-00001014-MCG</v>
      </c>
    </row>
    <row r="7703" spans="1:2" ht="12.5" x14ac:dyDescent="0.25">
      <c r="A7703" t="str">
        <f ca="1">IFERROR(__xludf.DUMMYFUNCTION("""COMPUTED_VALUE"""),"Salmonella V 66:z41:-")</f>
        <v>Salmonella V 66:z41:-</v>
      </c>
      <c r="B7703" t="str">
        <f ca="1">IFERROR(__xludf.DUMMYFUNCTION("""COMPUTED_VALUE"""),"RF-00001013-MCG")</f>
        <v>RF-00001013-MCG</v>
      </c>
    </row>
    <row r="7704" spans="1:2" ht="12.5" x14ac:dyDescent="0.25">
      <c r="A7704" t="str">
        <f ca="1">IFERROR(__xludf.DUMMYFUNCTION("""COMPUTED_VALUE"""),"Salmonella V 66:z65:-")</f>
        <v>Salmonella V 66:z65:-</v>
      </c>
      <c r="B7704" t="str">
        <f ca="1">IFERROR(__xludf.DUMMYFUNCTION("""COMPUTED_VALUE"""),"RF-00000998-MCG")</f>
        <v>RF-00000998-MCG</v>
      </c>
    </row>
    <row r="7705" spans="1:2" ht="12.5" x14ac:dyDescent="0.25">
      <c r="A7705" t="str">
        <f ca="1">IFERROR(__xludf.DUMMYFUNCTION("""COMPUTED_VALUE"""),"Salmonella Vaertan")</f>
        <v>Salmonella Vaertan</v>
      </c>
      <c r="B7705" t="str">
        <f ca="1">IFERROR(__xludf.DUMMYFUNCTION("""COMPUTED_VALUE"""),"RF-00001011-MCG")</f>
        <v>RF-00001011-MCG</v>
      </c>
    </row>
    <row r="7706" spans="1:2" ht="12.5" x14ac:dyDescent="0.25">
      <c r="A7706" t="str">
        <f ca="1">IFERROR(__xludf.DUMMYFUNCTION("""COMPUTED_VALUE"""),"Salmonella Valdosta")</f>
        <v>Salmonella Valdosta</v>
      </c>
      <c r="B7706" t="str">
        <f ca="1">IFERROR(__xludf.DUMMYFUNCTION("""COMPUTED_VALUE"""),"RF-00001024-MCG")</f>
        <v>RF-00001024-MCG</v>
      </c>
    </row>
    <row r="7707" spans="1:2" ht="12.5" x14ac:dyDescent="0.25">
      <c r="A7707" t="str">
        <f ca="1">IFERROR(__xludf.DUMMYFUNCTION("""COMPUTED_VALUE"""),"Salmonella Vancouver")</f>
        <v>Salmonella Vancouver</v>
      </c>
      <c r="B7707" t="str">
        <f ca="1">IFERROR(__xludf.DUMMYFUNCTION("""COMPUTED_VALUE"""),"RF-00001009-MCG")</f>
        <v>RF-00001009-MCG</v>
      </c>
    </row>
    <row r="7708" spans="1:2" ht="12.5" x14ac:dyDescent="0.25">
      <c r="A7708" t="str">
        <f ca="1">IFERROR(__xludf.DUMMYFUNCTION("""COMPUTED_VALUE"""),"Salmonella Vanier")</f>
        <v>Salmonella Vanier</v>
      </c>
      <c r="B7708" t="str">
        <f ca="1">IFERROR(__xludf.DUMMYFUNCTION("""COMPUTED_VALUE"""),"RF-00001008-MCG")</f>
        <v>RF-00001008-MCG</v>
      </c>
    </row>
    <row r="7709" spans="1:2" ht="12.5" x14ac:dyDescent="0.25">
      <c r="A7709" t="str">
        <f ca="1">IFERROR(__xludf.DUMMYFUNCTION("""COMPUTED_VALUE"""),"Salmonella Vaugirard")</f>
        <v>Salmonella Vaugirard</v>
      </c>
      <c r="B7709" t="str">
        <f ca="1">IFERROR(__xludf.DUMMYFUNCTION("""COMPUTED_VALUE"""),"RF-00001007-MCG")</f>
        <v>RF-00001007-MCG</v>
      </c>
    </row>
    <row r="7710" spans="1:2" ht="12.5" x14ac:dyDescent="0.25">
      <c r="A7710" t="str">
        <f ca="1">IFERROR(__xludf.DUMMYFUNCTION("""COMPUTED_VALUE"""),"Salmonella Vegesack")</f>
        <v>Salmonella Vegesack</v>
      </c>
      <c r="B7710" t="str">
        <f ca="1">IFERROR(__xludf.DUMMYFUNCTION("""COMPUTED_VALUE"""),"RF-00001006-MCG")</f>
        <v>RF-00001006-MCG</v>
      </c>
    </row>
    <row r="7711" spans="1:2" ht="12.5" x14ac:dyDescent="0.25">
      <c r="A7711" t="str">
        <f ca="1">IFERROR(__xludf.DUMMYFUNCTION("""COMPUTED_VALUE"""),"Salmonella Vejle")</f>
        <v>Salmonella Vejle</v>
      </c>
      <c r="B7711" t="str">
        <f ca="1">IFERROR(__xludf.DUMMYFUNCTION("""COMPUTED_VALUE"""),"RF-00001005-MCG")</f>
        <v>RF-00001005-MCG</v>
      </c>
    </row>
    <row r="7712" spans="1:2" ht="12.5" x14ac:dyDescent="0.25">
      <c r="A7712" t="str">
        <f ca="1">IFERROR(__xludf.DUMMYFUNCTION("""COMPUTED_VALUE"""),"Salmonella Vejle var. 15")</f>
        <v>Salmonella Vejle var. 15</v>
      </c>
      <c r="B7712" t="str">
        <f ca="1">IFERROR(__xludf.DUMMYFUNCTION("""COMPUTED_VALUE"""),"RF-00001004-MCG")</f>
        <v>RF-00001004-MCG</v>
      </c>
    </row>
    <row r="7713" spans="1:2" ht="12.5" x14ac:dyDescent="0.25">
      <c r="A7713" t="str">
        <f ca="1">IFERROR(__xludf.DUMMYFUNCTION("""COMPUTED_VALUE"""),"Salmonella Vellore")</f>
        <v>Salmonella Vellore</v>
      </c>
      <c r="B7713" t="str">
        <f ca="1">IFERROR(__xludf.DUMMYFUNCTION("""COMPUTED_VALUE"""),"RF-00001003-MCG")</f>
        <v>RF-00001003-MCG</v>
      </c>
    </row>
    <row r="7714" spans="1:2" ht="12.5" x14ac:dyDescent="0.25">
      <c r="A7714" t="str">
        <f ca="1">IFERROR(__xludf.DUMMYFUNCTION("""COMPUTED_VALUE"""),"Salmonella Veneziana")</f>
        <v>Salmonella Veneziana</v>
      </c>
      <c r="B7714" t="str">
        <f ca="1">IFERROR(__xludf.DUMMYFUNCTION("""COMPUTED_VALUE"""),"RF-00001002-MCG")</f>
        <v>RF-00001002-MCG</v>
      </c>
    </row>
    <row r="7715" spans="1:2" ht="12.5" x14ac:dyDescent="0.25">
      <c r="A7715" t="str">
        <f ca="1">IFERROR(__xludf.DUMMYFUNCTION("""COMPUTED_VALUE"""),"Salmonella Verona")</f>
        <v>Salmonella Verona</v>
      </c>
      <c r="B7715" t="str">
        <f ca="1">IFERROR(__xludf.DUMMYFUNCTION("""COMPUTED_VALUE"""),"RF-00001001-MCG")</f>
        <v>RF-00001001-MCG</v>
      </c>
    </row>
    <row r="7716" spans="1:2" ht="12.5" x14ac:dyDescent="0.25">
      <c r="A7716" t="str">
        <f ca="1">IFERROR(__xludf.DUMMYFUNCTION("""COMPUTED_VALUE"""),"Salmonella Verviers")</f>
        <v>Salmonella Verviers</v>
      </c>
      <c r="B7716" t="str">
        <f ca="1">IFERROR(__xludf.DUMMYFUNCTION("""COMPUTED_VALUE"""),"RF-00001000-MCG")</f>
        <v>RF-00001000-MCG</v>
      </c>
    </row>
    <row r="7717" spans="1:2" ht="12.5" x14ac:dyDescent="0.25">
      <c r="A7717" t="str">
        <f ca="1">IFERROR(__xludf.DUMMYFUNCTION("""COMPUTED_VALUE"""),"Salmonella VI 1,6,14,25:a:e,n,x")</f>
        <v>Salmonella VI 1,6,14,25:a:e,n,x</v>
      </c>
      <c r="B7717" t="str">
        <f ca="1">IFERROR(__xludf.DUMMYFUNCTION("""COMPUTED_VALUE"""),"RF-00000999-MCG")</f>
        <v>RF-00000999-MCG</v>
      </c>
    </row>
    <row r="7718" spans="1:2" ht="12.5" x14ac:dyDescent="0.25">
      <c r="A7718" t="str">
        <f ca="1">IFERROR(__xludf.DUMMYFUNCTION("""COMPUTED_VALUE"""),"Salmonella VI 11:b:1,7")</f>
        <v>Salmonella VI 11:b:1,7</v>
      </c>
      <c r="B7718" t="str">
        <f ca="1">IFERROR(__xludf.DUMMYFUNCTION("""COMPUTED_VALUE"""),"RF-00001080-MCG")</f>
        <v>RF-00001080-MCG</v>
      </c>
    </row>
    <row r="7719" spans="1:2" ht="12.5" x14ac:dyDescent="0.25">
      <c r="A7719" t="str">
        <f ca="1">IFERROR(__xludf.DUMMYFUNCTION("""COMPUTED_VALUE"""),"Salmonella VI 11:b:e,n,x")</f>
        <v>Salmonella VI 11:b:e,n,x</v>
      </c>
      <c r="B7719" t="str">
        <f ca="1">IFERROR(__xludf.DUMMYFUNCTION("""COMPUTED_VALUE"""),"RF-00001161-MCG")</f>
        <v>RF-00001161-MCG</v>
      </c>
    </row>
    <row r="7720" spans="1:2" ht="12.5" x14ac:dyDescent="0.25">
      <c r="A7720" t="str">
        <f ca="1">IFERROR(__xludf.DUMMYFUNCTION("""COMPUTED_VALUE"""),"Salmonella VI 45:a:e,n,x")</f>
        <v>Salmonella VI 45:a:e,n,x</v>
      </c>
      <c r="B7720" t="str">
        <f ca="1">IFERROR(__xludf.DUMMYFUNCTION("""COMPUTED_VALUE"""),"RF-00001066-MCG")</f>
        <v>RF-00001066-MCG</v>
      </c>
    </row>
    <row r="7721" spans="1:2" ht="12.5" x14ac:dyDescent="0.25">
      <c r="A7721" t="str">
        <f ca="1">IFERROR(__xludf.DUMMYFUNCTION("""COMPUTED_VALUE"""),"Salmonella Victoria")</f>
        <v>Salmonella Victoria</v>
      </c>
      <c r="B7721" t="str">
        <f ca="1">IFERROR(__xludf.DUMMYFUNCTION("""COMPUTED_VALUE"""),"RF-00001157-MCG")</f>
        <v>RF-00001157-MCG</v>
      </c>
    </row>
    <row r="7722" spans="1:2" ht="12.5" x14ac:dyDescent="0.25">
      <c r="A7722" t="str">
        <f ca="1">IFERROR(__xludf.DUMMYFUNCTION("""COMPUTED_VALUE"""),"Salmonella Victoriaborg")</f>
        <v>Salmonella Victoriaborg</v>
      </c>
      <c r="B7722" t="str">
        <f ca="1">IFERROR(__xludf.DUMMYFUNCTION("""COMPUTED_VALUE"""),"RF-00001156-MCG")</f>
        <v>RF-00001156-MCG</v>
      </c>
    </row>
    <row r="7723" spans="1:2" ht="12.5" x14ac:dyDescent="0.25">
      <c r="A7723" t="str">
        <f ca="1">IFERROR(__xludf.DUMMYFUNCTION("""COMPUTED_VALUE"""),"Salmonella Vietnam")</f>
        <v>Salmonella Vietnam</v>
      </c>
      <c r="B7723" t="str">
        <f ca="1">IFERROR(__xludf.DUMMYFUNCTION("""COMPUTED_VALUE"""),"RF-00001155-MCG")</f>
        <v>RF-00001155-MCG</v>
      </c>
    </row>
    <row r="7724" spans="1:2" ht="12.5" x14ac:dyDescent="0.25">
      <c r="A7724" t="str">
        <f ca="1">IFERROR(__xludf.DUMMYFUNCTION("""COMPUTED_VALUE"""),"Salmonella Vilvoorde")</f>
        <v>Salmonella Vilvoorde</v>
      </c>
      <c r="B7724" t="str">
        <f ca="1">IFERROR(__xludf.DUMMYFUNCTION("""COMPUTED_VALUE"""),"RF-00001154-MCG")</f>
        <v>RF-00001154-MCG</v>
      </c>
    </row>
    <row r="7725" spans="1:2" ht="12.5" x14ac:dyDescent="0.25">
      <c r="A7725" t="str">
        <f ca="1">IFERROR(__xludf.DUMMYFUNCTION("""COMPUTED_VALUE"""),"Salmonella Vinohrady")</f>
        <v>Salmonella Vinohrady</v>
      </c>
      <c r="B7725" t="str">
        <f ca="1">IFERROR(__xludf.DUMMYFUNCTION("""COMPUTED_VALUE"""),"RF-00001153-MCG")</f>
        <v>RF-00001153-MCG</v>
      </c>
    </row>
    <row r="7726" spans="1:2" ht="12.5" x14ac:dyDescent="0.25">
      <c r="A7726" t="str">
        <f ca="1">IFERROR(__xludf.DUMMYFUNCTION("""COMPUTED_VALUE"""),"Salmonella Virchow")</f>
        <v>Salmonella Virchow</v>
      </c>
      <c r="B7726" t="str">
        <f ca="1">IFERROR(__xludf.DUMMYFUNCTION("""COMPUTED_VALUE"""),"RF-00001152-MCG")</f>
        <v>RF-00001152-MCG</v>
      </c>
    </row>
    <row r="7727" spans="1:2" ht="12.5" x14ac:dyDescent="0.25">
      <c r="A7727" t="str">
        <f ca="1">IFERROR(__xludf.DUMMYFUNCTION("""COMPUTED_VALUE"""),"Salmonella Virginia")</f>
        <v>Salmonella Virginia</v>
      </c>
      <c r="B7727" t="str">
        <f ca="1">IFERROR(__xludf.DUMMYFUNCTION("""COMPUTED_VALUE"""),"RF-00001151-MCG")</f>
        <v>RF-00001151-MCG</v>
      </c>
    </row>
    <row r="7728" spans="1:2" ht="12.5" x14ac:dyDescent="0.25">
      <c r="A7728" t="str">
        <f ca="1">IFERROR(__xludf.DUMMYFUNCTION("""COMPUTED_VALUE"""),"Salmonella Visby")</f>
        <v>Salmonella Visby</v>
      </c>
      <c r="B7728" t="str">
        <f ca="1">IFERROR(__xludf.DUMMYFUNCTION("""COMPUTED_VALUE"""),"RF-00001150-MCG")</f>
        <v>RF-00001150-MCG</v>
      </c>
    </row>
    <row r="7729" spans="1:2" ht="12.5" x14ac:dyDescent="0.25">
      <c r="A7729" t="str">
        <f ca="1">IFERROR(__xludf.DUMMYFUNCTION("""COMPUTED_VALUE"""),"Salmonella Vitkin")</f>
        <v>Salmonella Vitkin</v>
      </c>
      <c r="B7729" t="str">
        <f ca="1">IFERROR(__xludf.DUMMYFUNCTION("""COMPUTED_VALUE"""),"RF-00001149-MCG")</f>
        <v>RF-00001149-MCG</v>
      </c>
    </row>
    <row r="7730" spans="1:2" ht="12.5" x14ac:dyDescent="0.25">
      <c r="A7730" t="str">
        <f ca="1">IFERROR(__xludf.DUMMYFUNCTION("""COMPUTED_VALUE"""),"Salmonella Vleuten")</f>
        <v>Salmonella Vleuten</v>
      </c>
      <c r="B7730" t="str">
        <f ca="1">IFERROR(__xludf.DUMMYFUNCTION("""COMPUTED_VALUE"""),"RF-00001148-MCG")</f>
        <v>RF-00001148-MCG</v>
      </c>
    </row>
    <row r="7731" spans="1:2" ht="12.5" x14ac:dyDescent="0.25">
      <c r="A7731" t="str">
        <f ca="1">IFERROR(__xludf.DUMMYFUNCTION("""COMPUTED_VALUE"""),"Salmonella Vogan")</f>
        <v>Salmonella Vogan</v>
      </c>
      <c r="B7731" t="str">
        <f ca="1">IFERROR(__xludf.DUMMYFUNCTION("""COMPUTED_VALUE"""),"RF-00001133-MCG")</f>
        <v>RF-00001133-MCG</v>
      </c>
    </row>
    <row r="7732" spans="1:2" ht="12.5" x14ac:dyDescent="0.25">
      <c r="A7732" t="str">
        <f ca="1">IFERROR(__xludf.DUMMYFUNCTION("""COMPUTED_VALUE"""),"Salmonella Volkmarsdorf")</f>
        <v>Salmonella Volkmarsdorf</v>
      </c>
      <c r="B7732" t="str">
        <f ca="1">IFERROR(__xludf.DUMMYFUNCTION("""COMPUTED_VALUE"""),"RF-00001146-MCG")</f>
        <v>RF-00001146-MCG</v>
      </c>
    </row>
    <row r="7733" spans="1:2" ht="12.5" x14ac:dyDescent="0.25">
      <c r="A7733" t="str">
        <f ca="1">IFERROR(__xludf.DUMMYFUNCTION("""COMPUTED_VALUE"""),"Salmonella Volta")</f>
        <v>Salmonella Volta</v>
      </c>
      <c r="B7733" t="str">
        <f ca="1">IFERROR(__xludf.DUMMYFUNCTION("""COMPUTED_VALUE"""),"RF-00001159-MCG")</f>
        <v>RF-00001159-MCG</v>
      </c>
    </row>
    <row r="7734" spans="1:2" ht="12.5" x14ac:dyDescent="0.25">
      <c r="A7734" t="str">
        <f ca="1">IFERROR(__xludf.DUMMYFUNCTION("""COMPUTED_VALUE"""),"Salmonella Vom")</f>
        <v>Salmonella Vom</v>
      </c>
      <c r="B7734" t="str">
        <f ca="1">IFERROR(__xludf.DUMMYFUNCTION("""COMPUTED_VALUE"""),"RF-00001144-MCG")</f>
        <v>RF-00001144-MCG</v>
      </c>
    </row>
    <row r="7735" spans="1:2" ht="12.5" x14ac:dyDescent="0.25">
      <c r="A7735" t="str">
        <f ca="1">IFERROR(__xludf.DUMMYFUNCTION("""COMPUTED_VALUE"""),"Salmonella Voulte")</f>
        <v>Salmonella Voulte</v>
      </c>
      <c r="B7735" t="str">
        <f ca="1">IFERROR(__xludf.DUMMYFUNCTION("""COMPUTED_VALUE"""),"RF-00001143-MCG")</f>
        <v>RF-00001143-MCG</v>
      </c>
    </row>
    <row r="7736" spans="1:2" ht="12.5" x14ac:dyDescent="0.25">
      <c r="A7736" t="str">
        <f ca="1">IFERROR(__xludf.DUMMYFUNCTION("""COMPUTED_VALUE"""),"Salmonella Vridi")</f>
        <v>Salmonella Vridi</v>
      </c>
      <c r="B7736" t="str">
        <f ca="1">IFERROR(__xludf.DUMMYFUNCTION("""COMPUTED_VALUE"""),"RF-00001142-MCG")</f>
        <v>RF-00001142-MCG</v>
      </c>
    </row>
    <row r="7737" spans="1:2" ht="12.5" x14ac:dyDescent="0.25">
      <c r="A7737" t="str">
        <f ca="1">IFERROR(__xludf.DUMMYFUNCTION("""COMPUTED_VALUE"""),"Salmonella Vuadens")</f>
        <v>Salmonella Vuadens</v>
      </c>
      <c r="B7737" t="str">
        <f ca="1">IFERROR(__xludf.DUMMYFUNCTION("""COMPUTED_VALUE"""),"RF-00001141-MCG")</f>
        <v>RF-00001141-MCG</v>
      </c>
    </row>
    <row r="7738" spans="1:2" ht="12.5" x14ac:dyDescent="0.25">
      <c r="A7738" t="str">
        <f ca="1">IFERROR(__xludf.DUMMYFUNCTION("""COMPUTED_VALUE"""),"Salmonella Wa")</f>
        <v>Salmonella Wa</v>
      </c>
      <c r="B7738" t="str">
        <f ca="1">IFERROR(__xludf.DUMMYFUNCTION("""COMPUTED_VALUE"""),"RF-00001140-MCG")</f>
        <v>RF-00001140-MCG</v>
      </c>
    </row>
    <row r="7739" spans="1:2" ht="12.5" x14ac:dyDescent="0.25">
      <c r="A7739" t="str">
        <f ca="1">IFERROR(__xludf.DUMMYFUNCTION("""COMPUTED_VALUE"""),"Salmonella Waedenswil")</f>
        <v>Salmonella Waedenswil</v>
      </c>
      <c r="B7739" t="str">
        <f ca="1">IFERROR(__xludf.DUMMYFUNCTION("""COMPUTED_VALUE"""),"RF-00001139-MCG")</f>
        <v>RF-00001139-MCG</v>
      </c>
    </row>
    <row r="7740" spans="1:2" ht="12.5" x14ac:dyDescent="0.25">
      <c r="A7740" t="str">
        <f ca="1">IFERROR(__xludf.DUMMYFUNCTION("""COMPUTED_VALUE"""),"Salmonella Wagadugu")</f>
        <v>Salmonella Wagadugu</v>
      </c>
      <c r="B7740" t="str">
        <f ca="1">IFERROR(__xludf.DUMMYFUNCTION("""COMPUTED_VALUE"""),"RF-00001138-MCG")</f>
        <v>RF-00001138-MCG</v>
      </c>
    </row>
    <row r="7741" spans="1:2" ht="12.5" x14ac:dyDescent="0.25">
      <c r="A7741" t="str">
        <f ca="1">IFERROR(__xludf.DUMMYFUNCTION("""COMPUTED_VALUE"""),"Salmonella Wagenia")</f>
        <v>Salmonella Wagenia</v>
      </c>
      <c r="B7741" t="str">
        <f ca="1">IFERROR(__xludf.DUMMYFUNCTION("""COMPUTED_VALUE"""),"RF-00001137-MCG")</f>
        <v>RF-00001137-MCG</v>
      </c>
    </row>
    <row r="7742" spans="1:2" ht="12.5" x14ac:dyDescent="0.25">
      <c r="A7742" t="str">
        <f ca="1">IFERROR(__xludf.DUMMYFUNCTION("""COMPUTED_VALUE"""),"Salmonella Wandsworth")</f>
        <v>Salmonella Wandsworth</v>
      </c>
      <c r="B7742" t="str">
        <f ca="1">IFERROR(__xludf.DUMMYFUNCTION("""COMPUTED_VALUE"""),"RF-00001136-MCG")</f>
        <v>RF-00001136-MCG</v>
      </c>
    </row>
    <row r="7743" spans="1:2" ht="12.5" x14ac:dyDescent="0.25">
      <c r="A7743" t="str">
        <f ca="1">IFERROR(__xludf.DUMMYFUNCTION("""COMPUTED_VALUE"""),"Salmonella Wangata")</f>
        <v>Salmonella Wangata</v>
      </c>
      <c r="B7743" t="str">
        <f ca="1">IFERROR(__xludf.DUMMYFUNCTION("""COMPUTED_VALUE"""),"RF-00001135-MCG")</f>
        <v>RF-00001135-MCG</v>
      </c>
    </row>
    <row r="7744" spans="1:2" ht="12.5" x14ac:dyDescent="0.25">
      <c r="A7744" t="str">
        <f ca="1">IFERROR(__xludf.DUMMYFUNCTION("""COMPUTED_VALUE"""),"Salmonella Waral")</f>
        <v>Salmonella Waral</v>
      </c>
      <c r="B7744" t="str">
        <f ca="1">IFERROR(__xludf.DUMMYFUNCTION("""COMPUTED_VALUE"""),"RF-00001134-MCG")</f>
        <v>RF-00001134-MCG</v>
      </c>
    </row>
    <row r="7745" spans="1:2" ht="12.5" x14ac:dyDescent="0.25">
      <c r="A7745" t="str">
        <f ca="1">IFERROR(__xludf.DUMMYFUNCTION("""COMPUTED_VALUE"""),"Salmonella Warengo")</f>
        <v>Salmonella Warengo</v>
      </c>
      <c r="B7745" t="str">
        <f ca="1">IFERROR(__xludf.DUMMYFUNCTION("""COMPUTED_VALUE"""),"RF-00001172-MCG")</f>
        <v>RF-00001172-MCG</v>
      </c>
    </row>
    <row r="7746" spans="1:2" ht="12.5" x14ac:dyDescent="0.25">
      <c r="A7746" t="str">
        <f ca="1">IFERROR(__xludf.DUMMYFUNCTION("""COMPUTED_VALUE"""),"Salmonella Warmsen")</f>
        <v>Salmonella Warmsen</v>
      </c>
      <c r="B7746" t="str">
        <f ca="1">IFERROR(__xludf.DUMMYFUNCTION("""COMPUTED_VALUE"""),"RF-00001174-MCG")</f>
        <v>RF-00001174-MCG</v>
      </c>
    </row>
    <row r="7747" spans="1:2" ht="12.5" x14ac:dyDescent="0.25">
      <c r="A7747" t="str">
        <f ca="1">IFERROR(__xludf.DUMMYFUNCTION("""COMPUTED_VALUE"""),"Salmonella Warnemuende")</f>
        <v>Salmonella Warnemuende</v>
      </c>
      <c r="B7747" t="str">
        <f ca="1">IFERROR(__xludf.DUMMYFUNCTION("""COMPUTED_VALUE"""),"RF-00001147-MCG")</f>
        <v>RF-00001147-MCG</v>
      </c>
    </row>
    <row r="7748" spans="1:2" ht="12.5" x14ac:dyDescent="0.25">
      <c r="A7748" t="str">
        <f ca="1">IFERROR(__xludf.DUMMYFUNCTION("""COMPUTED_VALUE"""),"Salmonella Warnow")</f>
        <v>Salmonella Warnow</v>
      </c>
      <c r="B7748" t="str">
        <f ca="1">IFERROR(__xludf.DUMMYFUNCTION("""COMPUTED_VALUE"""),"RF-00001185-MCG")</f>
        <v>RF-00001185-MCG</v>
      </c>
    </row>
    <row r="7749" spans="1:2" ht="12.5" x14ac:dyDescent="0.25">
      <c r="A7749" t="str">
        <f ca="1">IFERROR(__xludf.DUMMYFUNCTION("""COMPUTED_VALUE"""),"Salmonella Warragul")</f>
        <v>Salmonella Warragul</v>
      </c>
      <c r="B7749" t="str">
        <f ca="1">IFERROR(__xludf.DUMMYFUNCTION("""COMPUTED_VALUE"""),"RF-00001184-MCG")</f>
        <v>RF-00001184-MCG</v>
      </c>
    </row>
    <row r="7750" spans="1:2" ht="12.5" x14ac:dyDescent="0.25">
      <c r="A7750" t="str">
        <f ca="1">IFERROR(__xludf.DUMMYFUNCTION("""COMPUTED_VALUE"""),"Salmonella Warri")</f>
        <v>Salmonella Warri</v>
      </c>
      <c r="B7750" t="str">
        <f ca="1">IFERROR(__xludf.DUMMYFUNCTION("""COMPUTED_VALUE"""),"RF-00001183-MCG")</f>
        <v>RF-00001183-MCG</v>
      </c>
    </row>
    <row r="7751" spans="1:2" ht="12.5" x14ac:dyDescent="0.25">
      <c r="A7751" t="str">
        <f ca="1">IFERROR(__xludf.DUMMYFUNCTION("""COMPUTED_VALUE"""),"Salmonella Washington")</f>
        <v>Salmonella Washington</v>
      </c>
      <c r="B7751" t="str">
        <f ca="1">IFERROR(__xludf.DUMMYFUNCTION("""COMPUTED_VALUE"""),"RF-00001182-MCG")</f>
        <v>RF-00001182-MCG</v>
      </c>
    </row>
    <row r="7752" spans="1:2" ht="12.5" x14ac:dyDescent="0.25">
      <c r="A7752" t="str">
        <f ca="1">IFERROR(__xludf.DUMMYFUNCTION("""COMPUTED_VALUE"""),"Salmonella Waycross")</f>
        <v>Salmonella Waycross</v>
      </c>
      <c r="B7752" t="str">
        <f ca="1">IFERROR(__xludf.DUMMYFUNCTION("""COMPUTED_VALUE"""),"RF-00001181-MCG")</f>
        <v>RF-00001181-MCG</v>
      </c>
    </row>
    <row r="7753" spans="1:2" ht="12.5" x14ac:dyDescent="0.25">
      <c r="A7753" t="str">
        <f ca="1">IFERROR(__xludf.DUMMYFUNCTION("""COMPUTED_VALUE"""),"Salmonella Wayne")</f>
        <v>Salmonella Wayne</v>
      </c>
      <c r="B7753" t="str">
        <f ca="1">IFERROR(__xludf.DUMMYFUNCTION("""COMPUTED_VALUE"""),"RF-00001180-MCG")</f>
        <v>RF-00001180-MCG</v>
      </c>
    </row>
    <row r="7754" spans="1:2" ht="12.5" x14ac:dyDescent="0.25">
      <c r="A7754" t="str">
        <f ca="1">IFERROR(__xludf.DUMMYFUNCTION("""COMPUTED_VALUE"""),"Salmonella Wedding")</f>
        <v>Salmonella Wedding</v>
      </c>
      <c r="B7754" t="str">
        <f ca="1">IFERROR(__xludf.DUMMYFUNCTION("""COMPUTED_VALUE"""),"RF-00001179-MCG")</f>
        <v>RF-00001179-MCG</v>
      </c>
    </row>
    <row r="7755" spans="1:2" ht="12.5" x14ac:dyDescent="0.25">
      <c r="A7755" t="str">
        <f ca="1">IFERROR(__xludf.DUMMYFUNCTION("""COMPUTED_VALUE"""),"Salmonella Welikade")</f>
        <v>Salmonella Welikade</v>
      </c>
      <c r="B7755" t="str">
        <f ca="1">IFERROR(__xludf.DUMMYFUNCTION("""COMPUTED_VALUE"""),"RF-00001178-MCG")</f>
        <v>RF-00001178-MCG</v>
      </c>
    </row>
    <row r="7756" spans="1:2" ht="12.5" x14ac:dyDescent="0.25">
      <c r="A7756" t="str">
        <f ca="1">IFERROR(__xludf.DUMMYFUNCTION("""COMPUTED_VALUE"""),"Salmonella Weltevreden")</f>
        <v>Salmonella Weltevreden</v>
      </c>
      <c r="B7756" t="str">
        <f ca="1">IFERROR(__xludf.DUMMYFUNCTION("""COMPUTED_VALUE"""),"RF-00001177-MCG")</f>
        <v>RF-00001177-MCG</v>
      </c>
    </row>
    <row r="7757" spans="1:2" ht="12.5" x14ac:dyDescent="0.25">
      <c r="A7757" t="str">
        <f ca="1">IFERROR(__xludf.DUMMYFUNCTION("""COMPUTED_VALUE"""),"Salmonella Weltevreden var. 15")</f>
        <v>Salmonella Weltevreden var. 15</v>
      </c>
      <c r="B7757" t="str">
        <f ca="1">IFERROR(__xludf.DUMMYFUNCTION("""COMPUTED_VALUE"""),"RF-00001176-MCG")</f>
        <v>RF-00001176-MCG</v>
      </c>
    </row>
    <row r="7758" spans="1:2" ht="12.5" x14ac:dyDescent="0.25">
      <c r="A7758" t="str">
        <f ca="1">IFERROR(__xludf.DUMMYFUNCTION("""COMPUTED_VALUE"""),"Salmonella Wenatchee")</f>
        <v>Salmonella Wenatchee</v>
      </c>
      <c r="B7758" t="str">
        <f ca="1">IFERROR(__xludf.DUMMYFUNCTION("""COMPUTED_VALUE"""),"RF-00001175-MCG")</f>
        <v>RF-00001175-MCG</v>
      </c>
    </row>
    <row r="7759" spans="1:2" ht="12.5" x14ac:dyDescent="0.25">
      <c r="A7759" t="str">
        <f ca="1">IFERROR(__xludf.DUMMYFUNCTION("""COMPUTED_VALUE"""),"Salmonella Wentworth")</f>
        <v>Salmonella Wentworth</v>
      </c>
      <c r="B7759" t="str">
        <f ca="1">IFERROR(__xludf.DUMMYFUNCTION("""COMPUTED_VALUE"""),"RF-00001160-MCG")</f>
        <v>RF-00001160-MCG</v>
      </c>
    </row>
    <row r="7760" spans="1:2" ht="12.5" x14ac:dyDescent="0.25">
      <c r="A7760" t="str">
        <f ca="1">IFERROR(__xludf.DUMMYFUNCTION("""COMPUTED_VALUE"""),"Salmonella Wernigerode")</f>
        <v>Salmonella Wernigerode</v>
      </c>
      <c r="B7760" t="str">
        <f ca="1">IFERROR(__xludf.DUMMYFUNCTION("""COMPUTED_VALUE"""),"RF-00001173-MCG")</f>
        <v>RF-00001173-MCG</v>
      </c>
    </row>
    <row r="7761" spans="1:2" ht="12.5" x14ac:dyDescent="0.25">
      <c r="A7761" t="str">
        <f ca="1">IFERROR(__xludf.DUMMYFUNCTION("""COMPUTED_VALUE"""),"Salmonella Weslaco")</f>
        <v>Salmonella Weslaco</v>
      </c>
      <c r="B7761" t="str">
        <f ca="1">IFERROR(__xludf.DUMMYFUNCTION("""COMPUTED_VALUE"""),"RF-00001187-MCG")</f>
        <v>RF-00001187-MCG</v>
      </c>
    </row>
    <row r="7762" spans="1:2" ht="12.5" x14ac:dyDescent="0.25">
      <c r="A7762" t="str">
        <f ca="1">IFERROR(__xludf.DUMMYFUNCTION("""COMPUTED_VALUE"""),"Salmonella Westafrica")</f>
        <v>Salmonella Westafrica</v>
      </c>
      <c r="B7762" t="str">
        <f ca="1">IFERROR(__xludf.DUMMYFUNCTION("""COMPUTED_VALUE"""),"RF-00001171-MCG")</f>
        <v>RF-00001171-MCG</v>
      </c>
    </row>
    <row r="7763" spans="1:2" ht="12.5" x14ac:dyDescent="0.25">
      <c r="A7763" t="str">
        <f ca="1">IFERROR(__xludf.DUMMYFUNCTION("""COMPUTED_VALUE"""),"Salmonella Westeinde")</f>
        <v>Salmonella Westeinde</v>
      </c>
      <c r="B7763" t="str">
        <f ca="1">IFERROR(__xludf.DUMMYFUNCTION("""COMPUTED_VALUE"""),"RF-00001170-MCG")</f>
        <v>RF-00001170-MCG</v>
      </c>
    </row>
    <row r="7764" spans="1:2" ht="12.5" x14ac:dyDescent="0.25">
      <c r="A7764" t="str">
        <f ca="1">IFERROR(__xludf.DUMMYFUNCTION("""COMPUTED_VALUE"""),"Salmonella Westerstede")</f>
        <v>Salmonella Westerstede</v>
      </c>
      <c r="B7764" t="str">
        <f ca="1">IFERROR(__xludf.DUMMYFUNCTION("""COMPUTED_VALUE"""),"RF-00001169-MCG")</f>
        <v>RF-00001169-MCG</v>
      </c>
    </row>
    <row r="7765" spans="1:2" ht="12.5" x14ac:dyDescent="0.25">
      <c r="A7765" t="str">
        <f ca="1">IFERROR(__xludf.DUMMYFUNCTION("""COMPUTED_VALUE"""),"Salmonella Westhampton")</f>
        <v>Salmonella Westhampton</v>
      </c>
      <c r="B7765" t="str">
        <f ca="1">IFERROR(__xludf.DUMMYFUNCTION("""COMPUTED_VALUE"""),"RF-00001168-MCG")</f>
        <v>RF-00001168-MCG</v>
      </c>
    </row>
    <row r="7766" spans="1:2" ht="12.5" x14ac:dyDescent="0.25">
      <c r="A7766" t="str">
        <f ca="1">IFERROR(__xludf.DUMMYFUNCTION("""COMPUTED_VALUE"""),"Salmonella Westhampton var. 15")</f>
        <v>Salmonella Westhampton var. 15</v>
      </c>
      <c r="B7766" t="str">
        <f ca="1">IFERROR(__xludf.DUMMYFUNCTION("""COMPUTED_VALUE"""),"RF-00001167-MCG")</f>
        <v>RF-00001167-MCG</v>
      </c>
    </row>
    <row r="7767" spans="1:2" ht="12.5" x14ac:dyDescent="0.25">
      <c r="A7767" t="str">
        <f ca="1">IFERROR(__xludf.DUMMYFUNCTION("""COMPUTED_VALUE"""),"Salmonella Westhampton var. 15,34")</f>
        <v>Salmonella Westhampton var. 15,34</v>
      </c>
      <c r="B7767" t="str">
        <f ca="1">IFERROR(__xludf.DUMMYFUNCTION("""COMPUTED_VALUE"""),"RF-00001166-MCG")</f>
        <v>RF-00001166-MCG</v>
      </c>
    </row>
    <row r="7768" spans="1:2" ht="12.5" x14ac:dyDescent="0.25">
      <c r="A7768" t="str">
        <f ca="1">IFERROR(__xludf.DUMMYFUNCTION("""COMPUTED_VALUE"""),"Salmonella Westminster")</f>
        <v>Salmonella Westminster</v>
      </c>
      <c r="B7768" t="str">
        <f ca="1">IFERROR(__xludf.DUMMYFUNCTION("""COMPUTED_VALUE"""),"RF-00001165-MCG")</f>
        <v>RF-00001165-MCG</v>
      </c>
    </row>
    <row r="7769" spans="1:2" ht="12.5" x14ac:dyDescent="0.25">
      <c r="A7769" t="str">
        <f ca="1">IFERROR(__xludf.DUMMYFUNCTION("""COMPUTED_VALUE"""),"Salmonella Weston")</f>
        <v>Salmonella Weston</v>
      </c>
      <c r="B7769" t="str">
        <f ca="1">IFERROR(__xludf.DUMMYFUNCTION("""COMPUTED_VALUE"""),"RF-00001164-MCG")</f>
        <v>RF-00001164-MCG</v>
      </c>
    </row>
    <row r="7770" spans="1:2" ht="12.5" x14ac:dyDescent="0.25">
      <c r="A7770" t="str">
        <f ca="1">IFERROR(__xludf.DUMMYFUNCTION("""COMPUTED_VALUE"""),"Salmonella Westphalia")</f>
        <v>Salmonella Westphalia</v>
      </c>
      <c r="B7770" t="str">
        <f ca="1">IFERROR(__xludf.DUMMYFUNCTION("""COMPUTED_VALUE"""),"RF-00001163-MCG")</f>
        <v>RF-00001163-MCG</v>
      </c>
    </row>
    <row r="7771" spans="1:2" ht="12.5" x14ac:dyDescent="0.25">
      <c r="A7771" t="str">
        <f ca="1">IFERROR(__xludf.DUMMYFUNCTION("""COMPUTED_VALUE"""),"Salmonella Weybridge")</f>
        <v>Salmonella Weybridge</v>
      </c>
      <c r="B7771" t="str">
        <f ca="1">IFERROR(__xludf.DUMMYFUNCTION("""COMPUTED_VALUE"""),"RF-00001162-MCG")</f>
        <v>RF-00001162-MCG</v>
      </c>
    </row>
    <row r="7772" spans="1:2" ht="12.5" x14ac:dyDescent="0.25">
      <c r="A7772" t="str">
        <f ca="1">IFERROR(__xludf.DUMMYFUNCTION("""COMPUTED_VALUE"""),"Salmonella Wichita")</f>
        <v>Salmonella Wichita</v>
      </c>
      <c r="B7772" t="str">
        <f ca="1">IFERROR(__xludf.DUMMYFUNCTION("""COMPUTED_VALUE"""),"RF-00001120-MCG")</f>
        <v>RF-00001120-MCG</v>
      </c>
    </row>
    <row r="7773" spans="1:2" ht="12.5" x14ac:dyDescent="0.25">
      <c r="A7773" t="str">
        <f ca="1">IFERROR(__xludf.DUMMYFUNCTION("""COMPUTED_VALUE"""),"Salmonella Widemarsh")</f>
        <v>Salmonella Widemarsh</v>
      </c>
      <c r="B7773" t="str">
        <f ca="1">IFERROR(__xludf.DUMMYFUNCTION("""COMPUTED_VALUE"""),"RF-00001186-MCG")</f>
        <v>RF-00001186-MCG</v>
      </c>
    </row>
    <row r="7774" spans="1:2" ht="12.5" x14ac:dyDescent="0.25">
      <c r="A7774" t="str">
        <f ca="1">IFERROR(__xludf.DUMMYFUNCTION("""COMPUTED_VALUE"""),"Salmonella Wien")</f>
        <v>Salmonella Wien</v>
      </c>
      <c r="B7774" t="str">
        <f ca="1">IFERROR(__xludf.DUMMYFUNCTION("""COMPUTED_VALUE"""),"RF-00001145-MCG")</f>
        <v>RF-00001145-MCG</v>
      </c>
    </row>
    <row r="7775" spans="1:2" ht="12.5" x14ac:dyDescent="0.25">
      <c r="A7775" t="str">
        <f ca="1">IFERROR(__xludf.DUMMYFUNCTION("""COMPUTED_VALUE"""),"Salmonella Wil")</f>
        <v>Salmonella Wil</v>
      </c>
      <c r="B7775" t="str">
        <f ca="1">IFERROR(__xludf.DUMMYFUNCTION("""COMPUTED_VALUE"""),"RF-00001104-MCG")</f>
        <v>RF-00001104-MCG</v>
      </c>
    </row>
    <row r="7776" spans="1:2" ht="12.5" x14ac:dyDescent="0.25">
      <c r="A7776" t="str">
        <f ca="1">IFERROR(__xludf.DUMMYFUNCTION("""COMPUTED_VALUE"""),"Salmonella Wilhelmsburg")</f>
        <v>Salmonella Wilhelmsburg</v>
      </c>
      <c r="B7776" t="str">
        <f ca="1">IFERROR(__xludf.DUMMYFUNCTION("""COMPUTED_VALUE"""),"RF-00001103-MCG")</f>
        <v>RF-00001103-MCG</v>
      </c>
    </row>
    <row r="7777" spans="1:2" ht="12.5" x14ac:dyDescent="0.25">
      <c r="A7777" t="str">
        <f ca="1">IFERROR(__xludf.DUMMYFUNCTION("""COMPUTED_VALUE"""),"Salmonella Willemstad")</f>
        <v>Salmonella Willemstad</v>
      </c>
      <c r="B7777" t="str">
        <f ca="1">IFERROR(__xludf.DUMMYFUNCTION("""COMPUTED_VALUE"""),"RF-00001102-MCG")</f>
        <v>RF-00001102-MCG</v>
      </c>
    </row>
    <row r="7778" spans="1:2" ht="12.5" x14ac:dyDescent="0.25">
      <c r="A7778" t="str">
        <f ca="1">IFERROR(__xludf.DUMMYFUNCTION("""COMPUTED_VALUE"""),"Salmonella Wilmington")</f>
        <v>Salmonella Wilmington</v>
      </c>
      <c r="B7778" t="str">
        <f ca="1">IFERROR(__xludf.DUMMYFUNCTION("""COMPUTED_VALUE"""),"RF-00001101-MCG")</f>
        <v>RF-00001101-MCG</v>
      </c>
    </row>
    <row r="7779" spans="1:2" ht="12.5" x14ac:dyDescent="0.25">
      <c r="A7779" t="str">
        <f ca="1">IFERROR(__xludf.DUMMYFUNCTION("""COMPUTED_VALUE"""),"Salmonella Wimborne")</f>
        <v>Salmonella Wimborne</v>
      </c>
      <c r="B7779" t="str">
        <f ca="1">IFERROR(__xludf.DUMMYFUNCTION("""COMPUTED_VALUE"""),"RF-00001100-MCG")</f>
        <v>RF-00001100-MCG</v>
      </c>
    </row>
    <row r="7780" spans="1:2" ht="12.5" x14ac:dyDescent="0.25">
      <c r="A7780" t="str">
        <f ca="1">IFERROR(__xludf.DUMMYFUNCTION("""COMPUTED_VALUE"""),"Salmonella Windermere")</f>
        <v>Salmonella Windermere</v>
      </c>
      <c r="B7780" t="str">
        <f ca="1">IFERROR(__xludf.DUMMYFUNCTION("""COMPUTED_VALUE"""),"RF-00001099-MCG")</f>
        <v>RF-00001099-MCG</v>
      </c>
    </row>
    <row r="7781" spans="1:2" ht="12.5" x14ac:dyDescent="0.25">
      <c r="A7781" t="str">
        <f ca="1">IFERROR(__xludf.DUMMYFUNCTION("""COMPUTED_VALUE"""),"Salmonella Wingrove")</f>
        <v>Salmonella Wingrove</v>
      </c>
      <c r="B7781" t="str">
        <f ca="1">IFERROR(__xludf.DUMMYFUNCTION("""COMPUTED_VALUE"""),"RF-00001098-MCG")</f>
        <v>RF-00001098-MCG</v>
      </c>
    </row>
    <row r="7782" spans="1:2" ht="12.5" x14ac:dyDescent="0.25">
      <c r="A7782" t="str">
        <f ca="1">IFERROR(__xludf.DUMMYFUNCTION("""COMPUTED_VALUE"""),"Salmonella Winneba")</f>
        <v>Salmonella Winneba</v>
      </c>
      <c r="B7782" t="str">
        <f ca="1">IFERROR(__xludf.DUMMYFUNCTION("""COMPUTED_VALUE"""),"RF-00001097-MCG")</f>
        <v>RF-00001097-MCG</v>
      </c>
    </row>
    <row r="7783" spans="1:2" ht="12.5" x14ac:dyDescent="0.25">
      <c r="A7783" t="str">
        <f ca="1">IFERROR(__xludf.DUMMYFUNCTION("""COMPUTED_VALUE"""),"Salmonella Winnipeg")</f>
        <v>Salmonella Winnipeg</v>
      </c>
      <c r="B7783" t="str">
        <f ca="1">IFERROR(__xludf.DUMMYFUNCTION("""COMPUTED_VALUE"""),"RF-00001096-MCG")</f>
        <v>RF-00001096-MCG</v>
      </c>
    </row>
    <row r="7784" spans="1:2" ht="12.5" x14ac:dyDescent="0.25">
      <c r="A7784" t="str">
        <f ca="1">IFERROR(__xludf.DUMMYFUNCTION("""COMPUTED_VALUE"""),"Salmonella Winston")</f>
        <v>Salmonella Winston</v>
      </c>
      <c r="B7784" t="str">
        <f ca="1">IFERROR(__xludf.DUMMYFUNCTION("""COMPUTED_VALUE"""),"RF-00001095-MCG")</f>
        <v>RF-00001095-MCG</v>
      </c>
    </row>
    <row r="7785" spans="1:2" ht="12.5" x14ac:dyDescent="0.25">
      <c r="A7785" t="str">
        <f ca="1">IFERROR(__xludf.DUMMYFUNCTION("""COMPUTED_VALUE"""),"Salmonella Winterthur")</f>
        <v>Salmonella Winterthur</v>
      </c>
      <c r="B7785" t="str">
        <f ca="1">IFERROR(__xludf.DUMMYFUNCTION("""COMPUTED_VALUE"""),"RF-00001094-MCG")</f>
        <v>RF-00001094-MCG</v>
      </c>
    </row>
    <row r="7786" spans="1:2" ht="12.5" x14ac:dyDescent="0.25">
      <c r="A7786" t="str">
        <f ca="1">IFERROR(__xludf.DUMMYFUNCTION("""COMPUTED_VALUE"""),"Salmonella Wippra")</f>
        <v>Salmonella Wippra</v>
      </c>
      <c r="B7786" t="str">
        <f ca="1">IFERROR(__xludf.DUMMYFUNCTION("""COMPUTED_VALUE"""),"RF-00001079-MCG")</f>
        <v>RF-00001079-MCG</v>
      </c>
    </row>
    <row r="7787" spans="1:2" ht="12.5" x14ac:dyDescent="0.25">
      <c r="A7787" t="str">
        <f ca="1">IFERROR(__xludf.DUMMYFUNCTION("""COMPUTED_VALUE"""),"Salmonella Wisbech")</f>
        <v>Salmonella Wisbech</v>
      </c>
      <c r="B7787" t="str">
        <f ca="1">IFERROR(__xludf.DUMMYFUNCTION("""COMPUTED_VALUE"""),"RF-00001092-MCG")</f>
        <v>RF-00001092-MCG</v>
      </c>
    </row>
    <row r="7788" spans="1:2" ht="12.5" x14ac:dyDescent="0.25">
      <c r="A7788" t="str">
        <f ca="1">IFERROR(__xludf.DUMMYFUNCTION("""COMPUTED_VALUE"""),"Salmonella Wohlen")</f>
        <v>Salmonella Wohlen</v>
      </c>
      <c r="B7788" t="str">
        <f ca="1">IFERROR(__xludf.DUMMYFUNCTION("""COMPUTED_VALUE"""),"RF-00001105-MCG")</f>
        <v>RF-00001105-MCG</v>
      </c>
    </row>
    <row r="7789" spans="1:2" ht="12.5" x14ac:dyDescent="0.25">
      <c r="A7789" t="str">
        <f ca="1">IFERROR(__xludf.DUMMYFUNCTION("""COMPUTED_VALUE"""),"Salmonella Woodinville")</f>
        <v>Salmonella Woodinville</v>
      </c>
      <c r="B7789" t="str">
        <f ca="1">IFERROR(__xludf.DUMMYFUNCTION("""COMPUTED_VALUE"""),"RF-00001090-MCG")</f>
        <v>RF-00001090-MCG</v>
      </c>
    </row>
    <row r="7790" spans="1:2" ht="12.5" x14ac:dyDescent="0.25">
      <c r="A7790" t="str">
        <f ca="1">IFERROR(__xludf.DUMMYFUNCTION("""COMPUTED_VALUE"""),"Salmonella Worb")</f>
        <v>Salmonella Worb</v>
      </c>
      <c r="B7790" t="str">
        <f ca="1">IFERROR(__xludf.DUMMYFUNCTION("""COMPUTED_VALUE"""),"RF-00001089-MCG")</f>
        <v>RF-00001089-MCG</v>
      </c>
    </row>
    <row r="7791" spans="1:2" ht="12.5" x14ac:dyDescent="0.25">
      <c r="A7791" t="str">
        <f ca="1">IFERROR(__xludf.DUMMYFUNCTION("""COMPUTED_VALUE"""),"Salmonella Worthington")</f>
        <v>Salmonella Worthington</v>
      </c>
      <c r="B7791" t="str">
        <f ca="1">IFERROR(__xludf.DUMMYFUNCTION("""COMPUTED_VALUE"""),"RF-00001088-MCG")</f>
        <v>RF-00001088-MCG</v>
      </c>
    </row>
    <row r="7792" spans="1:2" ht="12.5" x14ac:dyDescent="0.25">
      <c r="A7792" t="str">
        <f ca="1">IFERROR(__xludf.DUMMYFUNCTION("""COMPUTED_VALUE"""),"Salmonella Wuiti")</f>
        <v>Salmonella Wuiti</v>
      </c>
      <c r="B7792" t="str">
        <f ca="1">IFERROR(__xludf.DUMMYFUNCTION("""COMPUTED_VALUE"""),"RF-00001087-MCG")</f>
        <v>RF-00001087-MCG</v>
      </c>
    </row>
    <row r="7793" spans="1:2" ht="12.5" x14ac:dyDescent="0.25">
      <c r="A7793" t="str">
        <f ca="1">IFERROR(__xludf.DUMMYFUNCTION("""COMPUTED_VALUE"""),"Salmonella Wuppertal")</f>
        <v>Salmonella Wuppertal</v>
      </c>
      <c r="B7793" t="str">
        <f ca="1">IFERROR(__xludf.DUMMYFUNCTION("""COMPUTED_VALUE"""),"RF-00001086-MCG")</f>
        <v>RF-00001086-MCG</v>
      </c>
    </row>
    <row r="7794" spans="1:2" ht="12.5" x14ac:dyDescent="0.25">
      <c r="A7794" t="str">
        <f ca="1">IFERROR(__xludf.DUMMYFUNCTION("""COMPUTED_VALUE"""),"Salmonella Wyldegreen")</f>
        <v>Salmonella Wyldegreen</v>
      </c>
      <c r="B7794" t="str">
        <f ca="1">IFERROR(__xludf.DUMMYFUNCTION("""COMPUTED_VALUE"""),"RF-00001085-MCG")</f>
        <v>RF-00001085-MCG</v>
      </c>
    </row>
    <row r="7795" spans="1:2" ht="12.5" x14ac:dyDescent="0.25">
      <c r="A7795" t="str">
        <f ca="1">IFERROR(__xludf.DUMMYFUNCTION("""COMPUTED_VALUE"""),"Salmonella Yaba")</f>
        <v>Salmonella Yaba</v>
      </c>
      <c r="B7795" t="str">
        <f ca="1">IFERROR(__xludf.DUMMYFUNCTION("""COMPUTED_VALUE"""),"RF-00001084-MCG")</f>
        <v>RF-00001084-MCG</v>
      </c>
    </row>
    <row r="7796" spans="1:2" ht="12.5" x14ac:dyDescent="0.25">
      <c r="A7796" t="str">
        <f ca="1">IFERROR(__xludf.DUMMYFUNCTION("""COMPUTED_VALUE"""),"Salmonella Yalding")</f>
        <v>Salmonella Yalding</v>
      </c>
      <c r="B7796" t="str">
        <f ca="1">IFERROR(__xludf.DUMMYFUNCTION("""COMPUTED_VALUE"""),"RF-00001083-MCG")</f>
        <v>RF-00001083-MCG</v>
      </c>
    </row>
    <row r="7797" spans="1:2" ht="12.5" x14ac:dyDescent="0.25">
      <c r="A7797" t="str">
        <f ca="1">IFERROR(__xludf.DUMMYFUNCTION("""COMPUTED_VALUE"""),"Salmonella Yaounde")</f>
        <v>Salmonella Yaounde</v>
      </c>
      <c r="B7797" t="str">
        <f ca="1">IFERROR(__xludf.DUMMYFUNCTION("""COMPUTED_VALUE"""),"RF-00001082-MCG")</f>
        <v>RF-00001082-MCG</v>
      </c>
    </row>
    <row r="7798" spans="1:2" ht="12.5" x14ac:dyDescent="0.25">
      <c r="A7798" t="str">
        <f ca="1">IFERROR(__xludf.DUMMYFUNCTION("""COMPUTED_VALUE"""),"Salmonella Yardley")</f>
        <v>Salmonella Yardley</v>
      </c>
      <c r="B7798" t="str">
        <f ca="1">IFERROR(__xludf.DUMMYFUNCTION("""COMPUTED_VALUE"""),"RF-00001081-MCG")</f>
        <v>RF-00001081-MCG</v>
      </c>
    </row>
    <row r="7799" spans="1:2" ht="12.5" x14ac:dyDescent="0.25">
      <c r="A7799" t="str">
        <f ca="1">IFERROR(__xludf.DUMMYFUNCTION("""COMPUTED_VALUE"""),"Salmonella Yarm")</f>
        <v>Salmonella Yarm</v>
      </c>
      <c r="B7799" t="str">
        <f ca="1">IFERROR(__xludf.DUMMYFUNCTION("""COMPUTED_VALUE"""),"RF-00001118-MCG")</f>
        <v>RF-00001118-MCG</v>
      </c>
    </row>
    <row r="7800" spans="1:2" ht="12.5" x14ac:dyDescent="0.25">
      <c r="A7800" t="str">
        <f ca="1">IFERROR(__xludf.DUMMYFUNCTION("""COMPUTED_VALUE"""),"Salmonella Yarrabah")</f>
        <v>Salmonella Yarrabah</v>
      </c>
      <c r="B7800" t="str">
        <f ca="1">IFERROR(__xludf.DUMMYFUNCTION("""COMPUTED_VALUE"""),"RF-00001091-MCG")</f>
        <v>RF-00001091-MCG</v>
      </c>
    </row>
    <row r="7801" spans="1:2" ht="12.5" x14ac:dyDescent="0.25">
      <c r="A7801" t="str">
        <f ca="1">IFERROR(__xludf.DUMMYFUNCTION("""COMPUTED_VALUE"""),"Salmonella Yeerongpilly")</f>
        <v>Salmonella Yeerongpilly</v>
      </c>
      <c r="B7801" t="str">
        <f ca="1">IFERROR(__xludf.DUMMYFUNCTION("""COMPUTED_VALUE"""),"RF-00001093-MCG")</f>
        <v>RF-00001093-MCG</v>
      </c>
    </row>
    <row r="7802" spans="1:2" ht="12.5" x14ac:dyDescent="0.25">
      <c r="A7802" t="str">
        <f ca="1">IFERROR(__xludf.DUMMYFUNCTION("""COMPUTED_VALUE"""),"Salmonella Yehuda")</f>
        <v>Salmonella Yehuda</v>
      </c>
      <c r="B7802" t="str">
        <f ca="1">IFERROR(__xludf.DUMMYFUNCTION("""COMPUTED_VALUE"""),"RF-00001131-MCG")</f>
        <v>RF-00001131-MCG</v>
      </c>
    </row>
    <row r="7803" spans="1:2" ht="12.5" x14ac:dyDescent="0.25">
      <c r="A7803" t="str">
        <f ca="1">IFERROR(__xludf.DUMMYFUNCTION("""COMPUTED_VALUE"""),"Salmonella Yekepa")</f>
        <v>Salmonella Yekepa</v>
      </c>
      <c r="B7803" t="str">
        <f ca="1">IFERROR(__xludf.DUMMYFUNCTION("""COMPUTED_VALUE"""),"RF-00001130-MCG")</f>
        <v>RF-00001130-MCG</v>
      </c>
    </row>
    <row r="7804" spans="1:2" ht="12.5" x14ac:dyDescent="0.25">
      <c r="A7804" t="str">
        <f ca="1">IFERROR(__xludf.DUMMYFUNCTION("""COMPUTED_VALUE"""),"Salmonella Yerba")</f>
        <v>Salmonella Yerba</v>
      </c>
      <c r="B7804" t="str">
        <f ca="1">IFERROR(__xludf.DUMMYFUNCTION("""COMPUTED_VALUE"""),"RF-00001129-MCG")</f>
        <v>RF-00001129-MCG</v>
      </c>
    </row>
    <row r="7805" spans="1:2" ht="12.5" x14ac:dyDescent="0.25">
      <c r="A7805" t="str">
        <f ca="1">IFERROR(__xludf.DUMMYFUNCTION("""COMPUTED_VALUE"""),"Salmonella Yoff")</f>
        <v>Salmonella Yoff</v>
      </c>
      <c r="B7805" t="str">
        <f ca="1">IFERROR(__xludf.DUMMYFUNCTION("""COMPUTED_VALUE"""),"RF-00001128-MCG")</f>
        <v>RF-00001128-MCG</v>
      </c>
    </row>
    <row r="7806" spans="1:2" ht="12.5" x14ac:dyDescent="0.25">
      <c r="A7806" t="str">
        <f ca="1">IFERROR(__xludf.DUMMYFUNCTION("""COMPUTED_VALUE"""),"Salmonella Yokoe")</f>
        <v>Salmonella Yokoe</v>
      </c>
      <c r="B7806" t="str">
        <f ca="1">IFERROR(__xludf.DUMMYFUNCTION("""COMPUTED_VALUE"""),"RF-00001127-MCG")</f>
        <v>RF-00001127-MCG</v>
      </c>
    </row>
    <row r="7807" spans="1:2" ht="12.5" x14ac:dyDescent="0.25">
      <c r="A7807" t="str">
        <f ca="1">IFERROR(__xludf.DUMMYFUNCTION("""COMPUTED_VALUE"""),"Salmonella Yolo")</f>
        <v>Salmonella Yolo</v>
      </c>
      <c r="B7807" t="str">
        <f ca="1">IFERROR(__xludf.DUMMYFUNCTION("""COMPUTED_VALUE"""),"RF-00001126-MCG")</f>
        <v>RF-00001126-MCG</v>
      </c>
    </row>
    <row r="7808" spans="1:2" ht="12.5" x14ac:dyDescent="0.25">
      <c r="A7808" t="str">
        <f ca="1">IFERROR(__xludf.DUMMYFUNCTION("""COMPUTED_VALUE"""),"Salmonella Yopougon")</f>
        <v>Salmonella Yopougon</v>
      </c>
      <c r="B7808" t="str">
        <f ca="1">IFERROR(__xludf.DUMMYFUNCTION("""COMPUTED_VALUE"""),"RF-00001125-MCG")</f>
        <v>RF-00001125-MCG</v>
      </c>
    </row>
    <row r="7809" spans="1:2" ht="12.5" x14ac:dyDescent="0.25">
      <c r="A7809" t="str">
        <f ca="1">IFERROR(__xludf.DUMMYFUNCTION("""COMPUTED_VALUE"""),"Salmonella Yoruba")</f>
        <v>Salmonella Yoruba</v>
      </c>
      <c r="B7809" t="str">
        <f ca="1">IFERROR(__xludf.DUMMYFUNCTION("""COMPUTED_VALUE"""),"RF-00001124-MCG")</f>
        <v>RF-00001124-MCG</v>
      </c>
    </row>
    <row r="7810" spans="1:2" ht="12.5" x14ac:dyDescent="0.25">
      <c r="A7810" t="str">
        <f ca="1">IFERROR(__xludf.DUMMYFUNCTION("""COMPUTED_VALUE"""),"Salmonella Yovokome")</f>
        <v>Salmonella Yovokome</v>
      </c>
      <c r="B7810" t="str">
        <f ca="1">IFERROR(__xludf.DUMMYFUNCTION("""COMPUTED_VALUE"""),"RF-00001123-MCG")</f>
        <v>RF-00001123-MCG</v>
      </c>
    </row>
    <row r="7811" spans="1:2" ht="12.5" x14ac:dyDescent="0.25">
      <c r="A7811" t="str">
        <f ca="1">IFERROR(__xludf.DUMMYFUNCTION("""COMPUTED_VALUE"""),"Salmonella Yundum")</f>
        <v>Salmonella Yundum</v>
      </c>
      <c r="B7811" t="str">
        <f ca="1">IFERROR(__xludf.DUMMYFUNCTION("""COMPUTED_VALUE"""),"RF-00001122-MCG")</f>
        <v>RF-00001122-MCG</v>
      </c>
    </row>
    <row r="7812" spans="1:2" ht="12.5" x14ac:dyDescent="0.25">
      <c r="A7812" t="str">
        <f ca="1">IFERROR(__xludf.DUMMYFUNCTION("""COMPUTED_VALUE"""),"Salmonella Zadar")</f>
        <v>Salmonella Zadar</v>
      </c>
      <c r="B7812" t="str">
        <f ca="1">IFERROR(__xludf.DUMMYFUNCTION("""COMPUTED_VALUE"""),"RF-00001121-MCG")</f>
        <v>RF-00001121-MCG</v>
      </c>
    </row>
    <row r="7813" spans="1:2" ht="12.5" x14ac:dyDescent="0.25">
      <c r="A7813" t="str">
        <f ca="1">IFERROR(__xludf.DUMMYFUNCTION("""COMPUTED_VALUE"""),"Salmonella Zaiman")</f>
        <v>Salmonella Zaiman</v>
      </c>
      <c r="B7813" t="str">
        <f ca="1">IFERROR(__xludf.DUMMYFUNCTION("""COMPUTED_VALUE"""),"RF-00001106-MCG")</f>
        <v>RF-00001106-MCG</v>
      </c>
    </row>
    <row r="7814" spans="1:2" ht="12.5" x14ac:dyDescent="0.25">
      <c r="A7814" t="str">
        <f ca="1">IFERROR(__xludf.DUMMYFUNCTION("""COMPUTED_VALUE"""),"Salmonella Zaire")</f>
        <v>Salmonella Zaire</v>
      </c>
      <c r="B7814" t="str">
        <f ca="1">IFERROR(__xludf.DUMMYFUNCTION("""COMPUTED_VALUE"""),"RF-00001119-MCG")</f>
        <v>RF-00001119-MCG</v>
      </c>
    </row>
    <row r="7815" spans="1:2" ht="12.5" x14ac:dyDescent="0.25">
      <c r="A7815" t="str">
        <f ca="1">IFERROR(__xludf.DUMMYFUNCTION("""COMPUTED_VALUE"""),"Salmonella Zanzibar")</f>
        <v>Salmonella Zanzibar</v>
      </c>
      <c r="B7815" t="str">
        <f ca="1">IFERROR(__xludf.DUMMYFUNCTION("""COMPUTED_VALUE"""),"RF-00001132-MCG")</f>
        <v>RF-00001132-MCG</v>
      </c>
    </row>
    <row r="7816" spans="1:2" ht="12.5" x14ac:dyDescent="0.25">
      <c r="A7816" t="str">
        <f ca="1">IFERROR(__xludf.DUMMYFUNCTION("""COMPUTED_VALUE"""),"Salmonella Zaria")</f>
        <v>Salmonella Zaria</v>
      </c>
      <c r="B7816" t="str">
        <f ca="1">IFERROR(__xludf.DUMMYFUNCTION("""COMPUTED_VALUE"""),"RF-00001117-MCG")</f>
        <v>RF-00001117-MCG</v>
      </c>
    </row>
    <row r="7817" spans="1:2" ht="12.5" x14ac:dyDescent="0.25">
      <c r="A7817" t="str">
        <f ca="1">IFERROR(__xludf.DUMMYFUNCTION("""COMPUTED_VALUE"""),"Salmonella Zega")</f>
        <v>Salmonella Zega</v>
      </c>
      <c r="B7817" t="str">
        <f ca="1">IFERROR(__xludf.DUMMYFUNCTION("""COMPUTED_VALUE"""),"RF-00001116-MCG")</f>
        <v>RF-00001116-MCG</v>
      </c>
    </row>
    <row r="7818" spans="1:2" ht="12.5" x14ac:dyDescent="0.25">
      <c r="A7818" t="str">
        <f ca="1">IFERROR(__xludf.DUMMYFUNCTION("""COMPUTED_VALUE"""),"Salmonella Zehlendorf")</f>
        <v>Salmonella Zehlendorf</v>
      </c>
      <c r="B7818" t="str">
        <f ca="1">IFERROR(__xludf.DUMMYFUNCTION("""COMPUTED_VALUE"""),"RF-00001115-MCG")</f>
        <v>RF-00001115-MCG</v>
      </c>
    </row>
    <row r="7819" spans="1:2" ht="12.5" x14ac:dyDescent="0.25">
      <c r="A7819" t="str">
        <f ca="1">IFERROR(__xludf.DUMMYFUNCTION("""COMPUTED_VALUE"""),"Salmonella Zerifin")</f>
        <v>Salmonella Zerifin</v>
      </c>
      <c r="B7819" t="str">
        <f ca="1">IFERROR(__xludf.DUMMYFUNCTION("""COMPUTED_VALUE"""),"RF-00001114-MCG")</f>
        <v>RF-00001114-MCG</v>
      </c>
    </row>
    <row r="7820" spans="1:2" ht="12.5" x14ac:dyDescent="0.25">
      <c r="A7820" t="str">
        <f ca="1">IFERROR(__xludf.DUMMYFUNCTION("""COMPUTED_VALUE"""),"Salmonella Zigong")</f>
        <v>Salmonella Zigong</v>
      </c>
      <c r="B7820" t="str">
        <f ca="1">IFERROR(__xludf.DUMMYFUNCTION("""COMPUTED_VALUE"""),"RF-00001113-MCG")</f>
        <v>RF-00001113-MCG</v>
      </c>
    </row>
    <row r="7821" spans="1:2" ht="12.5" x14ac:dyDescent="0.25">
      <c r="A7821" t="str">
        <f ca="1">IFERROR(__xludf.DUMMYFUNCTION("""COMPUTED_VALUE"""),"Salmonella Zinder")</f>
        <v>Salmonella Zinder</v>
      </c>
      <c r="B7821" t="str">
        <f ca="1">IFERROR(__xludf.DUMMYFUNCTION("""COMPUTED_VALUE"""),"RF-00001112-MCG")</f>
        <v>RF-00001112-MCG</v>
      </c>
    </row>
    <row r="7822" spans="1:2" ht="12.5" x14ac:dyDescent="0.25">
      <c r="A7822" t="str">
        <f ca="1">IFERROR(__xludf.DUMMYFUNCTION("""COMPUTED_VALUE"""),"Salmonella Zongo")</f>
        <v>Salmonella Zongo</v>
      </c>
      <c r="B7822" t="str">
        <f ca="1">IFERROR(__xludf.DUMMYFUNCTION("""COMPUTED_VALUE"""),"RF-00001111-MCG")</f>
        <v>RF-00001111-MCG</v>
      </c>
    </row>
    <row r="7823" spans="1:2" ht="12.5" x14ac:dyDescent="0.25">
      <c r="A7823" t="str">
        <f ca="1">IFERROR(__xludf.DUMMYFUNCTION("""COMPUTED_VALUE"""),"Salmonella Zuilen")</f>
        <v>Salmonella Zuilen</v>
      </c>
      <c r="B7823" t="str">
        <f ca="1">IFERROR(__xludf.DUMMYFUNCTION("""COMPUTED_VALUE"""),"RF-00001110-MCG")</f>
        <v>RF-00001110-MCG</v>
      </c>
    </row>
    <row r="7824" spans="1:2" ht="12.5" x14ac:dyDescent="0.25">
      <c r="A7824" t="str">
        <f ca="1">IFERROR(__xludf.DUMMYFUNCTION("""COMPUTED_VALUE"""),"Salmonella Zwickau")</f>
        <v>Salmonella Zwickau</v>
      </c>
      <c r="B7824" t="str">
        <f ca="1">IFERROR(__xludf.DUMMYFUNCTION("""COMPUTED_VALUE"""),"RF-00001109-MCG")</f>
        <v>RF-00001109-MCG</v>
      </c>
    </row>
    <row r="7825" spans="1:2" ht="12.5" x14ac:dyDescent="0.25">
      <c r="A7825" t="str">
        <f ca="1">IFERROR(__xludf.DUMMYFUNCTION("""COMPUTED_VALUE"""),"salt")</f>
        <v>salt</v>
      </c>
      <c r="B7825" t="str">
        <f ca="1">IFERROR(__xludf.DUMMYFUNCTION("""COMPUTED_VALUE"""),"RF-00000389-NTR")</f>
        <v>RF-00000389-NTR</v>
      </c>
    </row>
    <row r="7826" spans="1:2" ht="12.5" x14ac:dyDescent="0.25">
      <c r="A7826" t="str">
        <f ca="1">IFERROR(__xludf.DUMMYFUNCTION("""COMPUTED_VALUE"""),"Salt of aspartame-acesulfame")</f>
        <v>Salt of aspartame-acesulfame</v>
      </c>
      <c r="B7826" t="str">
        <f ca="1">IFERROR(__xludf.DUMMYFUNCTION("""COMPUTED_VALUE"""),"RF-00000269-ADD")</f>
        <v>RF-00000269-ADD</v>
      </c>
    </row>
    <row r="7827" spans="1:2" ht="12.5" x14ac:dyDescent="0.25">
      <c r="A7827" t="str">
        <f ca="1">IFERROR(__xludf.DUMMYFUNCTION("""COMPUTED_VALUE"""),"sapovirus (Sapparo-like virus)")</f>
        <v>sapovirus (Sapparo-like virus)</v>
      </c>
      <c r="B7827" t="str">
        <f ca="1">IFERROR(__xludf.DUMMYFUNCTION("""COMPUTED_VALUE"""),"RF-00000040-MCG")</f>
        <v>RF-00000040-MCG</v>
      </c>
    </row>
    <row r="7828" spans="1:2" ht="12.5" x14ac:dyDescent="0.25">
      <c r="A7828" t="str">
        <f ca="1">IFERROR(__xludf.DUMMYFUNCTION("""COMPUTED_VALUE"""),"Sarafloxacin")</f>
        <v>Sarafloxacin</v>
      </c>
      <c r="B7828" t="str">
        <f ca="1">IFERROR(__xludf.DUMMYFUNCTION("""COMPUTED_VALUE"""),"RF-00000631-VET")</f>
        <v>RF-00000631-VET</v>
      </c>
    </row>
    <row r="7829" spans="1:2" ht="12.5" x14ac:dyDescent="0.25">
      <c r="A7829" t="str">
        <f ca="1">IFERROR(__xludf.DUMMYFUNCTION("""COMPUTED_VALUE"""),"Sarcocystis")</f>
        <v>Sarcocystis</v>
      </c>
      <c r="B7829" t="str">
        <f ca="1">IFERROR(__xludf.DUMMYFUNCTION("""COMPUTED_VALUE"""),"RF-00002475-MCG")</f>
        <v>RF-00002475-MCG</v>
      </c>
    </row>
    <row r="7830" spans="1:2" ht="12.5" x14ac:dyDescent="0.25">
      <c r="A7830" t="str">
        <f ca="1">IFERROR(__xludf.DUMMYFUNCTION("""COMPUTED_VALUE"""),"Sarcocystis hominis")</f>
        <v>Sarcocystis hominis</v>
      </c>
      <c r="B7830" t="str">
        <f ca="1">IFERROR(__xludf.DUMMYFUNCTION("""COMPUTED_VALUE"""),"RF-00002477-MCG")</f>
        <v>RF-00002477-MCG</v>
      </c>
    </row>
    <row r="7831" spans="1:2" ht="12.5" x14ac:dyDescent="0.25">
      <c r="A7831" t="str">
        <f ca="1">IFERROR(__xludf.DUMMYFUNCTION("""COMPUTED_VALUE"""),"Sarcocystis spp., unspecified")</f>
        <v>Sarcocystis spp., unspecified</v>
      </c>
      <c r="B7831" t="str">
        <f ca="1">IFERROR(__xludf.DUMMYFUNCTION("""COMPUTED_VALUE"""),"RF-00002476-MCG")</f>
        <v>RF-00002476-MCG</v>
      </c>
    </row>
    <row r="7832" spans="1:2" ht="12.5" x14ac:dyDescent="0.25">
      <c r="A7832" t="str">
        <f ca="1">IFERROR(__xludf.DUMMYFUNCTION("""COMPUTED_VALUE"""),"Sarcocystis suihominis")</f>
        <v>Sarcocystis suihominis</v>
      </c>
      <c r="B7832" t="str">
        <f ca="1">IFERROR(__xludf.DUMMYFUNCTION("""COMPUTED_VALUE"""),"RF-00002478-MCG")</f>
        <v>RF-00002478-MCG</v>
      </c>
    </row>
    <row r="7833" spans="1:2" ht="12.5" x14ac:dyDescent="0.25">
      <c r="A7833" t="str">
        <f ca="1">IFERROR(__xludf.DUMMYFUNCTION("""COMPUTED_VALUE"""),"Sarracine")</f>
        <v>Sarracine</v>
      </c>
      <c r="B7833" t="str">
        <f ca="1">IFERROR(__xludf.DUMMYFUNCTION("""COMPUTED_VALUE"""),"RF-00000297-TOX")</f>
        <v>RF-00000297-TOX</v>
      </c>
    </row>
    <row r="7834" spans="1:2" ht="12.5" x14ac:dyDescent="0.25">
      <c r="A7834" t="str">
        <f ca="1">IFERROR(__xludf.DUMMYFUNCTION("""COMPUTED_VALUE"""),"Saxitoxin")</f>
        <v>Saxitoxin</v>
      </c>
      <c r="B7834" t="str">
        <f ca="1">IFERROR(__xludf.DUMMYFUNCTION("""COMPUTED_VALUE"""),"RF-00000092-TOX")</f>
        <v>RF-00000092-TOX</v>
      </c>
    </row>
    <row r="7835" spans="1:2" ht="12.5" x14ac:dyDescent="0.25">
      <c r="A7835" t="str">
        <f ca="1">IFERROR(__xludf.DUMMYFUNCTION("""COMPUTED_VALUE"""),"Saxitoxin-group toxins")</f>
        <v>Saxitoxin-group toxins</v>
      </c>
      <c r="B7835" t="str">
        <f ca="1">IFERROR(__xludf.DUMMYFUNCTION("""COMPUTED_VALUE"""),"RF-00000090-TOX")</f>
        <v>RF-00000090-TOX</v>
      </c>
    </row>
    <row r="7836" spans="1:2" ht="12.5" x14ac:dyDescent="0.25">
      <c r="A7836" t="str">
        <f ca="1">IFERROR(__xludf.DUMMYFUNCTION("""COMPUTED_VALUE"""),"Schradan")</f>
        <v>Schradan</v>
      </c>
      <c r="B7836" t="str">
        <f ca="1">IFERROR(__xludf.DUMMYFUNCTION("""COMPUTED_VALUE"""),"RF-0890-001-PPP")</f>
        <v>RF-0890-001-PPP</v>
      </c>
    </row>
    <row r="7837" spans="1:2" ht="12.5" x14ac:dyDescent="0.25">
      <c r="A7837" t="str">
        <f ca="1">IFERROR(__xludf.DUMMYFUNCTION("""COMPUTED_VALUE"""),"Scopolamine")</f>
        <v>Scopolamine</v>
      </c>
      <c r="B7837" t="str">
        <f ca="1">IFERROR(__xludf.DUMMYFUNCTION("""COMPUTED_VALUE"""),"RF-00000248-TOX")</f>
        <v>RF-00000248-TOX</v>
      </c>
    </row>
    <row r="7838" spans="1:2" ht="12.5" x14ac:dyDescent="0.25">
      <c r="A7838" t="str">
        <f ca="1">IFERROR(__xludf.DUMMYFUNCTION("""COMPUTED_VALUE"""),"Scorpioidine")</f>
        <v>Scorpioidine</v>
      </c>
      <c r="B7838" t="str">
        <f ca="1">IFERROR(__xludf.DUMMYFUNCTION("""COMPUTED_VALUE"""),"RF-00000298-TOX")</f>
        <v>RF-00000298-TOX</v>
      </c>
    </row>
    <row r="7839" spans="1:2" ht="12.5" x14ac:dyDescent="0.25">
      <c r="A7839" t="str">
        <f ca="1">IFERROR(__xludf.DUMMYFUNCTION("""COMPUTED_VALUE"""),"Scrombotoxin")</f>
        <v>Scrombotoxin</v>
      </c>
      <c r="B7839" t="str">
        <f ca="1">IFERROR(__xludf.DUMMYFUNCTION("""COMPUTED_VALUE"""),"RF-00000453-TOX")</f>
        <v>RF-00000453-TOX</v>
      </c>
    </row>
    <row r="7840" spans="1:2" ht="12.5" x14ac:dyDescent="0.25">
      <c r="A7840" t="str">
        <f ca="1">IFERROR(__xludf.DUMMYFUNCTION("""COMPUTED_VALUE"""),"Sebuthylazine")</f>
        <v>Sebuthylazine</v>
      </c>
      <c r="B7840" t="str">
        <f ca="1">IFERROR(__xludf.DUMMYFUNCTION("""COMPUTED_VALUE"""),"RF-0891-001-PPP")</f>
        <v>RF-0891-001-PPP</v>
      </c>
    </row>
    <row r="7841" spans="1:2" ht="12.5" x14ac:dyDescent="0.25">
      <c r="A7841" t="str">
        <f ca="1">IFERROR(__xludf.DUMMYFUNCTION("""COMPUTED_VALUE"""),"Sebuthylazine, Desethyl-")</f>
        <v>Sebuthylazine, Desethyl-</v>
      </c>
      <c r="B7841" t="str">
        <f ca="1">IFERROR(__xludf.DUMMYFUNCTION("""COMPUTED_VALUE"""),"RF-0892-001-PPP")</f>
        <v>RF-0892-001-PPP</v>
      </c>
    </row>
    <row r="7842" spans="1:2" ht="12.5" x14ac:dyDescent="0.25">
      <c r="A7842" t="str">
        <f ca="1">IFERROR(__xludf.DUMMYFUNCTION("""COMPUTED_VALUE"""),"Secbumeton")</f>
        <v>Secbumeton</v>
      </c>
      <c r="B7842" t="str">
        <f ca="1">IFERROR(__xludf.DUMMYFUNCTION("""COMPUTED_VALUE"""),"RF-0893-001-PPP")</f>
        <v>RF-0893-001-PPP</v>
      </c>
    </row>
    <row r="7843" spans="1:2" ht="12.5" x14ac:dyDescent="0.25">
      <c r="A7843" t="str">
        <f ca="1">IFERROR(__xludf.DUMMYFUNCTION("""COMPUTED_VALUE"""),"Secnidazole")</f>
        <v>Secnidazole</v>
      </c>
      <c r="B7843" t="str">
        <f ca="1">IFERROR(__xludf.DUMMYFUNCTION("""COMPUTED_VALUE"""),"RF-00000096-VET")</f>
        <v>RF-00000096-VET</v>
      </c>
    </row>
    <row r="7844" spans="1:2" ht="12.5" x14ac:dyDescent="0.25">
      <c r="A7844" t="str">
        <f ca="1">IFERROR(__xludf.DUMMYFUNCTION("""COMPUTED_VALUE"""),"secoisolarisiresinol")</f>
        <v>secoisolarisiresinol</v>
      </c>
      <c r="B7844" t="str">
        <f ca="1">IFERROR(__xludf.DUMMYFUNCTION("""COMPUTED_VALUE"""),"RF-00000390-NTR")</f>
        <v>RF-00000390-NTR</v>
      </c>
    </row>
    <row r="7845" spans="1:2" ht="12.5" x14ac:dyDescent="0.25">
      <c r="A7845" t="str">
        <f ca="1">IFERROR(__xludf.DUMMYFUNCTION("""COMPUTED_VALUE"""),"Sedatives")</f>
        <v>Sedatives</v>
      </c>
      <c r="B7845" t="str">
        <f ca="1">IFERROR(__xludf.DUMMYFUNCTION("""COMPUTED_VALUE"""),"RF-00000164-VET")</f>
        <v>RF-00000164-VET</v>
      </c>
    </row>
    <row r="7846" spans="1:2" ht="12.5" x14ac:dyDescent="0.25">
      <c r="A7846" t="str">
        <f ca="1">IFERROR(__xludf.DUMMYFUNCTION("""COMPUTED_VALUE"""),"Selenium (Se)")</f>
        <v>Selenium (Se)</v>
      </c>
      <c r="B7846" t="str">
        <f ca="1">IFERROR(__xludf.DUMMYFUNCTION("""COMPUTED_VALUE"""),"RF-00000184-CHE")</f>
        <v>RF-00000184-CHE</v>
      </c>
    </row>
    <row r="7847" spans="1:2" ht="12.5" x14ac:dyDescent="0.25">
      <c r="A7847" t="str">
        <f ca="1">IFERROR(__xludf.DUMMYFUNCTION("""COMPUTED_VALUE"""),"Selenium and derivatives")</f>
        <v>Selenium and derivatives</v>
      </c>
      <c r="B7847" t="str">
        <f ca="1">IFERROR(__xludf.DUMMYFUNCTION("""COMPUTED_VALUE"""),"RF-00000183-CHE")</f>
        <v>RF-00000183-CHE</v>
      </c>
    </row>
    <row r="7848" spans="1:2" ht="12.5" x14ac:dyDescent="0.25">
      <c r="A7848" t="str">
        <f ca="1">IFERROR(__xludf.DUMMYFUNCTION("""COMPUTED_VALUE"""),"SEM (semicarbazide)")</f>
        <v>SEM (semicarbazide)</v>
      </c>
      <c r="B7848" t="str">
        <f ca="1">IFERROR(__xludf.DUMMYFUNCTION("""COMPUTED_VALUE"""),"RF-00000523-VET")</f>
        <v>RF-00000523-VET</v>
      </c>
    </row>
    <row r="7849" spans="1:2" ht="12.5" x14ac:dyDescent="0.25">
      <c r="A7849" t="str">
        <f ca="1">IFERROR(__xludf.DUMMYFUNCTION("""COMPUTED_VALUE"""),"Semduramicin")</f>
        <v>Semduramicin</v>
      </c>
      <c r="B7849" t="str">
        <f ca="1">IFERROR(__xludf.DUMMYFUNCTION("""COMPUTED_VALUE"""),"RF-00000059-VET")</f>
        <v>RF-00000059-VET</v>
      </c>
    </row>
    <row r="7850" spans="1:2" ht="12.5" x14ac:dyDescent="0.25">
      <c r="A7850" t="str">
        <f ca="1">IFERROR(__xludf.DUMMYFUNCTION("""COMPUTED_VALUE"""),"Semduramycin sodium")</f>
        <v>Semduramycin sodium</v>
      </c>
      <c r="B7850" t="str">
        <f ca="1">IFERROR(__xludf.DUMMYFUNCTION("""COMPUTED_VALUE"""),"RF-00000065-VET")</f>
        <v>RF-00000065-VET</v>
      </c>
    </row>
    <row r="7851" spans="1:2" ht="12.5" x14ac:dyDescent="0.25">
      <c r="A7851" t="str">
        <f ca="1">IFERROR(__xludf.DUMMYFUNCTION("""COMPUTED_VALUE"""),"Seneci(o)phylline")</f>
        <v>Seneci(o)phylline</v>
      </c>
      <c r="B7851" t="str">
        <f ca="1">IFERROR(__xludf.DUMMYFUNCTION("""COMPUTED_VALUE"""),"RF-00000233-TOX")</f>
        <v>RF-00000233-TOX</v>
      </c>
    </row>
    <row r="7852" spans="1:2" ht="12.5" x14ac:dyDescent="0.25">
      <c r="A7852" t="str">
        <f ca="1">IFERROR(__xludf.DUMMYFUNCTION("""COMPUTED_VALUE"""),"Senecionine")</f>
        <v>Senecionine</v>
      </c>
      <c r="B7852" t="str">
        <f ca="1">IFERROR(__xludf.DUMMYFUNCTION("""COMPUTED_VALUE"""),"RF-00000232-TOX")</f>
        <v>RF-00000232-TOX</v>
      </c>
    </row>
    <row r="7853" spans="1:2" ht="12.5" x14ac:dyDescent="0.25">
      <c r="A7853" t="str">
        <f ca="1">IFERROR(__xludf.DUMMYFUNCTION("""COMPUTED_VALUE"""),"Senecionine-N-oxide")</f>
        <v>Senecionine-N-oxide</v>
      </c>
      <c r="B7853" t="str">
        <f ca="1">IFERROR(__xludf.DUMMYFUNCTION("""COMPUTED_VALUE"""),"RF-00000361-TOX")</f>
        <v>RF-00000361-TOX</v>
      </c>
    </row>
    <row r="7854" spans="1:2" ht="12.5" x14ac:dyDescent="0.25">
      <c r="A7854" t="str">
        <f ca="1">IFERROR(__xludf.DUMMYFUNCTION("""COMPUTED_VALUE"""),"Seneciphylline-N-oxide")</f>
        <v>Seneciphylline-N-oxide</v>
      </c>
      <c r="B7854" t="str">
        <f ca="1">IFERROR(__xludf.DUMMYFUNCTION("""COMPUTED_VALUE"""),"RF-00000362-TOX")</f>
        <v>RF-00000362-TOX</v>
      </c>
    </row>
    <row r="7855" spans="1:2" ht="12.5" x14ac:dyDescent="0.25">
      <c r="A7855" t="str">
        <f ca="1">IFERROR(__xludf.DUMMYFUNCTION("""COMPUTED_VALUE"""),"Senecivernine")</f>
        <v>Senecivernine</v>
      </c>
      <c r="B7855" t="str">
        <f ca="1">IFERROR(__xludf.DUMMYFUNCTION("""COMPUTED_VALUE"""),"RF-00000299-TOX")</f>
        <v>RF-00000299-TOX</v>
      </c>
    </row>
    <row r="7856" spans="1:2" ht="12.5" x14ac:dyDescent="0.25">
      <c r="A7856" t="str">
        <f ca="1">IFERROR(__xludf.DUMMYFUNCTION("""COMPUTED_VALUE"""),"Senecivernine-N-oxide")</f>
        <v>Senecivernine-N-oxide</v>
      </c>
      <c r="B7856" t="str">
        <f ca="1">IFERROR(__xludf.DUMMYFUNCTION("""COMPUTED_VALUE"""),"RF-00000414-TOX")</f>
        <v>RF-00000414-TOX</v>
      </c>
    </row>
    <row r="7857" spans="1:2" ht="12.5" x14ac:dyDescent="0.25">
      <c r="A7857" t="str">
        <f ca="1">IFERROR(__xludf.DUMMYFUNCTION("""COMPUTED_VALUE"""),"Senkirkine")</f>
        <v>Senkirkine</v>
      </c>
      <c r="B7857" t="str">
        <f ca="1">IFERROR(__xludf.DUMMYFUNCTION("""COMPUTED_VALUE"""),"RF-00000300-TOX")</f>
        <v>RF-00000300-TOX</v>
      </c>
    </row>
    <row r="7858" spans="1:2" ht="12.5" x14ac:dyDescent="0.25">
      <c r="A7858" t="str">
        <f ca="1">IFERROR(__xludf.DUMMYFUNCTION("""COMPUTED_VALUE"""),"serine")</f>
        <v>serine</v>
      </c>
      <c r="B7858" t="str">
        <f ca="1">IFERROR(__xludf.DUMMYFUNCTION("""COMPUTED_VALUE"""),"RF-00000391-NTR")</f>
        <v>RF-00000391-NTR</v>
      </c>
    </row>
    <row r="7859" spans="1:2" ht="12.5" x14ac:dyDescent="0.25">
      <c r="A7859" t="str">
        <f ca="1">IFERROR(__xludf.DUMMYFUNCTION("""COMPUTED_VALUE"""),"Serotonin")</f>
        <v>Serotonin</v>
      </c>
      <c r="B7859" t="str">
        <f ca="1">IFERROR(__xludf.DUMMYFUNCTION("""COMPUTED_VALUE"""),"RF-00000478-ORG")</f>
        <v>RF-00000478-ORG</v>
      </c>
    </row>
    <row r="7860" spans="1:2" ht="12.5" x14ac:dyDescent="0.25">
      <c r="A7860" t="str">
        <f ca="1">IFERROR(__xludf.DUMMYFUNCTION("""COMPUTED_VALUE"""),"Sethoxydim")</f>
        <v>Sethoxydim</v>
      </c>
      <c r="B7860" t="str">
        <f ca="1">IFERROR(__xludf.DUMMYFUNCTION("""COMPUTED_VALUE"""),"RF-0096-003-PPP")</f>
        <v>RF-0096-003-PPP</v>
      </c>
    </row>
    <row r="7861" spans="1:2" ht="12.5" x14ac:dyDescent="0.25">
      <c r="A7861" t="str">
        <f ca="1">IFERROR(__xludf.DUMMYFUNCTION("""COMPUTED_VALUE"""),"Shellac")</f>
        <v>Shellac</v>
      </c>
      <c r="B7861" t="str">
        <f ca="1">IFERROR(__xludf.DUMMYFUNCTION("""COMPUTED_VALUE"""),"RF-00000270-ADD")</f>
        <v>RF-00000270-ADD</v>
      </c>
    </row>
    <row r="7862" spans="1:2" ht="12.5" x14ac:dyDescent="0.25">
      <c r="A7862" t="str">
        <f ca="1">IFERROR(__xludf.DUMMYFUNCTION("""COMPUTED_VALUE"""),"Shigella")</f>
        <v>Shigella</v>
      </c>
      <c r="B7862" t="str">
        <f ca="1">IFERROR(__xludf.DUMMYFUNCTION("""COMPUTED_VALUE"""),"RF-00002479-MCG")</f>
        <v>RF-00002479-MCG</v>
      </c>
    </row>
    <row r="7863" spans="1:2" ht="12.5" x14ac:dyDescent="0.25">
      <c r="A7863" t="str">
        <f ca="1">IFERROR(__xludf.DUMMYFUNCTION("""COMPUTED_VALUE"""),"Shigella boydii")</f>
        <v>Shigella boydii</v>
      </c>
      <c r="B7863" t="str">
        <f ca="1">IFERROR(__xludf.DUMMYFUNCTION("""COMPUTED_VALUE"""),"RF-00002482-MCG")</f>
        <v>RF-00002482-MCG</v>
      </c>
    </row>
    <row r="7864" spans="1:2" ht="12.5" x14ac:dyDescent="0.25">
      <c r="A7864" t="str">
        <f ca="1">IFERROR(__xludf.DUMMYFUNCTION("""COMPUTED_VALUE"""),"Shigella dysenteriae")</f>
        <v>Shigella dysenteriae</v>
      </c>
      <c r="B7864" t="str">
        <f ca="1">IFERROR(__xludf.DUMMYFUNCTION("""COMPUTED_VALUE"""),"RF-00002481-MCG")</f>
        <v>RF-00002481-MCG</v>
      </c>
    </row>
    <row r="7865" spans="1:2" ht="12.5" x14ac:dyDescent="0.25">
      <c r="A7865" t="str">
        <f ca="1">IFERROR(__xludf.DUMMYFUNCTION("""COMPUTED_VALUE"""),"Shigella flexneri")</f>
        <v>Shigella flexneri</v>
      </c>
      <c r="B7865" t="str">
        <f ca="1">IFERROR(__xludf.DUMMYFUNCTION("""COMPUTED_VALUE"""),"RF-00002484-MCG")</f>
        <v>RF-00002484-MCG</v>
      </c>
    </row>
    <row r="7866" spans="1:2" ht="12.5" x14ac:dyDescent="0.25">
      <c r="A7866" t="str">
        <f ca="1">IFERROR(__xludf.DUMMYFUNCTION("""COMPUTED_VALUE"""),"Shigella sonnei")</f>
        <v>Shigella sonnei</v>
      </c>
      <c r="B7866" t="str">
        <f ca="1">IFERROR(__xludf.DUMMYFUNCTION("""COMPUTED_VALUE"""),"RF-00002480-MCG")</f>
        <v>RF-00002480-MCG</v>
      </c>
    </row>
    <row r="7867" spans="1:2" ht="12.5" x14ac:dyDescent="0.25">
      <c r="A7867" t="str">
        <f ca="1">IFERROR(__xludf.DUMMYFUNCTION("""COMPUTED_VALUE"""),"Shigella spp., unspecified")</f>
        <v>Shigella spp., unspecified</v>
      </c>
      <c r="B7867" t="str">
        <f ca="1">IFERROR(__xludf.DUMMYFUNCTION("""COMPUTED_VALUE"""),"RF-00002483-MCG")</f>
        <v>RF-00002483-MCG</v>
      </c>
    </row>
    <row r="7868" spans="1:2" ht="12.5" x14ac:dyDescent="0.25">
      <c r="A7868" t="str">
        <f ca="1">IFERROR(__xludf.DUMMYFUNCTION("""COMPUTED_VALUE"""),"SHV")</f>
        <v>SHV</v>
      </c>
      <c r="B7868" t="str">
        <f ca="1">IFERROR(__xludf.DUMMYFUNCTION("""COMPUTED_VALUE"""),"RF-00000338-PAR")</f>
        <v>RF-00000338-PAR</v>
      </c>
    </row>
    <row r="7869" spans="1:2" ht="12.5" x14ac:dyDescent="0.25">
      <c r="A7869" t="str">
        <f ca="1">IFERROR(__xludf.DUMMYFUNCTION("""COMPUTED_VALUE"""),"SHV-1")</f>
        <v>SHV-1</v>
      </c>
      <c r="B7869" t="str">
        <f ca="1">IFERROR(__xludf.DUMMYFUNCTION("""COMPUTED_VALUE"""),"RF-00000339-PAR")</f>
        <v>RF-00000339-PAR</v>
      </c>
    </row>
    <row r="7870" spans="1:2" ht="12.5" x14ac:dyDescent="0.25">
      <c r="A7870" t="str">
        <f ca="1">IFERROR(__xludf.DUMMYFUNCTION("""COMPUTED_VALUE"""),"SHV-10")</f>
        <v>SHV-10</v>
      </c>
      <c r="B7870" t="str">
        <f ca="1">IFERROR(__xludf.DUMMYFUNCTION("""COMPUTED_VALUE"""),"RF-00000348-PAR")</f>
        <v>RF-00000348-PAR</v>
      </c>
    </row>
    <row r="7871" spans="1:2" ht="12.5" x14ac:dyDescent="0.25">
      <c r="A7871" t="str">
        <f ca="1">IFERROR(__xludf.DUMMYFUNCTION("""COMPUTED_VALUE"""),"SHV-100")</f>
        <v>SHV-100</v>
      </c>
      <c r="B7871" t="str">
        <f ca="1">IFERROR(__xludf.DUMMYFUNCTION("""COMPUTED_VALUE"""),"RF-00000438-PAR")</f>
        <v>RF-00000438-PAR</v>
      </c>
    </row>
    <row r="7872" spans="1:2" ht="12.5" x14ac:dyDescent="0.25">
      <c r="A7872" t="str">
        <f ca="1">IFERROR(__xludf.DUMMYFUNCTION("""COMPUTED_VALUE"""),"SHV-101")</f>
        <v>SHV-101</v>
      </c>
      <c r="B7872" t="str">
        <f ca="1">IFERROR(__xludf.DUMMYFUNCTION("""COMPUTED_VALUE"""),"RF-00000439-PAR")</f>
        <v>RF-00000439-PAR</v>
      </c>
    </row>
    <row r="7873" spans="1:2" ht="12.5" x14ac:dyDescent="0.25">
      <c r="A7873" t="str">
        <f ca="1">IFERROR(__xludf.DUMMYFUNCTION("""COMPUTED_VALUE"""),"SHV-102")</f>
        <v>SHV-102</v>
      </c>
      <c r="B7873" t="str">
        <f ca="1">IFERROR(__xludf.DUMMYFUNCTION("""COMPUTED_VALUE"""),"RF-00000440-PAR")</f>
        <v>RF-00000440-PAR</v>
      </c>
    </row>
    <row r="7874" spans="1:2" ht="12.5" x14ac:dyDescent="0.25">
      <c r="A7874" t="str">
        <f ca="1">IFERROR(__xludf.DUMMYFUNCTION("""COMPUTED_VALUE"""),"SHV-103")</f>
        <v>SHV-103</v>
      </c>
      <c r="B7874" t="str">
        <f ca="1">IFERROR(__xludf.DUMMYFUNCTION("""COMPUTED_VALUE"""),"RF-00000441-PAR")</f>
        <v>RF-00000441-PAR</v>
      </c>
    </row>
    <row r="7875" spans="1:2" ht="12.5" x14ac:dyDescent="0.25">
      <c r="A7875" t="str">
        <f ca="1">IFERROR(__xludf.DUMMYFUNCTION("""COMPUTED_VALUE"""),"SHV-104")</f>
        <v>SHV-104</v>
      </c>
      <c r="B7875" t="str">
        <f ca="1">IFERROR(__xludf.DUMMYFUNCTION("""COMPUTED_VALUE"""),"RF-00000442-PAR")</f>
        <v>RF-00000442-PAR</v>
      </c>
    </row>
    <row r="7876" spans="1:2" ht="12.5" x14ac:dyDescent="0.25">
      <c r="A7876" t="str">
        <f ca="1">IFERROR(__xludf.DUMMYFUNCTION("""COMPUTED_VALUE"""),"SHV-105")</f>
        <v>SHV-105</v>
      </c>
      <c r="B7876" t="str">
        <f ca="1">IFERROR(__xludf.DUMMYFUNCTION("""COMPUTED_VALUE"""),"RF-00000443-PAR")</f>
        <v>RF-00000443-PAR</v>
      </c>
    </row>
    <row r="7877" spans="1:2" ht="12.5" x14ac:dyDescent="0.25">
      <c r="A7877" t="str">
        <f ca="1">IFERROR(__xludf.DUMMYFUNCTION("""COMPUTED_VALUE"""),"SHV-106")</f>
        <v>SHV-106</v>
      </c>
      <c r="B7877" t="str">
        <f ca="1">IFERROR(__xludf.DUMMYFUNCTION("""COMPUTED_VALUE"""),"RF-00000444-PAR")</f>
        <v>RF-00000444-PAR</v>
      </c>
    </row>
    <row r="7878" spans="1:2" ht="12.5" x14ac:dyDescent="0.25">
      <c r="A7878" t="str">
        <f ca="1">IFERROR(__xludf.DUMMYFUNCTION("""COMPUTED_VALUE"""),"SHV-107")</f>
        <v>SHV-107</v>
      </c>
      <c r="B7878" t="str">
        <f ca="1">IFERROR(__xludf.DUMMYFUNCTION("""COMPUTED_VALUE"""),"RF-00000445-PAR")</f>
        <v>RF-00000445-PAR</v>
      </c>
    </row>
    <row r="7879" spans="1:2" ht="12.5" x14ac:dyDescent="0.25">
      <c r="A7879" t="str">
        <f ca="1">IFERROR(__xludf.DUMMYFUNCTION("""COMPUTED_VALUE"""),"SHV-108")</f>
        <v>SHV-108</v>
      </c>
      <c r="B7879" t="str">
        <f ca="1">IFERROR(__xludf.DUMMYFUNCTION("""COMPUTED_VALUE"""),"RF-00000446-PAR")</f>
        <v>RF-00000446-PAR</v>
      </c>
    </row>
    <row r="7880" spans="1:2" ht="12.5" x14ac:dyDescent="0.25">
      <c r="A7880" t="str">
        <f ca="1">IFERROR(__xludf.DUMMYFUNCTION("""COMPUTED_VALUE"""),"SHV-109")</f>
        <v>SHV-109</v>
      </c>
      <c r="B7880" t="str">
        <f ca="1">IFERROR(__xludf.DUMMYFUNCTION("""COMPUTED_VALUE"""),"RF-00000447-PAR")</f>
        <v>RF-00000447-PAR</v>
      </c>
    </row>
    <row r="7881" spans="1:2" ht="12.5" x14ac:dyDescent="0.25">
      <c r="A7881" t="str">
        <f ca="1">IFERROR(__xludf.DUMMYFUNCTION("""COMPUTED_VALUE"""),"SHV-11")</f>
        <v>SHV-11</v>
      </c>
      <c r="B7881" t="str">
        <f ca="1">IFERROR(__xludf.DUMMYFUNCTION("""COMPUTED_VALUE"""),"RF-00000349-PAR")</f>
        <v>RF-00000349-PAR</v>
      </c>
    </row>
    <row r="7882" spans="1:2" ht="12.5" x14ac:dyDescent="0.25">
      <c r="A7882" t="str">
        <f ca="1">IFERROR(__xludf.DUMMYFUNCTION("""COMPUTED_VALUE"""),"SHV-110")</f>
        <v>SHV-110</v>
      </c>
      <c r="B7882" t="str">
        <f ca="1">IFERROR(__xludf.DUMMYFUNCTION("""COMPUTED_VALUE"""),"RF-00000448-PAR")</f>
        <v>RF-00000448-PAR</v>
      </c>
    </row>
    <row r="7883" spans="1:2" ht="12.5" x14ac:dyDescent="0.25">
      <c r="A7883" t="str">
        <f ca="1">IFERROR(__xludf.DUMMYFUNCTION("""COMPUTED_VALUE"""),"SHV-111")</f>
        <v>SHV-111</v>
      </c>
      <c r="B7883" t="str">
        <f ca="1">IFERROR(__xludf.DUMMYFUNCTION("""COMPUTED_VALUE"""),"RF-00000449-PAR")</f>
        <v>RF-00000449-PAR</v>
      </c>
    </row>
    <row r="7884" spans="1:2" ht="12.5" x14ac:dyDescent="0.25">
      <c r="A7884" t="str">
        <f ca="1">IFERROR(__xludf.DUMMYFUNCTION("""COMPUTED_VALUE"""),"SHV-112")</f>
        <v>SHV-112</v>
      </c>
      <c r="B7884" t="str">
        <f ca="1">IFERROR(__xludf.DUMMYFUNCTION("""COMPUTED_VALUE"""),"RF-00000450-PAR")</f>
        <v>RF-00000450-PAR</v>
      </c>
    </row>
    <row r="7885" spans="1:2" ht="12.5" x14ac:dyDescent="0.25">
      <c r="A7885" t="str">
        <f ca="1">IFERROR(__xludf.DUMMYFUNCTION("""COMPUTED_VALUE"""),"SHV-113")</f>
        <v>SHV-113</v>
      </c>
      <c r="B7885" t="str">
        <f ca="1">IFERROR(__xludf.DUMMYFUNCTION("""COMPUTED_VALUE"""),"RF-00000451-PAR")</f>
        <v>RF-00000451-PAR</v>
      </c>
    </row>
    <row r="7886" spans="1:2" ht="12.5" x14ac:dyDescent="0.25">
      <c r="A7886" t="str">
        <f ca="1">IFERROR(__xludf.DUMMYFUNCTION("""COMPUTED_VALUE"""),"SHV-114")</f>
        <v>SHV-114</v>
      </c>
      <c r="B7886" t="str">
        <f ca="1">IFERROR(__xludf.DUMMYFUNCTION("""COMPUTED_VALUE"""),"RF-00000452-PAR")</f>
        <v>RF-00000452-PAR</v>
      </c>
    </row>
    <row r="7887" spans="1:2" ht="12.5" x14ac:dyDescent="0.25">
      <c r="A7887" t="str">
        <f ca="1">IFERROR(__xludf.DUMMYFUNCTION("""COMPUTED_VALUE"""),"SHV-115")</f>
        <v>SHV-115</v>
      </c>
      <c r="B7887" t="str">
        <f ca="1">IFERROR(__xludf.DUMMYFUNCTION("""COMPUTED_VALUE"""),"RF-00000453-PAR")</f>
        <v>RF-00000453-PAR</v>
      </c>
    </row>
    <row r="7888" spans="1:2" ht="12.5" x14ac:dyDescent="0.25">
      <c r="A7888" t="str">
        <f ca="1">IFERROR(__xludf.DUMMYFUNCTION("""COMPUTED_VALUE"""),"SHV-116")</f>
        <v>SHV-116</v>
      </c>
      <c r="B7888" t="str">
        <f ca="1">IFERROR(__xludf.DUMMYFUNCTION("""COMPUTED_VALUE"""),"RF-00000454-PAR")</f>
        <v>RF-00000454-PAR</v>
      </c>
    </row>
    <row r="7889" spans="1:2" ht="12.5" x14ac:dyDescent="0.25">
      <c r="A7889" t="str">
        <f ca="1">IFERROR(__xludf.DUMMYFUNCTION("""COMPUTED_VALUE"""),"SHV-117")</f>
        <v>SHV-117</v>
      </c>
      <c r="B7889" t="str">
        <f ca="1">IFERROR(__xludf.DUMMYFUNCTION("""COMPUTED_VALUE"""),"RF-00000455-PAR")</f>
        <v>RF-00000455-PAR</v>
      </c>
    </row>
    <row r="7890" spans="1:2" ht="12.5" x14ac:dyDescent="0.25">
      <c r="A7890" t="str">
        <f ca="1">IFERROR(__xludf.DUMMYFUNCTION("""COMPUTED_VALUE"""),"SHV-118")</f>
        <v>SHV-118</v>
      </c>
      <c r="B7890" t="str">
        <f ca="1">IFERROR(__xludf.DUMMYFUNCTION("""COMPUTED_VALUE"""),"RF-00000456-PAR")</f>
        <v>RF-00000456-PAR</v>
      </c>
    </row>
    <row r="7891" spans="1:2" ht="12.5" x14ac:dyDescent="0.25">
      <c r="A7891" t="str">
        <f ca="1">IFERROR(__xludf.DUMMYFUNCTION("""COMPUTED_VALUE"""),"SHV-119")</f>
        <v>SHV-119</v>
      </c>
      <c r="B7891" t="str">
        <f ca="1">IFERROR(__xludf.DUMMYFUNCTION("""COMPUTED_VALUE"""),"RF-00000457-PAR")</f>
        <v>RF-00000457-PAR</v>
      </c>
    </row>
    <row r="7892" spans="1:2" ht="12.5" x14ac:dyDescent="0.25">
      <c r="A7892" t="str">
        <f ca="1">IFERROR(__xludf.DUMMYFUNCTION("""COMPUTED_VALUE"""),"SHV-12")</f>
        <v>SHV-12</v>
      </c>
      <c r="B7892" t="str">
        <f ca="1">IFERROR(__xludf.DUMMYFUNCTION("""COMPUTED_VALUE"""),"RF-00000350-PAR")</f>
        <v>RF-00000350-PAR</v>
      </c>
    </row>
    <row r="7893" spans="1:2" ht="12.5" x14ac:dyDescent="0.25">
      <c r="A7893" t="str">
        <f ca="1">IFERROR(__xludf.DUMMYFUNCTION("""COMPUTED_VALUE"""),"SHV-120")</f>
        <v>SHV-120</v>
      </c>
      <c r="B7893" t="str">
        <f ca="1">IFERROR(__xludf.DUMMYFUNCTION("""COMPUTED_VALUE"""),"RF-00000458-PAR")</f>
        <v>RF-00000458-PAR</v>
      </c>
    </row>
    <row r="7894" spans="1:2" ht="12.5" x14ac:dyDescent="0.25">
      <c r="A7894" t="str">
        <f ca="1">IFERROR(__xludf.DUMMYFUNCTION("""COMPUTED_VALUE"""),"SHV-121")</f>
        <v>SHV-121</v>
      </c>
      <c r="B7894" t="str">
        <f ca="1">IFERROR(__xludf.DUMMYFUNCTION("""COMPUTED_VALUE"""),"RF-00000459-PAR")</f>
        <v>RF-00000459-PAR</v>
      </c>
    </row>
    <row r="7895" spans="1:2" ht="12.5" x14ac:dyDescent="0.25">
      <c r="A7895" t="str">
        <f ca="1">IFERROR(__xludf.DUMMYFUNCTION("""COMPUTED_VALUE"""),"SHV-122")</f>
        <v>SHV-122</v>
      </c>
      <c r="B7895" t="str">
        <f ca="1">IFERROR(__xludf.DUMMYFUNCTION("""COMPUTED_VALUE"""),"RF-00000460-PAR")</f>
        <v>RF-00000460-PAR</v>
      </c>
    </row>
    <row r="7896" spans="1:2" ht="12.5" x14ac:dyDescent="0.25">
      <c r="A7896" t="str">
        <f ca="1">IFERROR(__xludf.DUMMYFUNCTION("""COMPUTED_VALUE"""),"SHV-123")</f>
        <v>SHV-123</v>
      </c>
      <c r="B7896" t="str">
        <f ca="1">IFERROR(__xludf.DUMMYFUNCTION("""COMPUTED_VALUE"""),"RF-00000461-PAR")</f>
        <v>RF-00000461-PAR</v>
      </c>
    </row>
    <row r="7897" spans="1:2" ht="12.5" x14ac:dyDescent="0.25">
      <c r="A7897" t="str">
        <f ca="1">IFERROR(__xludf.DUMMYFUNCTION("""COMPUTED_VALUE"""),"SHV-124")</f>
        <v>SHV-124</v>
      </c>
      <c r="B7897" t="str">
        <f ca="1">IFERROR(__xludf.DUMMYFUNCTION("""COMPUTED_VALUE"""),"RF-00000462-PAR")</f>
        <v>RF-00000462-PAR</v>
      </c>
    </row>
    <row r="7898" spans="1:2" ht="12.5" x14ac:dyDescent="0.25">
      <c r="A7898" t="str">
        <f ca="1">IFERROR(__xludf.DUMMYFUNCTION("""COMPUTED_VALUE"""),"SHV-125")</f>
        <v>SHV-125</v>
      </c>
      <c r="B7898" t="str">
        <f ca="1">IFERROR(__xludf.DUMMYFUNCTION("""COMPUTED_VALUE"""),"RF-00000463-PAR")</f>
        <v>RF-00000463-PAR</v>
      </c>
    </row>
    <row r="7899" spans="1:2" ht="12.5" x14ac:dyDescent="0.25">
      <c r="A7899" t="str">
        <f ca="1">IFERROR(__xludf.DUMMYFUNCTION("""COMPUTED_VALUE"""),"SHV-126")</f>
        <v>SHV-126</v>
      </c>
      <c r="B7899" t="str">
        <f ca="1">IFERROR(__xludf.DUMMYFUNCTION("""COMPUTED_VALUE"""),"RF-00000464-PAR")</f>
        <v>RF-00000464-PAR</v>
      </c>
    </row>
    <row r="7900" spans="1:2" ht="12.5" x14ac:dyDescent="0.25">
      <c r="A7900" t="str">
        <f ca="1">IFERROR(__xludf.DUMMYFUNCTION("""COMPUTED_VALUE"""),"SHV-127")</f>
        <v>SHV-127</v>
      </c>
      <c r="B7900" t="str">
        <f ca="1">IFERROR(__xludf.DUMMYFUNCTION("""COMPUTED_VALUE"""),"RF-00000465-PAR")</f>
        <v>RF-00000465-PAR</v>
      </c>
    </row>
    <row r="7901" spans="1:2" ht="12.5" x14ac:dyDescent="0.25">
      <c r="A7901" t="str">
        <f ca="1">IFERROR(__xludf.DUMMYFUNCTION("""COMPUTED_VALUE"""),"SHV-128")</f>
        <v>SHV-128</v>
      </c>
      <c r="B7901" t="str">
        <f ca="1">IFERROR(__xludf.DUMMYFUNCTION("""COMPUTED_VALUE"""),"RF-00000466-PAR")</f>
        <v>RF-00000466-PAR</v>
      </c>
    </row>
    <row r="7902" spans="1:2" ht="12.5" x14ac:dyDescent="0.25">
      <c r="A7902" t="str">
        <f ca="1">IFERROR(__xludf.DUMMYFUNCTION("""COMPUTED_VALUE"""),"SHV-129")</f>
        <v>SHV-129</v>
      </c>
      <c r="B7902" t="str">
        <f ca="1">IFERROR(__xludf.DUMMYFUNCTION("""COMPUTED_VALUE"""),"RF-00000467-PAR")</f>
        <v>RF-00000467-PAR</v>
      </c>
    </row>
    <row r="7903" spans="1:2" ht="12.5" x14ac:dyDescent="0.25">
      <c r="A7903" t="str">
        <f ca="1">IFERROR(__xludf.DUMMYFUNCTION("""COMPUTED_VALUE"""),"SHV-13")</f>
        <v>SHV-13</v>
      </c>
      <c r="B7903" t="str">
        <f ca="1">IFERROR(__xludf.DUMMYFUNCTION("""COMPUTED_VALUE"""),"RF-00000351-PAR")</f>
        <v>RF-00000351-PAR</v>
      </c>
    </row>
    <row r="7904" spans="1:2" ht="12.5" x14ac:dyDescent="0.25">
      <c r="A7904" t="str">
        <f ca="1">IFERROR(__xludf.DUMMYFUNCTION("""COMPUTED_VALUE"""),"SHV-130")</f>
        <v>SHV-130</v>
      </c>
      <c r="B7904" t="str">
        <f ca="1">IFERROR(__xludf.DUMMYFUNCTION("""COMPUTED_VALUE"""),"RF-00000468-PAR")</f>
        <v>RF-00000468-PAR</v>
      </c>
    </row>
    <row r="7905" spans="1:2" ht="12.5" x14ac:dyDescent="0.25">
      <c r="A7905" t="str">
        <f ca="1">IFERROR(__xludf.DUMMYFUNCTION("""COMPUTED_VALUE"""),"SHV-131")</f>
        <v>SHV-131</v>
      </c>
      <c r="B7905" t="str">
        <f ca="1">IFERROR(__xludf.DUMMYFUNCTION("""COMPUTED_VALUE"""),"RF-00000469-PAR")</f>
        <v>RF-00000469-PAR</v>
      </c>
    </row>
    <row r="7906" spans="1:2" ht="12.5" x14ac:dyDescent="0.25">
      <c r="A7906" t="str">
        <f ca="1">IFERROR(__xludf.DUMMYFUNCTION("""COMPUTED_VALUE"""),"SHV-132")</f>
        <v>SHV-132</v>
      </c>
      <c r="B7906" t="str">
        <f ca="1">IFERROR(__xludf.DUMMYFUNCTION("""COMPUTED_VALUE"""),"RF-00000470-PAR")</f>
        <v>RF-00000470-PAR</v>
      </c>
    </row>
    <row r="7907" spans="1:2" ht="12.5" x14ac:dyDescent="0.25">
      <c r="A7907" t="str">
        <f ca="1">IFERROR(__xludf.DUMMYFUNCTION("""COMPUTED_VALUE"""),"SHV-133")</f>
        <v>SHV-133</v>
      </c>
      <c r="B7907" t="str">
        <f ca="1">IFERROR(__xludf.DUMMYFUNCTION("""COMPUTED_VALUE"""),"RF-00000471-PAR")</f>
        <v>RF-00000471-PAR</v>
      </c>
    </row>
    <row r="7908" spans="1:2" ht="12.5" x14ac:dyDescent="0.25">
      <c r="A7908" t="str">
        <f ca="1">IFERROR(__xludf.DUMMYFUNCTION("""COMPUTED_VALUE"""),"SHV-134")</f>
        <v>SHV-134</v>
      </c>
      <c r="B7908" t="str">
        <f ca="1">IFERROR(__xludf.DUMMYFUNCTION("""COMPUTED_VALUE"""),"RF-00000472-PAR")</f>
        <v>RF-00000472-PAR</v>
      </c>
    </row>
    <row r="7909" spans="1:2" ht="12.5" x14ac:dyDescent="0.25">
      <c r="A7909" t="str">
        <f ca="1">IFERROR(__xludf.DUMMYFUNCTION("""COMPUTED_VALUE"""),"SHV-135")</f>
        <v>SHV-135</v>
      </c>
      <c r="B7909" t="str">
        <f ca="1">IFERROR(__xludf.DUMMYFUNCTION("""COMPUTED_VALUE"""),"RF-00000473-PAR")</f>
        <v>RF-00000473-PAR</v>
      </c>
    </row>
    <row r="7910" spans="1:2" ht="12.5" x14ac:dyDescent="0.25">
      <c r="A7910" t="str">
        <f ca="1">IFERROR(__xludf.DUMMYFUNCTION("""COMPUTED_VALUE"""),"SHV-136")</f>
        <v>SHV-136</v>
      </c>
      <c r="B7910" t="str">
        <f ca="1">IFERROR(__xludf.DUMMYFUNCTION("""COMPUTED_VALUE"""),"RF-00000474-PAR")</f>
        <v>RF-00000474-PAR</v>
      </c>
    </row>
    <row r="7911" spans="1:2" ht="12.5" x14ac:dyDescent="0.25">
      <c r="A7911" t="str">
        <f ca="1">IFERROR(__xludf.DUMMYFUNCTION("""COMPUTED_VALUE"""),"SHV-137")</f>
        <v>SHV-137</v>
      </c>
      <c r="B7911" t="str">
        <f ca="1">IFERROR(__xludf.DUMMYFUNCTION("""COMPUTED_VALUE"""),"RF-00000475-PAR")</f>
        <v>RF-00000475-PAR</v>
      </c>
    </row>
    <row r="7912" spans="1:2" ht="12.5" x14ac:dyDescent="0.25">
      <c r="A7912" t="str">
        <f ca="1">IFERROR(__xludf.DUMMYFUNCTION("""COMPUTED_VALUE"""),"SHV-138")</f>
        <v>SHV-138</v>
      </c>
      <c r="B7912" t="str">
        <f ca="1">IFERROR(__xludf.DUMMYFUNCTION("""COMPUTED_VALUE"""),"RF-00000476-PAR")</f>
        <v>RF-00000476-PAR</v>
      </c>
    </row>
    <row r="7913" spans="1:2" ht="12.5" x14ac:dyDescent="0.25">
      <c r="A7913" t="str">
        <f ca="1">IFERROR(__xludf.DUMMYFUNCTION("""COMPUTED_VALUE"""),"SHV-139")</f>
        <v>SHV-139</v>
      </c>
      <c r="B7913" t="str">
        <f ca="1">IFERROR(__xludf.DUMMYFUNCTION("""COMPUTED_VALUE"""),"RF-00000477-PAR")</f>
        <v>RF-00000477-PAR</v>
      </c>
    </row>
    <row r="7914" spans="1:2" ht="12.5" x14ac:dyDescent="0.25">
      <c r="A7914" t="str">
        <f ca="1">IFERROR(__xludf.DUMMYFUNCTION("""COMPUTED_VALUE"""),"SHV-14")</f>
        <v>SHV-14</v>
      </c>
      <c r="B7914" t="str">
        <f ca="1">IFERROR(__xludf.DUMMYFUNCTION("""COMPUTED_VALUE"""),"RF-00000352-PAR")</f>
        <v>RF-00000352-PAR</v>
      </c>
    </row>
    <row r="7915" spans="1:2" ht="12.5" x14ac:dyDescent="0.25">
      <c r="A7915" t="str">
        <f ca="1">IFERROR(__xludf.DUMMYFUNCTION("""COMPUTED_VALUE"""),"SHV-140")</f>
        <v>SHV-140</v>
      </c>
      <c r="B7915" t="str">
        <f ca="1">IFERROR(__xludf.DUMMYFUNCTION("""COMPUTED_VALUE"""),"RF-00000478-PAR")</f>
        <v>RF-00000478-PAR</v>
      </c>
    </row>
    <row r="7916" spans="1:2" ht="12.5" x14ac:dyDescent="0.25">
      <c r="A7916" t="str">
        <f ca="1">IFERROR(__xludf.DUMMYFUNCTION("""COMPUTED_VALUE"""),"SHV-141")</f>
        <v>SHV-141</v>
      </c>
      <c r="B7916" t="str">
        <f ca="1">IFERROR(__xludf.DUMMYFUNCTION("""COMPUTED_VALUE"""),"RF-00000479-PAR")</f>
        <v>RF-00000479-PAR</v>
      </c>
    </row>
    <row r="7917" spans="1:2" ht="12.5" x14ac:dyDescent="0.25">
      <c r="A7917" t="str">
        <f ca="1">IFERROR(__xludf.DUMMYFUNCTION("""COMPUTED_VALUE"""),"SHV-142")</f>
        <v>SHV-142</v>
      </c>
      <c r="B7917" t="str">
        <f ca="1">IFERROR(__xludf.DUMMYFUNCTION("""COMPUTED_VALUE"""),"RF-00000480-PAR")</f>
        <v>RF-00000480-PAR</v>
      </c>
    </row>
    <row r="7918" spans="1:2" ht="12.5" x14ac:dyDescent="0.25">
      <c r="A7918" t="str">
        <f ca="1">IFERROR(__xludf.DUMMYFUNCTION("""COMPUTED_VALUE"""),"SHV-143")</f>
        <v>SHV-143</v>
      </c>
      <c r="B7918" t="str">
        <f ca="1">IFERROR(__xludf.DUMMYFUNCTION("""COMPUTED_VALUE"""),"RF-00000481-PAR")</f>
        <v>RF-00000481-PAR</v>
      </c>
    </row>
    <row r="7919" spans="1:2" ht="12.5" x14ac:dyDescent="0.25">
      <c r="A7919" t="str">
        <f ca="1">IFERROR(__xludf.DUMMYFUNCTION("""COMPUTED_VALUE"""),"SHV-144")</f>
        <v>SHV-144</v>
      </c>
      <c r="B7919" t="str">
        <f ca="1">IFERROR(__xludf.DUMMYFUNCTION("""COMPUTED_VALUE"""),"RF-00000482-PAR")</f>
        <v>RF-00000482-PAR</v>
      </c>
    </row>
    <row r="7920" spans="1:2" ht="12.5" x14ac:dyDescent="0.25">
      <c r="A7920" t="str">
        <f ca="1">IFERROR(__xludf.DUMMYFUNCTION("""COMPUTED_VALUE"""),"SHV-145")</f>
        <v>SHV-145</v>
      </c>
      <c r="B7920" t="str">
        <f ca="1">IFERROR(__xludf.DUMMYFUNCTION("""COMPUTED_VALUE"""),"RF-00000483-PAR")</f>
        <v>RF-00000483-PAR</v>
      </c>
    </row>
    <row r="7921" spans="1:2" ht="12.5" x14ac:dyDescent="0.25">
      <c r="A7921" t="str">
        <f ca="1">IFERROR(__xludf.DUMMYFUNCTION("""COMPUTED_VALUE"""),"SHV-146")</f>
        <v>SHV-146</v>
      </c>
      <c r="B7921" t="str">
        <f ca="1">IFERROR(__xludf.DUMMYFUNCTION("""COMPUTED_VALUE"""),"RF-00000484-PAR")</f>
        <v>RF-00000484-PAR</v>
      </c>
    </row>
    <row r="7922" spans="1:2" ht="12.5" x14ac:dyDescent="0.25">
      <c r="A7922" t="str">
        <f ca="1">IFERROR(__xludf.DUMMYFUNCTION("""COMPUTED_VALUE"""),"SHV-147")</f>
        <v>SHV-147</v>
      </c>
      <c r="B7922" t="str">
        <f ca="1">IFERROR(__xludf.DUMMYFUNCTION("""COMPUTED_VALUE"""),"RF-00000485-PAR")</f>
        <v>RF-00000485-PAR</v>
      </c>
    </row>
    <row r="7923" spans="1:2" ht="12.5" x14ac:dyDescent="0.25">
      <c r="A7923" t="str">
        <f ca="1">IFERROR(__xludf.DUMMYFUNCTION("""COMPUTED_VALUE"""),"SHV-148")</f>
        <v>SHV-148</v>
      </c>
      <c r="B7923" t="str">
        <f ca="1">IFERROR(__xludf.DUMMYFUNCTION("""COMPUTED_VALUE"""),"RF-00000486-PAR")</f>
        <v>RF-00000486-PAR</v>
      </c>
    </row>
    <row r="7924" spans="1:2" ht="12.5" x14ac:dyDescent="0.25">
      <c r="A7924" t="str">
        <f ca="1">IFERROR(__xludf.DUMMYFUNCTION("""COMPUTED_VALUE"""),"SHV-149")</f>
        <v>SHV-149</v>
      </c>
      <c r="B7924" t="str">
        <f ca="1">IFERROR(__xludf.DUMMYFUNCTION("""COMPUTED_VALUE"""),"RF-00000487-PAR")</f>
        <v>RF-00000487-PAR</v>
      </c>
    </row>
    <row r="7925" spans="1:2" ht="12.5" x14ac:dyDescent="0.25">
      <c r="A7925" t="str">
        <f ca="1">IFERROR(__xludf.DUMMYFUNCTION("""COMPUTED_VALUE"""),"SHV-15")</f>
        <v>SHV-15</v>
      </c>
      <c r="B7925" t="str">
        <f ca="1">IFERROR(__xludf.DUMMYFUNCTION("""COMPUTED_VALUE"""),"RF-00000353-PAR")</f>
        <v>RF-00000353-PAR</v>
      </c>
    </row>
    <row r="7926" spans="1:2" ht="12.5" x14ac:dyDescent="0.25">
      <c r="A7926" t="str">
        <f ca="1">IFERROR(__xludf.DUMMYFUNCTION("""COMPUTED_VALUE"""),"SHV-150")</f>
        <v>SHV-150</v>
      </c>
      <c r="B7926" t="str">
        <f ca="1">IFERROR(__xludf.DUMMYFUNCTION("""COMPUTED_VALUE"""),"RF-00000488-PAR")</f>
        <v>RF-00000488-PAR</v>
      </c>
    </row>
    <row r="7927" spans="1:2" ht="12.5" x14ac:dyDescent="0.25">
      <c r="A7927" t="str">
        <f ca="1">IFERROR(__xludf.DUMMYFUNCTION("""COMPUTED_VALUE"""),"SHV-151")</f>
        <v>SHV-151</v>
      </c>
      <c r="B7927" t="str">
        <f ca="1">IFERROR(__xludf.DUMMYFUNCTION("""COMPUTED_VALUE"""),"RF-00000489-PAR")</f>
        <v>RF-00000489-PAR</v>
      </c>
    </row>
    <row r="7928" spans="1:2" ht="12.5" x14ac:dyDescent="0.25">
      <c r="A7928" t="str">
        <f ca="1">IFERROR(__xludf.DUMMYFUNCTION("""COMPUTED_VALUE"""),"SHV-152")</f>
        <v>SHV-152</v>
      </c>
      <c r="B7928" t="str">
        <f ca="1">IFERROR(__xludf.DUMMYFUNCTION("""COMPUTED_VALUE"""),"RF-00000490-PAR")</f>
        <v>RF-00000490-PAR</v>
      </c>
    </row>
    <row r="7929" spans="1:2" ht="12.5" x14ac:dyDescent="0.25">
      <c r="A7929" t="str">
        <f ca="1">IFERROR(__xludf.DUMMYFUNCTION("""COMPUTED_VALUE"""),"SHV-153")</f>
        <v>SHV-153</v>
      </c>
      <c r="B7929" t="str">
        <f ca="1">IFERROR(__xludf.DUMMYFUNCTION("""COMPUTED_VALUE"""),"RF-00000491-PAR")</f>
        <v>RF-00000491-PAR</v>
      </c>
    </row>
    <row r="7930" spans="1:2" ht="12.5" x14ac:dyDescent="0.25">
      <c r="A7930" t="str">
        <f ca="1">IFERROR(__xludf.DUMMYFUNCTION("""COMPUTED_VALUE"""),"SHV-154")</f>
        <v>SHV-154</v>
      </c>
      <c r="B7930" t="str">
        <f ca="1">IFERROR(__xludf.DUMMYFUNCTION("""COMPUTED_VALUE"""),"RF-00000492-PAR")</f>
        <v>RF-00000492-PAR</v>
      </c>
    </row>
    <row r="7931" spans="1:2" ht="12.5" x14ac:dyDescent="0.25">
      <c r="A7931" t="str">
        <f ca="1">IFERROR(__xludf.DUMMYFUNCTION("""COMPUTED_VALUE"""),"SHV-155")</f>
        <v>SHV-155</v>
      </c>
      <c r="B7931" t="str">
        <f ca="1">IFERROR(__xludf.DUMMYFUNCTION("""COMPUTED_VALUE"""),"RF-00000493-PAR")</f>
        <v>RF-00000493-PAR</v>
      </c>
    </row>
    <row r="7932" spans="1:2" ht="12.5" x14ac:dyDescent="0.25">
      <c r="A7932" t="str">
        <f ca="1">IFERROR(__xludf.DUMMYFUNCTION("""COMPUTED_VALUE"""),"SHV-156")</f>
        <v>SHV-156</v>
      </c>
      <c r="B7932" t="str">
        <f ca="1">IFERROR(__xludf.DUMMYFUNCTION("""COMPUTED_VALUE"""),"RF-00000494-PAR")</f>
        <v>RF-00000494-PAR</v>
      </c>
    </row>
    <row r="7933" spans="1:2" ht="12.5" x14ac:dyDescent="0.25">
      <c r="A7933" t="str">
        <f ca="1">IFERROR(__xludf.DUMMYFUNCTION("""COMPUTED_VALUE"""),"SHV-157")</f>
        <v>SHV-157</v>
      </c>
      <c r="B7933" t="str">
        <f ca="1">IFERROR(__xludf.DUMMYFUNCTION("""COMPUTED_VALUE"""),"RF-00000495-PAR")</f>
        <v>RF-00000495-PAR</v>
      </c>
    </row>
    <row r="7934" spans="1:2" ht="12.5" x14ac:dyDescent="0.25">
      <c r="A7934" t="str">
        <f ca="1">IFERROR(__xludf.DUMMYFUNCTION("""COMPUTED_VALUE"""),"SHV-158")</f>
        <v>SHV-158</v>
      </c>
      <c r="B7934" t="str">
        <f ca="1">IFERROR(__xludf.DUMMYFUNCTION("""COMPUTED_VALUE"""),"RF-00000496-PAR")</f>
        <v>RF-00000496-PAR</v>
      </c>
    </row>
    <row r="7935" spans="1:2" ht="12.5" x14ac:dyDescent="0.25">
      <c r="A7935" t="str">
        <f ca="1">IFERROR(__xludf.DUMMYFUNCTION("""COMPUTED_VALUE"""),"SHV-159")</f>
        <v>SHV-159</v>
      </c>
      <c r="B7935" t="str">
        <f ca="1">IFERROR(__xludf.DUMMYFUNCTION("""COMPUTED_VALUE"""),"RF-00000497-PAR")</f>
        <v>RF-00000497-PAR</v>
      </c>
    </row>
    <row r="7936" spans="1:2" ht="12.5" x14ac:dyDescent="0.25">
      <c r="A7936" t="str">
        <f ca="1">IFERROR(__xludf.DUMMYFUNCTION("""COMPUTED_VALUE"""),"SHV-16")</f>
        <v>SHV-16</v>
      </c>
      <c r="B7936" t="str">
        <f ca="1">IFERROR(__xludf.DUMMYFUNCTION("""COMPUTED_VALUE"""),"RF-00000354-PAR")</f>
        <v>RF-00000354-PAR</v>
      </c>
    </row>
    <row r="7937" spans="1:2" ht="12.5" x14ac:dyDescent="0.25">
      <c r="A7937" t="str">
        <f ca="1">IFERROR(__xludf.DUMMYFUNCTION("""COMPUTED_VALUE"""),"SHV-160")</f>
        <v>SHV-160</v>
      </c>
      <c r="B7937" t="str">
        <f ca="1">IFERROR(__xludf.DUMMYFUNCTION("""COMPUTED_VALUE"""),"RF-00000498-PAR")</f>
        <v>RF-00000498-PAR</v>
      </c>
    </row>
    <row r="7938" spans="1:2" ht="12.5" x14ac:dyDescent="0.25">
      <c r="A7938" t="str">
        <f ca="1">IFERROR(__xludf.DUMMYFUNCTION("""COMPUTED_VALUE"""),"SHV-161")</f>
        <v>SHV-161</v>
      </c>
      <c r="B7938" t="str">
        <f ca="1">IFERROR(__xludf.DUMMYFUNCTION("""COMPUTED_VALUE"""),"RF-00000499-PAR")</f>
        <v>RF-00000499-PAR</v>
      </c>
    </row>
    <row r="7939" spans="1:2" ht="12.5" x14ac:dyDescent="0.25">
      <c r="A7939" t="str">
        <f ca="1">IFERROR(__xludf.DUMMYFUNCTION("""COMPUTED_VALUE"""),"SHV-162")</f>
        <v>SHV-162</v>
      </c>
      <c r="B7939" t="str">
        <f ca="1">IFERROR(__xludf.DUMMYFUNCTION("""COMPUTED_VALUE"""),"RF-00000500-PAR")</f>
        <v>RF-00000500-PAR</v>
      </c>
    </row>
    <row r="7940" spans="1:2" ht="12.5" x14ac:dyDescent="0.25">
      <c r="A7940" t="str">
        <f ca="1">IFERROR(__xludf.DUMMYFUNCTION("""COMPUTED_VALUE"""),"SHV-163")</f>
        <v>SHV-163</v>
      </c>
      <c r="B7940" t="str">
        <f ca="1">IFERROR(__xludf.DUMMYFUNCTION("""COMPUTED_VALUE"""),"RF-00000501-PAR")</f>
        <v>RF-00000501-PAR</v>
      </c>
    </row>
    <row r="7941" spans="1:2" ht="12.5" x14ac:dyDescent="0.25">
      <c r="A7941" t="str">
        <f ca="1">IFERROR(__xludf.DUMMYFUNCTION("""COMPUTED_VALUE"""),"SHV-164")</f>
        <v>SHV-164</v>
      </c>
      <c r="B7941" t="str">
        <f ca="1">IFERROR(__xludf.DUMMYFUNCTION("""COMPUTED_VALUE"""),"RF-00000502-PAR")</f>
        <v>RF-00000502-PAR</v>
      </c>
    </row>
    <row r="7942" spans="1:2" ht="12.5" x14ac:dyDescent="0.25">
      <c r="A7942" t="str">
        <f ca="1">IFERROR(__xludf.DUMMYFUNCTION("""COMPUTED_VALUE"""),"SHV-165")</f>
        <v>SHV-165</v>
      </c>
      <c r="B7942" t="str">
        <f ca="1">IFERROR(__xludf.DUMMYFUNCTION("""COMPUTED_VALUE"""),"RF-00000503-PAR")</f>
        <v>RF-00000503-PAR</v>
      </c>
    </row>
    <row r="7943" spans="1:2" ht="12.5" x14ac:dyDescent="0.25">
      <c r="A7943" t="str">
        <f ca="1">IFERROR(__xludf.DUMMYFUNCTION("""COMPUTED_VALUE"""),"SHV-166")</f>
        <v>SHV-166</v>
      </c>
      <c r="B7943" t="str">
        <f ca="1">IFERROR(__xludf.DUMMYFUNCTION("""COMPUTED_VALUE"""),"RF-00000504-PAR")</f>
        <v>RF-00000504-PAR</v>
      </c>
    </row>
    <row r="7944" spans="1:2" ht="12.5" x14ac:dyDescent="0.25">
      <c r="A7944" t="str">
        <f ca="1">IFERROR(__xludf.DUMMYFUNCTION("""COMPUTED_VALUE"""),"SHV-167")</f>
        <v>SHV-167</v>
      </c>
      <c r="B7944" t="str">
        <f ca="1">IFERROR(__xludf.DUMMYFUNCTION("""COMPUTED_VALUE"""),"RF-00000505-PAR")</f>
        <v>RF-00000505-PAR</v>
      </c>
    </row>
    <row r="7945" spans="1:2" ht="12.5" x14ac:dyDescent="0.25">
      <c r="A7945" t="str">
        <f ca="1">IFERROR(__xludf.DUMMYFUNCTION("""COMPUTED_VALUE"""),"SHV-168")</f>
        <v>SHV-168</v>
      </c>
      <c r="B7945" t="str">
        <f ca="1">IFERROR(__xludf.DUMMYFUNCTION("""COMPUTED_VALUE"""),"RF-00000506-PAR")</f>
        <v>RF-00000506-PAR</v>
      </c>
    </row>
    <row r="7946" spans="1:2" ht="12.5" x14ac:dyDescent="0.25">
      <c r="A7946" t="str">
        <f ca="1">IFERROR(__xludf.DUMMYFUNCTION("""COMPUTED_VALUE"""),"SHV-17")</f>
        <v>SHV-17</v>
      </c>
      <c r="B7946" t="str">
        <f ca="1">IFERROR(__xludf.DUMMYFUNCTION("""COMPUTED_VALUE"""),"RF-00000355-PAR")</f>
        <v>RF-00000355-PAR</v>
      </c>
    </row>
    <row r="7947" spans="1:2" ht="12.5" x14ac:dyDescent="0.25">
      <c r="A7947" t="str">
        <f ca="1">IFERROR(__xludf.DUMMYFUNCTION("""COMPUTED_VALUE"""),"SHV-18")</f>
        <v>SHV-18</v>
      </c>
      <c r="B7947" t="str">
        <f ca="1">IFERROR(__xludf.DUMMYFUNCTION("""COMPUTED_VALUE"""),"RF-00000356-PAR")</f>
        <v>RF-00000356-PAR</v>
      </c>
    </row>
    <row r="7948" spans="1:2" ht="12.5" x14ac:dyDescent="0.25">
      <c r="A7948" t="str">
        <f ca="1">IFERROR(__xludf.DUMMYFUNCTION("""COMPUTED_VALUE"""),"SHV-19")</f>
        <v>SHV-19</v>
      </c>
      <c r="B7948" t="str">
        <f ca="1">IFERROR(__xludf.DUMMYFUNCTION("""COMPUTED_VALUE"""),"RF-00000357-PAR")</f>
        <v>RF-00000357-PAR</v>
      </c>
    </row>
    <row r="7949" spans="1:2" ht="12.5" x14ac:dyDescent="0.25">
      <c r="A7949" t="str">
        <f ca="1">IFERROR(__xludf.DUMMYFUNCTION("""COMPUTED_VALUE"""),"SHV-2")</f>
        <v>SHV-2</v>
      </c>
      <c r="B7949" t="str">
        <f ca="1">IFERROR(__xludf.DUMMYFUNCTION("""COMPUTED_VALUE"""),"RF-00000340-PAR")</f>
        <v>RF-00000340-PAR</v>
      </c>
    </row>
    <row r="7950" spans="1:2" ht="12.5" x14ac:dyDescent="0.25">
      <c r="A7950" t="str">
        <f ca="1">IFERROR(__xludf.DUMMYFUNCTION("""COMPUTED_VALUE"""),"SHV-20")</f>
        <v>SHV-20</v>
      </c>
      <c r="B7950" t="str">
        <f ca="1">IFERROR(__xludf.DUMMYFUNCTION("""COMPUTED_VALUE"""),"RF-00000358-PAR")</f>
        <v>RF-00000358-PAR</v>
      </c>
    </row>
    <row r="7951" spans="1:2" ht="12.5" x14ac:dyDescent="0.25">
      <c r="A7951" t="str">
        <f ca="1">IFERROR(__xludf.DUMMYFUNCTION("""COMPUTED_VALUE"""),"SHV-21")</f>
        <v>SHV-21</v>
      </c>
      <c r="B7951" t="str">
        <f ca="1">IFERROR(__xludf.DUMMYFUNCTION("""COMPUTED_VALUE"""),"RF-00000359-PAR")</f>
        <v>RF-00000359-PAR</v>
      </c>
    </row>
    <row r="7952" spans="1:2" ht="12.5" x14ac:dyDescent="0.25">
      <c r="A7952" t="str">
        <f ca="1">IFERROR(__xludf.DUMMYFUNCTION("""COMPUTED_VALUE"""),"SHV-22")</f>
        <v>SHV-22</v>
      </c>
      <c r="B7952" t="str">
        <f ca="1">IFERROR(__xludf.DUMMYFUNCTION("""COMPUTED_VALUE"""),"RF-00000360-PAR")</f>
        <v>RF-00000360-PAR</v>
      </c>
    </row>
    <row r="7953" spans="1:2" ht="12.5" x14ac:dyDescent="0.25">
      <c r="A7953" t="str">
        <f ca="1">IFERROR(__xludf.DUMMYFUNCTION("""COMPUTED_VALUE"""),"SHV-23")</f>
        <v>SHV-23</v>
      </c>
      <c r="B7953" t="str">
        <f ca="1">IFERROR(__xludf.DUMMYFUNCTION("""COMPUTED_VALUE"""),"RF-00000361-PAR")</f>
        <v>RF-00000361-PAR</v>
      </c>
    </row>
    <row r="7954" spans="1:2" ht="12.5" x14ac:dyDescent="0.25">
      <c r="A7954" t="str">
        <f ca="1">IFERROR(__xludf.DUMMYFUNCTION("""COMPUTED_VALUE"""),"SHV-24")</f>
        <v>SHV-24</v>
      </c>
      <c r="B7954" t="str">
        <f ca="1">IFERROR(__xludf.DUMMYFUNCTION("""COMPUTED_VALUE"""),"RF-00000362-PAR")</f>
        <v>RF-00000362-PAR</v>
      </c>
    </row>
    <row r="7955" spans="1:2" ht="12.5" x14ac:dyDescent="0.25">
      <c r="A7955" t="str">
        <f ca="1">IFERROR(__xludf.DUMMYFUNCTION("""COMPUTED_VALUE"""),"SHV-25")</f>
        <v>SHV-25</v>
      </c>
      <c r="B7955" t="str">
        <f ca="1">IFERROR(__xludf.DUMMYFUNCTION("""COMPUTED_VALUE"""),"RF-00000363-PAR")</f>
        <v>RF-00000363-PAR</v>
      </c>
    </row>
    <row r="7956" spans="1:2" ht="12.5" x14ac:dyDescent="0.25">
      <c r="A7956" t="str">
        <f ca="1">IFERROR(__xludf.DUMMYFUNCTION("""COMPUTED_VALUE"""),"SHV-26")</f>
        <v>SHV-26</v>
      </c>
      <c r="B7956" t="str">
        <f ca="1">IFERROR(__xludf.DUMMYFUNCTION("""COMPUTED_VALUE"""),"RF-00000364-PAR")</f>
        <v>RF-00000364-PAR</v>
      </c>
    </row>
    <row r="7957" spans="1:2" ht="12.5" x14ac:dyDescent="0.25">
      <c r="A7957" t="str">
        <f ca="1">IFERROR(__xludf.DUMMYFUNCTION("""COMPUTED_VALUE"""),"SHV-27")</f>
        <v>SHV-27</v>
      </c>
      <c r="B7957" t="str">
        <f ca="1">IFERROR(__xludf.DUMMYFUNCTION("""COMPUTED_VALUE"""),"RF-00000365-PAR")</f>
        <v>RF-00000365-PAR</v>
      </c>
    </row>
    <row r="7958" spans="1:2" ht="12.5" x14ac:dyDescent="0.25">
      <c r="A7958" t="str">
        <f ca="1">IFERROR(__xludf.DUMMYFUNCTION("""COMPUTED_VALUE"""),"SHV-28")</f>
        <v>SHV-28</v>
      </c>
      <c r="B7958" t="str">
        <f ca="1">IFERROR(__xludf.DUMMYFUNCTION("""COMPUTED_VALUE"""),"RF-00000366-PAR")</f>
        <v>RF-00000366-PAR</v>
      </c>
    </row>
    <row r="7959" spans="1:2" ht="12.5" x14ac:dyDescent="0.25">
      <c r="A7959" t="str">
        <f ca="1">IFERROR(__xludf.DUMMYFUNCTION("""COMPUTED_VALUE"""),"SHV-29")</f>
        <v>SHV-29</v>
      </c>
      <c r="B7959" t="str">
        <f ca="1">IFERROR(__xludf.DUMMYFUNCTION("""COMPUTED_VALUE"""),"RF-00000367-PAR")</f>
        <v>RF-00000367-PAR</v>
      </c>
    </row>
    <row r="7960" spans="1:2" ht="12.5" x14ac:dyDescent="0.25">
      <c r="A7960" t="str">
        <f ca="1">IFERROR(__xludf.DUMMYFUNCTION("""COMPUTED_VALUE"""),"SHV-3")</f>
        <v>SHV-3</v>
      </c>
      <c r="B7960" t="str">
        <f ca="1">IFERROR(__xludf.DUMMYFUNCTION("""COMPUTED_VALUE"""),"RF-00000341-PAR")</f>
        <v>RF-00000341-PAR</v>
      </c>
    </row>
    <row r="7961" spans="1:2" ht="12.5" x14ac:dyDescent="0.25">
      <c r="A7961" t="str">
        <f ca="1">IFERROR(__xludf.DUMMYFUNCTION("""COMPUTED_VALUE"""),"SHV-30")</f>
        <v>SHV-30</v>
      </c>
      <c r="B7961" t="str">
        <f ca="1">IFERROR(__xludf.DUMMYFUNCTION("""COMPUTED_VALUE"""),"RF-00000368-PAR")</f>
        <v>RF-00000368-PAR</v>
      </c>
    </row>
    <row r="7962" spans="1:2" ht="12.5" x14ac:dyDescent="0.25">
      <c r="A7962" t="str">
        <f ca="1">IFERROR(__xludf.DUMMYFUNCTION("""COMPUTED_VALUE"""),"SHV-31")</f>
        <v>SHV-31</v>
      </c>
      <c r="B7962" t="str">
        <f ca="1">IFERROR(__xludf.DUMMYFUNCTION("""COMPUTED_VALUE"""),"RF-00000369-PAR")</f>
        <v>RF-00000369-PAR</v>
      </c>
    </row>
    <row r="7963" spans="1:2" ht="12.5" x14ac:dyDescent="0.25">
      <c r="A7963" t="str">
        <f ca="1">IFERROR(__xludf.DUMMYFUNCTION("""COMPUTED_VALUE"""),"SHV-32")</f>
        <v>SHV-32</v>
      </c>
      <c r="B7963" t="str">
        <f ca="1">IFERROR(__xludf.DUMMYFUNCTION("""COMPUTED_VALUE"""),"RF-00000370-PAR")</f>
        <v>RF-00000370-PAR</v>
      </c>
    </row>
    <row r="7964" spans="1:2" ht="12.5" x14ac:dyDescent="0.25">
      <c r="A7964" t="str">
        <f ca="1">IFERROR(__xludf.DUMMYFUNCTION("""COMPUTED_VALUE"""),"SHV-33")</f>
        <v>SHV-33</v>
      </c>
      <c r="B7964" t="str">
        <f ca="1">IFERROR(__xludf.DUMMYFUNCTION("""COMPUTED_VALUE"""),"RF-00000371-PAR")</f>
        <v>RF-00000371-PAR</v>
      </c>
    </row>
    <row r="7965" spans="1:2" ht="12.5" x14ac:dyDescent="0.25">
      <c r="A7965" t="str">
        <f ca="1">IFERROR(__xludf.DUMMYFUNCTION("""COMPUTED_VALUE"""),"SHV-34")</f>
        <v>SHV-34</v>
      </c>
      <c r="B7965" t="str">
        <f ca="1">IFERROR(__xludf.DUMMYFUNCTION("""COMPUTED_VALUE"""),"RF-00000372-PAR")</f>
        <v>RF-00000372-PAR</v>
      </c>
    </row>
    <row r="7966" spans="1:2" ht="12.5" x14ac:dyDescent="0.25">
      <c r="A7966" t="str">
        <f ca="1">IFERROR(__xludf.DUMMYFUNCTION("""COMPUTED_VALUE"""),"SHV-35")</f>
        <v>SHV-35</v>
      </c>
      <c r="B7966" t="str">
        <f ca="1">IFERROR(__xludf.DUMMYFUNCTION("""COMPUTED_VALUE"""),"RF-00000373-PAR")</f>
        <v>RF-00000373-PAR</v>
      </c>
    </row>
    <row r="7967" spans="1:2" ht="12.5" x14ac:dyDescent="0.25">
      <c r="A7967" t="str">
        <f ca="1">IFERROR(__xludf.DUMMYFUNCTION("""COMPUTED_VALUE"""),"SHV-36")</f>
        <v>SHV-36</v>
      </c>
      <c r="B7967" t="str">
        <f ca="1">IFERROR(__xludf.DUMMYFUNCTION("""COMPUTED_VALUE"""),"RF-00000374-PAR")</f>
        <v>RF-00000374-PAR</v>
      </c>
    </row>
    <row r="7968" spans="1:2" ht="12.5" x14ac:dyDescent="0.25">
      <c r="A7968" t="str">
        <f ca="1">IFERROR(__xludf.DUMMYFUNCTION("""COMPUTED_VALUE"""),"SHV-37")</f>
        <v>SHV-37</v>
      </c>
      <c r="B7968" t="str">
        <f ca="1">IFERROR(__xludf.DUMMYFUNCTION("""COMPUTED_VALUE"""),"RF-00000375-PAR")</f>
        <v>RF-00000375-PAR</v>
      </c>
    </row>
    <row r="7969" spans="1:2" ht="12.5" x14ac:dyDescent="0.25">
      <c r="A7969" t="str">
        <f ca="1">IFERROR(__xludf.DUMMYFUNCTION("""COMPUTED_VALUE"""),"SHV-38")</f>
        <v>SHV-38</v>
      </c>
      <c r="B7969" t="str">
        <f ca="1">IFERROR(__xludf.DUMMYFUNCTION("""COMPUTED_VALUE"""),"RF-00000376-PAR")</f>
        <v>RF-00000376-PAR</v>
      </c>
    </row>
    <row r="7970" spans="1:2" ht="12.5" x14ac:dyDescent="0.25">
      <c r="A7970" t="str">
        <f ca="1">IFERROR(__xludf.DUMMYFUNCTION("""COMPUTED_VALUE"""),"SHV-39")</f>
        <v>SHV-39</v>
      </c>
      <c r="B7970" t="str">
        <f ca="1">IFERROR(__xludf.DUMMYFUNCTION("""COMPUTED_VALUE"""),"RF-00000377-PAR")</f>
        <v>RF-00000377-PAR</v>
      </c>
    </row>
    <row r="7971" spans="1:2" ht="12.5" x14ac:dyDescent="0.25">
      <c r="A7971" t="str">
        <f ca="1">IFERROR(__xludf.DUMMYFUNCTION("""COMPUTED_VALUE"""),"SHV-4")</f>
        <v>SHV-4</v>
      </c>
      <c r="B7971" t="str">
        <f ca="1">IFERROR(__xludf.DUMMYFUNCTION("""COMPUTED_VALUE"""),"RF-00000342-PAR")</f>
        <v>RF-00000342-PAR</v>
      </c>
    </row>
    <row r="7972" spans="1:2" ht="12.5" x14ac:dyDescent="0.25">
      <c r="A7972" t="str">
        <f ca="1">IFERROR(__xludf.DUMMYFUNCTION("""COMPUTED_VALUE"""),"SHV-40")</f>
        <v>SHV-40</v>
      </c>
      <c r="B7972" t="str">
        <f ca="1">IFERROR(__xludf.DUMMYFUNCTION("""COMPUTED_VALUE"""),"RF-00000378-PAR")</f>
        <v>RF-00000378-PAR</v>
      </c>
    </row>
    <row r="7973" spans="1:2" ht="12.5" x14ac:dyDescent="0.25">
      <c r="A7973" t="str">
        <f ca="1">IFERROR(__xludf.DUMMYFUNCTION("""COMPUTED_VALUE"""),"SHV-41")</f>
        <v>SHV-41</v>
      </c>
      <c r="B7973" t="str">
        <f ca="1">IFERROR(__xludf.DUMMYFUNCTION("""COMPUTED_VALUE"""),"RF-00000379-PAR")</f>
        <v>RF-00000379-PAR</v>
      </c>
    </row>
    <row r="7974" spans="1:2" ht="12.5" x14ac:dyDescent="0.25">
      <c r="A7974" t="str">
        <f ca="1">IFERROR(__xludf.DUMMYFUNCTION("""COMPUTED_VALUE"""),"SHV-42")</f>
        <v>SHV-42</v>
      </c>
      <c r="B7974" t="str">
        <f ca="1">IFERROR(__xludf.DUMMYFUNCTION("""COMPUTED_VALUE"""),"RF-00000380-PAR")</f>
        <v>RF-00000380-PAR</v>
      </c>
    </row>
    <row r="7975" spans="1:2" ht="12.5" x14ac:dyDescent="0.25">
      <c r="A7975" t="str">
        <f ca="1">IFERROR(__xludf.DUMMYFUNCTION("""COMPUTED_VALUE"""),"SHV-43")</f>
        <v>SHV-43</v>
      </c>
      <c r="B7975" t="str">
        <f ca="1">IFERROR(__xludf.DUMMYFUNCTION("""COMPUTED_VALUE"""),"RF-00000381-PAR")</f>
        <v>RF-00000381-PAR</v>
      </c>
    </row>
    <row r="7976" spans="1:2" ht="12.5" x14ac:dyDescent="0.25">
      <c r="A7976" t="str">
        <f ca="1">IFERROR(__xludf.DUMMYFUNCTION("""COMPUTED_VALUE"""),"SHV-44")</f>
        <v>SHV-44</v>
      </c>
      <c r="B7976" t="str">
        <f ca="1">IFERROR(__xludf.DUMMYFUNCTION("""COMPUTED_VALUE"""),"RF-00000382-PAR")</f>
        <v>RF-00000382-PAR</v>
      </c>
    </row>
    <row r="7977" spans="1:2" ht="12.5" x14ac:dyDescent="0.25">
      <c r="A7977" t="str">
        <f ca="1">IFERROR(__xludf.DUMMYFUNCTION("""COMPUTED_VALUE"""),"SHV-45")</f>
        <v>SHV-45</v>
      </c>
      <c r="B7977" t="str">
        <f ca="1">IFERROR(__xludf.DUMMYFUNCTION("""COMPUTED_VALUE"""),"RF-00000383-PAR")</f>
        <v>RF-00000383-PAR</v>
      </c>
    </row>
    <row r="7978" spans="1:2" ht="12.5" x14ac:dyDescent="0.25">
      <c r="A7978" t="str">
        <f ca="1">IFERROR(__xludf.DUMMYFUNCTION("""COMPUTED_VALUE"""),"SHV-46")</f>
        <v>SHV-46</v>
      </c>
      <c r="B7978" t="str">
        <f ca="1">IFERROR(__xludf.DUMMYFUNCTION("""COMPUTED_VALUE"""),"RF-00000384-PAR")</f>
        <v>RF-00000384-PAR</v>
      </c>
    </row>
    <row r="7979" spans="1:2" ht="12.5" x14ac:dyDescent="0.25">
      <c r="A7979" t="str">
        <f ca="1">IFERROR(__xludf.DUMMYFUNCTION("""COMPUTED_VALUE"""),"SHV-47")</f>
        <v>SHV-47</v>
      </c>
      <c r="B7979" t="str">
        <f ca="1">IFERROR(__xludf.DUMMYFUNCTION("""COMPUTED_VALUE"""),"RF-00000385-PAR")</f>
        <v>RF-00000385-PAR</v>
      </c>
    </row>
    <row r="7980" spans="1:2" ht="12.5" x14ac:dyDescent="0.25">
      <c r="A7980" t="str">
        <f ca="1">IFERROR(__xludf.DUMMYFUNCTION("""COMPUTED_VALUE"""),"SHV-48")</f>
        <v>SHV-48</v>
      </c>
      <c r="B7980" t="str">
        <f ca="1">IFERROR(__xludf.DUMMYFUNCTION("""COMPUTED_VALUE"""),"RF-00000386-PAR")</f>
        <v>RF-00000386-PAR</v>
      </c>
    </row>
    <row r="7981" spans="1:2" ht="12.5" x14ac:dyDescent="0.25">
      <c r="A7981" t="str">
        <f ca="1">IFERROR(__xludf.DUMMYFUNCTION("""COMPUTED_VALUE"""),"SHV-49")</f>
        <v>SHV-49</v>
      </c>
      <c r="B7981" t="str">
        <f ca="1">IFERROR(__xludf.DUMMYFUNCTION("""COMPUTED_VALUE"""),"RF-00000387-PAR")</f>
        <v>RF-00000387-PAR</v>
      </c>
    </row>
    <row r="7982" spans="1:2" ht="12.5" x14ac:dyDescent="0.25">
      <c r="A7982" t="str">
        <f ca="1">IFERROR(__xludf.DUMMYFUNCTION("""COMPUTED_VALUE"""),"SHV-5")</f>
        <v>SHV-5</v>
      </c>
      <c r="B7982" t="str">
        <f ca="1">IFERROR(__xludf.DUMMYFUNCTION("""COMPUTED_VALUE"""),"RF-00000343-PAR")</f>
        <v>RF-00000343-PAR</v>
      </c>
    </row>
    <row r="7983" spans="1:2" ht="12.5" x14ac:dyDescent="0.25">
      <c r="A7983" t="str">
        <f ca="1">IFERROR(__xludf.DUMMYFUNCTION("""COMPUTED_VALUE"""),"SHV-50")</f>
        <v>SHV-50</v>
      </c>
      <c r="B7983" t="str">
        <f ca="1">IFERROR(__xludf.DUMMYFUNCTION("""COMPUTED_VALUE"""),"RF-00000388-PAR")</f>
        <v>RF-00000388-PAR</v>
      </c>
    </row>
    <row r="7984" spans="1:2" ht="12.5" x14ac:dyDescent="0.25">
      <c r="A7984" t="str">
        <f ca="1">IFERROR(__xludf.DUMMYFUNCTION("""COMPUTED_VALUE"""),"SHV-51")</f>
        <v>SHV-51</v>
      </c>
      <c r="B7984" t="str">
        <f ca="1">IFERROR(__xludf.DUMMYFUNCTION("""COMPUTED_VALUE"""),"RF-00000389-PAR")</f>
        <v>RF-00000389-PAR</v>
      </c>
    </row>
    <row r="7985" spans="1:2" ht="12.5" x14ac:dyDescent="0.25">
      <c r="A7985" t="str">
        <f ca="1">IFERROR(__xludf.DUMMYFUNCTION("""COMPUTED_VALUE"""),"SHV-52")</f>
        <v>SHV-52</v>
      </c>
      <c r="B7985" t="str">
        <f ca="1">IFERROR(__xludf.DUMMYFUNCTION("""COMPUTED_VALUE"""),"RF-00000390-PAR")</f>
        <v>RF-00000390-PAR</v>
      </c>
    </row>
    <row r="7986" spans="1:2" ht="12.5" x14ac:dyDescent="0.25">
      <c r="A7986" t="str">
        <f ca="1">IFERROR(__xludf.DUMMYFUNCTION("""COMPUTED_VALUE"""),"SHV-53")</f>
        <v>SHV-53</v>
      </c>
      <c r="B7986" t="str">
        <f ca="1">IFERROR(__xludf.DUMMYFUNCTION("""COMPUTED_VALUE"""),"RF-00000391-PAR")</f>
        <v>RF-00000391-PAR</v>
      </c>
    </row>
    <row r="7987" spans="1:2" ht="12.5" x14ac:dyDescent="0.25">
      <c r="A7987" t="str">
        <f ca="1">IFERROR(__xludf.DUMMYFUNCTION("""COMPUTED_VALUE"""),"SHV-54")</f>
        <v>SHV-54</v>
      </c>
      <c r="B7987" t="str">
        <f ca="1">IFERROR(__xludf.DUMMYFUNCTION("""COMPUTED_VALUE"""),"RF-00000392-PAR")</f>
        <v>RF-00000392-PAR</v>
      </c>
    </row>
    <row r="7988" spans="1:2" ht="12.5" x14ac:dyDescent="0.25">
      <c r="A7988" t="str">
        <f ca="1">IFERROR(__xludf.DUMMYFUNCTION("""COMPUTED_VALUE"""),"SHV-55")</f>
        <v>SHV-55</v>
      </c>
      <c r="B7988" t="str">
        <f ca="1">IFERROR(__xludf.DUMMYFUNCTION("""COMPUTED_VALUE"""),"RF-00000393-PAR")</f>
        <v>RF-00000393-PAR</v>
      </c>
    </row>
    <row r="7989" spans="1:2" ht="12.5" x14ac:dyDescent="0.25">
      <c r="A7989" t="str">
        <f ca="1">IFERROR(__xludf.DUMMYFUNCTION("""COMPUTED_VALUE"""),"SHV-56")</f>
        <v>SHV-56</v>
      </c>
      <c r="B7989" t="str">
        <f ca="1">IFERROR(__xludf.DUMMYFUNCTION("""COMPUTED_VALUE"""),"RF-00000394-PAR")</f>
        <v>RF-00000394-PAR</v>
      </c>
    </row>
    <row r="7990" spans="1:2" ht="12.5" x14ac:dyDescent="0.25">
      <c r="A7990" t="str">
        <f ca="1">IFERROR(__xludf.DUMMYFUNCTION("""COMPUTED_VALUE"""),"SHV-57")</f>
        <v>SHV-57</v>
      </c>
      <c r="B7990" t="str">
        <f ca="1">IFERROR(__xludf.DUMMYFUNCTION("""COMPUTED_VALUE"""),"RF-00000395-PAR")</f>
        <v>RF-00000395-PAR</v>
      </c>
    </row>
    <row r="7991" spans="1:2" ht="12.5" x14ac:dyDescent="0.25">
      <c r="A7991" t="str">
        <f ca="1">IFERROR(__xludf.DUMMYFUNCTION("""COMPUTED_VALUE"""),"SHV-58")</f>
        <v>SHV-58</v>
      </c>
      <c r="B7991" t="str">
        <f ca="1">IFERROR(__xludf.DUMMYFUNCTION("""COMPUTED_VALUE"""),"RF-00000396-PAR")</f>
        <v>RF-00000396-PAR</v>
      </c>
    </row>
    <row r="7992" spans="1:2" ht="12.5" x14ac:dyDescent="0.25">
      <c r="A7992" t="str">
        <f ca="1">IFERROR(__xludf.DUMMYFUNCTION("""COMPUTED_VALUE"""),"SHV-59")</f>
        <v>SHV-59</v>
      </c>
      <c r="B7992" t="str">
        <f ca="1">IFERROR(__xludf.DUMMYFUNCTION("""COMPUTED_VALUE"""),"RF-00000397-PAR")</f>
        <v>RF-00000397-PAR</v>
      </c>
    </row>
    <row r="7993" spans="1:2" ht="12.5" x14ac:dyDescent="0.25">
      <c r="A7993" t="str">
        <f ca="1">IFERROR(__xludf.DUMMYFUNCTION("""COMPUTED_VALUE"""),"SHV-6")</f>
        <v>SHV-6</v>
      </c>
      <c r="B7993" t="str">
        <f ca="1">IFERROR(__xludf.DUMMYFUNCTION("""COMPUTED_VALUE"""),"RF-00000344-PAR")</f>
        <v>RF-00000344-PAR</v>
      </c>
    </row>
    <row r="7994" spans="1:2" ht="12.5" x14ac:dyDescent="0.25">
      <c r="A7994" t="str">
        <f ca="1">IFERROR(__xludf.DUMMYFUNCTION("""COMPUTED_VALUE"""),"SHV-60")</f>
        <v>SHV-60</v>
      </c>
      <c r="B7994" t="str">
        <f ca="1">IFERROR(__xludf.DUMMYFUNCTION("""COMPUTED_VALUE"""),"RF-00000398-PAR")</f>
        <v>RF-00000398-PAR</v>
      </c>
    </row>
    <row r="7995" spans="1:2" ht="12.5" x14ac:dyDescent="0.25">
      <c r="A7995" t="str">
        <f ca="1">IFERROR(__xludf.DUMMYFUNCTION("""COMPUTED_VALUE"""),"SHV-61")</f>
        <v>SHV-61</v>
      </c>
      <c r="B7995" t="str">
        <f ca="1">IFERROR(__xludf.DUMMYFUNCTION("""COMPUTED_VALUE"""),"RF-00000399-PAR")</f>
        <v>RF-00000399-PAR</v>
      </c>
    </row>
    <row r="7996" spans="1:2" ht="12.5" x14ac:dyDescent="0.25">
      <c r="A7996" t="str">
        <f ca="1">IFERROR(__xludf.DUMMYFUNCTION("""COMPUTED_VALUE"""),"SHV-62")</f>
        <v>SHV-62</v>
      </c>
      <c r="B7996" t="str">
        <f ca="1">IFERROR(__xludf.DUMMYFUNCTION("""COMPUTED_VALUE"""),"RF-00000400-PAR")</f>
        <v>RF-00000400-PAR</v>
      </c>
    </row>
    <row r="7997" spans="1:2" ht="12.5" x14ac:dyDescent="0.25">
      <c r="A7997" t="str">
        <f ca="1">IFERROR(__xludf.DUMMYFUNCTION("""COMPUTED_VALUE"""),"SHV-63")</f>
        <v>SHV-63</v>
      </c>
      <c r="B7997" t="str">
        <f ca="1">IFERROR(__xludf.DUMMYFUNCTION("""COMPUTED_VALUE"""),"RF-00000401-PAR")</f>
        <v>RF-00000401-PAR</v>
      </c>
    </row>
    <row r="7998" spans="1:2" ht="12.5" x14ac:dyDescent="0.25">
      <c r="A7998" t="str">
        <f ca="1">IFERROR(__xludf.DUMMYFUNCTION("""COMPUTED_VALUE"""),"SHV-64")</f>
        <v>SHV-64</v>
      </c>
      <c r="B7998" t="str">
        <f ca="1">IFERROR(__xludf.DUMMYFUNCTION("""COMPUTED_VALUE"""),"RF-00000402-PAR")</f>
        <v>RF-00000402-PAR</v>
      </c>
    </row>
    <row r="7999" spans="1:2" ht="12.5" x14ac:dyDescent="0.25">
      <c r="A7999" t="str">
        <f ca="1">IFERROR(__xludf.DUMMYFUNCTION("""COMPUTED_VALUE"""),"SHV-65")</f>
        <v>SHV-65</v>
      </c>
      <c r="B7999" t="str">
        <f ca="1">IFERROR(__xludf.DUMMYFUNCTION("""COMPUTED_VALUE"""),"RF-00000403-PAR")</f>
        <v>RF-00000403-PAR</v>
      </c>
    </row>
    <row r="8000" spans="1:2" ht="12.5" x14ac:dyDescent="0.25">
      <c r="A8000" t="str">
        <f ca="1">IFERROR(__xludf.DUMMYFUNCTION("""COMPUTED_VALUE"""),"SHV-66")</f>
        <v>SHV-66</v>
      </c>
      <c r="B8000" t="str">
        <f ca="1">IFERROR(__xludf.DUMMYFUNCTION("""COMPUTED_VALUE"""),"RF-00000404-PAR")</f>
        <v>RF-00000404-PAR</v>
      </c>
    </row>
    <row r="8001" spans="1:2" ht="12.5" x14ac:dyDescent="0.25">
      <c r="A8001" t="str">
        <f ca="1">IFERROR(__xludf.DUMMYFUNCTION("""COMPUTED_VALUE"""),"SHV-67")</f>
        <v>SHV-67</v>
      </c>
      <c r="B8001" t="str">
        <f ca="1">IFERROR(__xludf.DUMMYFUNCTION("""COMPUTED_VALUE"""),"RF-00000405-PAR")</f>
        <v>RF-00000405-PAR</v>
      </c>
    </row>
    <row r="8002" spans="1:2" ht="12.5" x14ac:dyDescent="0.25">
      <c r="A8002" t="str">
        <f ca="1">IFERROR(__xludf.DUMMYFUNCTION("""COMPUTED_VALUE"""),"SHV-68")</f>
        <v>SHV-68</v>
      </c>
      <c r="B8002" t="str">
        <f ca="1">IFERROR(__xludf.DUMMYFUNCTION("""COMPUTED_VALUE"""),"RF-00000406-PAR")</f>
        <v>RF-00000406-PAR</v>
      </c>
    </row>
    <row r="8003" spans="1:2" ht="12.5" x14ac:dyDescent="0.25">
      <c r="A8003" t="str">
        <f ca="1">IFERROR(__xludf.DUMMYFUNCTION("""COMPUTED_VALUE"""),"SHV-69")</f>
        <v>SHV-69</v>
      </c>
      <c r="B8003" t="str">
        <f ca="1">IFERROR(__xludf.DUMMYFUNCTION("""COMPUTED_VALUE"""),"RF-00000407-PAR")</f>
        <v>RF-00000407-PAR</v>
      </c>
    </row>
    <row r="8004" spans="1:2" ht="12.5" x14ac:dyDescent="0.25">
      <c r="A8004" t="str">
        <f ca="1">IFERROR(__xludf.DUMMYFUNCTION("""COMPUTED_VALUE"""),"SHV-7")</f>
        <v>SHV-7</v>
      </c>
      <c r="B8004" t="str">
        <f ca="1">IFERROR(__xludf.DUMMYFUNCTION("""COMPUTED_VALUE"""),"RF-00000345-PAR")</f>
        <v>RF-00000345-PAR</v>
      </c>
    </row>
    <row r="8005" spans="1:2" ht="12.5" x14ac:dyDescent="0.25">
      <c r="A8005" t="str">
        <f ca="1">IFERROR(__xludf.DUMMYFUNCTION("""COMPUTED_VALUE"""),"SHV-70")</f>
        <v>SHV-70</v>
      </c>
      <c r="B8005" t="str">
        <f ca="1">IFERROR(__xludf.DUMMYFUNCTION("""COMPUTED_VALUE"""),"RF-00000408-PAR")</f>
        <v>RF-00000408-PAR</v>
      </c>
    </row>
    <row r="8006" spans="1:2" ht="12.5" x14ac:dyDescent="0.25">
      <c r="A8006" t="str">
        <f ca="1">IFERROR(__xludf.DUMMYFUNCTION("""COMPUTED_VALUE"""),"SHV-71")</f>
        <v>SHV-71</v>
      </c>
      <c r="B8006" t="str">
        <f ca="1">IFERROR(__xludf.DUMMYFUNCTION("""COMPUTED_VALUE"""),"RF-00000409-PAR")</f>
        <v>RF-00000409-PAR</v>
      </c>
    </row>
    <row r="8007" spans="1:2" ht="12.5" x14ac:dyDescent="0.25">
      <c r="A8007" t="str">
        <f ca="1">IFERROR(__xludf.DUMMYFUNCTION("""COMPUTED_VALUE"""),"SHV-72")</f>
        <v>SHV-72</v>
      </c>
      <c r="B8007" t="str">
        <f ca="1">IFERROR(__xludf.DUMMYFUNCTION("""COMPUTED_VALUE"""),"RF-00000410-PAR")</f>
        <v>RF-00000410-PAR</v>
      </c>
    </row>
    <row r="8008" spans="1:2" ht="12.5" x14ac:dyDescent="0.25">
      <c r="A8008" t="str">
        <f ca="1">IFERROR(__xludf.DUMMYFUNCTION("""COMPUTED_VALUE"""),"SHV-73")</f>
        <v>SHV-73</v>
      </c>
      <c r="B8008" t="str">
        <f ca="1">IFERROR(__xludf.DUMMYFUNCTION("""COMPUTED_VALUE"""),"RF-00000411-PAR")</f>
        <v>RF-00000411-PAR</v>
      </c>
    </row>
    <row r="8009" spans="1:2" ht="12.5" x14ac:dyDescent="0.25">
      <c r="A8009" t="str">
        <f ca="1">IFERROR(__xludf.DUMMYFUNCTION("""COMPUTED_VALUE"""),"SHV-74")</f>
        <v>SHV-74</v>
      </c>
      <c r="B8009" t="str">
        <f ca="1">IFERROR(__xludf.DUMMYFUNCTION("""COMPUTED_VALUE"""),"RF-00000412-PAR")</f>
        <v>RF-00000412-PAR</v>
      </c>
    </row>
    <row r="8010" spans="1:2" ht="12.5" x14ac:dyDescent="0.25">
      <c r="A8010" t="str">
        <f ca="1">IFERROR(__xludf.DUMMYFUNCTION("""COMPUTED_VALUE"""),"SHV-75")</f>
        <v>SHV-75</v>
      </c>
      <c r="B8010" t="str">
        <f ca="1">IFERROR(__xludf.DUMMYFUNCTION("""COMPUTED_VALUE"""),"RF-00000413-PAR")</f>
        <v>RF-00000413-PAR</v>
      </c>
    </row>
    <row r="8011" spans="1:2" ht="12.5" x14ac:dyDescent="0.25">
      <c r="A8011" t="str">
        <f ca="1">IFERROR(__xludf.DUMMYFUNCTION("""COMPUTED_VALUE"""),"SHV-76")</f>
        <v>SHV-76</v>
      </c>
      <c r="B8011" t="str">
        <f ca="1">IFERROR(__xludf.DUMMYFUNCTION("""COMPUTED_VALUE"""),"RF-00000414-PAR")</f>
        <v>RF-00000414-PAR</v>
      </c>
    </row>
    <row r="8012" spans="1:2" ht="12.5" x14ac:dyDescent="0.25">
      <c r="A8012" t="str">
        <f ca="1">IFERROR(__xludf.DUMMYFUNCTION("""COMPUTED_VALUE"""),"SHV-77")</f>
        <v>SHV-77</v>
      </c>
      <c r="B8012" t="str">
        <f ca="1">IFERROR(__xludf.DUMMYFUNCTION("""COMPUTED_VALUE"""),"RF-00000415-PAR")</f>
        <v>RF-00000415-PAR</v>
      </c>
    </row>
    <row r="8013" spans="1:2" ht="12.5" x14ac:dyDescent="0.25">
      <c r="A8013" t="str">
        <f ca="1">IFERROR(__xludf.DUMMYFUNCTION("""COMPUTED_VALUE"""),"SHV-78")</f>
        <v>SHV-78</v>
      </c>
      <c r="B8013" t="str">
        <f ca="1">IFERROR(__xludf.DUMMYFUNCTION("""COMPUTED_VALUE"""),"RF-00000416-PAR")</f>
        <v>RF-00000416-PAR</v>
      </c>
    </row>
    <row r="8014" spans="1:2" ht="12.5" x14ac:dyDescent="0.25">
      <c r="A8014" t="str">
        <f ca="1">IFERROR(__xludf.DUMMYFUNCTION("""COMPUTED_VALUE"""),"SHV-79")</f>
        <v>SHV-79</v>
      </c>
      <c r="B8014" t="str">
        <f ca="1">IFERROR(__xludf.DUMMYFUNCTION("""COMPUTED_VALUE"""),"RF-00000417-PAR")</f>
        <v>RF-00000417-PAR</v>
      </c>
    </row>
    <row r="8015" spans="1:2" ht="12.5" x14ac:dyDescent="0.25">
      <c r="A8015" t="str">
        <f ca="1">IFERROR(__xludf.DUMMYFUNCTION("""COMPUTED_VALUE"""),"SHV-8")</f>
        <v>SHV-8</v>
      </c>
      <c r="B8015" t="str">
        <f ca="1">IFERROR(__xludf.DUMMYFUNCTION("""COMPUTED_VALUE"""),"RF-00000346-PAR")</f>
        <v>RF-00000346-PAR</v>
      </c>
    </row>
    <row r="8016" spans="1:2" ht="12.5" x14ac:dyDescent="0.25">
      <c r="A8016" t="str">
        <f ca="1">IFERROR(__xludf.DUMMYFUNCTION("""COMPUTED_VALUE"""),"SHV-80")</f>
        <v>SHV-80</v>
      </c>
      <c r="B8016" t="str">
        <f ca="1">IFERROR(__xludf.DUMMYFUNCTION("""COMPUTED_VALUE"""),"RF-00000418-PAR")</f>
        <v>RF-00000418-PAR</v>
      </c>
    </row>
    <row r="8017" spans="1:2" ht="12.5" x14ac:dyDescent="0.25">
      <c r="A8017" t="str">
        <f ca="1">IFERROR(__xludf.DUMMYFUNCTION("""COMPUTED_VALUE"""),"SHV-81")</f>
        <v>SHV-81</v>
      </c>
      <c r="B8017" t="str">
        <f ca="1">IFERROR(__xludf.DUMMYFUNCTION("""COMPUTED_VALUE"""),"RF-00000419-PAR")</f>
        <v>RF-00000419-PAR</v>
      </c>
    </row>
    <row r="8018" spans="1:2" ht="12.5" x14ac:dyDescent="0.25">
      <c r="A8018" t="str">
        <f ca="1">IFERROR(__xludf.DUMMYFUNCTION("""COMPUTED_VALUE"""),"SHV-82")</f>
        <v>SHV-82</v>
      </c>
      <c r="B8018" t="str">
        <f ca="1">IFERROR(__xludf.DUMMYFUNCTION("""COMPUTED_VALUE"""),"RF-00000420-PAR")</f>
        <v>RF-00000420-PAR</v>
      </c>
    </row>
    <row r="8019" spans="1:2" ht="12.5" x14ac:dyDescent="0.25">
      <c r="A8019" t="str">
        <f ca="1">IFERROR(__xludf.DUMMYFUNCTION("""COMPUTED_VALUE"""),"SHV-83")</f>
        <v>SHV-83</v>
      </c>
      <c r="B8019" t="str">
        <f ca="1">IFERROR(__xludf.DUMMYFUNCTION("""COMPUTED_VALUE"""),"RF-00000421-PAR")</f>
        <v>RF-00000421-PAR</v>
      </c>
    </row>
    <row r="8020" spans="1:2" ht="12.5" x14ac:dyDescent="0.25">
      <c r="A8020" t="str">
        <f ca="1">IFERROR(__xludf.DUMMYFUNCTION("""COMPUTED_VALUE"""),"SHV-84")</f>
        <v>SHV-84</v>
      </c>
      <c r="B8020" t="str">
        <f ca="1">IFERROR(__xludf.DUMMYFUNCTION("""COMPUTED_VALUE"""),"RF-00000422-PAR")</f>
        <v>RF-00000422-PAR</v>
      </c>
    </row>
    <row r="8021" spans="1:2" ht="12.5" x14ac:dyDescent="0.25">
      <c r="A8021" t="str">
        <f ca="1">IFERROR(__xludf.DUMMYFUNCTION("""COMPUTED_VALUE"""),"SHV-85")</f>
        <v>SHV-85</v>
      </c>
      <c r="B8021" t="str">
        <f ca="1">IFERROR(__xludf.DUMMYFUNCTION("""COMPUTED_VALUE"""),"RF-00000423-PAR")</f>
        <v>RF-00000423-PAR</v>
      </c>
    </row>
    <row r="8022" spans="1:2" ht="12.5" x14ac:dyDescent="0.25">
      <c r="A8022" t="str">
        <f ca="1">IFERROR(__xludf.DUMMYFUNCTION("""COMPUTED_VALUE"""),"SHV-86")</f>
        <v>SHV-86</v>
      </c>
      <c r="B8022" t="str">
        <f ca="1">IFERROR(__xludf.DUMMYFUNCTION("""COMPUTED_VALUE"""),"RF-00000424-PAR")</f>
        <v>RF-00000424-PAR</v>
      </c>
    </row>
    <row r="8023" spans="1:2" ht="12.5" x14ac:dyDescent="0.25">
      <c r="A8023" t="str">
        <f ca="1">IFERROR(__xludf.DUMMYFUNCTION("""COMPUTED_VALUE"""),"SHV-87")</f>
        <v>SHV-87</v>
      </c>
      <c r="B8023" t="str">
        <f ca="1">IFERROR(__xludf.DUMMYFUNCTION("""COMPUTED_VALUE"""),"RF-00000425-PAR")</f>
        <v>RF-00000425-PAR</v>
      </c>
    </row>
    <row r="8024" spans="1:2" ht="12.5" x14ac:dyDescent="0.25">
      <c r="A8024" t="str">
        <f ca="1">IFERROR(__xludf.DUMMYFUNCTION("""COMPUTED_VALUE"""),"SHV-88")</f>
        <v>SHV-88</v>
      </c>
      <c r="B8024" t="str">
        <f ca="1">IFERROR(__xludf.DUMMYFUNCTION("""COMPUTED_VALUE"""),"RF-00000426-PAR")</f>
        <v>RF-00000426-PAR</v>
      </c>
    </row>
    <row r="8025" spans="1:2" ht="12.5" x14ac:dyDescent="0.25">
      <c r="A8025" t="str">
        <f ca="1">IFERROR(__xludf.DUMMYFUNCTION("""COMPUTED_VALUE"""),"SHV-89")</f>
        <v>SHV-89</v>
      </c>
      <c r="B8025" t="str">
        <f ca="1">IFERROR(__xludf.DUMMYFUNCTION("""COMPUTED_VALUE"""),"RF-00000427-PAR")</f>
        <v>RF-00000427-PAR</v>
      </c>
    </row>
    <row r="8026" spans="1:2" ht="12.5" x14ac:dyDescent="0.25">
      <c r="A8026" t="str">
        <f ca="1">IFERROR(__xludf.DUMMYFUNCTION("""COMPUTED_VALUE"""),"SHV-9")</f>
        <v>SHV-9</v>
      </c>
      <c r="B8026" t="str">
        <f ca="1">IFERROR(__xludf.DUMMYFUNCTION("""COMPUTED_VALUE"""),"RF-00000347-PAR")</f>
        <v>RF-00000347-PAR</v>
      </c>
    </row>
    <row r="8027" spans="1:2" ht="12.5" x14ac:dyDescent="0.25">
      <c r="A8027" t="str">
        <f ca="1">IFERROR(__xludf.DUMMYFUNCTION("""COMPUTED_VALUE"""),"SHV-90")</f>
        <v>SHV-90</v>
      </c>
      <c r="B8027" t="str">
        <f ca="1">IFERROR(__xludf.DUMMYFUNCTION("""COMPUTED_VALUE"""),"RF-00000428-PAR")</f>
        <v>RF-00000428-PAR</v>
      </c>
    </row>
    <row r="8028" spans="1:2" ht="12.5" x14ac:dyDescent="0.25">
      <c r="A8028" t="str">
        <f ca="1">IFERROR(__xludf.DUMMYFUNCTION("""COMPUTED_VALUE"""),"SHV-91")</f>
        <v>SHV-91</v>
      </c>
      <c r="B8028" t="str">
        <f ca="1">IFERROR(__xludf.DUMMYFUNCTION("""COMPUTED_VALUE"""),"RF-00000429-PAR")</f>
        <v>RF-00000429-PAR</v>
      </c>
    </row>
    <row r="8029" spans="1:2" ht="12.5" x14ac:dyDescent="0.25">
      <c r="A8029" t="str">
        <f ca="1">IFERROR(__xludf.DUMMYFUNCTION("""COMPUTED_VALUE"""),"SHV-92")</f>
        <v>SHV-92</v>
      </c>
      <c r="B8029" t="str">
        <f ca="1">IFERROR(__xludf.DUMMYFUNCTION("""COMPUTED_VALUE"""),"RF-00000430-PAR")</f>
        <v>RF-00000430-PAR</v>
      </c>
    </row>
    <row r="8030" spans="1:2" ht="12.5" x14ac:dyDescent="0.25">
      <c r="A8030" t="str">
        <f ca="1">IFERROR(__xludf.DUMMYFUNCTION("""COMPUTED_VALUE"""),"SHV-93")</f>
        <v>SHV-93</v>
      </c>
      <c r="B8030" t="str">
        <f ca="1">IFERROR(__xludf.DUMMYFUNCTION("""COMPUTED_VALUE"""),"RF-00000431-PAR")</f>
        <v>RF-00000431-PAR</v>
      </c>
    </row>
    <row r="8031" spans="1:2" ht="12.5" x14ac:dyDescent="0.25">
      <c r="A8031" t="str">
        <f ca="1">IFERROR(__xludf.DUMMYFUNCTION("""COMPUTED_VALUE"""),"SHV-94")</f>
        <v>SHV-94</v>
      </c>
      <c r="B8031" t="str">
        <f ca="1">IFERROR(__xludf.DUMMYFUNCTION("""COMPUTED_VALUE"""),"RF-00000432-PAR")</f>
        <v>RF-00000432-PAR</v>
      </c>
    </row>
    <row r="8032" spans="1:2" ht="12.5" x14ac:dyDescent="0.25">
      <c r="A8032" t="str">
        <f ca="1">IFERROR(__xludf.DUMMYFUNCTION("""COMPUTED_VALUE"""),"SHV-95")</f>
        <v>SHV-95</v>
      </c>
      <c r="B8032" t="str">
        <f ca="1">IFERROR(__xludf.DUMMYFUNCTION("""COMPUTED_VALUE"""),"RF-00000433-PAR")</f>
        <v>RF-00000433-PAR</v>
      </c>
    </row>
    <row r="8033" spans="1:2" ht="12.5" x14ac:dyDescent="0.25">
      <c r="A8033" t="str">
        <f ca="1">IFERROR(__xludf.DUMMYFUNCTION("""COMPUTED_VALUE"""),"SHV-96")</f>
        <v>SHV-96</v>
      </c>
      <c r="B8033" t="str">
        <f ca="1">IFERROR(__xludf.DUMMYFUNCTION("""COMPUTED_VALUE"""),"RF-00000434-PAR")</f>
        <v>RF-00000434-PAR</v>
      </c>
    </row>
    <row r="8034" spans="1:2" ht="12.5" x14ac:dyDescent="0.25">
      <c r="A8034" t="str">
        <f ca="1">IFERROR(__xludf.DUMMYFUNCTION("""COMPUTED_VALUE"""),"SHV-97")</f>
        <v>SHV-97</v>
      </c>
      <c r="B8034" t="str">
        <f ca="1">IFERROR(__xludf.DUMMYFUNCTION("""COMPUTED_VALUE"""),"RF-00000435-PAR")</f>
        <v>RF-00000435-PAR</v>
      </c>
    </row>
    <row r="8035" spans="1:2" ht="12.5" x14ac:dyDescent="0.25">
      <c r="A8035" t="str">
        <f ca="1">IFERROR(__xludf.DUMMYFUNCTION("""COMPUTED_VALUE"""),"SHV-98")</f>
        <v>SHV-98</v>
      </c>
      <c r="B8035" t="str">
        <f ca="1">IFERROR(__xludf.DUMMYFUNCTION("""COMPUTED_VALUE"""),"RF-00000436-PAR")</f>
        <v>RF-00000436-PAR</v>
      </c>
    </row>
    <row r="8036" spans="1:2" ht="12.5" x14ac:dyDescent="0.25">
      <c r="A8036" t="str">
        <f ca="1">IFERROR(__xludf.DUMMYFUNCTION("""COMPUTED_VALUE"""),"SHV-99")</f>
        <v>SHV-99</v>
      </c>
      <c r="B8036" t="str">
        <f ca="1">IFERROR(__xludf.DUMMYFUNCTION("""COMPUTED_VALUE"""),"RF-00000437-PAR")</f>
        <v>RF-00000437-PAR</v>
      </c>
    </row>
    <row r="8037" spans="1:2" ht="12.5" x14ac:dyDescent="0.25">
      <c r="A8037" t="str">
        <f ca="1">IFERROR(__xludf.DUMMYFUNCTION("""COMPUTED_VALUE"""),"Siduron")</f>
        <v>Siduron</v>
      </c>
      <c r="B8037" t="str">
        <f ca="1">IFERROR(__xludf.DUMMYFUNCTION("""COMPUTED_VALUE"""),"RF-0894-001-PPP")</f>
        <v>RF-0894-001-PPP</v>
      </c>
    </row>
    <row r="8038" spans="1:2" ht="12.5" x14ac:dyDescent="0.25">
      <c r="A8038" t="str">
        <f ca="1">IFERROR(__xludf.DUMMYFUNCTION("""COMPUTED_VALUE"""),"Silafluofen")</f>
        <v>Silafluofen</v>
      </c>
      <c r="B8038" t="str">
        <f ca="1">IFERROR(__xludf.DUMMYFUNCTION("""COMPUTED_VALUE"""),"RF-0895-001-PPP")</f>
        <v>RF-0895-001-PPP</v>
      </c>
    </row>
    <row r="8039" spans="1:2" ht="12.5" x14ac:dyDescent="0.25">
      <c r="A8039" t="str">
        <f ca="1">IFERROR(__xludf.DUMMYFUNCTION("""COMPUTED_VALUE"""),"Silica and derivatives")</f>
        <v>Silica and derivatives</v>
      </c>
      <c r="B8039" t="str">
        <f ca="1">IFERROR(__xludf.DUMMYFUNCTION("""COMPUTED_VALUE"""),"RF-00000071-CHE")</f>
        <v>RF-00000071-CHE</v>
      </c>
    </row>
    <row r="8040" spans="1:2" ht="12.5" x14ac:dyDescent="0.25">
      <c r="A8040" t="str">
        <f ca="1">IFERROR(__xludf.DUMMYFUNCTION("""COMPUTED_VALUE"""),"Silica sol at pH 13 (absolute)")</f>
        <v>Silica sol at pH 13 (absolute)</v>
      </c>
      <c r="B8040" t="str">
        <f ca="1">IFERROR(__xludf.DUMMYFUNCTION("""COMPUTED_VALUE"""),"RF-00000077-CHE")</f>
        <v>RF-00000077-CHE</v>
      </c>
    </row>
    <row r="8041" spans="1:2" ht="12.5" x14ac:dyDescent="0.25">
      <c r="A8041" t="str">
        <f ca="1">IFERROR(__xludf.DUMMYFUNCTION("""COMPUTED_VALUE"""),"Silica sol at pH 13 (total)")</f>
        <v>Silica sol at pH 13 (total)</v>
      </c>
      <c r="B8041" t="str">
        <f ca="1">IFERROR(__xludf.DUMMYFUNCTION("""COMPUTED_VALUE"""),"RF-00000078-CHE")</f>
        <v>RF-00000078-CHE</v>
      </c>
    </row>
    <row r="8042" spans="1:2" ht="12.5" x14ac:dyDescent="0.25">
      <c r="A8042" t="str">
        <f ca="1">IFERROR(__xludf.DUMMYFUNCTION("""COMPUTED_VALUE"""),"Silicon")</f>
        <v>Silicon</v>
      </c>
      <c r="B8042" t="str">
        <f ca="1">IFERROR(__xludf.DUMMYFUNCTION("""COMPUTED_VALUE"""),"RF-00000072-CHE")</f>
        <v>RF-00000072-CHE</v>
      </c>
    </row>
    <row r="8043" spans="1:2" ht="12.5" x14ac:dyDescent="0.25">
      <c r="A8043" t="str">
        <f ca="1">IFERROR(__xludf.DUMMYFUNCTION("""COMPUTED_VALUE"""),"Silicon dioxide")</f>
        <v>Silicon dioxide</v>
      </c>
      <c r="B8043" t="str">
        <f ca="1">IFERROR(__xludf.DUMMYFUNCTION("""COMPUTED_VALUE"""),"RF-00000271-ADD")</f>
        <v>RF-00000271-ADD</v>
      </c>
    </row>
    <row r="8044" spans="1:2" ht="12.5" x14ac:dyDescent="0.25">
      <c r="A8044" t="str">
        <f ca="1">IFERROR(__xludf.DUMMYFUNCTION("""COMPUTED_VALUE"""),"Silthiofam")</f>
        <v>Silthiofam</v>
      </c>
      <c r="B8044" t="str">
        <f ca="1">IFERROR(__xludf.DUMMYFUNCTION("""COMPUTED_VALUE"""),"RF-0389-001-PPP")</f>
        <v>RF-0389-001-PPP</v>
      </c>
    </row>
    <row r="8045" spans="1:2" ht="12.5" x14ac:dyDescent="0.25">
      <c r="A8045" t="str">
        <f ca="1">IFERROR(__xludf.DUMMYFUNCTION("""COMPUTED_VALUE"""),"Silver (Ag)")</f>
        <v>Silver (Ag)</v>
      </c>
      <c r="B8045" t="str">
        <f ca="1">IFERROR(__xludf.DUMMYFUNCTION("""COMPUTED_VALUE"""),"RF-00000203-CHE")</f>
        <v>RF-00000203-CHE</v>
      </c>
    </row>
    <row r="8046" spans="1:2" ht="12.5" x14ac:dyDescent="0.25">
      <c r="A8046" t="str">
        <f ca="1">IFERROR(__xludf.DUMMYFUNCTION("""COMPUTED_VALUE"""),"Silver and derivatives")</f>
        <v>Silver and derivatives</v>
      </c>
      <c r="B8046" t="str">
        <f ca="1">IFERROR(__xludf.DUMMYFUNCTION("""COMPUTED_VALUE"""),"RF-00000202-CHE")</f>
        <v>RF-00000202-CHE</v>
      </c>
    </row>
    <row r="8047" spans="1:2" ht="12.5" x14ac:dyDescent="0.25">
      <c r="A8047" t="str">
        <f ca="1">IFERROR(__xludf.DUMMYFUNCTION("""COMPUTED_VALUE"""),"Simazine")</f>
        <v>Simazine</v>
      </c>
      <c r="B8047" t="str">
        <f ca="1">IFERROR(__xludf.DUMMYFUNCTION("""COMPUTED_VALUE"""),"RF-0390-001-PPP")</f>
        <v>RF-0390-001-PPP</v>
      </c>
    </row>
    <row r="8048" spans="1:2" ht="12.5" x14ac:dyDescent="0.25">
      <c r="A8048" t="str">
        <f ca="1">IFERROR(__xludf.DUMMYFUNCTION("""COMPUTED_VALUE"""),"Simazine, 2-Hydroxy-")</f>
        <v>Simazine, 2-Hydroxy-</v>
      </c>
      <c r="B8048" t="str">
        <f ca="1">IFERROR(__xludf.DUMMYFUNCTION("""COMPUTED_VALUE"""),"RF-0896-001-PPP")</f>
        <v>RF-0896-001-PPP</v>
      </c>
    </row>
    <row r="8049" spans="1:2" ht="12.5" x14ac:dyDescent="0.25">
      <c r="A8049" t="str">
        <f ca="1">IFERROR(__xludf.DUMMYFUNCTION("""COMPUTED_VALUE"""),"Simeconazole")</f>
        <v>Simeconazole</v>
      </c>
      <c r="B8049" t="str">
        <f ca="1">IFERROR(__xludf.DUMMYFUNCTION("""COMPUTED_VALUE"""),"RF-0897-001-PPP")</f>
        <v>RF-0897-001-PPP</v>
      </c>
    </row>
    <row r="8050" spans="1:2" ht="12.5" x14ac:dyDescent="0.25">
      <c r="A8050" t="str">
        <f ca="1">IFERROR(__xludf.DUMMYFUNCTION("""COMPUTED_VALUE"""),"Simetryn")</f>
        <v>Simetryn</v>
      </c>
      <c r="B8050" t="str">
        <f ca="1">IFERROR(__xludf.DUMMYFUNCTION("""COMPUTED_VALUE"""),"RF-0898-001-PPP")</f>
        <v>RF-0898-001-PPP</v>
      </c>
    </row>
    <row r="8051" spans="1:2" ht="12.5" x14ac:dyDescent="0.25">
      <c r="A8051" t="str">
        <f ca="1">IFERROR(__xludf.DUMMYFUNCTION("""COMPUTED_VALUE"""),"sitosterol")</f>
        <v>sitosterol</v>
      </c>
      <c r="B8051" t="str">
        <f ca="1">IFERROR(__xludf.DUMMYFUNCTION("""COMPUTED_VALUE"""),"RF-00000392-NTR")</f>
        <v>RF-00000392-NTR</v>
      </c>
    </row>
    <row r="8052" spans="1:2" ht="12.5" x14ac:dyDescent="0.25">
      <c r="A8052" t="str">
        <f ca="1">IFERROR(__xludf.DUMMYFUNCTION("""COMPUTED_VALUE"""),"Sodium (Na)")</f>
        <v>Sodium (Na)</v>
      </c>
      <c r="B8052" t="str">
        <f ca="1">IFERROR(__xludf.DUMMYFUNCTION("""COMPUTED_VALUE"""),"RF-00000067-CHE")</f>
        <v>RF-00000067-CHE</v>
      </c>
    </row>
    <row r="8053" spans="1:2" ht="12.5" x14ac:dyDescent="0.25">
      <c r="A8053" t="str">
        <f ca="1">IFERROR(__xludf.DUMMYFUNCTION("""COMPUTED_VALUE"""),"Sodium acetates")</f>
        <v>Sodium acetates</v>
      </c>
      <c r="B8053" t="str">
        <f ca="1">IFERROR(__xludf.DUMMYFUNCTION("""COMPUTED_VALUE"""),"RF-00000273-ADD")</f>
        <v>RF-00000273-ADD</v>
      </c>
    </row>
    <row r="8054" spans="1:2" ht="12.5" x14ac:dyDescent="0.25">
      <c r="A8054" t="str">
        <f ca="1">IFERROR(__xludf.DUMMYFUNCTION("""COMPUTED_VALUE"""),"Sodium adipate")</f>
        <v>Sodium adipate</v>
      </c>
      <c r="B8054" t="str">
        <f ca="1">IFERROR(__xludf.DUMMYFUNCTION("""COMPUTED_VALUE"""),"RF-00000274-ADD")</f>
        <v>RF-00000274-ADD</v>
      </c>
    </row>
    <row r="8055" spans="1:2" ht="12.5" x14ac:dyDescent="0.25">
      <c r="A8055" t="str">
        <f ca="1">IFERROR(__xludf.DUMMYFUNCTION("""COMPUTED_VALUE"""),"Sodium alginate")</f>
        <v>Sodium alginate</v>
      </c>
      <c r="B8055" t="str">
        <f ca="1">IFERROR(__xludf.DUMMYFUNCTION("""COMPUTED_VALUE"""),"RF-00000275-ADD")</f>
        <v>RF-00000275-ADD</v>
      </c>
    </row>
    <row r="8056" spans="1:2" ht="12.5" x14ac:dyDescent="0.25">
      <c r="A8056" t="str">
        <f ca="1">IFERROR(__xludf.DUMMYFUNCTION("""COMPUTED_VALUE"""),"Sodium aluminium phosphate acidic")</f>
        <v>Sodium aluminium phosphate acidic</v>
      </c>
      <c r="B8056" t="str">
        <f ca="1">IFERROR(__xludf.DUMMYFUNCTION("""COMPUTED_VALUE"""),"RF-00000276-ADD")</f>
        <v>RF-00000276-ADD</v>
      </c>
    </row>
    <row r="8057" spans="1:2" ht="12.5" x14ac:dyDescent="0.25">
      <c r="A8057" t="str">
        <f ca="1">IFERROR(__xludf.DUMMYFUNCTION("""COMPUTED_VALUE"""),"Sodium aluminium silicate")</f>
        <v>Sodium aluminium silicate</v>
      </c>
      <c r="B8057" t="str">
        <f ca="1">IFERROR(__xludf.DUMMYFUNCTION("""COMPUTED_VALUE"""),"RF-00000277-ADD")</f>
        <v>RF-00000277-ADD</v>
      </c>
    </row>
    <row r="8058" spans="1:2" ht="12.5" x14ac:dyDescent="0.25">
      <c r="A8058" t="str">
        <f ca="1">IFERROR(__xludf.DUMMYFUNCTION("""COMPUTED_VALUE"""),"Sodium ascorbate")</f>
        <v>Sodium ascorbate</v>
      </c>
      <c r="B8058" t="str">
        <f ca="1">IFERROR(__xludf.DUMMYFUNCTION("""COMPUTED_VALUE"""),"RF-00000278-ADD")</f>
        <v>RF-00000278-ADD</v>
      </c>
    </row>
    <row r="8059" spans="1:2" ht="12.5" x14ac:dyDescent="0.25">
      <c r="A8059" t="str">
        <f ca="1">IFERROR(__xludf.DUMMYFUNCTION("""COMPUTED_VALUE"""),"Sodium benzoate")</f>
        <v>Sodium benzoate</v>
      </c>
      <c r="B8059" t="str">
        <f ca="1">IFERROR(__xludf.DUMMYFUNCTION("""COMPUTED_VALUE"""),"RF-00000279-ADD")</f>
        <v>RF-00000279-ADD</v>
      </c>
    </row>
    <row r="8060" spans="1:2" ht="12.5" x14ac:dyDescent="0.25">
      <c r="A8060" t="str">
        <f ca="1">IFERROR(__xludf.DUMMYFUNCTION("""COMPUTED_VALUE"""),"Sodium bisulphite")</f>
        <v>Sodium bisulphite</v>
      </c>
      <c r="B8060" t="str">
        <f ca="1">IFERROR(__xludf.DUMMYFUNCTION("""COMPUTED_VALUE"""),"RF-00001295-PAR")</f>
        <v>RF-00001295-PAR</v>
      </c>
    </row>
    <row r="8061" spans="1:2" ht="12.5" x14ac:dyDescent="0.25">
      <c r="A8061" t="str">
        <f ca="1">IFERROR(__xludf.DUMMYFUNCTION("""COMPUTED_VALUE"""),"Sodium carbonates")</f>
        <v>Sodium carbonates</v>
      </c>
      <c r="B8061" t="str">
        <f ca="1">IFERROR(__xludf.DUMMYFUNCTION("""COMPUTED_VALUE"""),"RF-00000280-ADD")</f>
        <v>RF-00000280-ADD</v>
      </c>
    </row>
    <row r="8062" spans="1:2" ht="12.5" x14ac:dyDescent="0.25">
      <c r="A8062" t="str">
        <f ca="1">IFERROR(__xludf.DUMMYFUNCTION("""COMPUTED_VALUE"""),"Sodium citrates")</f>
        <v>Sodium citrates</v>
      </c>
      <c r="B8062" t="str">
        <f ca="1">IFERROR(__xludf.DUMMYFUNCTION("""COMPUTED_VALUE"""),"RF-00000281-ADD")</f>
        <v>RF-00000281-ADD</v>
      </c>
    </row>
    <row r="8063" spans="1:2" ht="12.5" x14ac:dyDescent="0.25">
      <c r="A8063" t="str">
        <f ca="1">IFERROR(__xludf.DUMMYFUNCTION("""COMPUTED_VALUE"""),"Sodium cyclamate")</f>
        <v>Sodium cyclamate</v>
      </c>
      <c r="B8063" t="str">
        <f ca="1">IFERROR(__xludf.DUMMYFUNCTION("""COMPUTED_VALUE"""),"RF-00000014-ADD")</f>
        <v>RF-00000014-ADD</v>
      </c>
    </row>
    <row r="8064" spans="1:2" ht="12.5" x14ac:dyDescent="0.25">
      <c r="A8064" t="str">
        <f ca="1">IFERROR(__xludf.DUMMYFUNCTION("""COMPUTED_VALUE"""),"Sodium derivatives")</f>
        <v>Sodium derivatives</v>
      </c>
      <c r="B8064" t="str">
        <f ca="1">IFERROR(__xludf.DUMMYFUNCTION("""COMPUTED_VALUE"""),"RF-00000066-CHE")</f>
        <v>RF-00000066-CHE</v>
      </c>
    </row>
    <row r="8065" spans="1:2" ht="12.5" x14ac:dyDescent="0.25">
      <c r="A8065" t="str">
        <f ca="1">IFERROR(__xludf.DUMMYFUNCTION("""COMPUTED_VALUE"""),"Sodium erythorbate")</f>
        <v>Sodium erythorbate</v>
      </c>
      <c r="B8065" t="str">
        <f ca="1">IFERROR(__xludf.DUMMYFUNCTION("""COMPUTED_VALUE"""),"RF-00000283-ADD")</f>
        <v>RF-00000283-ADD</v>
      </c>
    </row>
    <row r="8066" spans="1:2" ht="12.5" x14ac:dyDescent="0.25">
      <c r="A8066" t="str">
        <f ca="1">IFERROR(__xludf.DUMMYFUNCTION("""COMPUTED_VALUE"""),"Sodium ethyl p-hydroxybenzoate")</f>
        <v>Sodium ethyl p-hydroxybenzoate</v>
      </c>
      <c r="B8066" t="str">
        <f ca="1">IFERROR(__xludf.DUMMYFUNCTION("""COMPUTED_VALUE"""),"RF-00000284-ADD")</f>
        <v>RF-00000284-ADD</v>
      </c>
    </row>
    <row r="8067" spans="1:2" ht="12.5" x14ac:dyDescent="0.25">
      <c r="A8067" t="str">
        <f ca="1">IFERROR(__xludf.DUMMYFUNCTION("""COMPUTED_VALUE"""),"Sodium ferrocyanide")</f>
        <v>Sodium ferrocyanide</v>
      </c>
      <c r="B8067" t="str">
        <f ca="1">IFERROR(__xludf.DUMMYFUNCTION("""COMPUTED_VALUE"""),"RF-00000285-ADD")</f>
        <v>RF-00000285-ADD</v>
      </c>
    </row>
    <row r="8068" spans="1:2" ht="12.5" x14ac:dyDescent="0.25">
      <c r="A8068" t="str">
        <f ca="1">IFERROR(__xludf.DUMMYFUNCTION("""COMPUTED_VALUE"""),"Sodium gluconate")</f>
        <v>Sodium gluconate</v>
      </c>
      <c r="B8068" t="str">
        <f ca="1">IFERROR(__xludf.DUMMYFUNCTION("""COMPUTED_VALUE"""),"RF-00000286-ADD")</f>
        <v>RF-00000286-ADD</v>
      </c>
    </row>
    <row r="8069" spans="1:2" ht="12.5" x14ac:dyDescent="0.25">
      <c r="A8069" t="str">
        <f ca="1">IFERROR(__xludf.DUMMYFUNCTION("""COMPUTED_VALUE"""),"Sodium hydrogen sulphite")</f>
        <v>Sodium hydrogen sulphite</v>
      </c>
      <c r="B8069" t="str">
        <f ca="1">IFERROR(__xludf.DUMMYFUNCTION("""COMPUTED_VALUE"""),"RF-00000287-ADD")</f>
        <v>RF-00000287-ADD</v>
      </c>
    </row>
    <row r="8070" spans="1:2" ht="12.5" x14ac:dyDescent="0.25">
      <c r="A8070" t="str">
        <f ca="1">IFERROR(__xludf.DUMMYFUNCTION("""COMPUTED_VALUE"""),"Sodium hydroxide")</f>
        <v>Sodium hydroxide</v>
      </c>
      <c r="B8070" t="str">
        <f ca="1">IFERROR(__xludf.DUMMYFUNCTION("""COMPUTED_VALUE"""),"RF-00000288-ADD")</f>
        <v>RF-00000288-ADD</v>
      </c>
    </row>
    <row r="8071" spans="1:2" ht="12.5" x14ac:dyDescent="0.25">
      <c r="A8071" t="str">
        <f ca="1">IFERROR(__xludf.DUMMYFUNCTION("""COMPUTED_VALUE"""),"Sodium lactate")</f>
        <v>Sodium lactate</v>
      </c>
      <c r="B8071" t="str">
        <f ca="1">IFERROR(__xludf.DUMMYFUNCTION("""COMPUTED_VALUE"""),"RF-00000289-ADD")</f>
        <v>RF-00000289-ADD</v>
      </c>
    </row>
    <row r="8072" spans="1:2" ht="12.5" x14ac:dyDescent="0.25">
      <c r="A8072" t="str">
        <f ca="1">IFERROR(__xludf.DUMMYFUNCTION("""COMPUTED_VALUE"""),"Sodium malates")</f>
        <v>Sodium malates</v>
      </c>
      <c r="B8072" t="str">
        <f ca="1">IFERROR(__xludf.DUMMYFUNCTION("""COMPUTED_VALUE"""),"RF-00000290-ADD")</f>
        <v>RF-00000290-ADD</v>
      </c>
    </row>
    <row r="8073" spans="1:2" ht="12.5" x14ac:dyDescent="0.25">
      <c r="A8073" t="str">
        <f ca="1">IFERROR(__xludf.DUMMYFUNCTION("""COMPUTED_VALUE"""),"Sodium metabisulphite")</f>
        <v>Sodium metabisulphite</v>
      </c>
      <c r="B8073" t="str">
        <f ca="1">IFERROR(__xludf.DUMMYFUNCTION("""COMPUTED_VALUE"""),"RF-00000291-ADD")</f>
        <v>RF-00000291-ADD</v>
      </c>
    </row>
    <row r="8074" spans="1:2" ht="12.5" x14ac:dyDescent="0.25">
      <c r="A8074" t="str">
        <f ca="1">IFERROR(__xludf.DUMMYFUNCTION("""COMPUTED_VALUE"""),"Sodium methyl p-hydroxybenzoate")</f>
        <v>Sodium methyl p-hydroxybenzoate</v>
      </c>
      <c r="B8074" t="str">
        <f ca="1">IFERROR(__xludf.DUMMYFUNCTION("""COMPUTED_VALUE"""),"RF-00000292-ADD")</f>
        <v>RF-00000292-ADD</v>
      </c>
    </row>
    <row r="8075" spans="1:2" ht="12.5" x14ac:dyDescent="0.25">
      <c r="A8075" t="str">
        <f ca="1">IFERROR(__xludf.DUMMYFUNCTION("""COMPUTED_VALUE"""),"Sodium nitrate")</f>
        <v>Sodium nitrate</v>
      </c>
      <c r="B8075" t="str">
        <f ca="1">IFERROR(__xludf.DUMMYFUNCTION("""COMPUTED_VALUE"""),"RF-00000293-ADD")</f>
        <v>RF-00000293-ADD</v>
      </c>
    </row>
    <row r="8076" spans="1:2" ht="12.5" x14ac:dyDescent="0.25">
      <c r="A8076" t="str">
        <f ca="1">IFERROR(__xludf.DUMMYFUNCTION("""COMPUTED_VALUE"""),"Sodium nitrite")</f>
        <v>Sodium nitrite</v>
      </c>
      <c r="B8076" t="str">
        <f ca="1">IFERROR(__xludf.DUMMYFUNCTION("""COMPUTED_VALUE"""),"RF-00000294-ADD")</f>
        <v>RF-00000294-ADD</v>
      </c>
    </row>
    <row r="8077" spans="1:2" ht="12.5" x14ac:dyDescent="0.25">
      <c r="A8077" t="str">
        <f ca="1">IFERROR(__xludf.DUMMYFUNCTION("""COMPUTED_VALUE"""),"Sodium oxide")</f>
        <v>Sodium oxide</v>
      </c>
      <c r="B8077" t="str">
        <f ca="1">IFERROR(__xludf.DUMMYFUNCTION("""COMPUTED_VALUE"""),"RF-00000069-CHE")</f>
        <v>RF-00000069-CHE</v>
      </c>
    </row>
    <row r="8078" spans="1:2" ht="12.5" x14ac:dyDescent="0.25">
      <c r="A8078" t="str">
        <f ca="1">IFERROR(__xludf.DUMMYFUNCTION("""COMPUTED_VALUE"""),"Sodium phosphates")</f>
        <v>Sodium phosphates</v>
      </c>
      <c r="B8078" t="str">
        <f ca="1">IFERROR(__xludf.DUMMYFUNCTION("""COMPUTED_VALUE"""),"RF-00000295-ADD")</f>
        <v>RF-00000295-ADD</v>
      </c>
    </row>
    <row r="8079" spans="1:2" ht="12.5" x14ac:dyDescent="0.25">
      <c r="A8079" t="str">
        <f ca="1">IFERROR(__xludf.DUMMYFUNCTION("""COMPUTED_VALUE"""),"Sodium potassium tartrate")</f>
        <v>Sodium potassium tartrate</v>
      </c>
      <c r="B8079" t="str">
        <f ca="1">IFERROR(__xludf.DUMMYFUNCTION("""COMPUTED_VALUE"""),"RF-00000296-ADD")</f>
        <v>RF-00000296-ADD</v>
      </c>
    </row>
    <row r="8080" spans="1:2" ht="12.5" x14ac:dyDescent="0.25">
      <c r="A8080" t="str">
        <f ca="1">IFERROR(__xludf.DUMMYFUNCTION("""COMPUTED_VALUE"""),"Sodium propionate")</f>
        <v>Sodium propionate</v>
      </c>
      <c r="B8080" t="str">
        <f ca="1">IFERROR(__xludf.DUMMYFUNCTION("""COMPUTED_VALUE"""),"RF-00000297-ADD")</f>
        <v>RF-00000297-ADD</v>
      </c>
    </row>
    <row r="8081" spans="1:2" ht="12.5" x14ac:dyDescent="0.25">
      <c r="A8081" t="str">
        <f ca="1">IFERROR(__xludf.DUMMYFUNCTION("""COMPUTED_VALUE"""),"Sodium salicylate")</f>
        <v>Sodium salicylate</v>
      </c>
      <c r="B8081" t="str">
        <f ca="1">IFERROR(__xludf.DUMMYFUNCTION("""COMPUTED_VALUE"""),"RF-00000215-VET")</f>
        <v>RF-00000215-VET</v>
      </c>
    </row>
    <row r="8082" spans="1:2" ht="12.5" x14ac:dyDescent="0.25">
      <c r="A8082" t="str">
        <f ca="1">IFERROR(__xludf.DUMMYFUNCTION("""COMPUTED_VALUE"""),"Sodium soluble in water")</f>
        <v>Sodium soluble in water</v>
      </c>
      <c r="B8082" t="str">
        <f ca="1">IFERROR(__xludf.DUMMYFUNCTION("""COMPUTED_VALUE"""),"RF-00000068-CHE")</f>
        <v>RF-00000068-CHE</v>
      </c>
    </row>
    <row r="8083" spans="1:2" ht="12.5" x14ac:dyDescent="0.25">
      <c r="A8083" t="str">
        <f ca="1">IFERROR(__xludf.DUMMYFUNCTION("""COMPUTED_VALUE"""),"Sodium stannate trihydrate")</f>
        <v>Sodium stannate trihydrate</v>
      </c>
      <c r="B8083" t="str">
        <f ca="1">IFERROR(__xludf.DUMMYFUNCTION("""COMPUTED_VALUE"""),"RF-00000263-CHE")</f>
        <v>RF-00000263-CHE</v>
      </c>
    </row>
    <row r="8084" spans="1:2" ht="12.5" x14ac:dyDescent="0.25">
      <c r="A8084" t="str">
        <f ca="1">IFERROR(__xludf.DUMMYFUNCTION("""COMPUTED_VALUE"""),"Sodium stearoyl-2-lactylate")</f>
        <v>Sodium stearoyl-2-lactylate</v>
      </c>
      <c r="B8084" t="str">
        <f ca="1">IFERROR(__xludf.DUMMYFUNCTION("""COMPUTED_VALUE"""),"RF-00000298-ADD")</f>
        <v>RF-00000298-ADD</v>
      </c>
    </row>
    <row r="8085" spans="1:2" ht="12.5" x14ac:dyDescent="0.25">
      <c r="A8085" t="str">
        <f ca="1">IFERROR(__xludf.DUMMYFUNCTION("""COMPUTED_VALUE"""),"Sodium sulphates")</f>
        <v>Sodium sulphates</v>
      </c>
      <c r="B8085" t="str">
        <f ca="1">IFERROR(__xludf.DUMMYFUNCTION("""COMPUTED_VALUE"""),"RF-00000299-ADD")</f>
        <v>RF-00000299-ADD</v>
      </c>
    </row>
    <row r="8086" spans="1:2" ht="12.5" x14ac:dyDescent="0.25">
      <c r="A8086" t="str">
        <f ca="1">IFERROR(__xludf.DUMMYFUNCTION("""COMPUTED_VALUE"""),"Sodium sulphite")</f>
        <v>Sodium sulphite</v>
      </c>
      <c r="B8086" t="str">
        <f ca="1">IFERROR(__xludf.DUMMYFUNCTION("""COMPUTED_VALUE"""),"RF-00000300-ADD")</f>
        <v>RF-00000300-ADD</v>
      </c>
    </row>
    <row r="8087" spans="1:2" ht="12.5" x14ac:dyDescent="0.25">
      <c r="A8087" t="str">
        <f ca="1">IFERROR(__xludf.DUMMYFUNCTION("""COMPUTED_VALUE"""),"Sodium tartrates")</f>
        <v>Sodium tartrates</v>
      </c>
      <c r="B8087" t="str">
        <f ca="1">IFERROR(__xludf.DUMMYFUNCTION("""COMPUTED_VALUE"""),"RF-00000301-ADD")</f>
        <v>RF-00000301-ADD</v>
      </c>
    </row>
    <row r="8088" spans="1:2" ht="12.5" x14ac:dyDescent="0.25">
      <c r="A8088" t="str">
        <f ca="1">IFERROR(__xludf.DUMMYFUNCTION("""COMPUTED_VALUE"""),"Sodium tetraborate (borax)")</f>
        <v>Sodium tetraborate (borax)</v>
      </c>
      <c r="B8088" t="str">
        <f ca="1">IFERROR(__xludf.DUMMYFUNCTION("""COMPUTED_VALUE"""),"RF-00000302-ADD")</f>
        <v>RF-00000302-ADD</v>
      </c>
    </row>
    <row r="8089" spans="1:2" ht="12.5" x14ac:dyDescent="0.25">
      <c r="A8089" t="str">
        <f ca="1">IFERROR(__xludf.DUMMYFUNCTION("""COMPUTED_VALUE"""),"Sodium tetrathiocarbonate")</f>
        <v>Sodium tetrathiocarbonate</v>
      </c>
      <c r="B8089" t="str">
        <f ca="1">IFERROR(__xludf.DUMMYFUNCTION("""COMPUTED_VALUE"""),"RF-0391-001-PPP")</f>
        <v>RF-0391-001-PPP</v>
      </c>
    </row>
    <row r="8090" spans="1:2" ht="12.5" x14ac:dyDescent="0.25">
      <c r="A8090" t="str">
        <f ca="1">IFERROR(__xludf.DUMMYFUNCTION("""COMPUTED_VALUE"""),"sodium-saccharin")</f>
        <v>sodium-saccharin</v>
      </c>
      <c r="B8090" t="str">
        <f ca="1">IFERROR(__xludf.DUMMYFUNCTION("""COMPUTED_VALUE"""),"RF-00000393-NTR")</f>
        <v>RF-00000393-NTR</v>
      </c>
    </row>
    <row r="8091" spans="1:2" ht="12.5" x14ac:dyDescent="0.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x14ac:dyDescent="0.25">
      <c r="A8092" t="str">
        <f ca="1">IFERROR(__xludf.DUMMYFUNCTION("""COMPUTED_VALUE"""),"solids, total")</f>
        <v>solids, total</v>
      </c>
      <c r="B8092" t="str">
        <f ca="1">IFERROR(__xludf.DUMMYFUNCTION("""COMPUTED_VALUE"""),"RF-00000394-NTR")</f>
        <v>RF-00000394-NTR</v>
      </c>
    </row>
    <row r="8093" spans="1:2" ht="12.5" x14ac:dyDescent="0.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x14ac:dyDescent="0.25">
      <c r="A8094" t="str">
        <f ca="1">IFERROR(__xludf.DUMMYFUNCTION("""COMPUTED_VALUE"""),"Soluble silicon oxide at pH 11 (absolute)")</f>
        <v>Soluble silicon oxide at pH 11 (absolute)</v>
      </c>
      <c r="B8094" t="str">
        <f ca="1">IFERROR(__xludf.DUMMYFUNCTION("""COMPUTED_VALUE"""),"RF-00000075-CHE")</f>
        <v>RF-00000075-CHE</v>
      </c>
    </row>
    <row r="8095" spans="1:2" ht="12.5" x14ac:dyDescent="0.25">
      <c r="A8095" t="str">
        <f ca="1">IFERROR(__xludf.DUMMYFUNCTION("""COMPUTED_VALUE"""),"Soluble silicon oxide at pH 11 (absolute)")</f>
        <v>Soluble silicon oxide at pH 11 (absolute)</v>
      </c>
      <c r="B8095" t="str">
        <f ca="1">IFERROR(__xludf.DUMMYFUNCTION("""COMPUTED_VALUE"""),"RF-00000076-CHE")</f>
        <v>RF-00000076-CHE</v>
      </c>
    </row>
    <row r="8096" spans="1:2" ht="12.5" x14ac:dyDescent="0.25">
      <c r="A8096" t="str">
        <f ca="1">IFERROR(__xludf.DUMMYFUNCTION("""COMPUTED_VALUE"""),"Soluble sulfur")</f>
        <v>Soluble sulfur</v>
      </c>
      <c r="B8096" t="str">
        <f ca="1">IFERROR(__xludf.DUMMYFUNCTION("""COMPUTED_VALUE"""),"RF-00000121-CHE")</f>
        <v>RF-00000121-CHE</v>
      </c>
    </row>
    <row r="8097" spans="1:2" ht="12.5" x14ac:dyDescent="0.25">
      <c r="A8097" t="str">
        <f ca="1">IFERROR(__xludf.DUMMYFUNCTION("""COMPUTED_VALUE"""),"Somatosalm")</f>
        <v>Somatosalm</v>
      </c>
      <c r="B8097" t="str">
        <f ca="1">IFERROR(__xludf.DUMMYFUNCTION("""COMPUTED_VALUE"""),"RF-00000268-VET")</f>
        <v>RF-00000268-VET</v>
      </c>
    </row>
    <row r="8098" spans="1:2" ht="12.5" x14ac:dyDescent="0.25">
      <c r="A8098" t="str">
        <f ca="1">IFERROR(__xludf.DUMMYFUNCTION("""COMPUTED_VALUE"""),"Somatotropin, Bovine")</f>
        <v>Somatotropin, Bovine</v>
      </c>
      <c r="B8098" t="str">
        <f ca="1">IFERROR(__xludf.DUMMYFUNCTION("""COMPUTED_VALUE"""),"RF-00000281-VET")</f>
        <v>RF-00000281-VET</v>
      </c>
    </row>
    <row r="8099" spans="1:2" ht="12.5" x14ac:dyDescent="0.25">
      <c r="A8099" t="str">
        <f ca="1">IFERROR(__xludf.DUMMYFUNCTION("""COMPUTED_VALUE"""),"Somatotropin, Human")</f>
        <v>Somatotropin, Human</v>
      </c>
      <c r="B8099" t="str">
        <f ca="1">IFERROR(__xludf.DUMMYFUNCTION("""COMPUTED_VALUE"""),"RF-00000282-VET")</f>
        <v>RF-00000282-VET</v>
      </c>
    </row>
    <row r="8100" spans="1:2" ht="12.5" x14ac:dyDescent="0.25">
      <c r="A8100" t="str">
        <f ca="1">IFERROR(__xludf.DUMMYFUNCTION("""COMPUTED_VALUE"""),"Somatotropin, Porcine")</f>
        <v>Somatotropin, Porcine</v>
      </c>
      <c r="B8100" t="str">
        <f ca="1">IFERROR(__xludf.DUMMYFUNCTION("""COMPUTED_VALUE"""),"RF-00000271-VET")</f>
        <v>RF-00000271-VET</v>
      </c>
    </row>
    <row r="8101" spans="1:2" ht="12.5" x14ac:dyDescent="0.25">
      <c r="A8101" t="str">
        <f ca="1">IFERROR(__xludf.DUMMYFUNCTION("""COMPUTED_VALUE"""),"Sorbic acid")</f>
        <v>Sorbic acid</v>
      </c>
      <c r="B8101" t="str">
        <f ca="1">IFERROR(__xludf.DUMMYFUNCTION("""COMPUTED_VALUE"""),"RF-00000304-ADD")</f>
        <v>RF-00000304-ADD</v>
      </c>
    </row>
    <row r="8102" spans="1:2" ht="12.5" x14ac:dyDescent="0.25">
      <c r="A8102" t="str">
        <f ca="1">IFERROR(__xludf.DUMMYFUNCTION("""COMPUTED_VALUE"""),"Sorbitan monolaurate")</f>
        <v>Sorbitan monolaurate</v>
      </c>
      <c r="B8102" t="str">
        <f ca="1">IFERROR(__xludf.DUMMYFUNCTION("""COMPUTED_VALUE"""),"RF-00000305-ADD")</f>
        <v>RF-00000305-ADD</v>
      </c>
    </row>
    <row r="8103" spans="1:2" ht="12.5" x14ac:dyDescent="0.25">
      <c r="A8103" t="str">
        <f ca="1">IFERROR(__xludf.DUMMYFUNCTION("""COMPUTED_VALUE"""),"Sorbitan monooleate")</f>
        <v>Sorbitan monooleate</v>
      </c>
      <c r="B8103" t="str">
        <f ca="1">IFERROR(__xludf.DUMMYFUNCTION("""COMPUTED_VALUE"""),"RF-00000306-ADD")</f>
        <v>RF-00000306-ADD</v>
      </c>
    </row>
    <row r="8104" spans="1:2" ht="12.5" x14ac:dyDescent="0.25">
      <c r="A8104" t="str">
        <f ca="1">IFERROR(__xludf.DUMMYFUNCTION("""COMPUTED_VALUE"""),"Sorbitan monopalmitate")</f>
        <v>Sorbitan monopalmitate</v>
      </c>
      <c r="B8104" t="str">
        <f ca="1">IFERROR(__xludf.DUMMYFUNCTION("""COMPUTED_VALUE"""),"RF-00000307-ADD")</f>
        <v>RF-00000307-ADD</v>
      </c>
    </row>
    <row r="8105" spans="1:2" ht="12.5" x14ac:dyDescent="0.25">
      <c r="A8105" t="str">
        <f ca="1">IFERROR(__xludf.DUMMYFUNCTION("""COMPUTED_VALUE"""),"Sorbitan monostearate")</f>
        <v>Sorbitan monostearate</v>
      </c>
      <c r="B8105" t="str">
        <f ca="1">IFERROR(__xludf.DUMMYFUNCTION("""COMPUTED_VALUE"""),"RF-00000308-ADD")</f>
        <v>RF-00000308-ADD</v>
      </c>
    </row>
    <row r="8106" spans="1:2" ht="12.5" x14ac:dyDescent="0.25">
      <c r="A8106" t="str">
        <f ca="1">IFERROR(__xludf.DUMMYFUNCTION("""COMPUTED_VALUE"""),"Sorbitan tristearate")</f>
        <v>Sorbitan tristearate</v>
      </c>
      <c r="B8106" t="str">
        <f ca="1">IFERROR(__xludf.DUMMYFUNCTION("""COMPUTED_VALUE"""),"RF-00000309-ADD")</f>
        <v>RF-00000309-ADD</v>
      </c>
    </row>
    <row r="8107" spans="1:2" ht="12.5" x14ac:dyDescent="0.25">
      <c r="A8107" t="str">
        <f ca="1">IFERROR(__xludf.DUMMYFUNCTION("""COMPUTED_VALUE"""),"sorbitol")</f>
        <v>sorbitol</v>
      </c>
      <c r="B8107" t="str">
        <f ca="1">IFERROR(__xludf.DUMMYFUNCTION("""COMPUTED_VALUE"""),"RF-00000395-NTR")</f>
        <v>RF-00000395-NTR</v>
      </c>
    </row>
    <row r="8108" spans="1:2" ht="12.5" x14ac:dyDescent="0.25">
      <c r="A8108" t="str">
        <f ca="1">IFERROR(__xludf.DUMMYFUNCTION("""COMPUTED_VALUE"""),"Sorbitols")</f>
        <v>Sorbitols</v>
      </c>
      <c r="B8108" t="str">
        <f ca="1">IFERROR(__xludf.DUMMYFUNCTION("""COMPUTED_VALUE"""),"RF-00000310-ADD")</f>
        <v>RF-00000310-ADD</v>
      </c>
    </row>
    <row r="8109" spans="1:2" ht="12.5" x14ac:dyDescent="0.25">
      <c r="A8109" t="str">
        <f ca="1">IFERROR(__xludf.DUMMYFUNCTION("""COMPUTED_VALUE"""),"Soybean hemicellulose")</f>
        <v>Soybean hemicellulose</v>
      </c>
      <c r="B8109" t="str">
        <f ca="1">IFERROR(__xludf.DUMMYFUNCTION("""COMPUTED_VALUE"""),"RF-00000311-ADD")</f>
        <v>RF-00000311-ADD</v>
      </c>
    </row>
    <row r="8110" spans="1:2" ht="12.5" x14ac:dyDescent="0.25">
      <c r="A8110" t="str">
        <f ca="1">IFERROR(__xludf.DUMMYFUNCTION("""COMPUTED_VALUE"""),"Spartioidine")</f>
        <v>Spartioidine</v>
      </c>
      <c r="B8110" t="str">
        <f ca="1">IFERROR(__xludf.DUMMYFUNCTION("""COMPUTED_VALUE"""),"RF-00000301-TOX")</f>
        <v>RF-00000301-TOX</v>
      </c>
    </row>
    <row r="8111" spans="1:2" ht="12.5" x14ac:dyDescent="0.25">
      <c r="A8111" t="str">
        <f ca="1">IFERROR(__xludf.DUMMYFUNCTION("""COMPUTED_VALUE"""),"Spartioidine-N-oxide")</f>
        <v>Spartioidine-N-oxide</v>
      </c>
      <c r="B8111" t="str">
        <f ca="1">IFERROR(__xludf.DUMMYFUNCTION("""COMPUTED_VALUE"""),"RF-00000415-TOX")</f>
        <v>RF-00000415-TOX</v>
      </c>
    </row>
    <row r="8112" spans="1:2" ht="12.5" x14ac:dyDescent="0.25">
      <c r="A8112" t="str">
        <f ca="1">IFERROR(__xludf.DUMMYFUNCTION("""COMPUTED_VALUE"""),"Spectinomycin")</f>
        <v>Spectinomycin</v>
      </c>
      <c r="B8112" t="str">
        <f ca="1">IFERROR(__xludf.DUMMYFUNCTION("""COMPUTED_VALUE"""),"RF-00000625-VET")</f>
        <v>RF-00000625-VET</v>
      </c>
    </row>
    <row r="8113" spans="1:2" ht="12.5" x14ac:dyDescent="0.25">
      <c r="A8113" t="str">
        <f ca="1">IFERROR(__xludf.DUMMYFUNCTION("""COMPUTED_VALUE"""),"Spermidine")</f>
        <v>Spermidine</v>
      </c>
      <c r="B8113" t="str">
        <f ca="1">IFERROR(__xludf.DUMMYFUNCTION("""COMPUTED_VALUE"""),"RF-00000005-BGA")</f>
        <v>RF-00000005-BGA</v>
      </c>
    </row>
    <row r="8114" spans="1:2" ht="12.5" x14ac:dyDescent="0.25">
      <c r="A8114" t="str">
        <f ca="1">IFERROR(__xludf.DUMMYFUNCTION("""COMPUTED_VALUE"""),"spermindine")</f>
        <v>spermindine</v>
      </c>
      <c r="B8114" t="str">
        <f ca="1">IFERROR(__xludf.DUMMYFUNCTION("""COMPUTED_VALUE"""),"RF-00000396-NTR")</f>
        <v>RF-00000396-NTR</v>
      </c>
    </row>
    <row r="8115" spans="1:2" ht="12.5" x14ac:dyDescent="0.25">
      <c r="A8115" t="str">
        <f ca="1">IFERROR(__xludf.DUMMYFUNCTION("""COMPUTED_VALUE"""),"Spermine")</f>
        <v>Spermine</v>
      </c>
      <c r="B8115" t="str">
        <f ca="1">IFERROR(__xludf.DUMMYFUNCTION("""COMPUTED_VALUE"""),"RF-00000006-BGA")</f>
        <v>RF-00000006-BGA</v>
      </c>
    </row>
    <row r="8116" spans="1:2" ht="12.5" x14ac:dyDescent="0.25">
      <c r="A8116" t="str">
        <f ca="1">IFERROR(__xludf.DUMMYFUNCTION("""COMPUTED_VALUE"""),"spinasterol")</f>
        <v>spinasterol</v>
      </c>
      <c r="B8116" t="str">
        <f ca="1">IFERROR(__xludf.DUMMYFUNCTION("""COMPUTED_VALUE"""),"RF-00000397-NTR")</f>
        <v>RF-00000397-NTR</v>
      </c>
    </row>
    <row r="8117" spans="1:2" ht="12.5" x14ac:dyDescent="0.25">
      <c r="A8117" t="str">
        <f ca="1">IFERROR(__xludf.DUMMYFUNCTION("""COMPUTED_VALUE"""),"Spinetoram (XDE-175)")</f>
        <v>Spinetoram (XDE-175)</v>
      </c>
      <c r="B8117" t="str">
        <f ca="1">IFERROR(__xludf.DUMMYFUNCTION("""COMPUTED_VALUE"""),"RF-0392-001-PPP")</f>
        <v>RF-0392-001-PPP</v>
      </c>
    </row>
    <row r="8118" spans="1:2" ht="12.5" x14ac:dyDescent="0.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x14ac:dyDescent="0.25">
      <c r="A8119" t="str">
        <f ca="1">IFERROR(__xludf.DUMMYFUNCTION("""COMPUTED_VALUE"""),"Spinosyn A")</f>
        <v>Spinosyn A</v>
      </c>
      <c r="B8119" t="str">
        <f ca="1">IFERROR(__xludf.DUMMYFUNCTION("""COMPUTED_VALUE"""),"RF-0393-002-PPP")</f>
        <v>RF-0393-002-PPP</v>
      </c>
    </row>
    <row r="8120" spans="1:2" ht="12.5" x14ac:dyDescent="0.25">
      <c r="A8120" t="str">
        <f ca="1">IFERROR(__xludf.DUMMYFUNCTION("""COMPUTED_VALUE"""),"Spinosyn D")</f>
        <v>Spinosyn D</v>
      </c>
      <c r="B8120" t="str">
        <f ca="1">IFERROR(__xludf.DUMMYFUNCTION("""COMPUTED_VALUE"""),"RF-0393-003-PPP")</f>
        <v>RF-0393-003-PPP</v>
      </c>
    </row>
    <row r="8121" spans="1:2" ht="12.5" x14ac:dyDescent="0.25">
      <c r="A8121" t="str">
        <f ca="1">IFERROR(__xludf.DUMMYFUNCTION("""COMPUTED_VALUE"""),"Spiramycin")</f>
        <v>Spiramycin</v>
      </c>
      <c r="B8121" t="str">
        <f ca="1">IFERROR(__xludf.DUMMYFUNCTION("""COMPUTED_VALUE"""),"RF-00000642-VET")</f>
        <v>RF-00000642-VET</v>
      </c>
    </row>
    <row r="8122" spans="1:2" ht="12.5" x14ac:dyDescent="0.25">
      <c r="A8122" t="str">
        <f ca="1">IFERROR(__xludf.DUMMYFUNCTION("""COMPUTED_VALUE"""),"Spiramycin 1")</f>
        <v>Spiramycin 1</v>
      </c>
      <c r="B8122" t="str">
        <f ca="1">IFERROR(__xludf.DUMMYFUNCTION("""COMPUTED_VALUE"""),"RF-00000643-VET")</f>
        <v>RF-00000643-VET</v>
      </c>
    </row>
    <row r="8123" spans="1:2" ht="12.5" x14ac:dyDescent="0.25">
      <c r="A8123" t="str">
        <f ca="1">IFERROR(__xludf.DUMMYFUNCTION("""COMPUTED_VALUE"""),"Spirodiclofen")</f>
        <v>Spirodiclofen</v>
      </c>
      <c r="B8123" t="str">
        <f ca="1">IFERROR(__xludf.DUMMYFUNCTION("""COMPUTED_VALUE"""),"RF-0394-001-PPP")</f>
        <v>RF-0394-001-PPP</v>
      </c>
    </row>
    <row r="8124" spans="1:2" ht="12.5" x14ac:dyDescent="0.25">
      <c r="A8124" t="str">
        <f ca="1">IFERROR(__xludf.DUMMYFUNCTION("""COMPUTED_VALUE"""),"Spiromesifen")</f>
        <v>Spiromesifen</v>
      </c>
      <c r="B8124" t="str">
        <f ca="1">IFERROR(__xludf.DUMMYFUNCTION("""COMPUTED_VALUE"""),"RF-0395-001-PPP")</f>
        <v>RF-0395-001-PPP</v>
      </c>
    </row>
    <row r="8125" spans="1:2" ht="12.5" x14ac:dyDescent="0.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x14ac:dyDescent="0.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x14ac:dyDescent="0.25">
      <c r="A8127" t="str">
        <f ca="1">IFERROR(__xludf.DUMMYFUNCTION("""COMPUTED_VALUE"""),"Spiroxamine")</f>
        <v>Spiroxamine</v>
      </c>
      <c r="B8127" t="str">
        <f ca="1">IFERROR(__xludf.DUMMYFUNCTION("""COMPUTED_VALUE"""),"RF-0397-001-PPP")</f>
        <v>RF-0397-001-PPP</v>
      </c>
    </row>
    <row r="8128" spans="1:2" ht="12.5" x14ac:dyDescent="0.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x14ac:dyDescent="0.25">
      <c r="A8129" t="str">
        <f ca="1">IFERROR(__xludf.DUMMYFUNCTION("""COMPUTED_VALUE"""),"stachyose")</f>
        <v>stachyose</v>
      </c>
      <c r="B8129" t="str">
        <f ca="1">IFERROR(__xludf.DUMMYFUNCTION("""COMPUTED_VALUE"""),"RF-00000398-NTR")</f>
        <v>RF-00000398-NTR</v>
      </c>
    </row>
    <row r="8130" spans="1:2" ht="12.5" x14ac:dyDescent="0.25">
      <c r="A8130" t="str">
        <f ca="1">IFERROR(__xludf.DUMMYFUNCTION("""COMPUTED_VALUE"""),"Stanozolol")</f>
        <v>Stanozolol</v>
      </c>
      <c r="B8130" t="str">
        <f ca="1">IFERROR(__xludf.DUMMYFUNCTION("""COMPUTED_VALUE"""),"RF-00000415-VET")</f>
        <v>RF-00000415-VET</v>
      </c>
    </row>
    <row r="8131" spans="1:2" ht="12.5" x14ac:dyDescent="0.25">
      <c r="A8131" t="str">
        <f ca="1">IFERROR(__xludf.DUMMYFUNCTION("""COMPUTED_VALUE"""),"Stanozolol-16-Beta-Hydroxy")</f>
        <v>Stanozolol-16-Beta-Hydroxy</v>
      </c>
      <c r="B8131" t="str">
        <f ca="1">IFERROR(__xludf.DUMMYFUNCTION("""COMPUTED_VALUE"""),"RF-00000332-VET")</f>
        <v>RF-00000332-VET</v>
      </c>
    </row>
    <row r="8132" spans="1:2" ht="12.5" x14ac:dyDescent="0.25">
      <c r="A8132" t="str">
        <f ca="1">IFERROR(__xludf.DUMMYFUNCTION("""COMPUTED_VALUE"""),"Stanozolol-3-Hydroxy")</f>
        <v>Stanozolol-3-Hydroxy</v>
      </c>
      <c r="B8132" t="str">
        <f ca="1">IFERROR(__xludf.DUMMYFUNCTION("""COMPUTED_VALUE"""),"RF-00000335-VET")</f>
        <v>RF-00000335-VET</v>
      </c>
    </row>
    <row r="8133" spans="1:2" ht="12.5" x14ac:dyDescent="0.25">
      <c r="A8133" t="str">
        <f ca="1">IFERROR(__xludf.DUMMYFUNCTION("""COMPUTED_VALUE"""),"Stanozolol-4-Beta-Hydroxy")</f>
        <v>Stanozolol-4-Beta-Hydroxy</v>
      </c>
      <c r="B8133" t="str">
        <f ca="1">IFERROR(__xludf.DUMMYFUNCTION("""COMPUTED_VALUE"""),"RF-00000337-VET")</f>
        <v>RF-00000337-VET</v>
      </c>
    </row>
    <row r="8134" spans="1:2" ht="12.5" x14ac:dyDescent="0.25">
      <c r="A8134" t="str">
        <f ca="1">IFERROR(__xludf.DUMMYFUNCTION("""COMPUTED_VALUE"""),"Staphylococcal enterotoxins")</f>
        <v>Staphylococcal enterotoxins</v>
      </c>
      <c r="B8134" t="str">
        <f ca="1">IFERROR(__xludf.DUMMYFUNCTION("""COMPUTED_VALUE"""),"RF-00002485-MCG")</f>
        <v>RF-00002485-MCG</v>
      </c>
    </row>
    <row r="8135" spans="1:2" ht="12.5" x14ac:dyDescent="0.25">
      <c r="A8135" t="str">
        <f ca="1">IFERROR(__xludf.DUMMYFUNCTION("""COMPUTED_VALUE"""),"Staphylococcal enterotoxins - Enterotoxin A")</f>
        <v>Staphylococcal enterotoxins - Enterotoxin A</v>
      </c>
      <c r="B8135" t="str">
        <f ca="1">IFERROR(__xludf.DUMMYFUNCTION("""COMPUTED_VALUE"""),"RF-00003909-MCG")</f>
        <v>RF-00003909-MCG</v>
      </c>
    </row>
    <row r="8136" spans="1:2" ht="12.5" x14ac:dyDescent="0.25">
      <c r="A8136" t="str">
        <f ca="1">IFERROR(__xludf.DUMMYFUNCTION("""COMPUTED_VALUE"""),"Staphylococcal enterotoxins - Enterotoxin B")</f>
        <v>Staphylococcal enterotoxins - Enterotoxin B</v>
      </c>
      <c r="B8136" t="str">
        <f ca="1">IFERROR(__xludf.DUMMYFUNCTION("""COMPUTED_VALUE"""),"RF-00003910-MCG")</f>
        <v>RF-00003910-MCG</v>
      </c>
    </row>
    <row r="8137" spans="1:2" ht="12.5" x14ac:dyDescent="0.25">
      <c r="A8137" t="str">
        <f ca="1">IFERROR(__xludf.DUMMYFUNCTION("""COMPUTED_VALUE"""),"Staphylococcal enterotoxins - Enterotoxin C")</f>
        <v>Staphylococcal enterotoxins - Enterotoxin C</v>
      </c>
      <c r="B8137" t="str">
        <f ca="1">IFERROR(__xludf.DUMMYFUNCTION("""COMPUTED_VALUE"""),"RF-00003911-MCG")</f>
        <v>RF-00003911-MCG</v>
      </c>
    </row>
    <row r="8138" spans="1:2" ht="12.5" x14ac:dyDescent="0.25">
      <c r="A8138" t="str">
        <f ca="1">IFERROR(__xludf.DUMMYFUNCTION("""COMPUTED_VALUE"""),"Staphylococcal enterotoxins - Enterotoxin D")</f>
        <v>Staphylococcal enterotoxins - Enterotoxin D</v>
      </c>
      <c r="B8138" t="str">
        <f ca="1">IFERROR(__xludf.DUMMYFUNCTION("""COMPUTED_VALUE"""),"RF-00003912-MCG")</f>
        <v>RF-00003912-MCG</v>
      </c>
    </row>
    <row r="8139" spans="1:2" ht="12.5" x14ac:dyDescent="0.25">
      <c r="A8139" t="str">
        <f ca="1">IFERROR(__xludf.DUMMYFUNCTION("""COMPUTED_VALUE"""),"Staphylococcal enterotoxins - Enterotoxin E")</f>
        <v>Staphylococcal enterotoxins - Enterotoxin E</v>
      </c>
      <c r="B8139" t="str">
        <f ca="1">IFERROR(__xludf.DUMMYFUNCTION("""COMPUTED_VALUE"""),"RF-00003913-MCG")</f>
        <v>RF-00003913-MCG</v>
      </c>
    </row>
    <row r="8140" spans="1:2" ht="12.5" x14ac:dyDescent="0.25">
      <c r="A8140" t="str">
        <f ca="1">IFERROR(__xludf.DUMMYFUNCTION("""COMPUTED_VALUE"""),"Staphylococcal enterotoxins - Enterotoxin H")</f>
        <v>Staphylococcal enterotoxins - Enterotoxin H</v>
      </c>
      <c r="B8140" t="str">
        <f ca="1">IFERROR(__xludf.DUMMYFUNCTION("""COMPUTED_VALUE"""),"RF-00003914-MCG")</f>
        <v>RF-00003914-MCG</v>
      </c>
    </row>
    <row r="8141" spans="1:2" ht="12.5" x14ac:dyDescent="0.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x14ac:dyDescent="0.25">
      <c r="A8142" t="str">
        <f ca="1">IFERROR(__xludf.DUMMYFUNCTION("""COMPUTED_VALUE"""),"Staphylococcus")</f>
        <v>Staphylococcus</v>
      </c>
      <c r="B8142" t="str">
        <f ca="1">IFERROR(__xludf.DUMMYFUNCTION("""COMPUTED_VALUE"""),"RF-00002492-MCG")</f>
        <v>RF-00002492-MCG</v>
      </c>
    </row>
    <row r="8143" spans="1:2" ht="12.5" x14ac:dyDescent="0.25">
      <c r="A8143" t="str">
        <f ca="1">IFERROR(__xludf.DUMMYFUNCTION("""COMPUTED_VALUE"""),"Staphylococcus - S. aureus")</f>
        <v>Staphylococcus - S. aureus</v>
      </c>
      <c r="B8143" t="str">
        <f ca="1">IFERROR(__xludf.DUMMYFUNCTION("""COMPUTED_VALUE"""),"RF-00003852-MCG")</f>
        <v>RF-00003852-MCG</v>
      </c>
    </row>
    <row r="8144" spans="1:2" ht="12.5" x14ac:dyDescent="0.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x14ac:dyDescent="0.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x14ac:dyDescent="0.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x14ac:dyDescent="0.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x14ac:dyDescent="0.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x14ac:dyDescent="0.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x14ac:dyDescent="0.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x14ac:dyDescent="0.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x14ac:dyDescent="0.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x14ac:dyDescent="0.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x14ac:dyDescent="0.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x14ac:dyDescent="0.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x14ac:dyDescent="0.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x14ac:dyDescent="0.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x14ac:dyDescent="0.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x14ac:dyDescent="0.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x14ac:dyDescent="0.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x14ac:dyDescent="0.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x14ac:dyDescent="0.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x14ac:dyDescent="0.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x14ac:dyDescent="0.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x14ac:dyDescent="0.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x14ac:dyDescent="0.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x14ac:dyDescent="0.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x14ac:dyDescent="0.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x14ac:dyDescent="0.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x14ac:dyDescent="0.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x14ac:dyDescent="0.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x14ac:dyDescent="0.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x14ac:dyDescent="0.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x14ac:dyDescent="0.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x14ac:dyDescent="0.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x14ac:dyDescent="0.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x14ac:dyDescent="0.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x14ac:dyDescent="0.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x14ac:dyDescent="0.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x14ac:dyDescent="0.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x14ac:dyDescent="0.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x14ac:dyDescent="0.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x14ac:dyDescent="0.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x14ac:dyDescent="0.25">
      <c r="A8184" t="str">
        <f ca="1">IFERROR(__xludf.DUMMYFUNCTION("""COMPUTED_VALUE"""),"Staphylococcus aureus enterotoxins")</f>
        <v>Staphylococcus aureus enterotoxins</v>
      </c>
      <c r="B8184" t="str">
        <f ca="1">IFERROR(__xludf.DUMMYFUNCTION("""COMPUTED_VALUE"""),"RF-00000007-TOX")</f>
        <v>RF-00000007-TOX</v>
      </c>
    </row>
    <row r="8185" spans="1:2" ht="12.5" x14ac:dyDescent="0.25">
      <c r="A8185" t="str">
        <f ca="1">IFERROR(__xludf.DUMMYFUNCTION("""COMPUTED_VALUE"""),"Staphylococcus enterotoxins")</f>
        <v>Staphylococcus enterotoxins</v>
      </c>
      <c r="B8185" t="str">
        <f ca="1">IFERROR(__xludf.DUMMYFUNCTION("""COMPUTED_VALUE"""),"RF-00000008-TOX")</f>
        <v>RF-00000008-TOX</v>
      </c>
    </row>
    <row r="8186" spans="1:2" ht="12.5" x14ac:dyDescent="0.25">
      <c r="A8186" t="str">
        <f ca="1">IFERROR(__xludf.DUMMYFUNCTION("""COMPUTED_VALUE"""),"Staphylococcus enterotoxins")</f>
        <v>Staphylococcus enterotoxins</v>
      </c>
      <c r="B8186" t="str">
        <f ca="1">IFERROR(__xludf.DUMMYFUNCTION("""COMPUTED_VALUE"""),"RF-00002504-MCG")</f>
        <v>RF-00002504-MCG</v>
      </c>
    </row>
    <row r="8187" spans="1:2" ht="12.5" x14ac:dyDescent="0.25">
      <c r="A8187" t="str">
        <f ca="1">IFERROR(__xludf.DUMMYFUNCTION("""COMPUTED_VALUE"""),"Staphylococcus intermedius")</f>
        <v>Staphylococcus intermedius</v>
      </c>
      <c r="B8187" t="str">
        <f ca="1">IFERROR(__xludf.DUMMYFUNCTION("""COMPUTED_VALUE"""),"RF-00002502-MCG")</f>
        <v>RF-00002502-MCG</v>
      </c>
    </row>
    <row r="8188" spans="1:2" ht="12.5" x14ac:dyDescent="0.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x14ac:dyDescent="0.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x14ac:dyDescent="0.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x14ac:dyDescent="0.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x14ac:dyDescent="0.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x14ac:dyDescent="0.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x14ac:dyDescent="0.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x14ac:dyDescent="0.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x14ac:dyDescent="0.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x14ac:dyDescent="0.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x14ac:dyDescent="0.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x14ac:dyDescent="0.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x14ac:dyDescent="0.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x14ac:dyDescent="0.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x14ac:dyDescent="0.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x14ac:dyDescent="0.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x14ac:dyDescent="0.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x14ac:dyDescent="0.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x14ac:dyDescent="0.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x14ac:dyDescent="0.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x14ac:dyDescent="0.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x14ac:dyDescent="0.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x14ac:dyDescent="0.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x14ac:dyDescent="0.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x14ac:dyDescent="0.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x14ac:dyDescent="0.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x14ac:dyDescent="0.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x14ac:dyDescent="0.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x14ac:dyDescent="0.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x14ac:dyDescent="0.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x14ac:dyDescent="0.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x14ac:dyDescent="0.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x14ac:dyDescent="0.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x14ac:dyDescent="0.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x14ac:dyDescent="0.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x14ac:dyDescent="0.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x14ac:dyDescent="0.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x14ac:dyDescent="0.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x14ac:dyDescent="0.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x14ac:dyDescent="0.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x14ac:dyDescent="0.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x14ac:dyDescent="0.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x14ac:dyDescent="0.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x14ac:dyDescent="0.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x14ac:dyDescent="0.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x14ac:dyDescent="0.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x14ac:dyDescent="0.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x14ac:dyDescent="0.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x14ac:dyDescent="0.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x14ac:dyDescent="0.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x14ac:dyDescent="0.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x14ac:dyDescent="0.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x14ac:dyDescent="0.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x14ac:dyDescent="0.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x14ac:dyDescent="0.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x14ac:dyDescent="0.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x14ac:dyDescent="0.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x14ac:dyDescent="0.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x14ac:dyDescent="0.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x14ac:dyDescent="0.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x14ac:dyDescent="0.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x14ac:dyDescent="0.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x14ac:dyDescent="0.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x14ac:dyDescent="0.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x14ac:dyDescent="0.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x14ac:dyDescent="0.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x14ac:dyDescent="0.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x14ac:dyDescent="0.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x14ac:dyDescent="0.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x14ac:dyDescent="0.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x14ac:dyDescent="0.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x14ac:dyDescent="0.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x14ac:dyDescent="0.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x14ac:dyDescent="0.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x14ac:dyDescent="0.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x14ac:dyDescent="0.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x14ac:dyDescent="0.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x14ac:dyDescent="0.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x14ac:dyDescent="0.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x14ac:dyDescent="0.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x14ac:dyDescent="0.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x14ac:dyDescent="0.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x14ac:dyDescent="0.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x14ac:dyDescent="0.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x14ac:dyDescent="0.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x14ac:dyDescent="0.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x14ac:dyDescent="0.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x14ac:dyDescent="0.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x14ac:dyDescent="0.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x14ac:dyDescent="0.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x14ac:dyDescent="0.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x14ac:dyDescent="0.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x14ac:dyDescent="0.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x14ac:dyDescent="0.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x14ac:dyDescent="0.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x14ac:dyDescent="0.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x14ac:dyDescent="0.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x14ac:dyDescent="0.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x14ac:dyDescent="0.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x14ac:dyDescent="0.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x14ac:dyDescent="0.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x14ac:dyDescent="0.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x14ac:dyDescent="0.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x14ac:dyDescent="0.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x14ac:dyDescent="0.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x14ac:dyDescent="0.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x14ac:dyDescent="0.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x14ac:dyDescent="0.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x14ac:dyDescent="0.25">
      <c r="A8296" t="str">
        <f ca="1">IFERROR(__xludf.DUMMYFUNCTION("""COMPUTED_VALUE"""),"Staphylococcus spp., unspecified")</f>
        <v>Staphylococcus spp., unspecified</v>
      </c>
      <c r="B8296" t="str">
        <f ca="1">IFERROR(__xludf.DUMMYFUNCTION("""COMPUTED_VALUE"""),"RF-00002501-MCG")</f>
        <v>RF-00002501-MCG</v>
      </c>
    </row>
    <row r="8297" spans="1:2" ht="12.5" x14ac:dyDescent="0.25">
      <c r="A8297" t="str">
        <f ca="1">IFERROR(__xludf.DUMMYFUNCTION("""COMPUTED_VALUE"""),"Staphylococcus suis")</f>
        <v>Staphylococcus suis</v>
      </c>
      <c r="B8297" t="str">
        <f ca="1">IFERROR(__xludf.DUMMYFUNCTION("""COMPUTED_VALUE"""),"RF-00002505-MCG")</f>
        <v>RF-00002505-MCG</v>
      </c>
    </row>
    <row r="8298" spans="1:2" ht="12.5" x14ac:dyDescent="0.25">
      <c r="A8298" t="str">
        <f ca="1">IFERROR(__xludf.DUMMYFUNCTION("""COMPUTED_VALUE"""),"Staphylococcus zooepidemicus")</f>
        <v>Staphylococcus zooepidemicus</v>
      </c>
      <c r="B8298" t="str">
        <f ca="1">IFERROR(__xludf.DUMMYFUNCTION("""COMPUTED_VALUE"""),"RF-00002503-MCG")</f>
        <v>RF-00002503-MCG</v>
      </c>
    </row>
    <row r="8299" spans="1:2" ht="12.5" x14ac:dyDescent="0.25">
      <c r="A8299" t="str">
        <f ca="1">IFERROR(__xludf.DUMMYFUNCTION("""COMPUTED_VALUE"""),"Starch aluminium octenyl succinate")</f>
        <v>Starch aluminium octenyl succinate</v>
      </c>
      <c r="B8299" t="str">
        <f ca="1">IFERROR(__xludf.DUMMYFUNCTION("""COMPUTED_VALUE"""),"RF-00000313-ADD")</f>
        <v>RF-00000313-ADD</v>
      </c>
    </row>
    <row r="8300" spans="1:2" ht="12.5" x14ac:dyDescent="0.25">
      <c r="A8300" t="str">
        <f ca="1">IFERROR(__xludf.DUMMYFUNCTION("""COMPUTED_VALUE"""),"Starch sodium octenyl succinate")</f>
        <v>Starch sodium octenyl succinate</v>
      </c>
      <c r="B8300" t="str">
        <f ca="1">IFERROR(__xludf.DUMMYFUNCTION("""COMPUTED_VALUE"""),"RF-00000314-ADD")</f>
        <v>RF-00000314-ADD</v>
      </c>
    </row>
    <row r="8301" spans="1:2" ht="12.5" x14ac:dyDescent="0.25">
      <c r="A8301" t="str">
        <f ca="1">IFERROR(__xludf.DUMMYFUNCTION("""COMPUTED_VALUE"""),"starch, resistant")</f>
        <v>starch, resistant</v>
      </c>
      <c r="B8301" t="str">
        <f ca="1">IFERROR(__xludf.DUMMYFUNCTION("""COMPUTED_VALUE"""),"RF-00000399-NTR")</f>
        <v>RF-00000399-NTR</v>
      </c>
    </row>
    <row r="8302" spans="1:2" ht="12.5" x14ac:dyDescent="0.25">
      <c r="A8302" t="str">
        <f ca="1">IFERROR(__xludf.DUMMYFUNCTION("""COMPUTED_VALUE"""),"starch, total")</f>
        <v>starch, total</v>
      </c>
      <c r="B8302" t="str">
        <f ca="1">IFERROR(__xludf.DUMMYFUNCTION("""COMPUTED_VALUE"""),"RF-00000400-NTR")</f>
        <v>RF-00000400-NTR</v>
      </c>
    </row>
    <row r="8303" spans="1:2" ht="12.5" x14ac:dyDescent="0.25">
      <c r="A8303" t="str">
        <f ca="1">IFERROR(__xludf.DUMMYFUNCTION("""COMPUTED_VALUE"""),"Stearyl tartrate")</f>
        <v>Stearyl tartrate</v>
      </c>
      <c r="B8303" t="str">
        <f ca="1">IFERROR(__xludf.DUMMYFUNCTION("""COMPUTED_VALUE"""),"RF-00000315-ADD")</f>
        <v>RF-00000315-ADD</v>
      </c>
    </row>
    <row r="8304" spans="1:2" ht="12.5" x14ac:dyDescent="0.25">
      <c r="A8304" t="str">
        <f ca="1">IFERROR(__xludf.DUMMYFUNCTION("""COMPUTED_VALUE"""),"Stemphyltoxin III")</f>
        <v>Stemphyltoxin III</v>
      </c>
      <c r="B8304" t="str">
        <f ca="1">IFERROR(__xludf.DUMMYFUNCTION("""COMPUTED_VALUE"""),"RF-00000205-TOX")</f>
        <v>RF-00000205-TOX</v>
      </c>
    </row>
    <row r="8305" spans="1:2" ht="12.5" x14ac:dyDescent="0.25">
      <c r="A8305" t="str">
        <f ca="1">IFERROR(__xludf.DUMMYFUNCTION("""COMPUTED_VALUE"""),"Sterigmatocystin")</f>
        <v>Sterigmatocystin</v>
      </c>
      <c r="B8305" t="str">
        <f ca="1">IFERROR(__xludf.DUMMYFUNCTION("""COMPUTED_VALUE"""),"RF-00000195-TOX")</f>
        <v>RF-00000195-TOX</v>
      </c>
    </row>
    <row r="8306" spans="1:2" ht="12.5" x14ac:dyDescent="0.25">
      <c r="A8306" t="str">
        <f ca="1">IFERROR(__xludf.DUMMYFUNCTION("""COMPUTED_VALUE"""),"Sterigmatocystins")</f>
        <v>Sterigmatocystins</v>
      </c>
      <c r="B8306" t="str">
        <f ca="1">IFERROR(__xludf.DUMMYFUNCTION("""COMPUTED_VALUE"""),"RF-00000187-TOX")</f>
        <v>RF-00000187-TOX</v>
      </c>
    </row>
    <row r="8307" spans="1:2" ht="12.5" x14ac:dyDescent="0.25">
      <c r="A8307" t="str">
        <f ca="1">IFERROR(__xludf.DUMMYFUNCTION("""COMPUTED_VALUE"""),"Steroids")</f>
        <v>Steroids</v>
      </c>
      <c r="B8307" t="str">
        <f ca="1">IFERROR(__xludf.DUMMYFUNCTION("""COMPUTED_VALUE"""),"RF-00000309-VET")</f>
        <v>RF-00000309-VET</v>
      </c>
    </row>
    <row r="8308" spans="1:2" ht="12.5" x14ac:dyDescent="0.25">
      <c r="A8308" t="str">
        <f ca="1">IFERROR(__xludf.DUMMYFUNCTION("""COMPUTED_VALUE"""),"sterols, other")</f>
        <v>sterols, other</v>
      </c>
      <c r="B8308" t="str">
        <f ca="1">IFERROR(__xludf.DUMMYFUNCTION("""COMPUTED_VALUE"""),"RF-00000401-NTR")</f>
        <v>RF-00000401-NTR</v>
      </c>
    </row>
    <row r="8309" spans="1:2" ht="12.5" x14ac:dyDescent="0.25">
      <c r="A8309" t="str">
        <f ca="1">IFERROR(__xludf.DUMMYFUNCTION("""COMPUTED_VALUE"""),"sterols, total")</f>
        <v>sterols, total</v>
      </c>
      <c r="B8309" t="str">
        <f ca="1">IFERROR(__xludf.DUMMYFUNCTION("""COMPUTED_VALUE"""),"RF-00000402-NTR")</f>
        <v>RF-00000402-NTR</v>
      </c>
    </row>
    <row r="8310" spans="1:2" ht="12.5" x14ac:dyDescent="0.25">
      <c r="A8310" t="str">
        <f ca="1">IFERROR(__xludf.DUMMYFUNCTION("""COMPUTED_VALUE"""),"Steviol")</f>
        <v>Steviol</v>
      </c>
      <c r="B8310" t="str">
        <f ca="1">IFERROR(__xludf.DUMMYFUNCTION("""COMPUTED_VALUE"""),"RF-00000015-ADD")</f>
        <v>RF-00000015-ADD</v>
      </c>
    </row>
    <row r="8311" spans="1:2" ht="12.5" x14ac:dyDescent="0.25">
      <c r="A8311" t="str">
        <f ca="1">IFERROR(__xludf.DUMMYFUNCTION("""COMPUTED_VALUE"""),"Steviolbioside")</f>
        <v>Steviolbioside</v>
      </c>
      <c r="B8311" t="str">
        <f ca="1">IFERROR(__xludf.DUMMYFUNCTION("""COMPUTED_VALUE"""),"RF-00000016-ADD")</f>
        <v>RF-00000016-ADD</v>
      </c>
    </row>
    <row r="8312" spans="1:2" ht="12.5" x14ac:dyDescent="0.25">
      <c r="A8312" t="str">
        <f ca="1">IFERROR(__xludf.DUMMYFUNCTION("""COMPUTED_VALUE"""),"Stevioside")</f>
        <v>Stevioside</v>
      </c>
      <c r="B8312" t="str">
        <f ca="1">IFERROR(__xludf.DUMMYFUNCTION("""COMPUTED_VALUE"""),"RF-00000017-ADD")</f>
        <v>RF-00000017-ADD</v>
      </c>
    </row>
    <row r="8313" spans="1:2" ht="12.5" x14ac:dyDescent="0.25">
      <c r="A8313" t="str">
        <f ca="1">IFERROR(__xludf.DUMMYFUNCTION("""COMPUTED_VALUE"""),"stigmasterol")</f>
        <v>stigmasterol</v>
      </c>
      <c r="B8313" t="str">
        <f ca="1">IFERROR(__xludf.DUMMYFUNCTION("""COMPUTED_VALUE"""),"RF-00000403-NTR")</f>
        <v>RF-00000403-NTR</v>
      </c>
    </row>
    <row r="8314" spans="1:2" ht="12.5" x14ac:dyDescent="0.25">
      <c r="A8314" t="str">
        <f ca="1">IFERROR(__xludf.DUMMYFUNCTION("""COMPUTED_VALUE"""),"Stilbenes, stilbene derivatives")</f>
        <v>Stilbenes, stilbene derivatives</v>
      </c>
      <c r="B8314" t="str">
        <f ca="1">IFERROR(__xludf.DUMMYFUNCTION("""COMPUTED_VALUE"""),"RF-00000284-VET")</f>
        <v>RF-00000284-VET</v>
      </c>
    </row>
    <row r="8315" spans="1:2" ht="12.5" x14ac:dyDescent="0.25">
      <c r="A8315" t="str">
        <f ca="1">IFERROR(__xludf.DUMMYFUNCTION("""COMPUTED_VALUE"""),"Streptococcus")</f>
        <v>Streptococcus</v>
      </c>
      <c r="B8315" t="str">
        <f ca="1">IFERROR(__xludf.DUMMYFUNCTION("""COMPUTED_VALUE"""),"RF-00002499-MCG")</f>
        <v>RF-00002499-MCG</v>
      </c>
    </row>
    <row r="8316" spans="1:2" ht="12.5" x14ac:dyDescent="0.25">
      <c r="A8316" t="str">
        <f ca="1">IFERROR(__xludf.DUMMYFUNCTION("""COMPUTED_VALUE"""),"Streptococcus spp., unspecified")</f>
        <v>Streptococcus spp., unspecified</v>
      </c>
      <c r="B8316" t="str">
        <f ca="1">IFERROR(__xludf.DUMMYFUNCTION("""COMPUTED_VALUE"""),"RF-00002500-MCG")</f>
        <v>RF-00002500-MCG</v>
      </c>
    </row>
    <row r="8317" spans="1:2" ht="12.5" x14ac:dyDescent="0.25">
      <c r="A8317" t="str">
        <f ca="1">IFERROR(__xludf.DUMMYFUNCTION("""COMPUTED_VALUE"""),"Streptogramins")</f>
        <v>Streptogramins</v>
      </c>
      <c r="B8317" t="str">
        <f ca="1">IFERROR(__xludf.DUMMYFUNCTION("""COMPUTED_VALUE"""),"RF-00000773-VET")</f>
        <v>RF-00000773-VET</v>
      </c>
    </row>
    <row r="8318" spans="1:2" ht="12.5" x14ac:dyDescent="0.25">
      <c r="A8318" t="str">
        <f ca="1">IFERROR(__xludf.DUMMYFUNCTION("""COMPUTED_VALUE"""),"Streptomycin")</f>
        <v>Streptomycin</v>
      </c>
      <c r="B8318" t="str">
        <f ca="1">IFERROR(__xludf.DUMMYFUNCTION("""COMPUTED_VALUE"""),"RF-0899-001-PPP")</f>
        <v>RF-0899-001-PPP</v>
      </c>
    </row>
    <row r="8319" spans="1:2" ht="12.5" x14ac:dyDescent="0.25">
      <c r="A8319" t="str">
        <f ca="1">IFERROR(__xludf.DUMMYFUNCTION("""COMPUTED_VALUE"""),"Streptomycin")</f>
        <v>Streptomycin</v>
      </c>
      <c r="B8319" t="str">
        <f ca="1">IFERROR(__xludf.DUMMYFUNCTION("""COMPUTED_VALUE"""),"RF-00000645-VET")</f>
        <v>RF-00000645-VET</v>
      </c>
    </row>
    <row r="8320" spans="1:2" ht="12.5" x14ac:dyDescent="0.25">
      <c r="A8320" t="str">
        <f ca="1">IFERROR(__xludf.DUMMYFUNCTION("""COMPUTED_VALUE"""),"Strongyloide spp., unspecified")</f>
        <v>Strongyloide spp., unspecified</v>
      </c>
      <c r="B8320" t="str">
        <f ca="1">IFERROR(__xludf.DUMMYFUNCTION("""COMPUTED_VALUE"""),"RF-00002508-MCG")</f>
        <v>RF-00002508-MCG</v>
      </c>
    </row>
    <row r="8321" spans="1:2" ht="12.5" x14ac:dyDescent="0.25">
      <c r="A8321" t="str">
        <f ca="1">IFERROR(__xludf.DUMMYFUNCTION("""COMPUTED_VALUE"""),"Strongyloides")</f>
        <v>Strongyloides</v>
      </c>
      <c r="B8321" t="str">
        <f ca="1">IFERROR(__xludf.DUMMYFUNCTION("""COMPUTED_VALUE"""),"RF-00002506-MCG")</f>
        <v>RF-00002506-MCG</v>
      </c>
    </row>
    <row r="8322" spans="1:2" ht="12.5" x14ac:dyDescent="0.25">
      <c r="A8322" t="str">
        <f ca="1">IFERROR(__xludf.DUMMYFUNCTION("""COMPUTED_VALUE"""),"Strongyloides stercoralis")</f>
        <v>Strongyloides stercoralis</v>
      </c>
      <c r="B8322" t="str">
        <f ca="1">IFERROR(__xludf.DUMMYFUNCTION("""COMPUTED_VALUE"""),"RF-00002507-MCG")</f>
        <v>RF-00002507-MCG</v>
      </c>
    </row>
    <row r="8323" spans="1:2" ht="12.5" x14ac:dyDescent="0.25">
      <c r="A8323" t="str">
        <f ca="1">IFERROR(__xludf.DUMMYFUNCTION("""COMPUTED_VALUE"""),"Strontium (Sr)")</f>
        <v>Strontium (Sr)</v>
      </c>
      <c r="B8323" t="str">
        <f ca="1">IFERROR(__xludf.DUMMYFUNCTION("""COMPUTED_VALUE"""),"RF-00000189-CHE")</f>
        <v>RF-00000189-CHE</v>
      </c>
    </row>
    <row r="8324" spans="1:2" ht="12.5" x14ac:dyDescent="0.25">
      <c r="A8324" t="str">
        <f ca="1">IFERROR(__xludf.DUMMYFUNCTION("""COMPUTED_VALUE"""),"Strontium 91")</f>
        <v>Strontium 91</v>
      </c>
      <c r="B8324" t="str">
        <f ca="1">IFERROR(__xludf.DUMMYFUNCTION("""COMPUTED_VALUE"""),"RF-00000011-RAD")</f>
        <v>RF-00000011-RAD</v>
      </c>
    </row>
    <row r="8325" spans="1:2" ht="12.5" x14ac:dyDescent="0.25">
      <c r="A8325" t="str">
        <f ca="1">IFERROR(__xludf.DUMMYFUNCTION("""COMPUTED_VALUE"""),"Strontium and derivatives")</f>
        <v>Strontium and derivatives</v>
      </c>
      <c r="B8325" t="str">
        <f ca="1">IFERROR(__xludf.DUMMYFUNCTION("""COMPUTED_VALUE"""),"RF-00000188-CHE")</f>
        <v>RF-00000188-CHE</v>
      </c>
    </row>
    <row r="8326" spans="1:2" ht="12.5" x14ac:dyDescent="0.25">
      <c r="A8326" t="str">
        <f ca="1">IFERROR(__xludf.DUMMYFUNCTION("""COMPUTED_VALUE"""),"Succinic acid")</f>
        <v>Succinic acid</v>
      </c>
      <c r="B8326" t="str">
        <f ca="1">IFERROR(__xludf.DUMMYFUNCTION("""COMPUTED_VALUE"""),"RF-00000319-ADD")</f>
        <v>RF-00000319-ADD</v>
      </c>
    </row>
    <row r="8327" spans="1:2" ht="12.5" x14ac:dyDescent="0.25">
      <c r="A8327" t="str">
        <f ca="1">IFERROR(__xludf.DUMMYFUNCTION("""COMPUTED_VALUE"""),"Succinylsulfathiazol")</f>
        <v>Succinylsulfathiazol</v>
      </c>
      <c r="B8327" t="str">
        <f ca="1">IFERROR(__xludf.DUMMYFUNCTION("""COMPUTED_VALUE"""),"RF-00000646-VET")</f>
        <v>RF-00000646-VET</v>
      </c>
    </row>
    <row r="8328" spans="1:2" ht="12.5" x14ac:dyDescent="0.25">
      <c r="A8328" t="str">
        <f ca="1">IFERROR(__xludf.DUMMYFUNCTION("""COMPUTED_VALUE"""),"Sucralose")</f>
        <v>Sucralose</v>
      </c>
      <c r="B8328" t="str">
        <f ca="1">IFERROR(__xludf.DUMMYFUNCTION("""COMPUTED_VALUE"""),"RF-00000018-ADD")</f>
        <v>RF-00000018-ADD</v>
      </c>
    </row>
    <row r="8329" spans="1:2" ht="12.5" x14ac:dyDescent="0.25">
      <c r="A8329" t="str">
        <f ca="1">IFERROR(__xludf.DUMMYFUNCTION("""COMPUTED_VALUE"""),"Sucroglycerides")</f>
        <v>Sucroglycerides</v>
      </c>
      <c r="B8329" t="str">
        <f ca="1">IFERROR(__xludf.DUMMYFUNCTION("""COMPUTED_VALUE"""),"RF-00000320-ADD")</f>
        <v>RF-00000320-ADD</v>
      </c>
    </row>
    <row r="8330" spans="1:2" ht="12.5" x14ac:dyDescent="0.25">
      <c r="A8330" t="str">
        <f ca="1">IFERROR(__xludf.DUMMYFUNCTION("""COMPUTED_VALUE"""),"sucrose")</f>
        <v>sucrose</v>
      </c>
      <c r="B8330" t="str">
        <f ca="1">IFERROR(__xludf.DUMMYFUNCTION("""COMPUTED_VALUE"""),"RF-00000404-NTR")</f>
        <v>RF-00000404-NTR</v>
      </c>
    </row>
    <row r="8331" spans="1:2" ht="12.5" x14ac:dyDescent="0.25">
      <c r="A8331" t="str">
        <f ca="1">IFERROR(__xludf.DUMMYFUNCTION("""COMPUTED_VALUE"""),"Sucrose acetate isobutyrate")</f>
        <v>Sucrose acetate isobutyrate</v>
      </c>
      <c r="B8331" t="str">
        <f ca="1">IFERROR(__xludf.DUMMYFUNCTION("""COMPUTED_VALUE"""),"RF-00000321-ADD")</f>
        <v>RF-00000321-ADD</v>
      </c>
    </row>
    <row r="8332" spans="1:2" ht="12.5" x14ac:dyDescent="0.25">
      <c r="A8332" t="str">
        <f ca="1">IFERROR(__xludf.DUMMYFUNCTION("""COMPUTED_VALUE"""),"Sucrose esters of fatty acids")</f>
        <v>Sucrose esters of fatty acids</v>
      </c>
      <c r="B8332" t="str">
        <f ca="1">IFERROR(__xludf.DUMMYFUNCTION("""COMPUTED_VALUE"""),"RF-00000322-ADD")</f>
        <v>RF-00000322-ADD</v>
      </c>
    </row>
    <row r="8333" spans="1:2" ht="12.5" x14ac:dyDescent="0.25">
      <c r="A8333" t="str">
        <f ca="1">IFERROR(__xludf.DUMMYFUNCTION("""COMPUTED_VALUE"""),"Sudan colour")</f>
        <v>Sudan colour</v>
      </c>
      <c r="B8333" t="str">
        <f ca="1">IFERROR(__xludf.DUMMYFUNCTION("""COMPUTED_VALUE"""),"RF-00000448-ORG")</f>
        <v>RF-00000448-ORG</v>
      </c>
    </row>
    <row r="8334" spans="1:2" ht="12.5" x14ac:dyDescent="0.25">
      <c r="A8334" t="str">
        <f ca="1">IFERROR(__xludf.DUMMYFUNCTION("""COMPUTED_VALUE"""),"sugar, added")</f>
        <v>sugar, added</v>
      </c>
      <c r="B8334" t="str">
        <f ca="1">IFERROR(__xludf.DUMMYFUNCTION("""COMPUTED_VALUE"""),"RF-00000405-NTR")</f>
        <v>RF-00000405-NTR</v>
      </c>
    </row>
    <row r="8335" spans="1:2" ht="12.5" x14ac:dyDescent="0.25">
      <c r="A8335" t="str">
        <f ca="1">IFERROR(__xludf.DUMMYFUNCTION("""COMPUTED_VALUE"""),"sugar, natural")</f>
        <v>sugar, natural</v>
      </c>
      <c r="B8335" t="str">
        <f ca="1">IFERROR(__xludf.DUMMYFUNCTION("""COMPUTED_VALUE"""),"RF-00000406-NTR")</f>
        <v>RF-00000406-NTR</v>
      </c>
    </row>
    <row r="8336" spans="1:2" ht="12.5" x14ac:dyDescent="0.25">
      <c r="A8336" t="str">
        <f ca="1">IFERROR(__xludf.DUMMYFUNCTION("""COMPUTED_VALUE"""),"sugars, total")</f>
        <v>sugars, total</v>
      </c>
      <c r="B8336" t="str">
        <f ca="1">IFERROR(__xludf.DUMMYFUNCTION("""COMPUTED_VALUE"""),"RF-00000407-NTR")</f>
        <v>RF-00000407-NTR</v>
      </c>
    </row>
    <row r="8337" spans="1:2" ht="12.5" x14ac:dyDescent="0.25">
      <c r="A8337" t="str">
        <f ca="1">IFERROR(__xludf.DUMMYFUNCTION("""COMPUTED_VALUE"""),"Sulcotrione")</f>
        <v>Sulcotrione</v>
      </c>
      <c r="B8337" t="str">
        <f ca="1">IFERROR(__xludf.DUMMYFUNCTION("""COMPUTED_VALUE"""),"RF-0398-001-PPP")</f>
        <v>RF-0398-001-PPP</v>
      </c>
    </row>
    <row r="8338" spans="1:2" ht="12.5" x14ac:dyDescent="0.25">
      <c r="A8338" t="str">
        <f ca="1">IFERROR(__xludf.DUMMYFUNCTION("""COMPUTED_VALUE"""),"Sulfabenzamide")</f>
        <v>Sulfabenzamide</v>
      </c>
      <c r="B8338" t="str">
        <f ca="1">IFERROR(__xludf.DUMMYFUNCTION("""COMPUTED_VALUE"""),"RF-00000647-VET")</f>
        <v>RF-00000647-VET</v>
      </c>
    </row>
    <row r="8339" spans="1:2" ht="12.5" x14ac:dyDescent="0.25">
      <c r="A8339" t="str">
        <f ca="1">IFERROR(__xludf.DUMMYFUNCTION("""COMPUTED_VALUE"""),"Sulfabromomethazin")</f>
        <v>Sulfabromomethazin</v>
      </c>
      <c r="B8339" t="str">
        <f ca="1">IFERROR(__xludf.DUMMYFUNCTION("""COMPUTED_VALUE"""),"RF-00000779-VET")</f>
        <v>RF-00000779-VET</v>
      </c>
    </row>
    <row r="8340" spans="1:2" ht="12.5" x14ac:dyDescent="0.25">
      <c r="A8340" t="str">
        <f ca="1">IFERROR(__xludf.DUMMYFUNCTION("""COMPUTED_VALUE"""),"Sulfacetamide")</f>
        <v>Sulfacetamide</v>
      </c>
      <c r="B8340" t="str">
        <f ca="1">IFERROR(__xludf.DUMMYFUNCTION("""COMPUTED_VALUE"""),"RF-00000648-VET")</f>
        <v>RF-00000648-VET</v>
      </c>
    </row>
    <row r="8341" spans="1:2" ht="12.5" x14ac:dyDescent="0.25">
      <c r="A8341" t="str">
        <f ca="1">IFERROR(__xludf.DUMMYFUNCTION("""COMPUTED_VALUE"""),"Sulfachlorpyrazine")</f>
        <v>Sulfachlorpyrazine</v>
      </c>
      <c r="B8341" t="str">
        <f ca="1">IFERROR(__xludf.DUMMYFUNCTION("""COMPUTED_VALUE"""),"RF-00000613-VET")</f>
        <v>RF-00000613-VET</v>
      </c>
    </row>
    <row r="8342" spans="1:2" ht="12.5" x14ac:dyDescent="0.25">
      <c r="A8342" t="str">
        <f ca="1">IFERROR(__xludf.DUMMYFUNCTION("""COMPUTED_VALUE"""),"Sulfachlorpyridazine")</f>
        <v>Sulfachlorpyridazine</v>
      </c>
      <c r="B8342" t="str">
        <f ca="1">IFERROR(__xludf.DUMMYFUNCTION("""COMPUTED_VALUE"""),"RF-00000638-VET")</f>
        <v>RF-00000638-VET</v>
      </c>
    </row>
    <row r="8343" spans="1:2" ht="12.5" x14ac:dyDescent="0.25">
      <c r="A8343" t="str">
        <f ca="1">IFERROR(__xludf.DUMMYFUNCTION("""COMPUTED_VALUE"""),"Sulfadiazine")</f>
        <v>Sulfadiazine</v>
      </c>
      <c r="B8343" t="str">
        <f ca="1">IFERROR(__xludf.DUMMYFUNCTION("""COMPUTED_VALUE"""),"RF-00000601-VET")</f>
        <v>RF-00000601-VET</v>
      </c>
    </row>
    <row r="8344" spans="1:2" ht="12.5" x14ac:dyDescent="0.25">
      <c r="A8344" t="str">
        <f ca="1">IFERROR(__xludf.DUMMYFUNCTION("""COMPUTED_VALUE"""),"Sulfadimethoxine")</f>
        <v>Sulfadimethoxine</v>
      </c>
      <c r="B8344" t="str">
        <f ca="1">IFERROR(__xludf.DUMMYFUNCTION("""COMPUTED_VALUE"""),"RF-00000602-VET")</f>
        <v>RF-00000602-VET</v>
      </c>
    </row>
    <row r="8345" spans="1:2" ht="12.5" x14ac:dyDescent="0.25">
      <c r="A8345" t="str">
        <f ca="1">IFERROR(__xludf.DUMMYFUNCTION("""COMPUTED_VALUE"""),"Sulfadimidine")</f>
        <v>Sulfadimidine</v>
      </c>
      <c r="B8345" t="str">
        <f ca="1">IFERROR(__xludf.DUMMYFUNCTION("""COMPUTED_VALUE"""),"RF-00000603-VET")</f>
        <v>RF-00000603-VET</v>
      </c>
    </row>
    <row r="8346" spans="1:2" ht="12.5" x14ac:dyDescent="0.25">
      <c r="A8346" t="str">
        <f ca="1">IFERROR(__xludf.DUMMYFUNCTION("""COMPUTED_VALUE"""),"Sulfadoxin")</f>
        <v>Sulfadoxin</v>
      </c>
      <c r="B8346" t="str">
        <f ca="1">IFERROR(__xludf.DUMMYFUNCTION("""COMPUTED_VALUE"""),"RF-00000604-VET")</f>
        <v>RF-00000604-VET</v>
      </c>
    </row>
    <row r="8347" spans="1:2" ht="12.5" x14ac:dyDescent="0.25">
      <c r="A8347" t="str">
        <f ca="1">IFERROR(__xludf.DUMMYFUNCTION("""COMPUTED_VALUE"""),"Sulfaethoxypyridazin")</f>
        <v>Sulfaethoxypyridazin</v>
      </c>
      <c r="B8347" t="str">
        <f ca="1">IFERROR(__xludf.DUMMYFUNCTION("""COMPUTED_VALUE"""),"RF-00000605-VET")</f>
        <v>RF-00000605-VET</v>
      </c>
    </row>
    <row r="8348" spans="1:2" ht="12.5" x14ac:dyDescent="0.25">
      <c r="A8348" t="str">
        <f ca="1">IFERROR(__xludf.DUMMYFUNCTION("""COMPUTED_VALUE"""),"Sulfaguanidine")</f>
        <v>Sulfaguanidine</v>
      </c>
      <c r="B8348" t="str">
        <f ca="1">IFERROR(__xludf.DUMMYFUNCTION("""COMPUTED_VALUE"""),"RF-00000606-VET")</f>
        <v>RF-00000606-VET</v>
      </c>
    </row>
    <row r="8349" spans="1:2" ht="12.5" x14ac:dyDescent="0.25">
      <c r="A8349" t="str">
        <f ca="1">IFERROR(__xludf.DUMMYFUNCTION("""COMPUTED_VALUE"""),"Sulfalen")</f>
        <v>Sulfalen</v>
      </c>
      <c r="B8349" t="str">
        <f ca="1">IFERROR(__xludf.DUMMYFUNCTION("""COMPUTED_VALUE"""),"RF-00000607-VET")</f>
        <v>RF-00000607-VET</v>
      </c>
    </row>
    <row r="8350" spans="1:2" ht="12.5" x14ac:dyDescent="0.25">
      <c r="A8350" t="str">
        <f ca="1">IFERROR(__xludf.DUMMYFUNCTION("""COMPUTED_VALUE"""),"Sulfallate")</f>
        <v>Sulfallate</v>
      </c>
      <c r="B8350" t="str">
        <f ca="1">IFERROR(__xludf.DUMMYFUNCTION("""COMPUTED_VALUE"""),"RF-1040-001-PPP")</f>
        <v>RF-1040-001-PPP</v>
      </c>
    </row>
    <row r="8351" spans="1:2" ht="12.5" x14ac:dyDescent="0.25">
      <c r="A8351" t="str">
        <f ca="1">IFERROR(__xludf.DUMMYFUNCTION("""COMPUTED_VALUE"""),"Sulfamerazine")</f>
        <v>Sulfamerazine</v>
      </c>
      <c r="B8351" t="str">
        <f ca="1">IFERROR(__xludf.DUMMYFUNCTION("""COMPUTED_VALUE"""),"RF-00000608-VET")</f>
        <v>RF-00000608-VET</v>
      </c>
    </row>
    <row r="8352" spans="1:2" ht="12.5" x14ac:dyDescent="0.25">
      <c r="A8352" t="str">
        <f ca="1">IFERROR(__xludf.DUMMYFUNCTION("""COMPUTED_VALUE"""),"Sulfameter")</f>
        <v>Sulfameter</v>
      </c>
      <c r="B8352" t="str">
        <f ca="1">IFERROR(__xludf.DUMMYFUNCTION("""COMPUTED_VALUE"""),"RF-00000610-VET")</f>
        <v>RF-00000610-VET</v>
      </c>
    </row>
    <row r="8353" spans="1:2" ht="12.5" x14ac:dyDescent="0.25">
      <c r="A8353" t="str">
        <f ca="1">IFERROR(__xludf.DUMMYFUNCTION("""COMPUTED_VALUE"""),"Sulfamethazin (sulfadimidin)")</f>
        <v>Sulfamethazin (sulfadimidin)</v>
      </c>
      <c r="B8353" t="str">
        <f ca="1">IFERROR(__xludf.DUMMYFUNCTION("""COMPUTED_VALUE"""),"RF-00000781-VET")</f>
        <v>RF-00000781-VET</v>
      </c>
    </row>
    <row r="8354" spans="1:2" ht="12.5" x14ac:dyDescent="0.25">
      <c r="A8354" t="str">
        <f ca="1">IFERROR(__xludf.DUMMYFUNCTION("""COMPUTED_VALUE"""),"Sulfamethizol")</f>
        <v>Sulfamethizol</v>
      </c>
      <c r="B8354" t="str">
        <f ca="1">IFERROR(__xludf.DUMMYFUNCTION("""COMPUTED_VALUE"""),"RF-00000624-VET")</f>
        <v>RF-00000624-VET</v>
      </c>
    </row>
    <row r="8355" spans="1:2" ht="12.5" x14ac:dyDescent="0.25">
      <c r="A8355" t="str">
        <f ca="1">IFERROR(__xludf.DUMMYFUNCTION("""COMPUTED_VALUE"""),"Sulfamethoxazole")</f>
        <v>Sulfamethoxazole</v>
      </c>
      <c r="B8355" t="str">
        <f ca="1">IFERROR(__xludf.DUMMYFUNCTION("""COMPUTED_VALUE"""),"RF-00000612-VET")</f>
        <v>RF-00000612-VET</v>
      </c>
    </row>
    <row r="8356" spans="1:2" ht="12.5" x14ac:dyDescent="0.25">
      <c r="A8356" t="str">
        <f ca="1">IFERROR(__xludf.DUMMYFUNCTION("""COMPUTED_VALUE"""),"Sulfamethoxypyridazine")</f>
        <v>Sulfamethoxypyridazine</v>
      </c>
      <c r="B8356" t="str">
        <f ca="1">IFERROR(__xludf.DUMMYFUNCTION("""COMPUTED_VALUE"""),"RF-00000600-VET")</f>
        <v>RF-00000600-VET</v>
      </c>
    </row>
    <row r="8357" spans="1:2" ht="12.5" x14ac:dyDescent="0.25">
      <c r="A8357" t="str">
        <f ca="1">IFERROR(__xludf.DUMMYFUNCTION("""COMPUTED_VALUE"""),"Sulfamonomethoxine")</f>
        <v>Sulfamonomethoxine</v>
      </c>
      <c r="B8357" t="str">
        <f ca="1">IFERROR(__xludf.DUMMYFUNCTION("""COMPUTED_VALUE"""),"RF-00000614-VET")</f>
        <v>RF-00000614-VET</v>
      </c>
    </row>
    <row r="8358" spans="1:2" ht="12.5" x14ac:dyDescent="0.25">
      <c r="A8358" t="str">
        <f ca="1">IFERROR(__xludf.DUMMYFUNCTION("""COMPUTED_VALUE"""),"Sulfamoxol")</f>
        <v>Sulfamoxol</v>
      </c>
      <c r="B8358" t="str">
        <f ca="1">IFERROR(__xludf.DUMMYFUNCTION("""COMPUTED_VALUE"""),"RF-00000615-VET")</f>
        <v>RF-00000615-VET</v>
      </c>
    </row>
    <row r="8359" spans="1:2" ht="12.5" x14ac:dyDescent="0.25">
      <c r="A8359" t="str">
        <f ca="1">IFERROR(__xludf.DUMMYFUNCTION("""COMPUTED_VALUE"""),"Sulfanilamide")</f>
        <v>Sulfanilamide</v>
      </c>
      <c r="B8359" t="str">
        <f ca="1">IFERROR(__xludf.DUMMYFUNCTION("""COMPUTED_VALUE"""),"RF-00000617-VET")</f>
        <v>RF-00000617-VET</v>
      </c>
    </row>
    <row r="8360" spans="1:2" ht="12.5" x14ac:dyDescent="0.25">
      <c r="A8360" t="str">
        <f ca="1">IFERROR(__xludf.DUMMYFUNCTION("""COMPUTED_VALUE"""),"Sulfanitran")</f>
        <v>Sulfanitran</v>
      </c>
      <c r="B8360" t="str">
        <f ca="1">IFERROR(__xludf.DUMMYFUNCTION("""COMPUTED_VALUE"""),"RF-00000619-VET")</f>
        <v>RF-00000619-VET</v>
      </c>
    </row>
    <row r="8361" spans="1:2" ht="12.5" x14ac:dyDescent="0.25">
      <c r="A8361" t="str">
        <f ca="1">IFERROR(__xludf.DUMMYFUNCTION("""COMPUTED_VALUE"""),"Sulfaphenazol")</f>
        <v>Sulfaphenazol</v>
      </c>
      <c r="B8361" t="str">
        <f ca="1">IFERROR(__xludf.DUMMYFUNCTION("""COMPUTED_VALUE"""),"RF-00000649-VET")</f>
        <v>RF-00000649-VET</v>
      </c>
    </row>
    <row r="8362" spans="1:2" ht="12.5" x14ac:dyDescent="0.25">
      <c r="A8362" t="str">
        <f ca="1">IFERROR(__xludf.DUMMYFUNCTION("""COMPUTED_VALUE"""),"Sulfapyrazol")</f>
        <v>Sulfapyrazol</v>
      </c>
      <c r="B8362" t="str">
        <f ca="1">IFERROR(__xludf.DUMMYFUNCTION("""COMPUTED_VALUE"""),"RF-00000621-VET")</f>
        <v>RF-00000621-VET</v>
      </c>
    </row>
    <row r="8363" spans="1:2" ht="12.5" x14ac:dyDescent="0.25">
      <c r="A8363" t="str">
        <f ca="1">IFERROR(__xludf.DUMMYFUNCTION("""COMPUTED_VALUE"""),"Sulfapyridin")</f>
        <v>Sulfapyridin</v>
      </c>
      <c r="B8363" t="str">
        <f ca="1">IFERROR(__xludf.DUMMYFUNCTION("""COMPUTED_VALUE"""),"RF-00000622-VET")</f>
        <v>RF-00000622-VET</v>
      </c>
    </row>
    <row r="8364" spans="1:2" ht="12.5" x14ac:dyDescent="0.25">
      <c r="A8364" t="str">
        <f ca="1">IFERROR(__xludf.DUMMYFUNCTION("""COMPUTED_VALUE"""),"Sulfaquinoxaline")</f>
        <v>Sulfaquinoxaline</v>
      </c>
      <c r="B8364" t="str">
        <f ca="1">IFERROR(__xludf.DUMMYFUNCTION("""COMPUTED_VALUE"""),"RF-00000611-VET")</f>
        <v>RF-00000611-VET</v>
      </c>
    </row>
    <row r="8365" spans="1:2" ht="12.5" x14ac:dyDescent="0.25">
      <c r="A8365" t="str">
        <f ca="1">IFERROR(__xludf.DUMMYFUNCTION("""COMPUTED_VALUE"""),"Sulfasomidin")</f>
        <v>Sulfasomidin</v>
      </c>
      <c r="B8365" t="str">
        <f ca="1">IFERROR(__xludf.DUMMYFUNCTION("""COMPUTED_VALUE"""),"RF-00000782-VET")</f>
        <v>RF-00000782-VET</v>
      </c>
    </row>
    <row r="8366" spans="1:2" ht="12.5" x14ac:dyDescent="0.25">
      <c r="A8366" t="str">
        <f ca="1">IFERROR(__xludf.DUMMYFUNCTION("""COMPUTED_VALUE"""),"Sulfates")</f>
        <v>Sulfates</v>
      </c>
      <c r="B8366" t="str">
        <f ca="1">IFERROR(__xludf.DUMMYFUNCTION("""COMPUTED_VALUE"""),"RF-00000112-CHE")</f>
        <v>RF-00000112-CHE</v>
      </c>
    </row>
    <row r="8367" spans="1:2" ht="12.5" x14ac:dyDescent="0.25">
      <c r="A8367" t="str">
        <f ca="1">IFERROR(__xludf.DUMMYFUNCTION("""COMPUTED_VALUE"""),"Sulfathiazole")</f>
        <v>Sulfathiazole</v>
      </c>
      <c r="B8367" t="str">
        <f ca="1">IFERROR(__xludf.DUMMYFUNCTION("""COMPUTED_VALUE"""),"RF-00000687-VET")</f>
        <v>RF-00000687-VET</v>
      </c>
    </row>
    <row r="8368" spans="1:2" ht="12.5" x14ac:dyDescent="0.25">
      <c r="A8368" t="str">
        <f ca="1">IFERROR(__xludf.DUMMYFUNCTION("""COMPUTED_VALUE"""),"Sulfathiazole")</f>
        <v>Sulfathiazole</v>
      </c>
      <c r="B8368" t="str">
        <f ca="1">IFERROR(__xludf.DUMMYFUNCTION("""COMPUTED_VALUE"""),"RF-0900-001-PPP")</f>
        <v>RF-0900-001-PPP</v>
      </c>
    </row>
    <row r="8369" spans="1:2" ht="12.5" x14ac:dyDescent="0.25">
      <c r="A8369" t="str">
        <f ca="1">IFERROR(__xludf.DUMMYFUNCTION("""COMPUTED_VALUE"""),"Sulfatolamide")</f>
        <v>Sulfatolamide</v>
      </c>
      <c r="B8369" t="str">
        <f ca="1">IFERROR(__xludf.DUMMYFUNCTION("""COMPUTED_VALUE"""),"RF-00000685-VET")</f>
        <v>RF-00000685-VET</v>
      </c>
    </row>
    <row r="8370" spans="1:2" ht="12.5" x14ac:dyDescent="0.25">
      <c r="A8370" t="str">
        <f ca="1">IFERROR(__xludf.DUMMYFUNCTION("""COMPUTED_VALUE"""),"Sulfatroxazol")</f>
        <v>Sulfatroxazol</v>
      </c>
      <c r="B8370" t="str">
        <f ca="1">IFERROR(__xludf.DUMMYFUNCTION("""COMPUTED_VALUE"""),"RF-00000682-VET")</f>
        <v>RF-00000682-VET</v>
      </c>
    </row>
    <row r="8371" spans="1:2" ht="12.5" x14ac:dyDescent="0.25">
      <c r="A8371" t="str">
        <f ca="1">IFERROR(__xludf.DUMMYFUNCTION("""COMPUTED_VALUE"""),"Sulfentrazone")</f>
        <v>Sulfentrazone</v>
      </c>
      <c r="B8371" t="str">
        <f ca="1">IFERROR(__xludf.DUMMYFUNCTION("""COMPUTED_VALUE"""),"RF-0901-001-PPP")</f>
        <v>RF-0901-001-PPP</v>
      </c>
    </row>
    <row r="8372" spans="1:2" ht="12.5" x14ac:dyDescent="0.25">
      <c r="A8372" t="str">
        <f ca="1">IFERROR(__xludf.DUMMYFUNCTION("""COMPUTED_VALUE"""),"Sulfides")</f>
        <v>Sulfides</v>
      </c>
      <c r="B8372" t="str">
        <f ca="1">IFERROR(__xludf.DUMMYFUNCTION("""COMPUTED_VALUE"""),"RF-00000117-CHE")</f>
        <v>RF-00000117-CHE</v>
      </c>
    </row>
    <row r="8373" spans="1:2" ht="12.5" x14ac:dyDescent="0.25">
      <c r="A8373" t="str">
        <f ca="1">IFERROR(__xludf.DUMMYFUNCTION("""COMPUTED_VALUE"""),"Sulfisomidin")</f>
        <v>Sulfisomidin</v>
      </c>
      <c r="B8373" t="str">
        <f ca="1">IFERROR(__xludf.DUMMYFUNCTION("""COMPUTED_VALUE"""),"RF-00000681-VET")</f>
        <v>RF-00000681-VET</v>
      </c>
    </row>
    <row r="8374" spans="1:2" ht="12.5" x14ac:dyDescent="0.25">
      <c r="A8374" t="str">
        <f ca="1">IFERROR(__xludf.DUMMYFUNCTION("""COMPUTED_VALUE"""),"Sulfisoxazol")</f>
        <v>Sulfisoxazol</v>
      </c>
      <c r="B8374" t="str">
        <f ca="1">IFERROR(__xludf.DUMMYFUNCTION("""COMPUTED_VALUE"""),"RF-00000679-VET")</f>
        <v>RF-00000679-VET</v>
      </c>
    </row>
    <row r="8375" spans="1:2" ht="12.5" x14ac:dyDescent="0.25">
      <c r="A8375" t="str">
        <f ca="1">IFERROR(__xludf.DUMMYFUNCTION("""COMPUTED_VALUE"""),"Sulfisoxazol (sulfafurazol)")</f>
        <v>Sulfisoxazol (sulfafurazol)</v>
      </c>
      <c r="B8375" t="str">
        <f ca="1">IFERROR(__xludf.DUMMYFUNCTION("""COMPUTED_VALUE"""),"RF-00000783-VET")</f>
        <v>RF-00000783-VET</v>
      </c>
    </row>
    <row r="8376" spans="1:2" ht="12.5" x14ac:dyDescent="0.25">
      <c r="A8376" t="str">
        <f ca="1">IFERROR(__xludf.DUMMYFUNCTION("""COMPUTED_VALUE"""),"Sulfites")</f>
        <v>Sulfites</v>
      </c>
      <c r="B8376" t="str">
        <f ca="1">IFERROR(__xludf.DUMMYFUNCTION("""COMPUTED_VALUE"""),"RF-00000113-CHE")</f>
        <v>RF-00000113-CHE</v>
      </c>
    </row>
    <row r="8377" spans="1:2" ht="12.5" x14ac:dyDescent="0.25">
      <c r="A8377" t="str">
        <f ca="1">IFERROR(__xludf.DUMMYFUNCTION("""COMPUTED_VALUE"""),"Sulfometuron-Methyl")</f>
        <v>Sulfometuron-Methyl</v>
      </c>
      <c r="B8377" t="str">
        <f ca="1">IFERROR(__xludf.DUMMYFUNCTION("""COMPUTED_VALUE"""),"RF-0902-001-PPP")</f>
        <v>RF-0902-001-PPP</v>
      </c>
    </row>
    <row r="8378" spans="1:2" ht="12.5" x14ac:dyDescent="0.25">
      <c r="A8378" t="str">
        <f ca="1">IFERROR(__xludf.DUMMYFUNCTION("""COMPUTED_VALUE"""),"Sulfonamides")</f>
        <v>Sulfonamides</v>
      </c>
      <c r="B8378" t="str">
        <f ca="1">IFERROR(__xludf.DUMMYFUNCTION("""COMPUTED_VALUE"""),"RF-00000690-VET")</f>
        <v>RF-00000690-VET</v>
      </c>
    </row>
    <row r="8379" spans="1:2" ht="12.5" x14ac:dyDescent="0.25">
      <c r="A8379" t="str">
        <f ca="1">IFERROR(__xludf.DUMMYFUNCTION("""COMPUTED_VALUE"""),"Sulfonamides combinations")</f>
        <v>Sulfonamides combinations</v>
      </c>
      <c r="B8379" t="str">
        <f ca="1">IFERROR(__xludf.DUMMYFUNCTION("""COMPUTED_VALUE"""),"RF-00000805-VET")</f>
        <v>RF-00000805-VET</v>
      </c>
    </row>
    <row r="8380" spans="1:2" ht="12.5" x14ac:dyDescent="0.25">
      <c r="A8380" t="str">
        <f ca="1">IFERROR(__xludf.DUMMYFUNCTION("""COMPUTED_VALUE"""),"Sulfosulfuron")</f>
        <v>Sulfosulfuron</v>
      </c>
      <c r="B8380" t="str">
        <f ca="1">IFERROR(__xludf.DUMMYFUNCTION("""COMPUTED_VALUE"""),"RF-0399-001-PPP")</f>
        <v>RF-0399-001-PPP</v>
      </c>
    </row>
    <row r="8381" spans="1:2" ht="12.5" x14ac:dyDescent="0.25">
      <c r="A8381" t="str">
        <f ca="1">IFERROR(__xludf.DUMMYFUNCTION("""COMPUTED_VALUE"""),"Sulfotep")</f>
        <v>Sulfotep</v>
      </c>
      <c r="B8381" t="str">
        <f ca="1">IFERROR(__xludf.DUMMYFUNCTION("""COMPUTED_VALUE"""),"RF-0903-001-PPP")</f>
        <v>RF-0903-001-PPP</v>
      </c>
    </row>
    <row r="8382" spans="1:2" ht="12.5" x14ac:dyDescent="0.25">
      <c r="A8382" t="str">
        <f ca="1">IFERROR(__xludf.DUMMYFUNCTION("""COMPUTED_VALUE"""),"Sulfur (S)")</f>
        <v>Sulfur (S)</v>
      </c>
      <c r="B8382" t="str">
        <f ca="1">IFERROR(__xludf.DUMMYFUNCTION("""COMPUTED_VALUE"""),"RF-00000111-CHE")</f>
        <v>RF-00000111-CHE</v>
      </c>
    </row>
    <row r="8383" spans="1:2" ht="12.5" x14ac:dyDescent="0.25">
      <c r="A8383" t="str">
        <f ca="1">IFERROR(__xludf.DUMMYFUNCTION("""COMPUTED_VALUE"""),"Sulfur and derivatives")</f>
        <v>Sulfur and derivatives</v>
      </c>
      <c r="B8383" t="str">
        <f ca="1">IFERROR(__xludf.DUMMYFUNCTION("""COMPUTED_VALUE"""),"RF-00000110-CHE")</f>
        <v>RF-00000110-CHE</v>
      </c>
    </row>
    <row r="8384" spans="1:2" ht="12.5" x14ac:dyDescent="0.25">
      <c r="A8384" t="str">
        <f ca="1">IFERROR(__xludf.DUMMYFUNCTION("""COMPUTED_VALUE"""),"Sulfur Dioxide")</f>
        <v>Sulfur Dioxide</v>
      </c>
      <c r="B8384" t="str">
        <f ca="1">IFERROR(__xludf.DUMMYFUNCTION("""COMPUTED_VALUE"""),"RF-00000122-CHE")</f>
        <v>RF-00000122-CHE</v>
      </c>
    </row>
    <row r="8385" spans="1:2" ht="12.5" x14ac:dyDescent="0.25">
      <c r="A8385" t="str">
        <f ca="1">IFERROR(__xludf.DUMMYFUNCTION("""COMPUTED_VALUE"""),"Sulfur soluble in water")</f>
        <v>Sulfur soluble in water</v>
      </c>
      <c r="B8385" t="str">
        <f ca="1">IFERROR(__xludf.DUMMYFUNCTION("""COMPUTED_VALUE"""),"RF-00000119-CHE")</f>
        <v>RF-00000119-CHE</v>
      </c>
    </row>
    <row r="8386" spans="1:2" ht="12.5" x14ac:dyDescent="0.25">
      <c r="A8386" t="str">
        <f ca="1">IFERROR(__xludf.DUMMYFUNCTION("""COMPUTED_VALUE"""),"Sulfur soluble in water, present as sulphates")</f>
        <v>Sulfur soluble in water, present as sulphates</v>
      </c>
      <c r="B8386" t="str">
        <f ca="1">IFERROR(__xludf.DUMMYFUNCTION("""COMPUTED_VALUE"""),"RF-00000114-CHE")</f>
        <v>RF-00000114-CHE</v>
      </c>
    </row>
    <row r="8387" spans="1:2" ht="12.5" x14ac:dyDescent="0.25">
      <c r="A8387" t="str">
        <f ca="1">IFERROR(__xludf.DUMMYFUNCTION("""COMPUTED_VALUE"""),"Sulfuryl fluoride")</f>
        <v>Sulfuryl fluoride</v>
      </c>
      <c r="B8387" t="str">
        <f ca="1">IFERROR(__xludf.DUMMYFUNCTION("""COMPUTED_VALUE"""),"RF-0400-001-PPP")</f>
        <v>RF-0400-001-PPP</v>
      </c>
    </row>
    <row r="8388" spans="1:2" ht="12.5" x14ac:dyDescent="0.25">
      <c r="A8388" t="str">
        <f ca="1">IFERROR(__xludf.DUMMYFUNCTION("""COMPUTED_VALUE"""),"Sulindac")</f>
        <v>Sulindac</v>
      </c>
      <c r="B8388" t="str">
        <f ca="1">IFERROR(__xludf.DUMMYFUNCTION("""COMPUTED_VALUE"""),"RF-00000220-VET")</f>
        <v>RF-00000220-VET</v>
      </c>
    </row>
    <row r="8389" spans="1:2" ht="12.5" x14ac:dyDescent="0.25">
      <c r="A8389" t="str">
        <f ca="1">IFERROR(__xludf.DUMMYFUNCTION("""COMPUTED_VALUE"""),"Sulphite ammonia caramel")</f>
        <v>Sulphite ammonia caramel</v>
      </c>
      <c r="B8389" t="str">
        <f ca="1">IFERROR(__xludf.DUMMYFUNCTION("""COMPUTED_VALUE"""),"RF-00000323-ADD")</f>
        <v>RF-00000323-ADD</v>
      </c>
    </row>
    <row r="8390" spans="1:2" ht="12.5" x14ac:dyDescent="0.25">
      <c r="A8390" t="str">
        <f ca="1">IFERROR(__xludf.DUMMYFUNCTION("""COMPUTED_VALUE"""),"Sulphur")</f>
        <v>Sulphur</v>
      </c>
      <c r="B8390" t="str">
        <f ca="1">IFERROR(__xludf.DUMMYFUNCTION("""COMPUTED_VALUE"""),"RF-0401-001-PPP")</f>
        <v>RF-0401-001-PPP</v>
      </c>
    </row>
    <row r="8391" spans="1:2" ht="12.5" x14ac:dyDescent="0.25">
      <c r="A8391" t="str">
        <f ca="1">IFERROR(__xludf.DUMMYFUNCTION("""COMPUTED_VALUE"""),"Sulphur dioxide")</f>
        <v>Sulphur dioxide</v>
      </c>
      <c r="B8391" t="str">
        <f ca="1">IFERROR(__xludf.DUMMYFUNCTION("""COMPUTED_VALUE"""),"RF-00000324-ADD")</f>
        <v>RF-00000324-ADD</v>
      </c>
    </row>
    <row r="8392" spans="1:2" ht="12.5" x14ac:dyDescent="0.25">
      <c r="A8392" t="str">
        <f ca="1">IFERROR(__xludf.DUMMYFUNCTION("""COMPUTED_VALUE"""),"Sulphuric acid")</f>
        <v>Sulphuric acid</v>
      </c>
      <c r="B8392" t="str">
        <f ca="1">IFERROR(__xludf.DUMMYFUNCTION("""COMPUTED_VALUE"""),"RF-00000325-ADD")</f>
        <v>RF-00000325-ADD</v>
      </c>
    </row>
    <row r="8393" spans="1:2" ht="12.5" x14ac:dyDescent="0.25">
      <c r="A8393" t="str">
        <f ca="1">IFERROR(__xludf.DUMMYFUNCTION("""COMPUTED_VALUE"""),"Sulprofos")</f>
        <v>Sulprofos</v>
      </c>
      <c r="B8393" t="str">
        <f ca="1">IFERROR(__xludf.DUMMYFUNCTION("""COMPUTED_VALUE"""),"RF-0905-001-PPP")</f>
        <v>RF-0905-001-PPP</v>
      </c>
    </row>
    <row r="8394" spans="1:2" ht="12.5" x14ac:dyDescent="0.25">
      <c r="A8394" t="str">
        <f ca="1">IFERROR(__xludf.DUMMYFUNCTION("""COMPUTED_VALUE"""),"Sum ergosine + ergosinine")</f>
        <v>Sum ergosine + ergosinine</v>
      </c>
      <c r="B8394" t="str">
        <f ca="1">IFERROR(__xludf.DUMMYFUNCTION("""COMPUTED_VALUE"""),"RF-00000458-TOX")</f>
        <v>RF-00000458-TOX</v>
      </c>
    </row>
    <row r="8395" spans="1:2" ht="12.5" x14ac:dyDescent="0.25">
      <c r="A8395" t="str">
        <f ca="1">IFERROR(__xludf.DUMMYFUNCTION("""COMPUTED_VALUE"""),"Sum ergotamine + ergotaminine")</f>
        <v>Sum ergotamine + ergotaminine</v>
      </c>
      <c r="B8395" t="str">
        <f ca="1">IFERROR(__xludf.DUMMYFUNCTION("""COMPUTED_VALUE"""),"RF-00000459-TOX")</f>
        <v>RF-00000459-TOX</v>
      </c>
    </row>
    <row r="8396" spans="1:2" ht="12.5" x14ac:dyDescent="0.25">
      <c r="A8396" t="str">
        <f ca="1">IFERROR(__xludf.DUMMYFUNCTION("""COMPUTED_VALUE"""),"Sum of 6 PCB indicators")</f>
        <v>Sum of 6 PCB indicators</v>
      </c>
      <c r="B8396" t="str">
        <f ca="1">IFERROR(__xludf.DUMMYFUNCTION("""COMPUTED_VALUE"""),"RF-00000460-ORG")</f>
        <v>RF-00000460-ORG</v>
      </c>
    </row>
    <row r="8397" spans="1:2" ht="12.5" x14ac:dyDescent="0.25">
      <c r="A8397" t="str">
        <f ca="1">IFERROR(__xludf.DUMMYFUNCTION("""COMPUTED_VALUE"""),"Sum of glucosinolates")</f>
        <v>Sum of glucosinolates</v>
      </c>
      <c r="B8397" t="str">
        <f ca="1">IFERROR(__xludf.DUMMYFUNCTION("""COMPUTED_VALUE"""),"RF-00000331-TOX")</f>
        <v>RF-00000331-TOX</v>
      </c>
    </row>
    <row r="8398" spans="1:2" ht="12.5" x14ac:dyDescent="0.25">
      <c r="A8398" t="str">
        <f ca="1">IFERROR(__xludf.DUMMYFUNCTION("""COMPUTED_VALUE"""),"Sum T-2 and HT-2")</f>
        <v>Sum T-2 and HT-2</v>
      </c>
      <c r="B8398" t="str">
        <f ca="1">IFERROR(__xludf.DUMMYFUNCTION("""COMPUTED_VALUE"""),"RF-00000320-TOX")</f>
        <v>RF-00000320-TOX</v>
      </c>
    </row>
    <row r="8399" spans="1:2" ht="12.5" x14ac:dyDescent="0.25">
      <c r="A8399" t="str">
        <f ca="1">IFERROR(__xludf.DUMMYFUNCTION("""COMPUTED_VALUE"""),"Sunset Yellow FCF-Orange Yellow S")</f>
        <v>Sunset Yellow FCF-Orange Yellow S</v>
      </c>
      <c r="B8399" t="str">
        <f ca="1">IFERROR(__xludf.DUMMYFUNCTION("""COMPUTED_VALUE"""),"RF-00000326-ADD")</f>
        <v>RF-00000326-ADD</v>
      </c>
    </row>
    <row r="8400" spans="1:2" ht="12.5" x14ac:dyDescent="0.25">
      <c r="A8400" t="str">
        <f ca="1">IFERROR(__xludf.DUMMYFUNCTION("""COMPUTED_VALUE"""),"Supinine")</f>
        <v>Supinine</v>
      </c>
      <c r="B8400" t="str">
        <f ca="1">IFERROR(__xludf.DUMMYFUNCTION("""COMPUTED_VALUE"""),"RF-00000302-TOX")</f>
        <v>RF-00000302-TOX</v>
      </c>
    </row>
    <row r="8401" spans="1:2" ht="12.5" x14ac:dyDescent="0.25">
      <c r="A8401" t="str">
        <f ca="1">IFERROR(__xludf.DUMMYFUNCTION("""COMPUTED_VALUE"""),"Suxibuzone")</f>
        <v>Suxibuzone</v>
      </c>
      <c r="B8401" t="str">
        <f ca="1">IFERROR(__xludf.DUMMYFUNCTION("""COMPUTED_VALUE"""),"RF-00000228-VET")</f>
        <v>RF-00000228-VET</v>
      </c>
    </row>
    <row r="8402" spans="1:2" ht="12.5" x14ac:dyDescent="0.25">
      <c r="A8402" t="str">
        <f ca="1">IFERROR(__xludf.DUMMYFUNCTION("""COMPUTED_VALUE"""),"Sweeteners")</f>
        <v>Sweeteners</v>
      </c>
      <c r="B8402" t="str">
        <f ca="1">IFERROR(__xludf.DUMMYFUNCTION("""COMPUTED_VALUE"""),"RF-00000002-ADD")</f>
        <v>RF-00000002-ADD</v>
      </c>
    </row>
    <row r="8403" spans="1:2" ht="12.5" x14ac:dyDescent="0.25">
      <c r="A8403" t="str">
        <f ca="1">IFERROR(__xludf.DUMMYFUNCTION("""COMPUTED_VALUE"""),"Symlandine")</f>
        <v>Symlandine</v>
      </c>
      <c r="B8403" t="str">
        <f ca="1">IFERROR(__xludf.DUMMYFUNCTION("""COMPUTED_VALUE"""),"RF-00000303-TOX")</f>
        <v>RF-00000303-TOX</v>
      </c>
    </row>
    <row r="8404" spans="1:2" ht="12.5" x14ac:dyDescent="0.25">
      <c r="A8404" t="str">
        <f ca="1">IFERROR(__xludf.DUMMYFUNCTION("""COMPUTED_VALUE"""),"Symphytine")</f>
        <v>Symphytine</v>
      </c>
      <c r="B8404" t="str">
        <f ca="1">IFERROR(__xludf.DUMMYFUNCTION("""COMPUTED_VALUE"""),"RF-00000229-TOX")</f>
        <v>RF-00000229-TOX</v>
      </c>
    </row>
    <row r="8405" spans="1:2" ht="12.5" x14ac:dyDescent="0.25">
      <c r="A8405" t="str">
        <f ca="1">IFERROR(__xludf.DUMMYFUNCTION("""COMPUTED_VALUE"""),"Symviridine")</f>
        <v>Symviridine</v>
      </c>
      <c r="B8405" t="str">
        <f ca="1">IFERROR(__xludf.DUMMYFUNCTION("""COMPUTED_VALUE"""),"RF-00000304-TOX")</f>
        <v>RF-00000304-TOX</v>
      </c>
    </row>
    <row r="8406" spans="1:2" ht="12.5" x14ac:dyDescent="0.25">
      <c r="A8406" t="str">
        <f ca="1">IFERROR(__xludf.DUMMYFUNCTION("""COMPUTED_VALUE"""),"T-2 toxin")</f>
        <v>T-2 toxin</v>
      </c>
      <c r="B8406" t="str">
        <f ca="1">IFERROR(__xludf.DUMMYFUNCTION("""COMPUTED_VALUE"""),"RF-00000161-TOX")</f>
        <v>RF-00000161-TOX</v>
      </c>
    </row>
    <row r="8407" spans="1:2" ht="12.5" x14ac:dyDescent="0.25">
      <c r="A8407" t="str">
        <f ca="1">IFERROR(__xludf.DUMMYFUNCTION("""COMPUTED_VALUE"""),"T-2-HT-2 toxins")</f>
        <v>T-2-HT-2 toxins</v>
      </c>
      <c r="B8407" t="str">
        <f ca="1">IFERROR(__xludf.DUMMYFUNCTION("""COMPUTED_VALUE"""),"RF-00000432-TOX")</f>
        <v>RF-00000432-TOX</v>
      </c>
    </row>
    <row r="8408" spans="1:2" ht="12.5" x14ac:dyDescent="0.25">
      <c r="A8408" t="str">
        <f ca="1">IFERROR(__xludf.DUMMYFUNCTION("""COMPUTED_VALUE"""),"Talc")</f>
        <v>Talc</v>
      </c>
      <c r="B8408" t="str">
        <f ca="1">IFERROR(__xludf.DUMMYFUNCTION("""COMPUTED_VALUE"""),"RF-00000327-ADD")</f>
        <v>RF-00000327-ADD</v>
      </c>
    </row>
    <row r="8409" spans="1:2" ht="12.5" x14ac:dyDescent="0.25">
      <c r="A8409" t="str">
        <f ca="1">IFERROR(__xludf.DUMMYFUNCTION("""COMPUTED_VALUE"""),"tannin")</f>
        <v>tannin</v>
      </c>
      <c r="B8409" t="str">
        <f ca="1">IFERROR(__xludf.DUMMYFUNCTION("""COMPUTED_VALUE"""),"RF-00000408-NTR")</f>
        <v>RF-00000408-NTR</v>
      </c>
    </row>
    <row r="8410" spans="1:2" ht="12.5" x14ac:dyDescent="0.25">
      <c r="A8410" t="str">
        <f ca="1">IFERROR(__xludf.DUMMYFUNCTION("""COMPUTED_VALUE"""),"Tara gum")</f>
        <v>Tara gum</v>
      </c>
      <c r="B8410" t="str">
        <f ca="1">IFERROR(__xludf.DUMMYFUNCTION("""COMPUTED_VALUE"""),"RF-00000328-ADD")</f>
        <v>RF-00000328-ADD</v>
      </c>
    </row>
    <row r="8411" spans="1:2" ht="12.5" x14ac:dyDescent="0.25">
      <c r="A8411" t="str">
        <f ca="1">IFERROR(__xludf.DUMMYFUNCTION("""COMPUTED_VALUE"""),"Tartaric acid (L(+)-)")</f>
        <v>Tartaric acid (L(+)-)</v>
      </c>
      <c r="B8411" t="str">
        <f ca="1">IFERROR(__xludf.DUMMYFUNCTION("""COMPUTED_VALUE"""),"RF-00000409-NTR")</f>
        <v>RF-00000409-NTR</v>
      </c>
    </row>
    <row r="8412" spans="1:2" ht="12.5" x14ac:dyDescent="0.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x14ac:dyDescent="0.25">
      <c r="A8413" t="str">
        <f ca="1">IFERROR(__xludf.DUMMYFUNCTION("""COMPUTED_VALUE"""),"Tartrazine")</f>
        <v>Tartrazine</v>
      </c>
      <c r="B8413" t="str">
        <f ca="1">IFERROR(__xludf.DUMMYFUNCTION("""COMPUTED_VALUE"""),"RF-00000331-ADD")</f>
        <v>RF-00000331-ADD</v>
      </c>
    </row>
    <row r="8414" spans="1:2" ht="12.5" x14ac:dyDescent="0.25">
      <c r="A8414" t="str">
        <f ca="1">IFERROR(__xludf.DUMMYFUNCTION("""COMPUTED_VALUE"""),"tau-Fluvalinate")</f>
        <v>tau-Fluvalinate</v>
      </c>
      <c r="B8414" t="str">
        <f ca="1">IFERROR(__xludf.DUMMYFUNCTION("""COMPUTED_VALUE"""),"RF-0402-001-PPP")</f>
        <v>RF-0402-001-PPP</v>
      </c>
    </row>
    <row r="8415" spans="1:2" ht="12.5" x14ac:dyDescent="0.25">
      <c r="A8415" t="str">
        <f ca="1">IFERROR(__xludf.DUMMYFUNCTION("""COMPUTED_VALUE"""),"TCMTB")</f>
        <v>TCMTB</v>
      </c>
      <c r="B8415" t="str">
        <f ca="1">IFERROR(__xludf.DUMMYFUNCTION("""COMPUTED_VALUE"""),"RF-0906-001-PPP")</f>
        <v>RF-0906-001-PPP</v>
      </c>
    </row>
    <row r="8416" spans="1:2" ht="12.5" x14ac:dyDescent="0.25">
      <c r="A8416" t="str">
        <f ca="1">IFERROR(__xludf.DUMMYFUNCTION("""COMPUTED_VALUE"""),"Tebuconazole")</f>
        <v>Tebuconazole</v>
      </c>
      <c r="B8416" t="str">
        <f ca="1">IFERROR(__xludf.DUMMYFUNCTION("""COMPUTED_VALUE"""),"RF-0403-001-PPP")</f>
        <v>RF-0403-001-PPP</v>
      </c>
    </row>
    <row r="8417" spans="1:2" ht="12.5" x14ac:dyDescent="0.25">
      <c r="A8417" t="str">
        <f ca="1">IFERROR(__xludf.DUMMYFUNCTION("""COMPUTED_VALUE"""),"Tebufenozide")</f>
        <v>Tebufenozide</v>
      </c>
      <c r="B8417" t="str">
        <f ca="1">IFERROR(__xludf.DUMMYFUNCTION("""COMPUTED_VALUE"""),"RF-0404-001-PPP")</f>
        <v>RF-0404-001-PPP</v>
      </c>
    </row>
    <row r="8418" spans="1:2" ht="12.5" x14ac:dyDescent="0.25">
      <c r="A8418" t="str">
        <f ca="1">IFERROR(__xludf.DUMMYFUNCTION("""COMPUTED_VALUE"""),"Tebufenpyrad")</f>
        <v>Tebufenpyrad</v>
      </c>
      <c r="B8418" t="str">
        <f ca="1">IFERROR(__xludf.DUMMYFUNCTION("""COMPUTED_VALUE"""),"RF-0405-001-PPP")</f>
        <v>RF-0405-001-PPP</v>
      </c>
    </row>
    <row r="8419" spans="1:2" ht="12.5" x14ac:dyDescent="0.25">
      <c r="A8419" t="str">
        <f ca="1">IFERROR(__xludf.DUMMYFUNCTION("""COMPUTED_VALUE"""),"Tebupirimphos")</f>
        <v>Tebupirimphos</v>
      </c>
      <c r="B8419" t="str">
        <f ca="1">IFERROR(__xludf.DUMMYFUNCTION("""COMPUTED_VALUE"""),"RF-0907-001-PPP")</f>
        <v>RF-0907-001-PPP</v>
      </c>
    </row>
    <row r="8420" spans="1:2" ht="12.5" x14ac:dyDescent="0.25">
      <c r="A8420" t="str">
        <f ca="1">IFERROR(__xludf.DUMMYFUNCTION("""COMPUTED_VALUE"""),"Tebutam")</f>
        <v>Tebutam</v>
      </c>
      <c r="B8420" t="str">
        <f ca="1">IFERROR(__xludf.DUMMYFUNCTION("""COMPUTED_VALUE"""),"RF-0908-001-PPP")</f>
        <v>RF-0908-001-PPP</v>
      </c>
    </row>
    <row r="8421" spans="1:2" ht="12.5" x14ac:dyDescent="0.25">
      <c r="A8421" t="str">
        <f ca="1">IFERROR(__xludf.DUMMYFUNCTION("""COMPUTED_VALUE"""),"Tebuthiuron")</f>
        <v>Tebuthiuron</v>
      </c>
      <c r="B8421" t="str">
        <f ca="1">IFERROR(__xludf.DUMMYFUNCTION("""COMPUTED_VALUE"""),"RF-0909-001-PPP")</f>
        <v>RF-0909-001-PPP</v>
      </c>
    </row>
    <row r="8422" spans="1:2" ht="12.5" x14ac:dyDescent="0.25">
      <c r="A8422" t="str">
        <f ca="1">IFERROR(__xludf.DUMMYFUNCTION("""COMPUTED_VALUE"""),"Tecloftalam")</f>
        <v>Tecloftalam</v>
      </c>
      <c r="B8422" t="str">
        <f ca="1">IFERROR(__xludf.DUMMYFUNCTION("""COMPUTED_VALUE"""),"RF-0910-001-PPP")</f>
        <v>RF-0910-001-PPP</v>
      </c>
    </row>
    <row r="8423" spans="1:2" ht="12.5" x14ac:dyDescent="0.25">
      <c r="A8423" t="str">
        <f ca="1">IFERROR(__xludf.DUMMYFUNCTION("""COMPUTED_VALUE"""),"Tecnazene")</f>
        <v>Tecnazene</v>
      </c>
      <c r="B8423" t="str">
        <f ca="1">IFERROR(__xludf.DUMMYFUNCTION("""COMPUTED_VALUE"""),"RF-0406-001-PPP")</f>
        <v>RF-0406-001-PPP</v>
      </c>
    </row>
    <row r="8424" spans="1:2" ht="12.5" x14ac:dyDescent="0.25">
      <c r="A8424" t="str">
        <f ca="1">IFERROR(__xludf.DUMMYFUNCTION("""COMPUTED_VALUE"""),"Teflubenzuron")</f>
        <v>Teflubenzuron</v>
      </c>
      <c r="B8424" t="str">
        <f ca="1">IFERROR(__xludf.DUMMYFUNCTION("""COMPUTED_VALUE"""),"RF-00000262-VET")</f>
        <v>RF-00000262-VET</v>
      </c>
    </row>
    <row r="8425" spans="1:2" ht="12.5" x14ac:dyDescent="0.25">
      <c r="A8425" t="str">
        <f ca="1">IFERROR(__xludf.DUMMYFUNCTION("""COMPUTED_VALUE"""),"Teflubenzuron")</f>
        <v>Teflubenzuron</v>
      </c>
      <c r="B8425" t="str">
        <f ca="1">IFERROR(__xludf.DUMMYFUNCTION("""COMPUTED_VALUE"""),"RF-0407-001-PPP")</f>
        <v>RF-0407-001-PPP</v>
      </c>
    </row>
    <row r="8426" spans="1:2" ht="12.5" x14ac:dyDescent="0.25">
      <c r="A8426" t="str">
        <f ca="1">IFERROR(__xludf.DUMMYFUNCTION("""COMPUTED_VALUE"""),"Tefluthrin")</f>
        <v>Tefluthrin</v>
      </c>
      <c r="B8426" t="str">
        <f ca="1">IFERROR(__xludf.DUMMYFUNCTION("""COMPUTED_VALUE"""),"RF-00000155-VET")</f>
        <v>RF-00000155-VET</v>
      </c>
    </row>
    <row r="8427" spans="1:2" ht="12.5" x14ac:dyDescent="0.25">
      <c r="A8427" t="str">
        <f ca="1">IFERROR(__xludf.DUMMYFUNCTION("""COMPUTED_VALUE"""),"Tefluthrin")</f>
        <v>Tefluthrin</v>
      </c>
      <c r="B8427" t="str">
        <f ca="1">IFERROR(__xludf.DUMMYFUNCTION("""COMPUTED_VALUE"""),"RF-0408-001-PPP")</f>
        <v>RF-0408-001-PPP</v>
      </c>
    </row>
    <row r="8428" spans="1:2" ht="12.5" x14ac:dyDescent="0.25">
      <c r="A8428" t="str">
        <f ca="1">IFERROR(__xludf.DUMMYFUNCTION("""COMPUTED_VALUE"""),"Teicoplanin")</f>
        <v>Teicoplanin</v>
      </c>
      <c r="B8428" t="str">
        <f ca="1">IFERROR(__xludf.DUMMYFUNCTION("""COMPUTED_VALUE"""),"RF-00000659-VET")</f>
        <v>RF-00000659-VET</v>
      </c>
    </row>
    <row r="8429" spans="1:2" ht="12.5" x14ac:dyDescent="0.25">
      <c r="A8429" t="str">
        <f ca="1">IFERROR(__xludf.DUMMYFUNCTION("""COMPUTED_VALUE"""),"TEM")</f>
        <v>TEM</v>
      </c>
      <c r="B8429" t="str">
        <f ca="1">IFERROR(__xludf.DUMMYFUNCTION("""COMPUTED_VALUE"""),"RF-00000507-PAR")</f>
        <v>RF-00000507-PAR</v>
      </c>
    </row>
    <row r="8430" spans="1:2" ht="12.5" x14ac:dyDescent="0.25">
      <c r="A8430" t="str">
        <f ca="1">IFERROR(__xludf.DUMMYFUNCTION("""COMPUTED_VALUE"""),"TEM-1")</f>
        <v>TEM-1</v>
      </c>
      <c r="B8430" t="str">
        <f ca="1">IFERROR(__xludf.DUMMYFUNCTION("""COMPUTED_VALUE"""),"RF-00000508-PAR")</f>
        <v>RF-00000508-PAR</v>
      </c>
    </row>
    <row r="8431" spans="1:2" ht="12.5" x14ac:dyDescent="0.25">
      <c r="A8431" t="str">
        <f ca="1">IFERROR(__xludf.DUMMYFUNCTION("""COMPUTED_VALUE"""),"TEM-10")</f>
        <v>TEM-10</v>
      </c>
      <c r="B8431" t="str">
        <f ca="1">IFERROR(__xludf.DUMMYFUNCTION("""COMPUTED_VALUE"""),"RF-00000517-PAR")</f>
        <v>RF-00000517-PAR</v>
      </c>
    </row>
    <row r="8432" spans="1:2" ht="12.5" x14ac:dyDescent="0.25">
      <c r="A8432" t="str">
        <f ca="1">IFERROR(__xludf.DUMMYFUNCTION("""COMPUTED_VALUE"""),"TEM-100")</f>
        <v>TEM-100</v>
      </c>
      <c r="B8432" t="str">
        <f ca="1">IFERROR(__xludf.DUMMYFUNCTION("""COMPUTED_VALUE"""),"RF-00000607-PAR")</f>
        <v>RF-00000607-PAR</v>
      </c>
    </row>
    <row r="8433" spans="1:2" ht="12.5" x14ac:dyDescent="0.25">
      <c r="A8433" t="str">
        <f ca="1">IFERROR(__xludf.DUMMYFUNCTION("""COMPUTED_VALUE"""),"TEM-101")</f>
        <v>TEM-101</v>
      </c>
      <c r="B8433" t="str">
        <f ca="1">IFERROR(__xludf.DUMMYFUNCTION("""COMPUTED_VALUE"""),"RF-00000608-PAR")</f>
        <v>RF-00000608-PAR</v>
      </c>
    </row>
    <row r="8434" spans="1:2" ht="12.5" x14ac:dyDescent="0.25">
      <c r="A8434" t="str">
        <f ca="1">IFERROR(__xludf.DUMMYFUNCTION("""COMPUTED_VALUE"""),"TEM-102")</f>
        <v>TEM-102</v>
      </c>
      <c r="B8434" t="str">
        <f ca="1">IFERROR(__xludf.DUMMYFUNCTION("""COMPUTED_VALUE"""),"RF-00000609-PAR")</f>
        <v>RF-00000609-PAR</v>
      </c>
    </row>
    <row r="8435" spans="1:2" ht="12.5" x14ac:dyDescent="0.25">
      <c r="A8435" t="str">
        <f ca="1">IFERROR(__xludf.DUMMYFUNCTION("""COMPUTED_VALUE"""),"TEM-103")</f>
        <v>TEM-103</v>
      </c>
      <c r="B8435" t="str">
        <f ca="1">IFERROR(__xludf.DUMMYFUNCTION("""COMPUTED_VALUE"""),"RF-00000610-PAR")</f>
        <v>RF-00000610-PAR</v>
      </c>
    </row>
    <row r="8436" spans="1:2" ht="12.5" x14ac:dyDescent="0.25">
      <c r="A8436" t="str">
        <f ca="1">IFERROR(__xludf.DUMMYFUNCTION("""COMPUTED_VALUE"""),"TEM-104")</f>
        <v>TEM-104</v>
      </c>
      <c r="B8436" t="str">
        <f ca="1">IFERROR(__xludf.DUMMYFUNCTION("""COMPUTED_VALUE"""),"RF-00000611-PAR")</f>
        <v>RF-00000611-PAR</v>
      </c>
    </row>
    <row r="8437" spans="1:2" ht="12.5" x14ac:dyDescent="0.25">
      <c r="A8437" t="str">
        <f ca="1">IFERROR(__xludf.DUMMYFUNCTION("""COMPUTED_VALUE"""),"TEM-105")</f>
        <v>TEM-105</v>
      </c>
      <c r="B8437" t="str">
        <f ca="1">IFERROR(__xludf.DUMMYFUNCTION("""COMPUTED_VALUE"""),"RF-00000612-PAR")</f>
        <v>RF-00000612-PAR</v>
      </c>
    </row>
    <row r="8438" spans="1:2" ht="12.5" x14ac:dyDescent="0.25">
      <c r="A8438" t="str">
        <f ca="1">IFERROR(__xludf.DUMMYFUNCTION("""COMPUTED_VALUE"""),"TEM-106")</f>
        <v>TEM-106</v>
      </c>
      <c r="B8438" t="str">
        <f ca="1">IFERROR(__xludf.DUMMYFUNCTION("""COMPUTED_VALUE"""),"RF-00000613-PAR")</f>
        <v>RF-00000613-PAR</v>
      </c>
    </row>
    <row r="8439" spans="1:2" ht="12.5" x14ac:dyDescent="0.25">
      <c r="A8439" t="str">
        <f ca="1">IFERROR(__xludf.DUMMYFUNCTION("""COMPUTED_VALUE"""),"TEM-107")</f>
        <v>TEM-107</v>
      </c>
      <c r="B8439" t="str">
        <f ca="1">IFERROR(__xludf.DUMMYFUNCTION("""COMPUTED_VALUE"""),"RF-00000614-PAR")</f>
        <v>RF-00000614-PAR</v>
      </c>
    </row>
    <row r="8440" spans="1:2" ht="12.5" x14ac:dyDescent="0.25">
      <c r="A8440" t="str">
        <f ca="1">IFERROR(__xludf.DUMMYFUNCTION("""COMPUTED_VALUE"""),"TEM-108")</f>
        <v>TEM-108</v>
      </c>
      <c r="B8440" t="str">
        <f ca="1">IFERROR(__xludf.DUMMYFUNCTION("""COMPUTED_VALUE"""),"RF-00000615-PAR")</f>
        <v>RF-00000615-PAR</v>
      </c>
    </row>
    <row r="8441" spans="1:2" ht="12.5" x14ac:dyDescent="0.25">
      <c r="A8441" t="str">
        <f ca="1">IFERROR(__xludf.DUMMYFUNCTION("""COMPUTED_VALUE"""),"TEM-109")</f>
        <v>TEM-109</v>
      </c>
      <c r="B8441" t="str">
        <f ca="1">IFERROR(__xludf.DUMMYFUNCTION("""COMPUTED_VALUE"""),"RF-00000616-PAR")</f>
        <v>RF-00000616-PAR</v>
      </c>
    </row>
    <row r="8442" spans="1:2" ht="12.5" x14ac:dyDescent="0.25">
      <c r="A8442" t="str">
        <f ca="1">IFERROR(__xludf.DUMMYFUNCTION("""COMPUTED_VALUE"""),"TEM-11")</f>
        <v>TEM-11</v>
      </c>
      <c r="B8442" t="str">
        <f ca="1">IFERROR(__xludf.DUMMYFUNCTION("""COMPUTED_VALUE"""),"RF-00000518-PAR")</f>
        <v>RF-00000518-PAR</v>
      </c>
    </row>
    <row r="8443" spans="1:2" ht="12.5" x14ac:dyDescent="0.25">
      <c r="A8443" t="str">
        <f ca="1">IFERROR(__xludf.DUMMYFUNCTION("""COMPUTED_VALUE"""),"TEM-110")</f>
        <v>TEM-110</v>
      </c>
      <c r="B8443" t="str">
        <f ca="1">IFERROR(__xludf.DUMMYFUNCTION("""COMPUTED_VALUE"""),"RF-00000617-PAR")</f>
        <v>RF-00000617-PAR</v>
      </c>
    </row>
    <row r="8444" spans="1:2" ht="12.5" x14ac:dyDescent="0.25">
      <c r="A8444" t="str">
        <f ca="1">IFERROR(__xludf.DUMMYFUNCTION("""COMPUTED_VALUE"""),"TEM-111")</f>
        <v>TEM-111</v>
      </c>
      <c r="B8444" t="str">
        <f ca="1">IFERROR(__xludf.DUMMYFUNCTION("""COMPUTED_VALUE"""),"RF-00000618-PAR")</f>
        <v>RF-00000618-PAR</v>
      </c>
    </row>
    <row r="8445" spans="1:2" ht="12.5" x14ac:dyDescent="0.25">
      <c r="A8445" t="str">
        <f ca="1">IFERROR(__xludf.DUMMYFUNCTION("""COMPUTED_VALUE"""),"TEM-112")</f>
        <v>TEM-112</v>
      </c>
      <c r="B8445" t="str">
        <f ca="1">IFERROR(__xludf.DUMMYFUNCTION("""COMPUTED_VALUE"""),"RF-00000619-PAR")</f>
        <v>RF-00000619-PAR</v>
      </c>
    </row>
    <row r="8446" spans="1:2" ht="12.5" x14ac:dyDescent="0.25">
      <c r="A8446" t="str">
        <f ca="1">IFERROR(__xludf.DUMMYFUNCTION("""COMPUTED_VALUE"""),"TEM-113")</f>
        <v>TEM-113</v>
      </c>
      <c r="B8446" t="str">
        <f ca="1">IFERROR(__xludf.DUMMYFUNCTION("""COMPUTED_VALUE"""),"RF-00000620-PAR")</f>
        <v>RF-00000620-PAR</v>
      </c>
    </row>
    <row r="8447" spans="1:2" ht="12.5" x14ac:dyDescent="0.25">
      <c r="A8447" t="str">
        <f ca="1">IFERROR(__xludf.DUMMYFUNCTION("""COMPUTED_VALUE"""),"TEM-114")</f>
        <v>TEM-114</v>
      </c>
      <c r="B8447" t="str">
        <f ca="1">IFERROR(__xludf.DUMMYFUNCTION("""COMPUTED_VALUE"""),"RF-00000621-PAR")</f>
        <v>RF-00000621-PAR</v>
      </c>
    </row>
    <row r="8448" spans="1:2" ht="12.5" x14ac:dyDescent="0.25">
      <c r="A8448" t="str">
        <f ca="1">IFERROR(__xludf.DUMMYFUNCTION("""COMPUTED_VALUE"""),"TEM-115")</f>
        <v>TEM-115</v>
      </c>
      <c r="B8448" t="str">
        <f ca="1">IFERROR(__xludf.DUMMYFUNCTION("""COMPUTED_VALUE"""),"RF-00000622-PAR")</f>
        <v>RF-00000622-PAR</v>
      </c>
    </row>
    <row r="8449" spans="1:2" ht="12.5" x14ac:dyDescent="0.25">
      <c r="A8449" t="str">
        <f ca="1">IFERROR(__xludf.DUMMYFUNCTION("""COMPUTED_VALUE"""),"TEM-116")</f>
        <v>TEM-116</v>
      </c>
      <c r="B8449" t="str">
        <f ca="1">IFERROR(__xludf.DUMMYFUNCTION("""COMPUTED_VALUE"""),"RF-00000623-PAR")</f>
        <v>RF-00000623-PAR</v>
      </c>
    </row>
    <row r="8450" spans="1:2" ht="12.5" x14ac:dyDescent="0.25">
      <c r="A8450" t="str">
        <f ca="1">IFERROR(__xludf.DUMMYFUNCTION("""COMPUTED_VALUE"""),"TEM-117")</f>
        <v>TEM-117</v>
      </c>
      <c r="B8450" t="str">
        <f ca="1">IFERROR(__xludf.DUMMYFUNCTION("""COMPUTED_VALUE"""),"RF-00000624-PAR")</f>
        <v>RF-00000624-PAR</v>
      </c>
    </row>
    <row r="8451" spans="1:2" ht="12.5" x14ac:dyDescent="0.25">
      <c r="A8451" t="str">
        <f ca="1">IFERROR(__xludf.DUMMYFUNCTION("""COMPUTED_VALUE"""),"TEM-118")</f>
        <v>TEM-118</v>
      </c>
      <c r="B8451" t="str">
        <f ca="1">IFERROR(__xludf.DUMMYFUNCTION("""COMPUTED_VALUE"""),"RF-00000625-PAR")</f>
        <v>RF-00000625-PAR</v>
      </c>
    </row>
    <row r="8452" spans="1:2" ht="12.5" x14ac:dyDescent="0.25">
      <c r="A8452" t="str">
        <f ca="1">IFERROR(__xludf.DUMMYFUNCTION("""COMPUTED_VALUE"""),"TEM-119")</f>
        <v>TEM-119</v>
      </c>
      <c r="B8452" t="str">
        <f ca="1">IFERROR(__xludf.DUMMYFUNCTION("""COMPUTED_VALUE"""),"RF-00000626-PAR")</f>
        <v>RF-00000626-PAR</v>
      </c>
    </row>
    <row r="8453" spans="1:2" ht="12.5" x14ac:dyDescent="0.25">
      <c r="A8453" t="str">
        <f ca="1">IFERROR(__xludf.DUMMYFUNCTION("""COMPUTED_VALUE"""),"TEM-12")</f>
        <v>TEM-12</v>
      </c>
      <c r="B8453" t="str">
        <f ca="1">IFERROR(__xludf.DUMMYFUNCTION("""COMPUTED_VALUE"""),"RF-00000519-PAR")</f>
        <v>RF-00000519-PAR</v>
      </c>
    </row>
    <row r="8454" spans="1:2" ht="12.5" x14ac:dyDescent="0.25">
      <c r="A8454" t="str">
        <f ca="1">IFERROR(__xludf.DUMMYFUNCTION("""COMPUTED_VALUE"""),"TEM-120")</f>
        <v>TEM-120</v>
      </c>
      <c r="B8454" t="str">
        <f ca="1">IFERROR(__xludf.DUMMYFUNCTION("""COMPUTED_VALUE"""),"RF-00000627-PAR")</f>
        <v>RF-00000627-PAR</v>
      </c>
    </row>
    <row r="8455" spans="1:2" ht="12.5" x14ac:dyDescent="0.25">
      <c r="A8455" t="str">
        <f ca="1">IFERROR(__xludf.DUMMYFUNCTION("""COMPUTED_VALUE"""),"TEM-121")</f>
        <v>TEM-121</v>
      </c>
      <c r="B8455" t="str">
        <f ca="1">IFERROR(__xludf.DUMMYFUNCTION("""COMPUTED_VALUE"""),"RF-00000628-PAR")</f>
        <v>RF-00000628-PAR</v>
      </c>
    </row>
    <row r="8456" spans="1:2" ht="12.5" x14ac:dyDescent="0.25">
      <c r="A8456" t="str">
        <f ca="1">IFERROR(__xludf.DUMMYFUNCTION("""COMPUTED_VALUE"""),"TEM-122")</f>
        <v>TEM-122</v>
      </c>
      <c r="B8456" t="str">
        <f ca="1">IFERROR(__xludf.DUMMYFUNCTION("""COMPUTED_VALUE"""),"RF-00000629-PAR")</f>
        <v>RF-00000629-PAR</v>
      </c>
    </row>
    <row r="8457" spans="1:2" ht="12.5" x14ac:dyDescent="0.25">
      <c r="A8457" t="str">
        <f ca="1">IFERROR(__xludf.DUMMYFUNCTION("""COMPUTED_VALUE"""),"TEM-123")</f>
        <v>TEM-123</v>
      </c>
      <c r="B8457" t="str">
        <f ca="1">IFERROR(__xludf.DUMMYFUNCTION("""COMPUTED_VALUE"""),"RF-00000630-PAR")</f>
        <v>RF-00000630-PAR</v>
      </c>
    </row>
    <row r="8458" spans="1:2" ht="12.5" x14ac:dyDescent="0.25">
      <c r="A8458" t="str">
        <f ca="1">IFERROR(__xludf.DUMMYFUNCTION("""COMPUTED_VALUE"""),"TEM-124")</f>
        <v>TEM-124</v>
      </c>
      <c r="B8458" t="str">
        <f ca="1">IFERROR(__xludf.DUMMYFUNCTION("""COMPUTED_VALUE"""),"RF-00000631-PAR")</f>
        <v>RF-00000631-PAR</v>
      </c>
    </row>
    <row r="8459" spans="1:2" ht="12.5" x14ac:dyDescent="0.25">
      <c r="A8459" t="str">
        <f ca="1">IFERROR(__xludf.DUMMYFUNCTION("""COMPUTED_VALUE"""),"TEM-125")</f>
        <v>TEM-125</v>
      </c>
      <c r="B8459" t="str">
        <f ca="1">IFERROR(__xludf.DUMMYFUNCTION("""COMPUTED_VALUE"""),"RF-00000632-PAR")</f>
        <v>RF-00000632-PAR</v>
      </c>
    </row>
    <row r="8460" spans="1:2" ht="12.5" x14ac:dyDescent="0.25">
      <c r="A8460" t="str">
        <f ca="1">IFERROR(__xludf.DUMMYFUNCTION("""COMPUTED_VALUE"""),"TEM-126")</f>
        <v>TEM-126</v>
      </c>
      <c r="B8460" t="str">
        <f ca="1">IFERROR(__xludf.DUMMYFUNCTION("""COMPUTED_VALUE"""),"RF-00000633-PAR")</f>
        <v>RF-00000633-PAR</v>
      </c>
    </row>
    <row r="8461" spans="1:2" ht="12.5" x14ac:dyDescent="0.25">
      <c r="A8461" t="str">
        <f ca="1">IFERROR(__xludf.DUMMYFUNCTION("""COMPUTED_VALUE"""),"TEM-127")</f>
        <v>TEM-127</v>
      </c>
      <c r="B8461" t="str">
        <f ca="1">IFERROR(__xludf.DUMMYFUNCTION("""COMPUTED_VALUE"""),"RF-00000634-PAR")</f>
        <v>RF-00000634-PAR</v>
      </c>
    </row>
    <row r="8462" spans="1:2" ht="12.5" x14ac:dyDescent="0.25">
      <c r="A8462" t="str">
        <f ca="1">IFERROR(__xludf.DUMMYFUNCTION("""COMPUTED_VALUE"""),"TEM-128")</f>
        <v>TEM-128</v>
      </c>
      <c r="B8462" t="str">
        <f ca="1">IFERROR(__xludf.DUMMYFUNCTION("""COMPUTED_VALUE"""),"RF-00000635-PAR")</f>
        <v>RF-00000635-PAR</v>
      </c>
    </row>
    <row r="8463" spans="1:2" ht="12.5" x14ac:dyDescent="0.25">
      <c r="A8463" t="str">
        <f ca="1">IFERROR(__xludf.DUMMYFUNCTION("""COMPUTED_VALUE"""),"TEM-129")</f>
        <v>TEM-129</v>
      </c>
      <c r="B8463" t="str">
        <f ca="1">IFERROR(__xludf.DUMMYFUNCTION("""COMPUTED_VALUE"""),"RF-00000636-PAR")</f>
        <v>RF-00000636-PAR</v>
      </c>
    </row>
    <row r="8464" spans="1:2" ht="12.5" x14ac:dyDescent="0.25">
      <c r="A8464" t="str">
        <f ca="1">IFERROR(__xludf.DUMMYFUNCTION("""COMPUTED_VALUE"""),"TEM-13")</f>
        <v>TEM-13</v>
      </c>
      <c r="B8464" t="str">
        <f ca="1">IFERROR(__xludf.DUMMYFUNCTION("""COMPUTED_VALUE"""),"RF-00000520-PAR")</f>
        <v>RF-00000520-PAR</v>
      </c>
    </row>
    <row r="8465" spans="1:2" ht="12.5" x14ac:dyDescent="0.25">
      <c r="A8465" t="str">
        <f ca="1">IFERROR(__xludf.DUMMYFUNCTION("""COMPUTED_VALUE"""),"TEM-130")</f>
        <v>TEM-130</v>
      </c>
      <c r="B8465" t="str">
        <f ca="1">IFERROR(__xludf.DUMMYFUNCTION("""COMPUTED_VALUE"""),"RF-00000637-PAR")</f>
        <v>RF-00000637-PAR</v>
      </c>
    </row>
    <row r="8466" spans="1:2" ht="12.5" x14ac:dyDescent="0.25">
      <c r="A8466" t="str">
        <f ca="1">IFERROR(__xludf.DUMMYFUNCTION("""COMPUTED_VALUE"""),"TEM-131")</f>
        <v>TEM-131</v>
      </c>
      <c r="B8466" t="str">
        <f ca="1">IFERROR(__xludf.DUMMYFUNCTION("""COMPUTED_VALUE"""),"RF-00000638-PAR")</f>
        <v>RF-00000638-PAR</v>
      </c>
    </row>
    <row r="8467" spans="1:2" ht="12.5" x14ac:dyDescent="0.25">
      <c r="A8467" t="str">
        <f ca="1">IFERROR(__xludf.DUMMYFUNCTION("""COMPUTED_VALUE"""),"TEM-132")</f>
        <v>TEM-132</v>
      </c>
      <c r="B8467" t="str">
        <f ca="1">IFERROR(__xludf.DUMMYFUNCTION("""COMPUTED_VALUE"""),"RF-00000639-PAR")</f>
        <v>RF-00000639-PAR</v>
      </c>
    </row>
    <row r="8468" spans="1:2" ht="12.5" x14ac:dyDescent="0.25">
      <c r="A8468" t="str">
        <f ca="1">IFERROR(__xludf.DUMMYFUNCTION("""COMPUTED_VALUE"""),"TEM-133")</f>
        <v>TEM-133</v>
      </c>
      <c r="B8468" t="str">
        <f ca="1">IFERROR(__xludf.DUMMYFUNCTION("""COMPUTED_VALUE"""),"RF-00000640-PAR")</f>
        <v>RF-00000640-PAR</v>
      </c>
    </row>
    <row r="8469" spans="1:2" ht="12.5" x14ac:dyDescent="0.25">
      <c r="A8469" t="str">
        <f ca="1">IFERROR(__xludf.DUMMYFUNCTION("""COMPUTED_VALUE"""),"TEM-134")</f>
        <v>TEM-134</v>
      </c>
      <c r="B8469" t="str">
        <f ca="1">IFERROR(__xludf.DUMMYFUNCTION("""COMPUTED_VALUE"""),"RF-00000641-PAR")</f>
        <v>RF-00000641-PAR</v>
      </c>
    </row>
    <row r="8470" spans="1:2" ht="12.5" x14ac:dyDescent="0.25">
      <c r="A8470" t="str">
        <f ca="1">IFERROR(__xludf.DUMMYFUNCTION("""COMPUTED_VALUE"""),"TEM-135")</f>
        <v>TEM-135</v>
      </c>
      <c r="B8470" t="str">
        <f ca="1">IFERROR(__xludf.DUMMYFUNCTION("""COMPUTED_VALUE"""),"RF-00000642-PAR")</f>
        <v>RF-00000642-PAR</v>
      </c>
    </row>
    <row r="8471" spans="1:2" ht="12.5" x14ac:dyDescent="0.25">
      <c r="A8471" t="str">
        <f ca="1">IFERROR(__xludf.DUMMYFUNCTION("""COMPUTED_VALUE"""),"TEM-136")</f>
        <v>TEM-136</v>
      </c>
      <c r="B8471" t="str">
        <f ca="1">IFERROR(__xludf.DUMMYFUNCTION("""COMPUTED_VALUE"""),"RF-00000643-PAR")</f>
        <v>RF-00000643-PAR</v>
      </c>
    </row>
    <row r="8472" spans="1:2" ht="12.5" x14ac:dyDescent="0.25">
      <c r="A8472" t="str">
        <f ca="1">IFERROR(__xludf.DUMMYFUNCTION("""COMPUTED_VALUE"""),"TEM-137")</f>
        <v>TEM-137</v>
      </c>
      <c r="B8472" t="str">
        <f ca="1">IFERROR(__xludf.DUMMYFUNCTION("""COMPUTED_VALUE"""),"RF-00000644-PAR")</f>
        <v>RF-00000644-PAR</v>
      </c>
    </row>
    <row r="8473" spans="1:2" ht="12.5" x14ac:dyDescent="0.25">
      <c r="A8473" t="str">
        <f ca="1">IFERROR(__xludf.DUMMYFUNCTION("""COMPUTED_VALUE"""),"TEM-138")</f>
        <v>TEM-138</v>
      </c>
      <c r="B8473" t="str">
        <f ca="1">IFERROR(__xludf.DUMMYFUNCTION("""COMPUTED_VALUE"""),"RF-00000645-PAR")</f>
        <v>RF-00000645-PAR</v>
      </c>
    </row>
    <row r="8474" spans="1:2" ht="12.5" x14ac:dyDescent="0.25">
      <c r="A8474" t="str">
        <f ca="1">IFERROR(__xludf.DUMMYFUNCTION("""COMPUTED_VALUE"""),"TEM-139")</f>
        <v>TEM-139</v>
      </c>
      <c r="B8474" t="str">
        <f ca="1">IFERROR(__xludf.DUMMYFUNCTION("""COMPUTED_VALUE"""),"RF-00000646-PAR")</f>
        <v>RF-00000646-PAR</v>
      </c>
    </row>
    <row r="8475" spans="1:2" ht="12.5" x14ac:dyDescent="0.25">
      <c r="A8475" t="str">
        <f ca="1">IFERROR(__xludf.DUMMYFUNCTION("""COMPUTED_VALUE"""),"TEM-14")</f>
        <v>TEM-14</v>
      </c>
      <c r="B8475" t="str">
        <f ca="1">IFERROR(__xludf.DUMMYFUNCTION("""COMPUTED_VALUE"""),"RF-00000521-PAR")</f>
        <v>RF-00000521-PAR</v>
      </c>
    </row>
    <row r="8476" spans="1:2" ht="12.5" x14ac:dyDescent="0.25">
      <c r="A8476" t="str">
        <f ca="1">IFERROR(__xludf.DUMMYFUNCTION("""COMPUTED_VALUE"""),"TEM-140")</f>
        <v>TEM-140</v>
      </c>
      <c r="B8476" t="str">
        <f ca="1">IFERROR(__xludf.DUMMYFUNCTION("""COMPUTED_VALUE"""),"RF-00000647-PAR")</f>
        <v>RF-00000647-PAR</v>
      </c>
    </row>
    <row r="8477" spans="1:2" ht="12.5" x14ac:dyDescent="0.25">
      <c r="A8477" t="str">
        <f ca="1">IFERROR(__xludf.DUMMYFUNCTION("""COMPUTED_VALUE"""),"TEM-141")</f>
        <v>TEM-141</v>
      </c>
      <c r="B8477" t="str">
        <f ca="1">IFERROR(__xludf.DUMMYFUNCTION("""COMPUTED_VALUE"""),"RF-00000648-PAR")</f>
        <v>RF-00000648-PAR</v>
      </c>
    </row>
    <row r="8478" spans="1:2" ht="12.5" x14ac:dyDescent="0.25">
      <c r="A8478" t="str">
        <f ca="1">IFERROR(__xludf.DUMMYFUNCTION("""COMPUTED_VALUE"""),"TEM-142")</f>
        <v>TEM-142</v>
      </c>
      <c r="B8478" t="str">
        <f ca="1">IFERROR(__xludf.DUMMYFUNCTION("""COMPUTED_VALUE"""),"RF-00000649-PAR")</f>
        <v>RF-00000649-PAR</v>
      </c>
    </row>
    <row r="8479" spans="1:2" ht="12.5" x14ac:dyDescent="0.25">
      <c r="A8479" t="str">
        <f ca="1">IFERROR(__xludf.DUMMYFUNCTION("""COMPUTED_VALUE"""),"TEM-143")</f>
        <v>TEM-143</v>
      </c>
      <c r="B8479" t="str">
        <f ca="1">IFERROR(__xludf.DUMMYFUNCTION("""COMPUTED_VALUE"""),"RF-00000650-PAR")</f>
        <v>RF-00000650-PAR</v>
      </c>
    </row>
    <row r="8480" spans="1:2" ht="12.5" x14ac:dyDescent="0.25">
      <c r="A8480" t="str">
        <f ca="1">IFERROR(__xludf.DUMMYFUNCTION("""COMPUTED_VALUE"""),"TEM-144")</f>
        <v>TEM-144</v>
      </c>
      <c r="B8480" t="str">
        <f ca="1">IFERROR(__xludf.DUMMYFUNCTION("""COMPUTED_VALUE"""),"RF-00000651-PAR")</f>
        <v>RF-00000651-PAR</v>
      </c>
    </row>
    <row r="8481" spans="1:2" ht="12.5" x14ac:dyDescent="0.25">
      <c r="A8481" t="str">
        <f ca="1">IFERROR(__xludf.DUMMYFUNCTION("""COMPUTED_VALUE"""),"TEM-145")</f>
        <v>TEM-145</v>
      </c>
      <c r="B8481" t="str">
        <f ca="1">IFERROR(__xludf.DUMMYFUNCTION("""COMPUTED_VALUE"""),"RF-00000652-PAR")</f>
        <v>RF-00000652-PAR</v>
      </c>
    </row>
    <row r="8482" spans="1:2" ht="12.5" x14ac:dyDescent="0.25">
      <c r="A8482" t="str">
        <f ca="1">IFERROR(__xludf.DUMMYFUNCTION("""COMPUTED_VALUE"""),"TEM-146")</f>
        <v>TEM-146</v>
      </c>
      <c r="B8482" t="str">
        <f ca="1">IFERROR(__xludf.DUMMYFUNCTION("""COMPUTED_VALUE"""),"RF-00000653-PAR")</f>
        <v>RF-00000653-PAR</v>
      </c>
    </row>
    <row r="8483" spans="1:2" ht="12.5" x14ac:dyDescent="0.25">
      <c r="A8483" t="str">
        <f ca="1">IFERROR(__xludf.DUMMYFUNCTION("""COMPUTED_VALUE"""),"TEM-147")</f>
        <v>TEM-147</v>
      </c>
      <c r="B8483" t="str">
        <f ca="1">IFERROR(__xludf.DUMMYFUNCTION("""COMPUTED_VALUE"""),"RF-00000654-PAR")</f>
        <v>RF-00000654-PAR</v>
      </c>
    </row>
    <row r="8484" spans="1:2" ht="12.5" x14ac:dyDescent="0.25">
      <c r="A8484" t="str">
        <f ca="1">IFERROR(__xludf.DUMMYFUNCTION("""COMPUTED_VALUE"""),"TEM-148")</f>
        <v>TEM-148</v>
      </c>
      <c r="B8484" t="str">
        <f ca="1">IFERROR(__xludf.DUMMYFUNCTION("""COMPUTED_VALUE"""),"RF-00000655-PAR")</f>
        <v>RF-00000655-PAR</v>
      </c>
    </row>
    <row r="8485" spans="1:2" ht="12.5" x14ac:dyDescent="0.25">
      <c r="A8485" t="str">
        <f ca="1">IFERROR(__xludf.DUMMYFUNCTION("""COMPUTED_VALUE"""),"TEM-149")</f>
        <v>TEM-149</v>
      </c>
      <c r="B8485" t="str">
        <f ca="1">IFERROR(__xludf.DUMMYFUNCTION("""COMPUTED_VALUE"""),"RF-00000656-PAR")</f>
        <v>RF-00000656-PAR</v>
      </c>
    </row>
    <row r="8486" spans="1:2" ht="12.5" x14ac:dyDescent="0.25">
      <c r="A8486" t="str">
        <f ca="1">IFERROR(__xludf.DUMMYFUNCTION("""COMPUTED_VALUE"""),"TEM-15")</f>
        <v>TEM-15</v>
      </c>
      <c r="B8486" t="str">
        <f ca="1">IFERROR(__xludf.DUMMYFUNCTION("""COMPUTED_VALUE"""),"RF-00000522-PAR")</f>
        <v>RF-00000522-PAR</v>
      </c>
    </row>
    <row r="8487" spans="1:2" ht="12.5" x14ac:dyDescent="0.25">
      <c r="A8487" t="str">
        <f ca="1">IFERROR(__xludf.DUMMYFUNCTION("""COMPUTED_VALUE"""),"TEM-150")</f>
        <v>TEM-150</v>
      </c>
      <c r="B8487" t="str">
        <f ca="1">IFERROR(__xludf.DUMMYFUNCTION("""COMPUTED_VALUE"""),"RF-00000657-PAR")</f>
        <v>RF-00000657-PAR</v>
      </c>
    </row>
    <row r="8488" spans="1:2" ht="12.5" x14ac:dyDescent="0.25">
      <c r="A8488" t="str">
        <f ca="1">IFERROR(__xludf.DUMMYFUNCTION("""COMPUTED_VALUE"""),"TEM-151")</f>
        <v>TEM-151</v>
      </c>
      <c r="B8488" t="str">
        <f ca="1">IFERROR(__xludf.DUMMYFUNCTION("""COMPUTED_VALUE"""),"RF-00000658-PAR")</f>
        <v>RF-00000658-PAR</v>
      </c>
    </row>
    <row r="8489" spans="1:2" ht="12.5" x14ac:dyDescent="0.25">
      <c r="A8489" t="str">
        <f ca="1">IFERROR(__xludf.DUMMYFUNCTION("""COMPUTED_VALUE"""),"TEM-152")</f>
        <v>TEM-152</v>
      </c>
      <c r="B8489" t="str">
        <f ca="1">IFERROR(__xludf.DUMMYFUNCTION("""COMPUTED_VALUE"""),"RF-00000659-PAR")</f>
        <v>RF-00000659-PAR</v>
      </c>
    </row>
    <row r="8490" spans="1:2" ht="12.5" x14ac:dyDescent="0.25">
      <c r="A8490" t="str">
        <f ca="1">IFERROR(__xludf.DUMMYFUNCTION("""COMPUTED_VALUE"""),"TEM-153")</f>
        <v>TEM-153</v>
      </c>
      <c r="B8490" t="str">
        <f ca="1">IFERROR(__xludf.DUMMYFUNCTION("""COMPUTED_VALUE"""),"RF-00000660-PAR")</f>
        <v>RF-00000660-PAR</v>
      </c>
    </row>
    <row r="8491" spans="1:2" ht="12.5" x14ac:dyDescent="0.25">
      <c r="A8491" t="str">
        <f ca="1">IFERROR(__xludf.DUMMYFUNCTION("""COMPUTED_VALUE"""),"TEM-154")</f>
        <v>TEM-154</v>
      </c>
      <c r="B8491" t="str">
        <f ca="1">IFERROR(__xludf.DUMMYFUNCTION("""COMPUTED_VALUE"""),"RF-00000661-PAR")</f>
        <v>RF-00000661-PAR</v>
      </c>
    </row>
    <row r="8492" spans="1:2" ht="12.5" x14ac:dyDescent="0.25">
      <c r="A8492" t="str">
        <f ca="1">IFERROR(__xludf.DUMMYFUNCTION("""COMPUTED_VALUE"""),"TEM-155")</f>
        <v>TEM-155</v>
      </c>
      <c r="B8492" t="str">
        <f ca="1">IFERROR(__xludf.DUMMYFUNCTION("""COMPUTED_VALUE"""),"RF-00000662-PAR")</f>
        <v>RF-00000662-PAR</v>
      </c>
    </row>
    <row r="8493" spans="1:2" ht="12.5" x14ac:dyDescent="0.25">
      <c r="A8493" t="str">
        <f ca="1">IFERROR(__xludf.DUMMYFUNCTION("""COMPUTED_VALUE"""),"TEM-156")</f>
        <v>TEM-156</v>
      </c>
      <c r="B8493" t="str">
        <f ca="1">IFERROR(__xludf.DUMMYFUNCTION("""COMPUTED_VALUE"""),"RF-00000663-PAR")</f>
        <v>RF-00000663-PAR</v>
      </c>
    </row>
    <row r="8494" spans="1:2" ht="12.5" x14ac:dyDescent="0.25">
      <c r="A8494" t="str">
        <f ca="1">IFERROR(__xludf.DUMMYFUNCTION("""COMPUTED_VALUE"""),"TEM-157")</f>
        <v>TEM-157</v>
      </c>
      <c r="B8494" t="str">
        <f ca="1">IFERROR(__xludf.DUMMYFUNCTION("""COMPUTED_VALUE"""),"RF-00000664-PAR")</f>
        <v>RF-00000664-PAR</v>
      </c>
    </row>
    <row r="8495" spans="1:2" ht="12.5" x14ac:dyDescent="0.25">
      <c r="A8495" t="str">
        <f ca="1">IFERROR(__xludf.DUMMYFUNCTION("""COMPUTED_VALUE"""),"TEM-158 (CMT-9)")</f>
        <v>TEM-158 (CMT-9)</v>
      </c>
      <c r="B8495" t="str">
        <f ca="1">IFERROR(__xludf.DUMMYFUNCTION("""COMPUTED_VALUE"""),"RF-00000665-PAR")</f>
        <v>RF-00000665-PAR</v>
      </c>
    </row>
    <row r="8496" spans="1:2" ht="12.5" x14ac:dyDescent="0.25">
      <c r="A8496" t="str">
        <f ca="1">IFERROR(__xludf.DUMMYFUNCTION("""COMPUTED_VALUE"""),"TEM-159")</f>
        <v>TEM-159</v>
      </c>
      <c r="B8496" t="str">
        <f ca="1">IFERROR(__xludf.DUMMYFUNCTION("""COMPUTED_VALUE"""),"RF-00000666-PAR")</f>
        <v>RF-00000666-PAR</v>
      </c>
    </row>
    <row r="8497" spans="1:2" ht="12.5" x14ac:dyDescent="0.25">
      <c r="A8497" t="str">
        <f ca="1">IFERROR(__xludf.DUMMYFUNCTION("""COMPUTED_VALUE"""),"TEM-16")</f>
        <v>TEM-16</v>
      </c>
      <c r="B8497" t="str">
        <f ca="1">IFERROR(__xludf.DUMMYFUNCTION("""COMPUTED_VALUE"""),"RF-00000523-PAR")</f>
        <v>RF-00000523-PAR</v>
      </c>
    </row>
    <row r="8498" spans="1:2" ht="12.5" x14ac:dyDescent="0.25">
      <c r="A8498" t="str">
        <f ca="1">IFERROR(__xludf.DUMMYFUNCTION("""COMPUTED_VALUE"""),"TEM-160")</f>
        <v>TEM-160</v>
      </c>
      <c r="B8498" t="str">
        <f ca="1">IFERROR(__xludf.DUMMYFUNCTION("""COMPUTED_VALUE"""),"RF-00000667-PAR")</f>
        <v>RF-00000667-PAR</v>
      </c>
    </row>
    <row r="8499" spans="1:2" ht="12.5" x14ac:dyDescent="0.25">
      <c r="A8499" t="str">
        <f ca="1">IFERROR(__xludf.DUMMYFUNCTION("""COMPUTED_VALUE"""),"TEM-161")</f>
        <v>TEM-161</v>
      </c>
      <c r="B8499" t="str">
        <f ca="1">IFERROR(__xludf.DUMMYFUNCTION("""COMPUTED_VALUE"""),"RF-00000668-PAR")</f>
        <v>RF-00000668-PAR</v>
      </c>
    </row>
    <row r="8500" spans="1:2" ht="12.5" x14ac:dyDescent="0.25">
      <c r="A8500" t="str">
        <f ca="1">IFERROR(__xludf.DUMMYFUNCTION("""COMPUTED_VALUE"""),"TEM-162")</f>
        <v>TEM-162</v>
      </c>
      <c r="B8500" t="str">
        <f ca="1">IFERROR(__xludf.DUMMYFUNCTION("""COMPUTED_VALUE"""),"RF-00000669-PAR")</f>
        <v>RF-00000669-PAR</v>
      </c>
    </row>
    <row r="8501" spans="1:2" ht="12.5" x14ac:dyDescent="0.25">
      <c r="A8501" t="str">
        <f ca="1">IFERROR(__xludf.DUMMYFUNCTION("""COMPUTED_VALUE"""),"TEM-163")</f>
        <v>TEM-163</v>
      </c>
      <c r="B8501" t="str">
        <f ca="1">IFERROR(__xludf.DUMMYFUNCTION("""COMPUTED_VALUE"""),"RF-00000670-PAR")</f>
        <v>RF-00000670-PAR</v>
      </c>
    </row>
    <row r="8502" spans="1:2" ht="12.5" x14ac:dyDescent="0.25">
      <c r="A8502" t="str">
        <f ca="1">IFERROR(__xludf.DUMMYFUNCTION("""COMPUTED_VALUE"""),"TEM-164")</f>
        <v>TEM-164</v>
      </c>
      <c r="B8502" t="str">
        <f ca="1">IFERROR(__xludf.DUMMYFUNCTION("""COMPUTED_VALUE"""),"RF-00000671-PAR")</f>
        <v>RF-00000671-PAR</v>
      </c>
    </row>
    <row r="8503" spans="1:2" ht="12.5" x14ac:dyDescent="0.25">
      <c r="A8503" t="str">
        <f ca="1">IFERROR(__xludf.DUMMYFUNCTION("""COMPUTED_VALUE"""),"TEM-165")</f>
        <v>TEM-165</v>
      </c>
      <c r="B8503" t="str">
        <f ca="1">IFERROR(__xludf.DUMMYFUNCTION("""COMPUTED_VALUE"""),"RF-00000672-PAR")</f>
        <v>RF-00000672-PAR</v>
      </c>
    </row>
    <row r="8504" spans="1:2" ht="12.5" x14ac:dyDescent="0.25">
      <c r="A8504" t="str">
        <f ca="1">IFERROR(__xludf.DUMMYFUNCTION("""COMPUTED_VALUE"""),"TEM-166")</f>
        <v>TEM-166</v>
      </c>
      <c r="B8504" t="str">
        <f ca="1">IFERROR(__xludf.DUMMYFUNCTION("""COMPUTED_VALUE"""),"RF-00000673-PAR")</f>
        <v>RF-00000673-PAR</v>
      </c>
    </row>
    <row r="8505" spans="1:2" ht="12.5" x14ac:dyDescent="0.25">
      <c r="A8505" t="str">
        <f ca="1">IFERROR(__xludf.DUMMYFUNCTION("""COMPUTED_VALUE"""),"TEM-167")</f>
        <v>TEM-167</v>
      </c>
      <c r="B8505" t="str">
        <f ca="1">IFERROR(__xludf.DUMMYFUNCTION("""COMPUTED_VALUE"""),"RF-00000674-PAR")</f>
        <v>RF-00000674-PAR</v>
      </c>
    </row>
    <row r="8506" spans="1:2" ht="12.5" x14ac:dyDescent="0.25">
      <c r="A8506" t="str">
        <f ca="1">IFERROR(__xludf.DUMMYFUNCTION("""COMPUTED_VALUE"""),"TEM-168")</f>
        <v>TEM-168</v>
      </c>
      <c r="B8506" t="str">
        <f ca="1">IFERROR(__xludf.DUMMYFUNCTION("""COMPUTED_VALUE"""),"RF-00000675-PAR")</f>
        <v>RF-00000675-PAR</v>
      </c>
    </row>
    <row r="8507" spans="1:2" ht="12.5" x14ac:dyDescent="0.25">
      <c r="A8507" t="str">
        <f ca="1">IFERROR(__xludf.DUMMYFUNCTION("""COMPUTED_VALUE"""),"TEM-169")</f>
        <v>TEM-169</v>
      </c>
      <c r="B8507" t="str">
        <f ca="1">IFERROR(__xludf.DUMMYFUNCTION("""COMPUTED_VALUE"""),"RF-00000676-PAR")</f>
        <v>RF-00000676-PAR</v>
      </c>
    </row>
    <row r="8508" spans="1:2" ht="12.5" x14ac:dyDescent="0.25">
      <c r="A8508" t="str">
        <f ca="1">IFERROR(__xludf.DUMMYFUNCTION("""COMPUTED_VALUE"""),"TEM-17")</f>
        <v>TEM-17</v>
      </c>
      <c r="B8508" t="str">
        <f ca="1">IFERROR(__xludf.DUMMYFUNCTION("""COMPUTED_VALUE"""),"RF-00000524-PAR")</f>
        <v>RF-00000524-PAR</v>
      </c>
    </row>
    <row r="8509" spans="1:2" ht="12.5" x14ac:dyDescent="0.25">
      <c r="A8509" t="str">
        <f ca="1">IFERROR(__xludf.DUMMYFUNCTION("""COMPUTED_VALUE"""),"TEM-170")</f>
        <v>TEM-170</v>
      </c>
      <c r="B8509" t="str">
        <f ca="1">IFERROR(__xludf.DUMMYFUNCTION("""COMPUTED_VALUE"""),"RF-00000677-PAR")</f>
        <v>RF-00000677-PAR</v>
      </c>
    </row>
    <row r="8510" spans="1:2" ht="12.5" x14ac:dyDescent="0.25">
      <c r="A8510" t="str">
        <f ca="1">IFERROR(__xludf.DUMMYFUNCTION("""COMPUTED_VALUE"""),"TEM-171")</f>
        <v>TEM-171</v>
      </c>
      <c r="B8510" t="str">
        <f ca="1">IFERROR(__xludf.DUMMYFUNCTION("""COMPUTED_VALUE"""),"RF-00000678-PAR")</f>
        <v>RF-00000678-PAR</v>
      </c>
    </row>
    <row r="8511" spans="1:2" ht="12.5" x14ac:dyDescent="0.25">
      <c r="A8511" t="str">
        <f ca="1">IFERROR(__xludf.DUMMYFUNCTION("""COMPUTED_VALUE"""),"TEM-172")</f>
        <v>TEM-172</v>
      </c>
      <c r="B8511" t="str">
        <f ca="1">IFERROR(__xludf.DUMMYFUNCTION("""COMPUTED_VALUE"""),"RF-00000679-PAR")</f>
        <v>RF-00000679-PAR</v>
      </c>
    </row>
    <row r="8512" spans="1:2" ht="12.5" x14ac:dyDescent="0.25">
      <c r="A8512" t="str">
        <f ca="1">IFERROR(__xludf.DUMMYFUNCTION("""COMPUTED_VALUE"""),"TEM-173")</f>
        <v>TEM-173</v>
      </c>
      <c r="B8512" t="str">
        <f ca="1">IFERROR(__xludf.DUMMYFUNCTION("""COMPUTED_VALUE"""),"RF-00000680-PAR")</f>
        <v>RF-00000680-PAR</v>
      </c>
    </row>
    <row r="8513" spans="1:2" ht="12.5" x14ac:dyDescent="0.25">
      <c r="A8513" t="str">
        <f ca="1">IFERROR(__xludf.DUMMYFUNCTION("""COMPUTED_VALUE"""),"TEM-174")</f>
        <v>TEM-174</v>
      </c>
      <c r="B8513" t="str">
        <f ca="1">IFERROR(__xludf.DUMMYFUNCTION("""COMPUTED_VALUE"""),"RF-00000681-PAR")</f>
        <v>RF-00000681-PAR</v>
      </c>
    </row>
    <row r="8514" spans="1:2" ht="12.5" x14ac:dyDescent="0.25">
      <c r="A8514" t="str">
        <f ca="1">IFERROR(__xludf.DUMMYFUNCTION("""COMPUTED_VALUE"""),"TEM-175")</f>
        <v>TEM-175</v>
      </c>
      <c r="B8514" t="str">
        <f ca="1">IFERROR(__xludf.DUMMYFUNCTION("""COMPUTED_VALUE"""),"RF-00000682-PAR")</f>
        <v>RF-00000682-PAR</v>
      </c>
    </row>
    <row r="8515" spans="1:2" ht="12.5" x14ac:dyDescent="0.25">
      <c r="A8515" t="str">
        <f ca="1">IFERROR(__xludf.DUMMYFUNCTION("""COMPUTED_VALUE"""),"TEM-176")</f>
        <v>TEM-176</v>
      </c>
      <c r="B8515" t="str">
        <f ca="1">IFERROR(__xludf.DUMMYFUNCTION("""COMPUTED_VALUE"""),"RF-00000683-PAR")</f>
        <v>RF-00000683-PAR</v>
      </c>
    </row>
    <row r="8516" spans="1:2" ht="12.5" x14ac:dyDescent="0.25">
      <c r="A8516" t="str">
        <f ca="1">IFERROR(__xludf.DUMMYFUNCTION("""COMPUTED_VALUE"""),"TEM-177")</f>
        <v>TEM-177</v>
      </c>
      <c r="B8516" t="str">
        <f ca="1">IFERROR(__xludf.DUMMYFUNCTION("""COMPUTED_VALUE"""),"RF-00000684-PAR")</f>
        <v>RF-00000684-PAR</v>
      </c>
    </row>
    <row r="8517" spans="1:2" ht="12.5" x14ac:dyDescent="0.25">
      <c r="A8517" t="str">
        <f ca="1">IFERROR(__xludf.DUMMYFUNCTION("""COMPUTED_VALUE"""),"TEM-178")</f>
        <v>TEM-178</v>
      </c>
      <c r="B8517" t="str">
        <f ca="1">IFERROR(__xludf.DUMMYFUNCTION("""COMPUTED_VALUE"""),"RF-00000685-PAR")</f>
        <v>RF-00000685-PAR</v>
      </c>
    </row>
    <row r="8518" spans="1:2" ht="12.5" x14ac:dyDescent="0.25">
      <c r="A8518" t="str">
        <f ca="1">IFERROR(__xludf.DUMMYFUNCTION("""COMPUTED_VALUE"""),"TEM-179")</f>
        <v>TEM-179</v>
      </c>
      <c r="B8518" t="str">
        <f ca="1">IFERROR(__xludf.DUMMYFUNCTION("""COMPUTED_VALUE"""),"RF-00000686-PAR")</f>
        <v>RF-00000686-PAR</v>
      </c>
    </row>
    <row r="8519" spans="1:2" ht="12.5" x14ac:dyDescent="0.25">
      <c r="A8519" t="str">
        <f ca="1">IFERROR(__xludf.DUMMYFUNCTION("""COMPUTED_VALUE"""),"TEM-18")</f>
        <v>TEM-18</v>
      </c>
      <c r="B8519" t="str">
        <f ca="1">IFERROR(__xludf.DUMMYFUNCTION("""COMPUTED_VALUE"""),"RF-00000525-PAR")</f>
        <v>RF-00000525-PAR</v>
      </c>
    </row>
    <row r="8520" spans="1:2" ht="12.5" x14ac:dyDescent="0.25">
      <c r="A8520" t="str">
        <f ca="1">IFERROR(__xludf.DUMMYFUNCTION("""COMPUTED_VALUE"""),"TEM-180")</f>
        <v>TEM-180</v>
      </c>
      <c r="B8520" t="str">
        <f ca="1">IFERROR(__xludf.DUMMYFUNCTION("""COMPUTED_VALUE"""),"RF-00000687-PAR")</f>
        <v>RF-00000687-PAR</v>
      </c>
    </row>
    <row r="8521" spans="1:2" ht="12.5" x14ac:dyDescent="0.25">
      <c r="A8521" t="str">
        <f ca="1">IFERROR(__xludf.DUMMYFUNCTION("""COMPUTED_VALUE"""),"TEM-181")</f>
        <v>TEM-181</v>
      </c>
      <c r="B8521" t="str">
        <f ca="1">IFERROR(__xludf.DUMMYFUNCTION("""COMPUTED_VALUE"""),"RF-00000688-PAR")</f>
        <v>RF-00000688-PAR</v>
      </c>
    </row>
    <row r="8522" spans="1:2" ht="12.5" x14ac:dyDescent="0.25">
      <c r="A8522" t="str">
        <f ca="1">IFERROR(__xludf.DUMMYFUNCTION("""COMPUTED_VALUE"""),"TEM-182")</f>
        <v>TEM-182</v>
      </c>
      <c r="B8522" t="str">
        <f ca="1">IFERROR(__xludf.DUMMYFUNCTION("""COMPUTED_VALUE"""),"RF-00000689-PAR")</f>
        <v>RF-00000689-PAR</v>
      </c>
    </row>
    <row r="8523" spans="1:2" ht="12.5" x14ac:dyDescent="0.25">
      <c r="A8523" t="str">
        <f ca="1">IFERROR(__xludf.DUMMYFUNCTION("""COMPUTED_VALUE"""),"TEM-183")</f>
        <v>TEM-183</v>
      </c>
      <c r="B8523" t="str">
        <f ca="1">IFERROR(__xludf.DUMMYFUNCTION("""COMPUTED_VALUE"""),"RF-00000690-PAR")</f>
        <v>RF-00000690-PAR</v>
      </c>
    </row>
    <row r="8524" spans="1:2" ht="12.5" x14ac:dyDescent="0.25">
      <c r="A8524" t="str">
        <f ca="1">IFERROR(__xludf.DUMMYFUNCTION("""COMPUTED_VALUE"""),"TEM-184")</f>
        <v>TEM-184</v>
      </c>
      <c r="B8524" t="str">
        <f ca="1">IFERROR(__xludf.DUMMYFUNCTION("""COMPUTED_VALUE"""),"RF-00000691-PAR")</f>
        <v>RF-00000691-PAR</v>
      </c>
    </row>
    <row r="8525" spans="1:2" ht="12.5" x14ac:dyDescent="0.25">
      <c r="A8525" t="str">
        <f ca="1">IFERROR(__xludf.DUMMYFUNCTION("""COMPUTED_VALUE"""),"TEM-185")</f>
        <v>TEM-185</v>
      </c>
      <c r="B8525" t="str">
        <f ca="1">IFERROR(__xludf.DUMMYFUNCTION("""COMPUTED_VALUE"""),"RF-00000692-PAR")</f>
        <v>RF-00000692-PAR</v>
      </c>
    </row>
    <row r="8526" spans="1:2" ht="12.5" x14ac:dyDescent="0.25">
      <c r="A8526" t="str">
        <f ca="1">IFERROR(__xludf.DUMMYFUNCTION("""COMPUTED_VALUE"""),"TEM-186")</f>
        <v>TEM-186</v>
      </c>
      <c r="B8526" t="str">
        <f ca="1">IFERROR(__xludf.DUMMYFUNCTION("""COMPUTED_VALUE"""),"RF-00000693-PAR")</f>
        <v>RF-00000693-PAR</v>
      </c>
    </row>
    <row r="8527" spans="1:2" ht="12.5" x14ac:dyDescent="0.25">
      <c r="A8527" t="str">
        <f ca="1">IFERROR(__xludf.DUMMYFUNCTION("""COMPUTED_VALUE"""),"TEM-187")</f>
        <v>TEM-187</v>
      </c>
      <c r="B8527" t="str">
        <f ca="1">IFERROR(__xludf.DUMMYFUNCTION("""COMPUTED_VALUE"""),"RF-00000694-PAR")</f>
        <v>RF-00000694-PAR</v>
      </c>
    </row>
    <row r="8528" spans="1:2" ht="12.5" x14ac:dyDescent="0.25">
      <c r="A8528" t="str">
        <f ca="1">IFERROR(__xludf.DUMMYFUNCTION("""COMPUTED_VALUE"""),"TEM-188")</f>
        <v>TEM-188</v>
      </c>
      <c r="B8528" t="str">
        <f ca="1">IFERROR(__xludf.DUMMYFUNCTION("""COMPUTED_VALUE"""),"RF-00000695-PAR")</f>
        <v>RF-00000695-PAR</v>
      </c>
    </row>
    <row r="8529" spans="1:2" ht="12.5" x14ac:dyDescent="0.25">
      <c r="A8529" t="str">
        <f ca="1">IFERROR(__xludf.DUMMYFUNCTION("""COMPUTED_VALUE"""),"TEM-189")</f>
        <v>TEM-189</v>
      </c>
      <c r="B8529" t="str">
        <f ca="1">IFERROR(__xludf.DUMMYFUNCTION("""COMPUTED_VALUE"""),"RF-00000696-PAR")</f>
        <v>RF-00000696-PAR</v>
      </c>
    </row>
    <row r="8530" spans="1:2" ht="12.5" x14ac:dyDescent="0.25">
      <c r="A8530" t="str">
        <f ca="1">IFERROR(__xludf.DUMMYFUNCTION("""COMPUTED_VALUE"""),"TEM-19")</f>
        <v>TEM-19</v>
      </c>
      <c r="B8530" t="str">
        <f ca="1">IFERROR(__xludf.DUMMYFUNCTION("""COMPUTED_VALUE"""),"RF-00000526-PAR")</f>
        <v>RF-00000526-PAR</v>
      </c>
    </row>
    <row r="8531" spans="1:2" ht="12.5" x14ac:dyDescent="0.25">
      <c r="A8531" t="str">
        <f ca="1">IFERROR(__xludf.DUMMYFUNCTION("""COMPUTED_VALUE"""),"TEM-190")</f>
        <v>TEM-190</v>
      </c>
      <c r="B8531" t="str">
        <f ca="1">IFERROR(__xludf.DUMMYFUNCTION("""COMPUTED_VALUE"""),"RF-00000697-PAR")</f>
        <v>RF-00000697-PAR</v>
      </c>
    </row>
    <row r="8532" spans="1:2" ht="12.5" x14ac:dyDescent="0.25">
      <c r="A8532" t="str">
        <f ca="1">IFERROR(__xludf.DUMMYFUNCTION("""COMPUTED_VALUE"""),"TEM-191")</f>
        <v>TEM-191</v>
      </c>
      <c r="B8532" t="str">
        <f ca="1">IFERROR(__xludf.DUMMYFUNCTION("""COMPUTED_VALUE"""),"RF-00000698-PAR")</f>
        <v>RF-00000698-PAR</v>
      </c>
    </row>
    <row r="8533" spans="1:2" ht="12.5" x14ac:dyDescent="0.25">
      <c r="A8533" t="str">
        <f ca="1">IFERROR(__xludf.DUMMYFUNCTION("""COMPUTED_VALUE"""),"TEM-192")</f>
        <v>TEM-192</v>
      </c>
      <c r="B8533" t="str">
        <f ca="1">IFERROR(__xludf.DUMMYFUNCTION("""COMPUTED_VALUE"""),"RF-00000699-PAR")</f>
        <v>RF-00000699-PAR</v>
      </c>
    </row>
    <row r="8534" spans="1:2" ht="12.5" x14ac:dyDescent="0.25">
      <c r="A8534" t="str">
        <f ca="1">IFERROR(__xludf.DUMMYFUNCTION("""COMPUTED_VALUE"""),"TEM-193")</f>
        <v>TEM-193</v>
      </c>
      <c r="B8534" t="str">
        <f ca="1">IFERROR(__xludf.DUMMYFUNCTION("""COMPUTED_VALUE"""),"RF-00000700-PAR")</f>
        <v>RF-00000700-PAR</v>
      </c>
    </row>
    <row r="8535" spans="1:2" ht="12.5" x14ac:dyDescent="0.25">
      <c r="A8535" t="str">
        <f ca="1">IFERROR(__xludf.DUMMYFUNCTION("""COMPUTED_VALUE"""),"TEM-194")</f>
        <v>TEM-194</v>
      </c>
      <c r="B8535" t="str">
        <f ca="1">IFERROR(__xludf.DUMMYFUNCTION("""COMPUTED_VALUE"""),"RF-00000701-PAR")</f>
        <v>RF-00000701-PAR</v>
      </c>
    </row>
    <row r="8536" spans="1:2" ht="12.5" x14ac:dyDescent="0.25">
      <c r="A8536" t="str">
        <f ca="1">IFERROR(__xludf.DUMMYFUNCTION("""COMPUTED_VALUE"""),"TEM-195")</f>
        <v>TEM-195</v>
      </c>
      <c r="B8536" t="str">
        <f ca="1">IFERROR(__xludf.DUMMYFUNCTION("""COMPUTED_VALUE"""),"RF-00000702-PAR")</f>
        <v>RF-00000702-PAR</v>
      </c>
    </row>
    <row r="8537" spans="1:2" ht="12.5" x14ac:dyDescent="0.25">
      <c r="A8537" t="str">
        <f ca="1">IFERROR(__xludf.DUMMYFUNCTION("""COMPUTED_VALUE"""),"TEM-196")</f>
        <v>TEM-196</v>
      </c>
      <c r="B8537" t="str">
        <f ca="1">IFERROR(__xludf.DUMMYFUNCTION("""COMPUTED_VALUE"""),"RF-00000703-PAR")</f>
        <v>RF-00000703-PAR</v>
      </c>
    </row>
    <row r="8538" spans="1:2" ht="12.5" x14ac:dyDescent="0.25">
      <c r="A8538" t="str">
        <f ca="1">IFERROR(__xludf.DUMMYFUNCTION("""COMPUTED_VALUE"""),"TEM-197")</f>
        <v>TEM-197</v>
      </c>
      <c r="B8538" t="str">
        <f ca="1">IFERROR(__xludf.DUMMYFUNCTION("""COMPUTED_VALUE"""),"RF-00000704-PAR")</f>
        <v>RF-00000704-PAR</v>
      </c>
    </row>
    <row r="8539" spans="1:2" ht="12.5" x14ac:dyDescent="0.25">
      <c r="A8539" t="str">
        <f ca="1">IFERROR(__xludf.DUMMYFUNCTION("""COMPUTED_VALUE"""),"TEM-198")</f>
        <v>TEM-198</v>
      </c>
      <c r="B8539" t="str">
        <f ca="1">IFERROR(__xludf.DUMMYFUNCTION("""COMPUTED_VALUE"""),"RF-00000705-PAR")</f>
        <v>RF-00000705-PAR</v>
      </c>
    </row>
    <row r="8540" spans="1:2" ht="12.5" x14ac:dyDescent="0.25">
      <c r="A8540" t="str">
        <f ca="1">IFERROR(__xludf.DUMMYFUNCTION("""COMPUTED_VALUE"""),"TEM-199")</f>
        <v>TEM-199</v>
      </c>
      <c r="B8540" t="str">
        <f ca="1">IFERROR(__xludf.DUMMYFUNCTION("""COMPUTED_VALUE"""),"RF-00000706-PAR")</f>
        <v>RF-00000706-PAR</v>
      </c>
    </row>
    <row r="8541" spans="1:2" ht="12.5" x14ac:dyDescent="0.25">
      <c r="A8541" t="str">
        <f ca="1">IFERROR(__xludf.DUMMYFUNCTION("""COMPUTED_VALUE"""),"TEM-2")</f>
        <v>TEM-2</v>
      </c>
      <c r="B8541" t="str">
        <f ca="1">IFERROR(__xludf.DUMMYFUNCTION("""COMPUTED_VALUE"""),"RF-00000509-PAR")</f>
        <v>RF-00000509-PAR</v>
      </c>
    </row>
    <row r="8542" spans="1:2" ht="12.5" x14ac:dyDescent="0.25">
      <c r="A8542" t="str">
        <f ca="1">IFERROR(__xludf.DUMMYFUNCTION("""COMPUTED_VALUE"""),"TEM-20")</f>
        <v>TEM-20</v>
      </c>
      <c r="B8542" t="str">
        <f ca="1">IFERROR(__xludf.DUMMYFUNCTION("""COMPUTED_VALUE"""),"RF-00000527-PAR")</f>
        <v>RF-00000527-PAR</v>
      </c>
    </row>
    <row r="8543" spans="1:2" ht="12.5" x14ac:dyDescent="0.25">
      <c r="A8543" t="str">
        <f ca="1">IFERROR(__xludf.DUMMYFUNCTION("""COMPUTED_VALUE"""),"TEM-200")</f>
        <v>TEM-200</v>
      </c>
      <c r="B8543" t="str">
        <f ca="1">IFERROR(__xludf.DUMMYFUNCTION("""COMPUTED_VALUE"""),"RF-00000707-PAR")</f>
        <v>RF-00000707-PAR</v>
      </c>
    </row>
    <row r="8544" spans="1:2" ht="12.5" x14ac:dyDescent="0.25">
      <c r="A8544" t="str">
        <f ca="1">IFERROR(__xludf.DUMMYFUNCTION("""COMPUTED_VALUE"""),"TEM-201")</f>
        <v>TEM-201</v>
      </c>
      <c r="B8544" t="str">
        <f ca="1">IFERROR(__xludf.DUMMYFUNCTION("""COMPUTED_VALUE"""),"RF-00000708-PAR")</f>
        <v>RF-00000708-PAR</v>
      </c>
    </row>
    <row r="8545" spans="1:2" ht="12.5" x14ac:dyDescent="0.25">
      <c r="A8545" t="str">
        <f ca="1">IFERROR(__xludf.DUMMYFUNCTION("""COMPUTED_VALUE"""),"TEM-202")</f>
        <v>TEM-202</v>
      </c>
      <c r="B8545" t="str">
        <f ca="1">IFERROR(__xludf.DUMMYFUNCTION("""COMPUTED_VALUE"""),"RF-00000709-PAR")</f>
        <v>RF-00000709-PAR</v>
      </c>
    </row>
    <row r="8546" spans="1:2" ht="12.5" x14ac:dyDescent="0.25">
      <c r="A8546" t="str">
        <f ca="1">IFERROR(__xludf.DUMMYFUNCTION("""COMPUTED_VALUE"""),"TEM-203")</f>
        <v>TEM-203</v>
      </c>
      <c r="B8546" t="str">
        <f ca="1">IFERROR(__xludf.DUMMYFUNCTION("""COMPUTED_VALUE"""),"RF-00000710-PAR")</f>
        <v>RF-00000710-PAR</v>
      </c>
    </row>
    <row r="8547" spans="1:2" ht="12.5" x14ac:dyDescent="0.25">
      <c r="A8547" t="str">
        <f ca="1">IFERROR(__xludf.DUMMYFUNCTION("""COMPUTED_VALUE"""),"TEM-204")</f>
        <v>TEM-204</v>
      </c>
      <c r="B8547" t="str">
        <f ca="1">IFERROR(__xludf.DUMMYFUNCTION("""COMPUTED_VALUE"""),"RF-00000711-PAR")</f>
        <v>RF-00000711-PAR</v>
      </c>
    </row>
    <row r="8548" spans="1:2" ht="12.5" x14ac:dyDescent="0.25">
      <c r="A8548" t="str">
        <f ca="1">IFERROR(__xludf.DUMMYFUNCTION("""COMPUTED_VALUE"""),"TEM-205")</f>
        <v>TEM-205</v>
      </c>
      <c r="B8548" t="str">
        <f ca="1">IFERROR(__xludf.DUMMYFUNCTION("""COMPUTED_VALUE"""),"RF-00000712-PAR")</f>
        <v>RF-00000712-PAR</v>
      </c>
    </row>
    <row r="8549" spans="1:2" ht="12.5" x14ac:dyDescent="0.25">
      <c r="A8549" t="str">
        <f ca="1">IFERROR(__xludf.DUMMYFUNCTION("""COMPUTED_VALUE"""),"TEM-21")</f>
        <v>TEM-21</v>
      </c>
      <c r="B8549" t="str">
        <f ca="1">IFERROR(__xludf.DUMMYFUNCTION("""COMPUTED_VALUE"""),"RF-00000528-PAR")</f>
        <v>RF-00000528-PAR</v>
      </c>
    </row>
    <row r="8550" spans="1:2" ht="12.5" x14ac:dyDescent="0.25">
      <c r="A8550" t="str">
        <f ca="1">IFERROR(__xludf.DUMMYFUNCTION("""COMPUTED_VALUE"""),"TEM-22")</f>
        <v>TEM-22</v>
      </c>
      <c r="B8550" t="str">
        <f ca="1">IFERROR(__xludf.DUMMYFUNCTION("""COMPUTED_VALUE"""),"RF-00000529-PAR")</f>
        <v>RF-00000529-PAR</v>
      </c>
    </row>
    <row r="8551" spans="1:2" ht="12.5" x14ac:dyDescent="0.25">
      <c r="A8551" t="str">
        <f ca="1">IFERROR(__xludf.DUMMYFUNCTION("""COMPUTED_VALUE"""),"TEM-23")</f>
        <v>TEM-23</v>
      </c>
      <c r="B8551" t="str">
        <f ca="1">IFERROR(__xludf.DUMMYFUNCTION("""COMPUTED_VALUE"""),"RF-00000530-PAR")</f>
        <v>RF-00000530-PAR</v>
      </c>
    </row>
    <row r="8552" spans="1:2" ht="12.5" x14ac:dyDescent="0.25">
      <c r="A8552" t="str">
        <f ca="1">IFERROR(__xludf.DUMMYFUNCTION("""COMPUTED_VALUE"""),"TEM-24")</f>
        <v>TEM-24</v>
      </c>
      <c r="B8552" t="str">
        <f ca="1">IFERROR(__xludf.DUMMYFUNCTION("""COMPUTED_VALUE"""),"RF-00000531-PAR")</f>
        <v>RF-00000531-PAR</v>
      </c>
    </row>
    <row r="8553" spans="1:2" ht="12.5" x14ac:dyDescent="0.25">
      <c r="A8553" t="str">
        <f ca="1">IFERROR(__xludf.DUMMYFUNCTION("""COMPUTED_VALUE"""),"TEM-25")</f>
        <v>TEM-25</v>
      </c>
      <c r="B8553" t="str">
        <f ca="1">IFERROR(__xludf.DUMMYFUNCTION("""COMPUTED_VALUE"""),"RF-00000532-PAR")</f>
        <v>RF-00000532-PAR</v>
      </c>
    </row>
    <row r="8554" spans="1:2" ht="12.5" x14ac:dyDescent="0.25">
      <c r="A8554" t="str">
        <f ca="1">IFERROR(__xludf.DUMMYFUNCTION("""COMPUTED_VALUE"""),"TEM-26")</f>
        <v>TEM-26</v>
      </c>
      <c r="B8554" t="str">
        <f ca="1">IFERROR(__xludf.DUMMYFUNCTION("""COMPUTED_VALUE"""),"RF-00000533-PAR")</f>
        <v>RF-00000533-PAR</v>
      </c>
    </row>
    <row r="8555" spans="1:2" ht="12.5" x14ac:dyDescent="0.25">
      <c r="A8555" t="str">
        <f ca="1">IFERROR(__xludf.DUMMYFUNCTION("""COMPUTED_VALUE"""),"TEM-27")</f>
        <v>TEM-27</v>
      </c>
      <c r="B8555" t="str">
        <f ca="1">IFERROR(__xludf.DUMMYFUNCTION("""COMPUTED_VALUE"""),"RF-00000534-PAR")</f>
        <v>RF-00000534-PAR</v>
      </c>
    </row>
    <row r="8556" spans="1:2" ht="12.5" x14ac:dyDescent="0.25">
      <c r="A8556" t="str">
        <f ca="1">IFERROR(__xludf.DUMMYFUNCTION("""COMPUTED_VALUE"""),"TEM-28")</f>
        <v>TEM-28</v>
      </c>
      <c r="B8556" t="str">
        <f ca="1">IFERROR(__xludf.DUMMYFUNCTION("""COMPUTED_VALUE"""),"RF-00000535-PAR")</f>
        <v>RF-00000535-PAR</v>
      </c>
    </row>
    <row r="8557" spans="1:2" ht="12.5" x14ac:dyDescent="0.25">
      <c r="A8557" t="str">
        <f ca="1">IFERROR(__xludf.DUMMYFUNCTION("""COMPUTED_VALUE"""),"TEM-29")</f>
        <v>TEM-29</v>
      </c>
      <c r="B8557" t="str">
        <f ca="1">IFERROR(__xludf.DUMMYFUNCTION("""COMPUTED_VALUE"""),"RF-00000536-PAR")</f>
        <v>RF-00000536-PAR</v>
      </c>
    </row>
    <row r="8558" spans="1:2" ht="12.5" x14ac:dyDescent="0.25">
      <c r="A8558" t="str">
        <f ca="1">IFERROR(__xludf.DUMMYFUNCTION("""COMPUTED_VALUE"""),"TEM-3")</f>
        <v>TEM-3</v>
      </c>
      <c r="B8558" t="str">
        <f ca="1">IFERROR(__xludf.DUMMYFUNCTION("""COMPUTED_VALUE"""),"RF-00000510-PAR")</f>
        <v>RF-00000510-PAR</v>
      </c>
    </row>
    <row r="8559" spans="1:2" ht="12.5" x14ac:dyDescent="0.25">
      <c r="A8559" t="str">
        <f ca="1">IFERROR(__xludf.DUMMYFUNCTION("""COMPUTED_VALUE"""),"TEM-30 (IRT-2)")</f>
        <v>TEM-30 (IRT-2)</v>
      </c>
      <c r="B8559" t="str">
        <f ca="1">IFERROR(__xludf.DUMMYFUNCTION("""COMPUTED_VALUE"""),"RF-00000537-PAR")</f>
        <v>RF-00000537-PAR</v>
      </c>
    </row>
    <row r="8560" spans="1:2" ht="12.5" x14ac:dyDescent="0.25">
      <c r="A8560" t="str">
        <f ca="1">IFERROR(__xludf.DUMMYFUNCTION("""COMPUTED_VALUE"""),"TEM-31 (IRT-1)")</f>
        <v>TEM-31 (IRT-1)</v>
      </c>
      <c r="B8560" t="str">
        <f ca="1">IFERROR(__xludf.DUMMYFUNCTION("""COMPUTED_VALUE"""),"RF-00000538-PAR")</f>
        <v>RF-00000538-PAR</v>
      </c>
    </row>
    <row r="8561" spans="1:2" ht="12.5" x14ac:dyDescent="0.25">
      <c r="A8561" t="str">
        <f ca="1">IFERROR(__xludf.DUMMYFUNCTION("""COMPUTED_VALUE"""),"TEM-32")</f>
        <v>TEM-32</v>
      </c>
      <c r="B8561" t="str">
        <f ca="1">IFERROR(__xludf.DUMMYFUNCTION("""COMPUTED_VALUE"""),"RF-00000539-PAR")</f>
        <v>RF-00000539-PAR</v>
      </c>
    </row>
    <row r="8562" spans="1:2" ht="12.5" x14ac:dyDescent="0.25">
      <c r="A8562" t="str">
        <f ca="1">IFERROR(__xludf.DUMMYFUNCTION("""COMPUTED_VALUE"""),"TEM-33")</f>
        <v>TEM-33</v>
      </c>
      <c r="B8562" t="str">
        <f ca="1">IFERROR(__xludf.DUMMYFUNCTION("""COMPUTED_VALUE"""),"RF-00000540-PAR")</f>
        <v>RF-00000540-PAR</v>
      </c>
    </row>
    <row r="8563" spans="1:2" ht="12.5" x14ac:dyDescent="0.25">
      <c r="A8563" t="str">
        <f ca="1">IFERROR(__xludf.DUMMYFUNCTION("""COMPUTED_VALUE"""),"TEM-34")</f>
        <v>TEM-34</v>
      </c>
      <c r="B8563" t="str">
        <f ca="1">IFERROR(__xludf.DUMMYFUNCTION("""COMPUTED_VALUE"""),"RF-00000541-PAR")</f>
        <v>RF-00000541-PAR</v>
      </c>
    </row>
    <row r="8564" spans="1:2" ht="12.5" x14ac:dyDescent="0.25">
      <c r="A8564" t="str">
        <f ca="1">IFERROR(__xludf.DUMMYFUNCTION("""COMPUTED_VALUE"""),"TEM-35")</f>
        <v>TEM-35</v>
      </c>
      <c r="B8564" t="str">
        <f ca="1">IFERROR(__xludf.DUMMYFUNCTION("""COMPUTED_VALUE"""),"RF-00000542-PAR")</f>
        <v>RF-00000542-PAR</v>
      </c>
    </row>
    <row r="8565" spans="1:2" ht="12.5" x14ac:dyDescent="0.25">
      <c r="A8565" t="str">
        <f ca="1">IFERROR(__xludf.DUMMYFUNCTION("""COMPUTED_VALUE"""),"TEM-36")</f>
        <v>TEM-36</v>
      </c>
      <c r="B8565" t="str">
        <f ca="1">IFERROR(__xludf.DUMMYFUNCTION("""COMPUTED_VALUE"""),"RF-00000543-PAR")</f>
        <v>RF-00000543-PAR</v>
      </c>
    </row>
    <row r="8566" spans="1:2" ht="12.5" x14ac:dyDescent="0.25">
      <c r="A8566" t="str">
        <f ca="1">IFERROR(__xludf.DUMMYFUNCTION("""COMPUTED_VALUE"""),"TEM-37")</f>
        <v>TEM-37</v>
      </c>
      <c r="B8566" t="str">
        <f ca="1">IFERROR(__xludf.DUMMYFUNCTION("""COMPUTED_VALUE"""),"RF-00000544-PAR")</f>
        <v>RF-00000544-PAR</v>
      </c>
    </row>
    <row r="8567" spans="1:2" ht="12.5" x14ac:dyDescent="0.25">
      <c r="A8567" t="str">
        <f ca="1">IFERROR(__xludf.DUMMYFUNCTION("""COMPUTED_VALUE"""),"TEM-38")</f>
        <v>TEM-38</v>
      </c>
      <c r="B8567" t="str">
        <f ca="1">IFERROR(__xludf.DUMMYFUNCTION("""COMPUTED_VALUE"""),"RF-00000545-PAR")</f>
        <v>RF-00000545-PAR</v>
      </c>
    </row>
    <row r="8568" spans="1:2" ht="12.5" x14ac:dyDescent="0.25">
      <c r="A8568" t="str">
        <f ca="1">IFERROR(__xludf.DUMMYFUNCTION("""COMPUTED_VALUE"""),"TEM-39")</f>
        <v>TEM-39</v>
      </c>
      <c r="B8568" t="str">
        <f ca="1">IFERROR(__xludf.DUMMYFUNCTION("""COMPUTED_VALUE"""),"RF-00000546-PAR")</f>
        <v>RF-00000546-PAR</v>
      </c>
    </row>
    <row r="8569" spans="1:2" ht="12.5" x14ac:dyDescent="0.25">
      <c r="A8569" t="str">
        <f ca="1">IFERROR(__xludf.DUMMYFUNCTION("""COMPUTED_VALUE"""),"TEM-4")</f>
        <v>TEM-4</v>
      </c>
      <c r="B8569" t="str">
        <f ca="1">IFERROR(__xludf.DUMMYFUNCTION("""COMPUTED_VALUE"""),"RF-00000511-PAR")</f>
        <v>RF-00000511-PAR</v>
      </c>
    </row>
    <row r="8570" spans="1:2" ht="12.5" x14ac:dyDescent="0.25">
      <c r="A8570" t="str">
        <f ca="1">IFERROR(__xludf.DUMMYFUNCTION("""COMPUTED_VALUE"""),"TEM-40")</f>
        <v>TEM-40</v>
      </c>
      <c r="B8570" t="str">
        <f ca="1">IFERROR(__xludf.DUMMYFUNCTION("""COMPUTED_VALUE"""),"RF-00000547-PAR")</f>
        <v>RF-00000547-PAR</v>
      </c>
    </row>
    <row r="8571" spans="1:2" ht="12.5" x14ac:dyDescent="0.25">
      <c r="A8571" t="str">
        <f ca="1">IFERROR(__xludf.DUMMYFUNCTION("""COMPUTED_VALUE"""),"TEM-41")</f>
        <v>TEM-41</v>
      </c>
      <c r="B8571" t="str">
        <f ca="1">IFERROR(__xludf.DUMMYFUNCTION("""COMPUTED_VALUE"""),"RF-00000548-PAR")</f>
        <v>RF-00000548-PAR</v>
      </c>
    </row>
    <row r="8572" spans="1:2" ht="12.5" x14ac:dyDescent="0.25">
      <c r="A8572" t="str">
        <f ca="1">IFERROR(__xludf.DUMMYFUNCTION("""COMPUTED_VALUE"""),"TEM-42")</f>
        <v>TEM-42</v>
      </c>
      <c r="B8572" t="str">
        <f ca="1">IFERROR(__xludf.DUMMYFUNCTION("""COMPUTED_VALUE"""),"RF-00000549-PAR")</f>
        <v>RF-00000549-PAR</v>
      </c>
    </row>
    <row r="8573" spans="1:2" ht="12.5" x14ac:dyDescent="0.25">
      <c r="A8573" t="str">
        <f ca="1">IFERROR(__xludf.DUMMYFUNCTION("""COMPUTED_VALUE"""),"TEM-43")</f>
        <v>TEM-43</v>
      </c>
      <c r="B8573" t="str">
        <f ca="1">IFERROR(__xludf.DUMMYFUNCTION("""COMPUTED_VALUE"""),"RF-00000550-PAR")</f>
        <v>RF-00000550-PAR</v>
      </c>
    </row>
    <row r="8574" spans="1:2" ht="12.5" x14ac:dyDescent="0.25">
      <c r="A8574" t="str">
        <f ca="1">IFERROR(__xludf.DUMMYFUNCTION("""COMPUTED_VALUE"""),"TEM-44")</f>
        <v>TEM-44</v>
      </c>
      <c r="B8574" t="str">
        <f ca="1">IFERROR(__xludf.DUMMYFUNCTION("""COMPUTED_VALUE"""),"RF-00000551-PAR")</f>
        <v>RF-00000551-PAR</v>
      </c>
    </row>
    <row r="8575" spans="1:2" ht="12.5" x14ac:dyDescent="0.25">
      <c r="A8575" t="str">
        <f ca="1">IFERROR(__xludf.DUMMYFUNCTION("""COMPUTED_VALUE"""),"TEM-45")</f>
        <v>TEM-45</v>
      </c>
      <c r="B8575" t="str">
        <f ca="1">IFERROR(__xludf.DUMMYFUNCTION("""COMPUTED_VALUE"""),"RF-00000552-PAR")</f>
        <v>RF-00000552-PAR</v>
      </c>
    </row>
    <row r="8576" spans="1:2" ht="12.5" x14ac:dyDescent="0.25">
      <c r="A8576" t="str">
        <f ca="1">IFERROR(__xludf.DUMMYFUNCTION("""COMPUTED_VALUE"""),"TEM-46")</f>
        <v>TEM-46</v>
      </c>
      <c r="B8576" t="str">
        <f ca="1">IFERROR(__xludf.DUMMYFUNCTION("""COMPUTED_VALUE"""),"RF-00000553-PAR")</f>
        <v>RF-00000553-PAR</v>
      </c>
    </row>
    <row r="8577" spans="1:2" ht="12.5" x14ac:dyDescent="0.25">
      <c r="A8577" t="str">
        <f ca="1">IFERROR(__xludf.DUMMYFUNCTION("""COMPUTED_VALUE"""),"TEM-47")</f>
        <v>TEM-47</v>
      </c>
      <c r="B8577" t="str">
        <f ca="1">IFERROR(__xludf.DUMMYFUNCTION("""COMPUTED_VALUE"""),"RF-00000554-PAR")</f>
        <v>RF-00000554-PAR</v>
      </c>
    </row>
    <row r="8578" spans="1:2" ht="12.5" x14ac:dyDescent="0.25">
      <c r="A8578" t="str">
        <f ca="1">IFERROR(__xludf.DUMMYFUNCTION("""COMPUTED_VALUE"""),"TEM-48")</f>
        <v>TEM-48</v>
      </c>
      <c r="B8578" t="str">
        <f ca="1">IFERROR(__xludf.DUMMYFUNCTION("""COMPUTED_VALUE"""),"RF-00000555-PAR")</f>
        <v>RF-00000555-PAR</v>
      </c>
    </row>
    <row r="8579" spans="1:2" ht="12.5" x14ac:dyDescent="0.25">
      <c r="A8579" t="str">
        <f ca="1">IFERROR(__xludf.DUMMYFUNCTION("""COMPUTED_VALUE"""),"TEM-49")</f>
        <v>TEM-49</v>
      </c>
      <c r="B8579" t="str">
        <f ca="1">IFERROR(__xludf.DUMMYFUNCTION("""COMPUTED_VALUE"""),"RF-00000556-PAR")</f>
        <v>RF-00000556-PAR</v>
      </c>
    </row>
    <row r="8580" spans="1:2" ht="12.5" x14ac:dyDescent="0.25">
      <c r="A8580" t="str">
        <f ca="1">IFERROR(__xludf.DUMMYFUNCTION("""COMPUTED_VALUE"""),"TEM-5")</f>
        <v>TEM-5</v>
      </c>
      <c r="B8580" t="str">
        <f ca="1">IFERROR(__xludf.DUMMYFUNCTION("""COMPUTED_VALUE"""),"RF-00000512-PAR")</f>
        <v>RF-00000512-PAR</v>
      </c>
    </row>
    <row r="8581" spans="1:2" ht="12.5" x14ac:dyDescent="0.25">
      <c r="A8581" t="str">
        <f ca="1">IFERROR(__xludf.DUMMYFUNCTION("""COMPUTED_VALUE"""),"TEM-50 (CMT-1)")</f>
        <v>TEM-50 (CMT-1)</v>
      </c>
      <c r="B8581" t="str">
        <f ca="1">IFERROR(__xludf.DUMMYFUNCTION("""COMPUTED_VALUE"""),"RF-00000557-PAR")</f>
        <v>RF-00000557-PAR</v>
      </c>
    </row>
    <row r="8582" spans="1:2" ht="12.5" x14ac:dyDescent="0.25">
      <c r="A8582" t="str">
        <f ca="1">IFERROR(__xludf.DUMMYFUNCTION("""COMPUTED_VALUE"""),"TEM-51")</f>
        <v>TEM-51</v>
      </c>
      <c r="B8582" t="str">
        <f ca="1">IFERROR(__xludf.DUMMYFUNCTION("""COMPUTED_VALUE"""),"RF-00000558-PAR")</f>
        <v>RF-00000558-PAR</v>
      </c>
    </row>
    <row r="8583" spans="1:2" ht="12.5" x14ac:dyDescent="0.25">
      <c r="A8583" t="str">
        <f ca="1">IFERROR(__xludf.DUMMYFUNCTION("""COMPUTED_VALUE"""),"TEM-52")</f>
        <v>TEM-52</v>
      </c>
      <c r="B8583" t="str">
        <f ca="1">IFERROR(__xludf.DUMMYFUNCTION("""COMPUTED_VALUE"""),"RF-00000559-PAR")</f>
        <v>RF-00000559-PAR</v>
      </c>
    </row>
    <row r="8584" spans="1:2" ht="12.5" x14ac:dyDescent="0.25">
      <c r="A8584" t="str">
        <f ca="1">IFERROR(__xludf.DUMMYFUNCTION("""COMPUTED_VALUE"""),"TEM-53")</f>
        <v>TEM-53</v>
      </c>
      <c r="B8584" t="str">
        <f ca="1">IFERROR(__xludf.DUMMYFUNCTION("""COMPUTED_VALUE"""),"RF-00000560-PAR")</f>
        <v>RF-00000560-PAR</v>
      </c>
    </row>
    <row r="8585" spans="1:2" ht="12.5" x14ac:dyDescent="0.25">
      <c r="A8585" t="str">
        <f ca="1">IFERROR(__xludf.DUMMYFUNCTION("""COMPUTED_VALUE"""),"TEM-54")</f>
        <v>TEM-54</v>
      </c>
      <c r="B8585" t="str">
        <f ca="1">IFERROR(__xludf.DUMMYFUNCTION("""COMPUTED_VALUE"""),"RF-00000561-PAR")</f>
        <v>RF-00000561-PAR</v>
      </c>
    </row>
    <row r="8586" spans="1:2" ht="12.5" x14ac:dyDescent="0.25">
      <c r="A8586" t="str">
        <f ca="1">IFERROR(__xludf.DUMMYFUNCTION("""COMPUTED_VALUE"""),"TEM-55")</f>
        <v>TEM-55</v>
      </c>
      <c r="B8586" t="str">
        <f ca="1">IFERROR(__xludf.DUMMYFUNCTION("""COMPUTED_VALUE"""),"RF-00000562-PAR")</f>
        <v>RF-00000562-PAR</v>
      </c>
    </row>
    <row r="8587" spans="1:2" ht="12.5" x14ac:dyDescent="0.25">
      <c r="A8587" t="str">
        <f ca="1">IFERROR(__xludf.DUMMYFUNCTION("""COMPUTED_VALUE"""),"TEM-56")</f>
        <v>TEM-56</v>
      </c>
      <c r="B8587" t="str">
        <f ca="1">IFERROR(__xludf.DUMMYFUNCTION("""COMPUTED_VALUE"""),"RF-00000563-PAR")</f>
        <v>RF-00000563-PAR</v>
      </c>
    </row>
    <row r="8588" spans="1:2" ht="12.5" x14ac:dyDescent="0.25">
      <c r="A8588" t="str">
        <f ca="1">IFERROR(__xludf.DUMMYFUNCTION("""COMPUTED_VALUE"""),"TEM-57")</f>
        <v>TEM-57</v>
      </c>
      <c r="B8588" t="str">
        <f ca="1">IFERROR(__xludf.DUMMYFUNCTION("""COMPUTED_VALUE"""),"RF-00000564-PAR")</f>
        <v>RF-00000564-PAR</v>
      </c>
    </row>
    <row r="8589" spans="1:2" ht="12.5" x14ac:dyDescent="0.25">
      <c r="A8589" t="str">
        <f ca="1">IFERROR(__xludf.DUMMYFUNCTION("""COMPUTED_VALUE"""),"TEM-58")</f>
        <v>TEM-58</v>
      </c>
      <c r="B8589" t="str">
        <f ca="1">IFERROR(__xludf.DUMMYFUNCTION("""COMPUTED_VALUE"""),"RF-00000565-PAR")</f>
        <v>RF-00000565-PAR</v>
      </c>
    </row>
    <row r="8590" spans="1:2" ht="12.5" x14ac:dyDescent="0.25">
      <c r="A8590" t="str">
        <f ca="1">IFERROR(__xludf.DUMMYFUNCTION("""COMPUTED_VALUE"""),"TEM-59")</f>
        <v>TEM-59</v>
      </c>
      <c r="B8590" t="str">
        <f ca="1">IFERROR(__xludf.DUMMYFUNCTION("""COMPUTED_VALUE"""),"RF-00000566-PAR")</f>
        <v>RF-00000566-PAR</v>
      </c>
    </row>
    <row r="8591" spans="1:2" ht="12.5" x14ac:dyDescent="0.25">
      <c r="A8591" t="str">
        <f ca="1">IFERROR(__xludf.DUMMYFUNCTION("""COMPUTED_VALUE"""),"TEM-6")</f>
        <v>TEM-6</v>
      </c>
      <c r="B8591" t="str">
        <f ca="1">IFERROR(__xludf.DUMMYFUNCTION("""COMPUTED_VALUE"""),"RF-00000513-PAR")</f>
        <v>RF-00000513-PAR</v>
      </c>
    </row>
    <row r="8592" spans="1:2" ht="12.5" x14ac:dyDescent="0.25">
      <c r="A8592" t="str">
        <f ca="1">IFERROR(__xludf.DUMMYFUNCTION("""COMPUTED_VALUE"""),"TEM-60")</f>
        <v>TEM-60</v>
      </c>
      <c r="B8592" t="str">
        <f ca="1">IFERROR(__xludf.DUMMYFUNCTION("""COMPUTED_VALUE"""),"RF-00000567-PAR")</f>
        <v>RF-00000567-PAR</v>
      </c>
    </row>
    <row r="8593" spans="1:2" ht="12.5" x14ac:dyDescent="0.25">
      <c r="A8593" t="str">
        <f ca="1">IFERROR(__xludf.DUMMYFUNCTION("""COMPUTED_VALUE"""),"TEM-61")</f>
        <v>TEM-61</v>
      </c>
      <c r="B8593" t="str">
        <f ca="1">IFERROR(__xludf.DUMMYFUNCTION("""COMPUTED_VALUE"""),"RF-00000568-PAR")</f>
        <v>RF-00000568-PAR</v>
      </c>
    </row>
    <row r="8594" spans="1:2" ht="12.5" x14ac:dyDescent="0.25">
      <c r="A8594" t="str">
        <f ca="1">IFERROR(__xludf.DUMMYFUNCTION("""COMPUTED_VALUE"""),"TEM-62")</f>
        <v>TEM-62</v>
      </c>
      <c r="B8594" t="str">
        <f ca="1">IFERROR(__xludf.DUMMYFUNCTION("""COMPUTED_VALUE"""),"RF-00000569-PAR")</f>
        <v>RF-00000569-PAR</v>
      </c>
    </row>
    <row r="8595" spans="1:2" ht="12.5" x14ac:dyDescent="0.25">
      <c r="A8595" t="str">
        <f ca="1">IFERROR(__xludf.DUMMYFUNCTION("""COMPUTED_VALUE"""),"TEM-63")</f>
        <v>TEM-63</v>
      </c>
      <c r="B8595" t="str">
        <f ca="1">IFERROR(__xludf.DUMMYFUNCTION("""COMPUTED_VALUE"""),"RF-00000570-PAR")</f>
        <v>RF-00000570-PAR</v>
      </c>
    </row>
    <row r="8596" spans="1:2" ht="12.5" x14ac:dyDescent="0.25">
      <c r="A8596" t="str">
        <f ca="1">IFERROR(__xludf.DUMMYFUNCTION("""COMPUTED_VALUE"""),"TEM-64")</f>
        <v>TEM-64</v>
      </c>
      <c r="B8596" t="str">
        <f ca="1">IFERROR(__xludf.DUMMYFUNCTION("""COMPUTED_VALUE"""),"RF-00000571-PAR")</f>
        <v>RF-00000571-PAR</v>
      </c>
    </row>
    <row r="8597" spans="1:2" ht="12.5" x14ac:dyDescent="0.25">
      <c r="A8597" t="str">
        <f ca="1">IFERROR(__xludf.DUMMYFUNCTION("""COMPUTED_VALUE"""),"TEM-65")</f>
        <v>TEM-65</v>
      </c>
      <c r="B8597" t="str">
        <f ca="1">IFERROR(__xludf.DUMMYFUNCTION("""COMPUTED_VALUE"""),"RF-00000572-PAR")</f>
        <v>RF-00000572-PAR</v>
      </c>
    </row>
    <row r="8598" spans="1:2" ht="12.5" x14ac:dyDescent="0.25">
      <c r="A8598" t="str">
        <f ca="1">IFERROR(__xludf.DUMMYFUNCTION("""COMPUTED_VALUE"""),"TEM-66")</f>
        <v>TEM-66</v>
      </c>
      <c r="B8598" t="str">
        <f ca="1">IFERROR(__xludf.DUMMYFUNCTION("""COMPUTED_VALUE"""),"RF-00000573-PAR")</f>
        <v>RF-00000573-PAR</v>
      </c>
    </row>
    <row r="8599" spans="1:2" ht="12.5" x14ac:dyDescent="0.25">
      <c r="A8599" t="str">
        <f ca="1">IFERROR(__xludf.DUMMYFUNCTION("""COMPUTED_VALUE"""),"TEM-67")</f>
        <v>TEM-67</v>
      </c>
      <c r="B8599" t="str">
        <f ca="1">IFERROR(__xludf.DUMMYFUNCTION("""COMPUTED_VALUE"""),"RF-00000574-PAR")</f>
        <v>RF-00000574-PAR</v>
      </c>
    </row>
    <row r="8600" spans="1:2" ht="12.5" x14ac:dyDescent="0.25">
      <c r="A8600" t="str">
        <f ca="1">IFERROR(__xludf.DUMMYFUNCTION("""COMPUTED_VALUE"""),"TEM-68")</f>
        <v>TEM-68</v>
      </c>
      <c r="B8600" t="str">
        <f ca="1">IFERROR(__xludf.DUMMYFUNCTION("""COMPUTED_VALUE"""),"RF-00000575-PAR")</f>
        <v>RF-00000575-PAR</v>
      </c>
    </row>
    <row r="8601" spans="1:2" ht="12.5" x14ac:dyDescent="0.25">
      <c r="A8601" t="str">
        <f ca="1">IFERROR(__xludf.DUMMYFUNCTION("""COMPUTED_VALUE"""),"TEM-69")</f>
        <v>TEM-69</v>
      </c>
      <c r="B8601" t="str">
        <f ca="1">IFERROR(__xludf.DUMMYFUNCTION("""COMPUTED_VALUE"""),"RF-00000576-PAR")</f>
        <v>RF-00000576-PAR</v>
      </c>
    </row>
    <row r="8602" spans="1:2" ht="12.5" x14ac:dyDescent="0.25">
      <c r="A8602" t="str">
        <f ca="1">IFERROR(__xludf.DUMMYFUNCTION("""COMPUTED_VALUE"""),"TEM-7")</f>
        <v>TEM-7</v>
      </c>
      <c r="B8602" t="str">
        <f ca="1">IFERROR(__xludf.DUMMYFUNCTION("""COMPUTED_VALUE"""),"RF-00000514-PAR")</f>
        <v>RF-00000514-PAR</v>
      </c>
    </row>
    <row r="8603" spans="1:2" ht="12.5" x14ac:dyDescent="0.25">
      <c r="A8603" t="str">
        <f ca="1">IFERROR(__xludf.DUMMYFUNCTION("""COMPUTED_VALUE"""),"TEM-70")</f>
        <v>TEM-70</v>
      </c>
      <c r="B8603" t="str">
        <f ca="1">IFERROR(__xludf.DUMMYFUNCTION("""COMPUTED_VALUE"""),"RF-00000577-PAR")</f>
        <v>RF-00000577-PAR</v>
      </c>
    </row>
    <row r="8604" spans="1:2" ht="12.5" x14ac:dyDescent="0.25">
      <c r="A8604" t="str">
        <f ca="1">IFERROR(__xludf.DUMMYFUNCTION("""COMPUTED_VALUE"""),"TEM-71")</f>
        <v>TEM-71</v>
      </c>
      <c r="B8604" t="str">
        <f ca="1">IFERROR(__xludf.DUMMYFUNCTION("""COMPUTED_VALUE"""),"RF-00000578-PAR")</f>
        <v>RF-00000578-PAR</v>
      </c>
    </row>
    <row r="8605" spans="1:2" ht="12.5" x14ac:dyDescent="0.25">
      <c r="A8605" t="str">
        <f ca="1">IFERROR(__xludf.DUMMYFUNCTION("""COMPUTED_VALUE"""),"TEM-72")</f>
        <v>TEM-72</v>
      </c>
      <c r="B8605" t="str">
        <f ca="1">IFERROR(__xludf.DUMMYFUNCTION("""COMPUTED_VALUE"""),"RF-00000579-PAR")</f>
        <v>RF-00000579-PAR</v>
      </c>
    </row>
    <row r="8606" spans="1:2" ht="12.5" x14ac:dyDescent="0.25">
      <c r="A8606" t="str">
        <f ca="1">IFERROR(__xludf.DUMMYFUNCTION("""COMPUTED_VALUE"""),"TEM-73")</f>
        <v>TEM-73</v>
      </c>
      <c r="B8606" t="str">
        <f ca="1">IFERROR(__xludf.DUMMYFUNCTION("""COMPUTED_VALUE"""),"RF-00000580-PAR")</f>
        <v>RF-00000580-PAR</v>
      </c>
    </row>
    <row r="8607" spans="1:2" ht="12.5" x14ac:dyDescent="0.25">
      <c r="A8607" t="str">
        <f ca="1">IFERROR(__xludf.DUMMYFUNCTION("""COMPUTED_VALUE"""),"TEM-74")</f>
        <v>TEM-74</v>
      </c>
      <c r="B8607" t="str">
        <f ca="1">IFERROR(__xludf.DUMMYFUNCTION("""COMPUTED_VALUE"""),"RF-00000581-PAR")</f>
        <v>RF-00000581-PAR</v>
      </c>
    </row>
    <row r="8608" spans="1:2" ht="12.5" x14ac:dyDescent="0.25">
      <c r="A8608" t="str">
        <f ca="1">IFERROR(__xludf.DUMMYFUNCTION("""COMPUTED_VALUE"""),"TEM-75")</f>
        <v>TEM-75</v>
      </c>
      <c r="B8608" t="str">
        <f ca="1">IFERROR(__xludf.DUMMYFUNCTION("""COMPUTED_VALUE"""),"RF-00000582-PAR")</f>
        <v>RF-00000582-PAR</v>
      </c>
    </row>
    <row r="8609" spans="1:2" ht="12.5" x14ac:dyDescent="0.25">
      <c r="A8609" t="str">
        <f ca="1">IFERROR(__xludf.DUMMYFUNCTION("""COMPUTED_VALUE"""),"TEM-76")</f>
        <v>TEM-76</v>
      </c>
      <c r="B8609" t="str">
        <f ca="1">IFERROR(__xludf.DUMMYFUNCTION("""COMPUTED_VALUE"""),"RF-00000583-PAR")</f>
        <v>RF-00000583-PAR</v>
      </c>
    </row>
    <row r="8610" spans="1:2" ht="12.5" x14ac:dyDescent="0.25">
      <c r="A8610" t="str">
        <f ca="1">IFERROR(__xludf.DUMMYFUNCTION("""COMPUTED_VALUE"""),"TEM-77")</f>
        <v>TEM-77</v>
      </c>
      <c r="B8610" t="str">
        <f ca="1">IFERROR(__xludf.DUMMYFUNCTION("""COMPUTED_VALUE"""),"RF-00000584-PAR")</f>
        <v>RF-00000584-PAR</v>
      </c>
    </row>
    <row r="8611" spans="1:2" ht="12.5" x14ac:dyDescent="0.25">
      <c r="A8611" t="str">
        <f ca="1">IFERROR(__xludf.DUMMYFUNCTION("""COMPUTED_VALUE"""),"TEM-78")</f>
        <v>TEM-78</v>
      </c>
      <c r="B8611" t="str">
        <f ca="1">IFERROR(__xludf.DUMMYFUNCTION("""COMPUTED_VALUE"""),"RF-00000585-PAR")</f>
        <v>RF-00000585-PAR</v>
      </c>
    </row>
    <row r="8612" spans="1:2" ht="12.5" x14ac:dyDescent="0.25">
      <c r="A8612" t="str">
        <f ca="1">IFERROR(__xludf.DUMMYFUNCTION("""COMPUTED_VALUE"""),"TEM-79")</f>
        <v>TEM-79</v>
      </c>
      <c r="B8612" t="str">
        <f ca="1">IFERROR(__xludf.DUMMYFUNCTION("""COMPUTED_VALUE"""),"RF-00000586-PAR")</f>
        <v>RF-00000586-PAR</v>
      </c>
    </row>
    <row r="8613" spans="1:2" ht="12.5" x14ac:dyDescent="0.25">
      <c r="A8613" t="str">
        <f ca="1">IFERROR(__xludf.DUMMYFUNCTION("""COMPUTED_VALUE"""),"TEM-8")</f>
        <v>TEM-8</v>
      </c>
      <c r="B8613" t="str">
        <f ca="1">IFERROR(__xludf.DUMMYFUNCTION("""COMPUTED_VALUE"""),"RF-00000515-PAR")</f>
        <v>RF-00000515-PAR</v>
      </c>
    </row>
    <row r="8614" spans="1:2" ht="12.5" x14ac:dyDescent="0.25">
      <c r="A8614" t="str">
        <f ca="1">IFERROR(__xludf.DUMMYFUNCTION("""COMPUTED_VALUE"""),"TEM-80")</f>
        <v>TEM-80</v>
      </c>
      <c r="B8614" t="str">
        <f ca="1">IFERROR(__xludf.DUMMYFUNCTION("""COMPUTED_VALUE"""),"RF-00000587-PAR")</f>
        <v>RF-00000587-PAR</v>
      </c>
    </row>
    <row r="8615" spans="1:2" ht="12.5" x14ac:dyDescent="0.25">
      <c r="A8615" t="str">
        <f ca="1">IFERROR(__xludf.DUMMYFUNCTION("""COMPUTED_VALUE"""),"TEM-81")</f>
        <v>TEM-81</v>
      </c>
      <c r="B8615" t="str">
        <f ca="1">IFERROR(__xludf.DUMMYFUNCTION("""COMPUTED_VALUE"""),"RF-00000588-PAR")</f>
        <v>RF-00000588-PAR</v>
      </c>
    </row>
    <row r="8616" spans="1:2" ht="12.5" x14ac:dyDescent="0.25">
      <c r="A8616" t="str">
        <f ca="1">IFERROR(__xludf.DUMMYFUNCTION("""COMPUTED_VALUE"""),"TEM-82")</f>
        <v>TEM-82</v>
      </c>
      <c r="B8616" t="str">
        <f ca="1">IFERROR(__xludf.DUMMYFUNCTION("""COMPUTED_VALUE"""),"RF-00000589-PAR")</f>
        <v>RF-00000589-PAR</v>
      </c>
    </row>
    <row r="8617" spans="1:2" ht="12.5" x14ac:dyDescent="0.25">
      <c r="A8617" t="str">
        <f ca="1">IFERROR(__xludf.DUMMYFUNCTION("""COMPUTED_VALUE"""),"TEM-83")</f>
        <v>TEM-83</v>
      </c>
      <c r="B8617" t="str">
        <f ca="1">IFERROR(__xludf.DUMMYFUNCTION("""COMPUTED_VALUE"""),"RF-00000590-PAR")</f>
        <v>RF-00000590-PAR</v>
      </c>
    </row>
    <row r="8618" spans="1:2" ht="12.5" x14ac:dyDescent="0.25">
      <c r="A8618" t="str">
        <f ca="1">IFERROR(__xludf.DUMMYFUNCTION("""COMPUTED_VALUE"""),"TEM-84")</f>
        <v>TEM-84</v>
      </c>
      <c r="B8618" t="str">
        <f ca="1">IFERROR(__xludf.DUMMYFUNCTION("""COMPUTED_VALUE"""),"RF-00000591-PAR")</f>
        <v>RF-00000591-PAR</v>
      </c>
    </row>
    <row r="8619" spans="1:2" ht="12.5" x14ac:dyDescent="0.25">
      <c r="A8619" t="str">
        <f ca="1">IFERROR(__xludf.DUMMYFUNCTION("""COMPUTED_VALUE"""),"TEM-85")</f>
        <v>TEM-85</v>
      </c>
      <c r="B8619" t="str">
        <f ca="1">IFERROR(__xludf.DUMMYFUNCTION("""COMPUTED_VALUE"""),"RF-00000592-PAR")</f>
        <v>RF-00000592-PAR</v>
      </c>
    </row>
    <row r="8620" spans="1:2" ht="12.5" x14ac:dyDescent="0.25">
      <c r="A8620" t="str">
        <f ca="1">IFERROR(__xludf.DUMMYFUNCTION("""COMPUTED_VALUE"""),"TEM-86")</f>
        <v>TEM-86</v>
      </c>
      <c r="B8620" t="str">
        <f ca="1">IFERROR(__xludf.DUMMYFUNCTION("""COMPUTED_VALUE"""),"RF-00000593-PAR")</f>
        <v>RF-00000593-PAR</v>
      </c>
    </row>
    <row r="8621" spans="1:2" ht="12.5" x14ac:dyDescent="0.25">
      <c r="A8621" t="str">
        <f ca="1">IFERROR(__xludf.DUMMYFUNCTION("""COMPUTED_VALUE"""),"TEM-87")</f>
        <v>TEM-87</v>
      </c>
      <c r="B8621" t="str">
        <f ca="1">IFERROR(__xludf.DUMMYFUNCTION("""COMPUTED_VALUE"""),"RF-00000594-PAR")</f>
        <v>RF-00000594-PAR</v>
      </c>
    </row>
    <row r="8622" spans="1:2" ht="12.5" x14ac:dyDescent="0.25">
      <c r="A8622" t="str">
        <f ca="1">IFERROR(__xludf.DUMMYFUNCTION("""COMPUTED_VALUE"""),"TEM-88")</f>
        <v>TEM-88</v>
      </c>
      <c r="B8622" t="str">
        <f ca="1">IFERROR(__xludf.DUMMYFUNCTION("""COMPUTED_VALUE"""),"RF-00000595-PAR")</f>
        <v>RF-00000595-PAR</v>
      </c>
    </row>
    <row r="8623" spans="1:2" ht="12.5" x14ac:dyDescent="0.25">
      <c r="A8623" t="str">
        <f ca="1">IFERROR(__xludf.DUMMYFUNCTION("""COMPUTED_VALUE"""),"TEM-89")</f>
        <v>TEM-89</v>
      </c>
      <c r="B8623" t="str">
        <f ca="1">IFERROR(__xludf.DUMMYFUNCTION("""COMPUTED_VALUE"""),"RF-00000596-PAR")</f>
        <v>RF-00000596-PAR</v>
      </c>
    </row>
    <row r="8624" spans="1:2" ht="12.5" x14ac:dyDescent="0.25">
      <c r="A8624" t="str">
        <f ca="1">IFERROR(__xludf.DUMMYFUNCTION("""COMPUTED_VALUE"""),"TEM-9")</f>
        <v>TEM-9</v>
      </c>
      <c r="B8624" t="str">
        <f ca="1">IFERROR(__xludf.DUMMYFUNCTION("""COMPUTED_VALUE"""),"RF-00000516-PAR")</f>
        <v>RF-00000516-PAR</v>
      </c>
    </row>
    <row r="8625" spans="1:2" ht="12.5" x14ac:dyDescent="0.25">
      <c r="A8625" t="str">
        <f ca="1">IFERROR(__xludf.DUMMYFUNCTION("""COMPUTED_VALUE"""),"TEM-90")</f>
        <v>TEM-90</v>
      </c>
      <c r="B8625" t="str">
        <f ca="1">IFERROR(__xludf.DUMMYFUNCTION("""COMPUTED_VALUE"""),"RF-00000597-PAR")</f>
        <v>RF-00000597-PAR</v>
      </c>
    </row>
    <row r="8626" spans="1:2" ht="12.5" x14ac:dyDescent="0.25">
      <c r="A8626" t="str">
        <f ca="1">IFERROR(__xludf.DUMMYFUNCTION("""COMPUTED_VALUE"""),"TEM-91")</f>
        <v>TEM-91</v>
      </c>
      <c r="B8626" t="str">
        <f ca="1">IFERROR(__xludf.DUMMYFUNCTION("""COMPUTED_VALUE"""),"RF-00000598-PAR")</f>
        <v>RF-00000598-PAR</v>
      </c>
    </row>
    <row r="8627" spans="1:2" ht="12.5" x14ac:dyDescent="0.25">
      <c r="A8627" t="str">
        <f ca="1">IFERROR(__xludf.DUMMYFUNCTION("""COMPUTED_VALUE"""),"TEM-92")</f>
        <v>TEM-92</v>
      </c>
      <c r="B8627" t="str">
        <f ca="1">IFERROR(__xludf.DUMMYFUNCTION("""COMPUTED_VALUE"""),"RF-00000599-PAR")</f>
        <v>RF-00000599-PAR</v>
      </c>
    </row>
    <row r="8628" spans="1:2" ht="12.5" x14ac:dyDescent="0.25">
      <c r="A8628" t="str">
        <f ca="1">IFERROR(__xludf.DUMMYFUNCTION("""COMPUTED_VALUE"""),"TEM-93")</f>
        <v>TEM-93</v>
      </c>
      <c r="B8628" t="str">
        <f ca="1">IFERROR(__xludf.DUMMYFUNCTION("""COMPUTED_VALUE"""),"RF-00000600-PAR")</f>
        <v>RF-00000600-PAR</v>
      </c>
    </row>
    <row r="8629" spans="1:2" ht="12.5" x14ac:dyDescent="0.25">
      <c r="A8629" t="str">
        <f ca="1">IFERROR(__xludf.DUMMYFUNCTION("""COMPUTED_VALUE"""),"TEM-94")</f>
        <v>TEM-94</v>
      </c>
      <c r="B8629" t="str">
        <f ca="1">IFERROR(__xludf.DUMMYFUNCTION("""COMPUTED_VALUE"""),"RF-00000601-PAR")</f>
        <v>RF-00000601-PAR</v>
      </c>
    </row>
    <row r="8630" spans="1:2" ht="12.5" x14ac:dyDescent="0.25">
      <c r="A8630" t="str">
        <f ca="1">IFERROR(__xludf.DUMMYFUNCTION("""COMPUTED_VALUE"""),"TEM-95")</f>
        <v>TEM-95</v>
      </c>
      <c r="B8630" t="str">
        <f ca="1">IFERROR(__xludf.DUMMYFUNCTION("""COMPUTED_VALUE"""),"RF-00000602-PAR")</f>
        <v>RF-00000602-PAR</v>
      </c>
    </row>
    <row r="8631" spans="1:2" ht="12.5" x14ac:dyDescent="0.25">
      <c r="A8631" t="str">
        <f ca="1">IFERROR(__xludf.DUMMYFUNCTION("""COMPUTED_VALUE"""),"TEM-96")</f>
        <v>TEM-96</v>
      </c>
      <c r="B8631" t="str">
        <f ca="1">IFERROR(__xludf.DUMMYFUNCTION("""COMPUTED_VALUE"""),"RF-00000603-PAR")</f>
        <v>RF-00000603-PAR</v>
      </c>
    </row>
    <row r="8632" spans="1:2" ht="12.5" x14ac:dyDescent="0.25">
      <c r="A8632" t="str">
        <f ca="1">IFERROR(__xludf.DUMMYFUNCTION("""COMPUTED_VALUE"""),"TEM-97")</f>
        <v>TEM-97</v>
      </c>
      <c r="B8632" t="str">
        <f ca="1">IFERROR(__xludf.DUMMYFUNCTION("""COMPUTED_VALUE"""),"RF-00000604-PAR")</f>
        <v>RF-00000604-PAR</v>
      </c>
    </row>
    <row r="8633" spans="1:2" ht="12.5" x14ac:dyDescent="0.25">
      <c r="A8633" t="str">
        <f ca="1">IFERROR(__xludf.DUMMYFUNCTION("""COMPUTED_VALUE"""),"TEM-98")</f>
        <v>TEM-98</v>
      </c>
      <c r="B8633" t="str">
        <f ca="1">IFERROR(__xludf.DUMMYFUNCTION("""COMPUTED_VALUE"""),"RF-00000605-PAR")</f>
        <v>RF-00000605-PAR</v>
      </c>
    </row>
    <row r="8634" spans="1:2" ht="12.5" x14ac:dyDescent="0.25">
      <c r="A8634" t="str">
        <f ca="1">IFERROR(__xludf.DUMMYFUNCTION("""COMPUTED_VALUE"""),"TEM-99")</f>
        <v>TEM-99</v>
      </c>
      <c r="B8634" t="str">
        <f ca="1">IFERROR(__xludf.DUMMYFUNCTION("""COMPUTED_VALUE"""),"RF-00000606-PAR")</f>
        <v>RF-00000606-PAR</v>
      </c>
    </row>
    <row r="8635" spans="1:2" ht="12.5" x14ac:dyDescent="0.25">
      <c r="A8635" t="str">
        <f ca="1">IFERROR(__xludf.DUMMYFUNCTION("""COMPUTED_VALUE"""),"Temazepam")</f>
        <v>Temazepam</v>
      </c>
      <c r="B8635" t="str">
        <f ca="1">IFERROR(__xludf.DUMMYFUNCTION("""COMPUTED_VALUE"""),"RF-00000186-VET")</f>
        <v>RF-00000186-VET</v>
      </c>
    </row>
    <row r="8636" spans="1:2" ht="12.5" x14ac:dyDescent="0.25">
      <c r="A8636" t="str">
        <f ca="1">IFERROR(__xludf.DUMMYFUNCTION("""COMPUTED_VALUE"""),"Tembotrione")</f>
        <v>Tembotrione</v>
      </c>
      <c r="B8636" t="str">
        <f ca="1">IFERROR(__xludf.DUMMYFUNCTION("""COMPUTED_VALUE"""),"RF-0409-001-PPP")</f>
        <v>RF-0409-001-PPP</v>
      </c>
    </row>
    <row r="8637" spans="1:2" ht="12.5" x14ac:dyDescent="0.25">
      <c r="A8637" t="str">
        <f ca="1">IFERROR(__xludf.DUMMYFUNCTION("""COMPUTED_VALUE"""),"Temephos")</f>
        <v>Temephos</v>
      </c>
      <c r="B8637" t="str">
        <f ca="1">IFERROR(__xludf.DUMMYFUNCTION("""COMPUTED_VALUE"""),"RF-0911-001-PPP")</f>
        <v>RF-0911-001-PPP</v>
      </c>
    </row>
    <row r="8638" spans="1:2" ht="12.5" x14ac:dyDescent="0.25">
      <c r="A8638" t="str">
        <f ca="1">IFERROR(__xludf.DUMMYFUNCTION("""COMPUTED_VALUE"""),"Tentoxin")</f>
        <v>Tentoxin</v>
      </c>
      <c r="B8638" t="str">
        <f ca="1">IFERROR(__xludf.DUMMYFUNCTION("""COMPUTED_VALUE"""),"RF-00000372-TOX")</f>
        <v>RF-00000372-TOX</v>
      </c>
    </row>
    <row r="8639" spans="1:2" ht="12.5" x14ac:dyDescent="0.25">
      <c r="A8639" t="str">
        <f ca="1">IFERROR(__xludf.DUMMYFUNCTION("""COMPUTED_VALUE"""),"Tenuazonic acid")</f>
        <v>Tenuazonic acid</v>
      </c>
      <c r="B8639" t="str">
        <f ca="1">IFERROR(__xludf.DUMMYFUNCTION("""COMPUTED_VALUE"""),"RF-00000194-TOX")</f>
        <v>RF-00000194-TOX</v>
      </c>
    </row>
    <row r="8640" spans="1:2" ht="12.5" x14ac:dyDescent="0.25">
      <c r="A8640" t="str">
        <f ca="1">IFERROR(__xludf.DUMMYFUNCTION("""COMPUTED_VALUE"""),"TEPP")</f>
        <v>TEPP</v>
      </c>
      <c r="B8640" t="str">
        <f ca="1">IFERROR(__xludf.DUMMYFUNCTION("""COMPUTED_VALUE"""),"RF-0410-001-PPP")</f>
        <v>RF-0410-001-PPP</v>
      </c>
    </row>
    <row r="8641" spans="1:2" ht="12.5" x14ac:dyDescent="0.25">
      <c r="A8641" t="str">
        <f ca="1">IFERROR(__xludf.DUMMYFUNCTION("""COMPUTED_VALUE"""),"Tepraloxydim")</f>
        <v>Tepraloxydim</v>
      </c>
      <c r="B8641" t="str">
        <f ca="1">IFERROR(__xludf.DUMMYFUNCTION("""COMPUTED_VALUE"""),"RF-0411-001-PPP")</f>
        <v>RF-0411-001-PPP</v>
      </c>
    </row>
    <row r="8642" spans="1:2" ht="12.5" x14ac:dyDescent="0.25">
      <c r="A8642" t="str">
        <f ca="1">IFERROR(__xludf.DUMMYFUNCTION("""COMPUTED_VALUE"""),"TEQ Dioxin-like PCBs LB")</f>
        <v>TEQ Dioxin-like PCBs LB</v>
      </c>
      <c r="B8642" t="str">
        <f ca="1">IFERROR(__xludf.DUMMYFUNCTION("""COMPUTED_VALUE"""),"RF-00000463-ORG")</f>
        <v>RF-00000463-ORG</v>
      </c>
    </row>
    <row r="8643" spans="1:2" ht="12.5" x14ac:dyDescent="0.25">
      <c r="A8643" t="str">
        <f ca="1">IFERROR(__xludf.DUMMYFUNCTION("""COMPUTED_VALUE"""),"TEQ Dioxin-like PCBs MB")</f>
        <v>TEQ Dioxin-like PCBs MB</v>
      </c>
      <c r="B8643" t="str">
        <f ca="1">IFERROR(__xludf.DUMMYFUNCTION("""COMPUTED_VALUE"""),"RF-00000464-ORG")</f>
        <v>RF-00000464-ORG</v>
      </c>
    </row>
    <row r="8644" spans="1:2" ht="12.5" x14ac:dyDescent="0.25">
      <c r="A8644" t="str">
        <f ca="1">IFERROR(__xludf.DUMMYFUNCTION("""COMPUTED_VALUE"""),"TEQ Dioxin-like PCBs UB")</f>
        <v>TEQ Dioxin-like PCBs UB</v>
      </c>
      <c r="B8644" t="str">
        <f ca="1">IFERROR(__xludf.DUMMYFUNCTION("""COMPUTED_VALUE"""),"RF-00000465-ORG")</f>
        <v>RF-00000465-ORG</v>
      </c>
    </row>
    <row r="8645" spans="1:2" ht="12.5" x14ac:dyDescent="0.25">
      <c r="A8645" t="str">
        <f ca="1">IFERROR(__xludf.DUMMYFUNCTION("""COMPUTED_VALUE"""),"TEQ dioxins (PCDD and PCDF) LB")</f>
        <v>TEQ dioxins (PCDD and PCDF) LB</v>
      </c>
      <c r="B8645" t="str">
        <f ca="1">IFERROR(__xludf.DUMMYFUNCTION("""COMPUTED_VALUE"""),"RF-00000381-ORG")</f>
        <v>RF-00000381-ORG</v>
      </c>
    </row>
    <row r="8646" spans="1:2" ht="12.5" x14ac:dyDescent="0.25">
      <c r="A8646" t="str">
        <f ca="1">IFERROR(__xludf.DUMMYFUNCTION("""COMPUTED_VALUE"""),"TEQ dioxins (PCDD and PCDF) UB")</f>
        <v>TEQ dioxins (PCDD and PCDF) UB</v>
      </c>
      <c r="B8646" t="str">
        <f ca="1">IFERROR(__xludf.DUMMYFUNCTION("""COMPUTED_VALUE"""),"RF-00000382-ORG")</f>
        <v>RF-00000382-ORG</v>
      </c>
    </row>
    <row r="8647" spans="1:2" ht="12.5" x14ac:dyDescent="0.25">
      <c r="A8647" t="str">
        <f ca="1">IFERROR(__xludf.DUMMYFUNCTION("""COMPUTED_VALUE"""),"TEQ dioxins and dioxin-like PCBs LB")</f>
        <v>TEQ dioxins and dioxin-like PCBs LB</v>
      </c>
      <c r="B8647" t="str">
        <f ca="1">IFERROR(__xludf.DUMMYFUNCTION("""COMPUTED_VALUE"""),"RF-00000383-ORG")</f>
        <v>RF-00000383-ORG</v>
      </c>
    </row>
    <row r="8648" spans="1:2" ht="12.5" x14ac:dyDescent="0.25">
      <c r="A8648" t="str">
        <f ca="1">IFERROR(__xludf.DUMMYFUNCTION("""COMPUTED_VALUE"""),"TEQ Dioxins and dioxin-like PCBs MB")</f>
        <v>TEQ Dioxins and dioxin-like PCBs MB</v>
      </c>
      <c r="B8648" t="str">
        <f ca="1">IFERROR(__xludf.DUMMYFUNCTION("""COMPUTED_VALUE"""),"RF-00000466-ORG")</f>
        <v>RF-00000466-ORG</v>
      </c>
    </row>
    <row r="8649" spans="1:2" ht="12.5" x14ac:dyDescent="0.25">
      <c r="A8649" t="str">
        <f ca="1">IFERROR(__xludf.DUMMYFUNCTION("""COMPUTED_VALUE"""),"TEQ dioxins and dioxin-like PCBs UB")</f>
        <v>TEQ dioxins and dioxin-like PCBs UB</v>
      </c>
      <c r="B8649" t="str">
        <f ca="1">IFERROR(__xludf.DUMMYFUNCTION("""COMPUTED_VALUE"""),"RF-00000395-ORG")</f>
        <v>RF-00000395-ORG</v>
      </c>
    </row>
    <row r="8650" spans="1:2" ht="12.5" x14ac:dyDescent="0.25">
      <c r="A8650" t="str">
        <f ca="1">IFERROR(__xludf.DUMMYFUNCTION("""COMPUTED_VALUE"""),"Terbacil")</f>
        <v>Terbacil</v>
      </c>
      <c r="B8650" t="str">
        <f ca="1">IFERROR(__xludf.DUMMYFUNCTION("""COMPUTED_VALUE"""),"RF-0912-001-PPP")</f>
        <v>RF-0912-001-PPP</v>
      </c>
    </row>
    <row r="8651" spans="1:2" ht="12.5" x14ac:dyDescent="0.25">
      <c r="A8651" t="str">
        <f ca="1">IFERROR(__xludf.DUMMYFUNCTION("""COMPUTED_VALUE"""),"Terbucarb")</f>
        <v>Terbucarb</v>
      </c>
      <c r="B8651" t="str">
        <f ca="1">IFERROR(__xludf.DUMMYFUNCTION("""COMPUTED_VALUE"""),"RF-0913-001-PPP")</f>
        <v>RF-0913-001-PPP</v>
      </c>
    </row>
    <row r="8652" spans="1:2" ht="12.5" x14ac:dyDescent="0.25">
      <c r="A8652" t="str">
        <f ca="1">IFERROR(__xludf.DUMMYFUNCTION("""COMPUTED_VALUE"""),"Terbufos")</f>
        <v>Terbufos</v>
      </c>
      <c r="B8652" t="str">
        <f ca="1">IFERROR(__xludf.DUMMYFUNCTION("""COMPUTED_VALUE"""),"RF-0412-002-PPP")</f>
        <v>RF-0412-002-PPP</v>
      </c>
    </row>
    <row r="8653" spans="1:2" ht="12.5" x14ac:dyDescent="0.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x14ac:dyDescent="0.25">
      <c r="A8654" t="str">
        <f ca="1">IFERROR(__xludf.DUMMYFUNCTION("""COMPUTED_VALUE"""),"Terbufos Sulfone")</f>
        <v>Terbufos Sulfone</v>
      </c>
      <c r="B8654" t="str">
        <f ca="1">IFERROR(__xludf.DUMMYFUNCTION("""COMPUTED_VALUE"""),"RF-0412-003-PPP")</f>
        <v>RF-0412-003-PPP</v>
      </c>
    </row>
    <row r="8655" spans="1:2" ht="12.5" x14ac:dyDescent="0.25">
      <c r="A8655" t="str">
        <f ca="1">IFERROR(__xludf.DUMMYFUNCTION("""COMPUTED_VALUE"""),"Terbufos Sulfoxide")</f>
        <v>Terbufos Sulfoxide</v>
      </c>
      <c r="B8655" t="str">
        <f ca="1">IFERROR(__xludf.DUMMYFUNCTION("""COMPUTED_VALUE"""),"RF-0412-004-PPP")</f>
        <v>RF-0412-004-PPP</v>
      </c>
    </row>
    <row r="8656" spans="1:2" ht="12.5" x14ac:dyDescent="0.25">
      <c r="A8656" t="str">
        <f ca="1">IFERROR(__xludf.DUMMYFUNCTION("""COMPUTED_VALUE"""),"Terbufos-oxon")</f>
        <v>Terbufos-oxon</v>
      </c>
      <c r="B8656" t="str">
        <f ca="1">IFERROR(__xludf.DUMMYFUNCTION("""COMPUTED_VALUE"""),"RF-0412-006-PPP")</f>
        <v>RF-0412-006-PPP</v>
      </c>
    </row>
    <row r="8657" spans="1:2" ht="12.5" x14ac:dyDescent="0.25">
      <c r="A8657" t="str">
        <f ca="1">IFERROR(__xludf.DUMMYFUNCTION("""COMPUTED_VALUE"""),"Terbufos-oxon-sulfone")</f>
        <v>Terbufos-oxon-sulfone</v>
      </c>
      <c r="B8657" t="str">
        <f ca="1">IFERROR(__xludf.DUMMYFUNCTION("""COMPUTED_VALUE"""),"RF-0412-005-PPP")</f>
        <v>RF-0412-005-PPP</v>
      </c>
    </row>
    <row r="8658" spans="1:2" ht="12.5" x14ac:dyDescent="0.25">
      <c r="A8658" t="str">
        <f ca="1">IFERROR(__xludf.DUMMYFUNCTION("""COMPUTED_VALUE"""),"Terbufos-oxon-sulfoxide")</f>
        <v>Terbufos-oxon-sulfoxide</v>
      </c>
      <c r="B8658" t="str">
        <f ca="1">IFERROR(__xludf.DUMMYFUNCTION("""COMPUTED_VALUE"""),"RF-0412-007-PPP")</f>
        <v>RF-0412-007-PPP</v>
      </c>
    </row>
    <row r="8659" spans="1:2" ht="12.5" x14ac:dyDescent="0.25">
      <c r="A8659" t="str">
        <f ca="1">IFERROR(__xludf.DUMMYFUNCTION("""COMPUTED_VALUE"""),"Terbumeton")</f>
        <v>Terbumeton</v>
      </c>
      <c r="B8659" t="str">
        <f ca="1">IFERROR(__xludf.DUMMYFUNCTION("""COMPUTED_VALUE"""),"RF-0916-001-PPP")</f>
        <v>RF-0916-001-PPP</v>
      </c>
    </row>
    <row r="8660" spans="1:2" ht="12.5" x14ac:dyDescent="0.25">
      <c r="A8660" t="str">
        <f ca="1">IFERROR(__xludf.DUMMYFUNCTION("""COMPUTED_VALUE"""),"Terbutaline")</f>
        <v>Terbutaline</v>
      </c>
      <c r="B8660" t="str">
        <f ca="1">IFERROR(__xludf.DUMMYFUNCTION("""COMPUTED_VALUE"""),"RF-00000487-VET")</f>
        <v>RF-00000487-VET</v>
      </c>
    </row>
    <row r="8661" spans="1:2" ht="12.5" x14ac:dyDescent="0.25">
      <c r="A8661" t="str">
        <f ca="1">IFERROR(__xludf.DUMMYFUNCTION("""COMPUTED_VALUE"""),"Terbuthylazine")</f>
        <v>Terbuthylazine</v>
      </c>
      <c r="B8661" t="str">
        <f ca="1">IFERROR(__xludf.DUMMYFUNCTION("""COMPUTED_VALUE"""),"RF-0413-001-PPP")</f>
        <v>RF-0413-001-PPP</v>
      </c>
    </row>
    <row r="8662" spans="1:2" ht="12.5" x14ac:dyDescent="0.25">
      <c r="A8662" t="str">
        <f ca="1">IFERROR(__xludf.DUMMYFUNCTION("""COMPUTED_VALUE"""),"Terbuthylazine, 2-Hydroxy-")</f>
        <v>Terbuthylazine, 2-Hydroxy-</v>
      </c>
      <c r="B8662" t="str">
        <f ca="1">IFERROR(__xludf.DUMMYFUNCTION("""COMPUTED_VALUE"""),"RF-0917-001-PPP")</f>
        <v>RF-0917-001-PPP</v>
      </c>
    </row>
    <row r="8663" spans="1:2" ht="12.5" x14ac:dyDescent="0.25">
      <c r="A8663" t="str">
        <f ca="1">IFERROR(__xludf.DUMMYFUNCTION("""COMPUTED_VALUE"""),"Terbuthylazine, Desethyl-")</f>
        <v>Terbuthylazine, Desethyl-</v>
      </c>
      <c r="B8663" t="str">
        <f ca="1">IFERROR(__xludf.DUMMYFUNCTION("""COMPUTED_VALUE"""),"RF-0918-001-PPP")</f>
        <v>RF-0918-001-PPP</v>
      </c>
    </row>
    <row r="8664" spans="1:2" ht="12.5" x14ac:dyDescent="0.25">
      <c r="A8664" t="str">
        <f ca="1">IFERROR(__xludf.DUMMYFUNCTION("""COMPUTED_VALUE"""),"Terbutryn")</f>
        <v>Terbutryn</v>
      </c>
      <c r="B8664" t="str">
        <f ca="1">IFERROR(__xludf.DUMMYFUNCTION("""COMPUTED_VALUE"""),"RF-0919-001-PPP")</f>
        <v>RF-0919-001-PPP</v>
      </c>
    </row>
    <row r="8665" spans="1:2" ht="12.5" x14ac:dyDescent="0.25">
      <c r="A8665" t="str">
        <f ca="1">IFERROR(__xludf.DUMMYFUNCTION("""COMPUTED_VALUE"""),"Ternidazole")</f>
        <v>Ternidazole</v>
      </c>
      <c r="B8665" t="str">
        <f ca="1">IFERROR(__xludf.DUMMYFUNCTION("""COMPUTED_VALUE"""),"RF-00000084-VET")</f>
        <v>RF-00000084-VET</v>
      </c>
    </row>
    <row r="8666" spans="1:2" ht="12.5" x14ac:dyDescent="0.25">
      <c r="A8666" t="str">
        <f ca="1">IFERROR(__xludf.DUMMYFUNCTION("""COMPUTED_VALUE"""),"Tertiary-butyl hydroquinone (TBHQ)")</f>
        <v>Tertiary-butyl hydroquinone (TBHQ)</v>
      </c>
      <c r="B8666" t="str">
        <f ca="1">IFERROR(__xludf.DUMMYFUNCTION("""COMPUTED_VALUE"""),"RF-00000332-ADD")</f>
        <v>RF-00000332-ADD</v>
      </c>
    </row>
    <row r="8667" spans="1:2" ht="12.5" x14ac:dyDescent="0.25">
      <c r="A8667" t="str">
        <f ca="1">IFERROR(__xludf.DUMMYFUNCTION("""COMPUTED_VALUE"""),"Testosterone 17-chloral Hemiacetate")</f>
        <v>Testosterone 17-chloral Hemiacetate</v>
      </c>
      <c r="B8667" t="str">
        <f ca="1">IFERROR(__xludf.DUMMYFUNCTION("""COMPUTED_VALUE"""),"RF-00000421-VET")</f>
        <v>RF-00000421-VET</v>
      </c>
    </row>
    <row r="8668" spans="1:2" ht="12.5" x14ac:dyDescent="0.25">
      <c r="A8668" t="str">
        <f ca="1">IFERROR(__xludf.DUMMYFUNCTION("""COMPUTED_VALUE"""),"Testosterone acetate")</f>
        <v>Testosterone acetate</v>
      </c>
      <c r="B8668" t="str">
        <f ca="1">IFERROR(__xludf.DUMMYFUNCTION("""COMPUTED_VALUE"""),"RF-00000420-VET")</f>
        <v>RF-00000420-VET</v>
      </c>
    </row>
    <row r="8669" spans="1:2" ht="12.5" x14ac:dyDescent="0.25">
      <c r="A8669" t="str">
        <f ca="1">IFERROR(__xludf.DUMMYFUNCTION("""COMPUTED_VALUE"""),"Testosterone cypionate")</f>
        <v>Testosterone cypionate</v>
      </c>
      <c r="B8669" t="str">
        <f ca="1">IFERROR(__xludf.DUMMYFUNCTION("""COMPUTED_VALUE"""),"RF-00000419-VET")</f>
        <v>RF-00000419-VET</v>
      </c>
    </row>
    <row r="8670" spans="1:2" ht="12.5" x14ac:dyDescent="0.25">
      <c r="A8670" t="str">
        <f ca="1">IFERROR(__xludf.DUMMYFUNCTION("""COMPUTED_VALUE"""),"Testosterone decanoate (Testosteronecaprinate)")</f>
        <v>Testosterone decanoate (Testosteronecaprinate)</v>
      </c>
      <c r="B8670" t="str">
        <f ca="1">IFERROR(__xludf.DUMMYFUNCTION("""COMPUTED_VALUE"""),"RF-00000418-VET")</f>
        <v>RF-00000418-VET</v>
      </c>
    </row>
    <row r="8671" spans="1:2" ht="12.5" x14ac:dyDescent="0.25">
      <c r="A8671" t="str">
        <f ca="1">IFERROR(__xludf.DUMMYFUNCTION("""COMPUTED_VALUE"""),"Testosterone isocaproate")</f>
        <v>Testosterone isocaproate</v>
      </c>
      <c r="B8671" t="str">
        <f ca="1">IFERROR(__xludf.DUMMYFUNCTION("""COMPUTED_VALUE"""),"RF-00000417-VET")</f>
        <v>RF-00000417-VET</v>
      </c>
    </row>
    <row r="8672" spans="1:2" ht="12.5" x14ac:dyDescent="0.25">
      <c r="A8672" t="str">
        <f ca="1">IFERROR(__xludf.DUMMYFUNCTION("""COMPUTED_VALUE"""),"Testosterone nanthate")</f>
        <v>Testosterone nanthate</v>
      </c>
      <c r="B8672" t="str">
        <f ca="1">IFERROR(__xludf.DUMMYFUNCTION("""COMPUTED_VALUE"""),"RF-00000416-VET")</f>
        <v>RF-00000416-VET</v>
      </c>
    </row>
    <row r="8673" spans="1:2" ht="12.5" x14ac:dyDescent="0.25">
      <c r="A8673" t="str">
        <f ca="1">IFERROR(__xludf.DUMMYFUNCTION("""COMPUTED_VALUE"""),"Testosterone nicotinate")</f>
        <v>Testosterone nicotinate</v>
      </c>
      <c r="B8673" t="str">
        <f ca="1">IFERROR(__xludf.DUMMYFUNCTION("""COMPUTED_VALUE"""),"RF-00000401-VET")</f>
        <v>RF-00000401-VET</v>
      </c>
    </row>
    <row r="8674" spans="1:2" ht="12.5" x14ac:dyDescent="0.25">
      <c r="A8674" t="str">
        <f ca="1">IFERROR(__xludf.DUMMYFUNCTION("""COMPUTED_VALUE"""),"Testosterone phenylacetate")</f>
        <v>Testosterone phenylacetate</v>
      </c>
      <c r="B8674" t="str">
        <f ca="1">IFERROR(__xludf.DUMMYFUNCTION("""COMPUTED_VALUE"""),"RF-00000414-VET")</f>
        <v>RF-00000414-VET</v>
      </c>
    </row>
    <row r="8675" spans="1:2" ht="12.5" x14ac:dyDescent="0.25">
      <c r="A8675" t="str">
        <f ca="1">IFERROR(__xludf.DUMMYFUNCTION("""COMPUTED_VALUE"""),"Testosterone phenylpropionate")</f>
        <v>Testosterone phenylpropionate</v>
      </c>
      <c r="B8675" t="str">
        <f ca="1">IFERROR(__xludf.DUMMYFUNCTION("""COMPUTED_VALUE"""),"RF-00000427-VET")</f>
        <v>RF-00000427-VET</v>
      </c>
    </row>
    <row r="8676" spans="1:2" ht="12.5" x14ac:dyDescent="0.25">
      <c r="A8676" t="str">
        <f ca="1">IFERROR(__xludf.DUMMYFUNCTION("""COMPUTED_VALUE"""),"Testosterone propionate")</f>
        <v>Testosterone propionate</v>
      </c>
      <c r="B8676" t="str">
        <f ca="1">IFERROR(__xludf.DUMMYFUNCTION("""COMPUTED_VALUE"""),"RF-00000412-VET")</f>
        <v>RF-00000412-VET</v>
      </c>
    </row>
    <row r="8677" spans="1:2" ht="12.5" x14ac:dyDescent="0.25">
      <c r="A8677" t="str">
        <f ca="1">IFERROR(__xludf.DUMMYFUNCTION("""COMPUTED_VALUE"""),"Testosterone-17-Alpha")</f>
        <v>Testosterone-17-Alpha</v>
      </c>
      <c r="B8677" t="str">
        <f ca="1">IFERROR(__xludf.DUMMYFUNCTION("""COMPUTED_VALUE"""),"RF-00000411-VET")</f>
        <v>RF-00000411-VET</v>
      </c>
    </row>
    <row r="8678" spans="1:2" ht="12.5" x14ac:dyDescent="0.25">
      <c r="A8678" t="str">
        <f ca="1">IFERROR(__xludf.DUMMYFUNCTION("""COMPUTED_VALUE"""),"Testosterone-17-Beta")</f>
        <v>Testosterone-17-Beta</v>
      </c>
      <c r="B8678" t="str">
        <f ca="1">IFERROR(__xludf.DUMMYFUNCTION("""COMPUTED_VALUE"""),"RF-00000410-VET")</f>
        <v>RF-00000410-VET</v>
      </c>
    </row>
    <row r="8679" spans="1:2" ht="12.5" x14ac:dyDescent="0.25">
      <c r="A8679" t="str">
        <f ca="1">IFERROR(__xludf.DUMMYFUNCTION("""COMPUTED_VALUE"""),"Testosterone-Dehydrochloromethyl")</f>
        <v>Testosterone-Dehydrochloromethyl</v>
      </c>
      <c r="B8679" t="str">
        <f ca="1">IFERROR(__xludf.DUMMYFUNCTION("""COMPUTED_VALUE"""),"RF-00000409-VET")</f>
        <v>RF-00000409-VET</v>
      </c>
    </row>
    <row r="8680" spans="1:2" ht="12.5" x14ac:dyDescent="0.25">
      <c r="A8680" t="str">
        <f ca="1">IFERROR(__xludf.DUMMYFUNCTION("""COMPUTED_VALUE"""),"Tetrabromobisphenol-A")</f>
        <v>Tetrabromobisphenol-A</v>
      </c>
      <c r="B8680" t="str">
        <f ca="1">IFERROR(__xludf.DUMMYFUNCTION("""COMPUTED_VALUE"""),"RF-00000075-ORG")</f>
        <v>RF-00000075-ORG</v>
      </c>
    </row>
    <row r="8681" spans="1:2" ht="12.5" x14ac:dyDescent="0.25">
      <c r="A8681" t="str">
        <f ca="1">IFERROR(__xludf.DUMMYFUNCTION("""COMPUTED_VALUE"""),"Tetrachlorethylene")</f>
        <v>Tetrachlorethylene</v>
      </c>
      <c r="B8681" t="str">
        <f ca="1">IFERROR(__xludf.DUMMYFUNCTION("""COMPUTED_VALUE"""),"RF-00000034-ORG")</f>
        <v>RF-00000034-ORG</v>
      </c>
    </row>
    <row r="8682" spans="1:2" ht="12.5" x14ac:dyDescent="0.25">
      <c r="A8682" t="str">
        <f ca="1">IFERROR(__xludf.DUMMYFUNCTION("""COMPUTED_VALUE"""),"Tetrachloroaniline, 2,3,4,5-")</f>
        <v>Tetrachloroaniline, 2,3,4,5-</v>
      </c>
      <c r="B8682" t="str">
        <f ca="1">IFERROR(__xludf.DUMMYFUNCTION("""COMPUTED_VALUE"""),"RF-1075-001-PPP")</f>
        <v>RF-1075-001-PPP</v>
      </c>
    </row>
    <row r="8683" spans="1:2" ht="12.5" x14ac:dyDescent="0.25">
      <c r="A8683" t="str">
        <f ca="1">IFERROR(__xludf.DUMMYFUNCTION("""COMPUTED_VALUE"""),"Tetrachloroanilline, 2,3,5,6-")</f>
        <v>Tetrachloroanilline, 2,3,5,6-</v>
      </c>
      <c r="B8683" t="str">
        <f ca="1">IFERROR(__xludf.DUMMYFUNCTION("""COMPUTED_VALUE"""),"RF-1075-002-PPP")</f>
        <v>RF-1075-002-PPP</v>
      </c>
    </row>
    <row r="8684" spans="1:2" ht="12.5" x14ac:dyDescent="0.25">
      <c r="A8684" t="str">
        <f ca="1">IFERROR(__xludf.DUMMYFUNCTION("""COMPUTED_VALUE"""),"Tetrachlorvinphos")</f>
        <v>Tetrachlorvinphos</v>
      </c>
      <c r="B8684" t="str">
        <f ca="1">IFERROR(__xludf.DUMMYFUNCTION("""COMPUTED_VALUE"""),"RF-0920-001-PPP")</f>
        <v>RF-0920-001-PPP</v>
      </c>
    </row>
    <row r="8685" spans="1:2" ht="12.5" x14ac:dyDescent="0.25">
      <c r="A8685" t="str">
        <f ca="1">IFERROR(__xludf.DUMMYFUNCTION("""COMPUTED_VALUE"""),"Tetraconazole")</f>
        <v>Tetraconazole</v>
      </c>
      <c r="B8685" t="str">
        <f ca="1">IFERROR(__xludf.DUMMYFUNCTION("""COMPUTED_VALUE"""),"RF-0414-001-PPP")</f>
        <v>RF-0414-001-PPP</v>
      </c>
    </row>
    <row r="8686" spans="1:2" ht="12.5" x14ac:dyDescent="0.25">
      <c r="A8686" t="str">
        <f ca="1">IFERROR(__xludf.DUMMYFUNCTION("""COMPUTED_VALUE"""),"Tetracycline")</f>
        <v>Tetracycline</v>
      </c>
      <c r="B8686" t="str">
        <f ca="1">IFERROR(__xludf.DUMMYFUNCTION("""COMPUTED_VALUE"""),"RF-00000670-VET")</f>
        <v>RF-00000670-VET</v>
      </c>
    </row>
    <row r="8687" spans="1:2" ht="12.5" x14ac:dyDescent="0.25">
      <c r="A8687" t="str">
        <f ca="1">IFERROR(__xludf.DUMMYFUNCTION("""COMPUTED_VALUE"""),"Tetracyclines")</f>
        <v>Tetracyclines</v>
      </c>
      <c r="B8687" t="str">
        <f ca="1">IFERROR(__xludf.DUMMYFUNCTION("""COMPUTED_VALUE"""),"RF-00000672-VET")</f>
        <v>RF-00000672-VET</v>
      </c>
    </row>
    <row r="8688" spans="1:2" ht="12.5" x14ac:dyDescent="0.25">
      <c r="A8688" t="str">
        <f ca="1">IFERROR(__xludf.DUMMYFUNCTION("""COMPUTED_VALUE"""),"Tetradifon")</f>
        <v>Tetradifon</v>
      </c>
      <c r="B8688" t="str">
        <f ca="1">IFERROR(__xludf.DUMMYFUNCTION("""COMPUTED_VALUE"""),"RF-0415-001-PPP")</f>
        <v>RF-0415-001-PPP</v>
      </c>
    </row>
    <row r="8689" spans="1:2" ht="12.5" x14ac:dyDescent="0.25">
      <c r="A8689" t="str">
        <f ca="1">IFERROR(__xludf.DUMMYFUNCTION("""COMPUTED_VALUE"""),"Tetrahydrophthalimide")</f>
        <v>Tetrahydrophthalimide</v>
      </c>
      <c r="B8689" t="str">
        <f ca="1">IFERROR(__xludf.DUMMYFUNCTION("""COMPUTED_VALUE"""),"RF-0921-001-PPP")</f>
        <v>RF-0921-001-PPP</v>
      </c>
    </row>
    <row r="8690" spans="1:2" ht="12.5" x14ac:dyDescent="0.25">
      <c r="A8690" t="str">
        <f ca="1">IFERROR(__xludf.DUMMYFUNCTION("""COMPUTED_VALUE"""),"Tetramethrin")</f>
        <v>Tetramethrin</v>
      </c>
      <c r="B8690" t="str">
        <f ca="1">IFERROR(__xludf.DUMMYFUNCTION("""COMPUTED_VALUE"""),"RF-00000157-VET")</f>
        <v>RF-00000157-VET</v>
      </c>
    </row>
    <row r="8691" spans="1:2" ht="12.5" x14ac:dyDescent="0.25">
      <c r="A8691" t="str">
        <f ca="1">IFERROR(__xludf.DUMMYFUNCTION("""COMPUTED_VALUE"""),"Tetramethrin")</f>
        <v>Tetramethrin</v>
      </c>
      <c r="B8691" t="str">
        <f ca="1">IFERROR(__xludf.DUMMYFUNCTION("""COMPUTED_VALUE"""),"RF-0922-001-PPP")</f>
        <v>RF-0922-001-PPP</v>
      </c>
    </row>
    <row r="8692" spans="1:2" ht="12.5" x14ac:dyDescent="0.25">
      <c r="A8692" t="str">
        <f ca="1">IFERROR(__xludf.DUMMYFUNCTION("""COMPUTED_VALUE"""),"Tetramisol")</f>
        <v>Tetramisol</v>
      </c>
      <c r="B8692" t="str">
        <f ca="1">IFERROR(__xludf.DUMMYFUNCTION("""COMPUTED_VALUE"""),"RF-00000009-VET")</f>
        <v>RF-00000009-VET</v>
      </c>
    </row>
    <row r="8693" spans="1:2" ht="12.5" x14ac:dyDescent="0.25">
      <c r="A8693" t="str">
        <f ca="1">IFERROR(__xludf.DUMMYFUNCTION("""COMPUTED_VALUE"""),"Tetrasul")</f>
        <v>Tetrasul</v>
      </c>
      <c r="B8693" t="str">
        <f ca="1">IFERROR(__xludf.DUMMYFUNCTION("""COMPUTED_VALUE"""),"RF-0923-001-PPP")</f>
        <v>RF-0923-001-PPP</v>
      </c>
    </row>
    <row r="8694" spans="1:2" ht="12.5" x14ac:dyDescent="0.25">
      <c r="A8694" t="str">
        <f ca="1">IFERROR(__xludf.DUMMYFUNCTION("""COMPUTED_VALUE"""),"Thallium (Tl)")</f>
        <v>Thallium (Tl)</v>
      </c>
      <c r="B8694" t="str">
        <f ca="1">IFERROR(__xludf.DUMMYFUNCTION("""COMPUTED_VALUE"""),"RF-00000191-CHE")</f>
        <v>RF-00000191-CHE</v>
      </c>
    </row>
    <row r="8695" spans="1:2" ht="12.5" x14ac:dyDescent="0.25">
      <c r="A8695" t="str">
        <f ca="1">IFERROR(__xludf.DUMMYFUNCTION("""COMPUTED_VALUE"""),"Thallium and derivatives")</f>
        <v>Thallium and derivatives</v>
      </c>
      <c r="B8695" t="str">
        <f ca="1">IFERROR(__xludf.DUMMYFUNCTION("""COMPUTED_VALUE"""),"RF-00000190-CHE")</f>
        <v>RF-00000190-CHE</v>
      </c>
    </row>
    <row r="8696" spans="1:2" ht="12.5" x14ac:dyDescent="0.25">
      <c r="A8696" t="str">
        <f ca="1">IFERROR(__xludf.DUMMYFUNCTION("""COMPUTED_VALUE"""),"Thaumatin")</f>
        <v>Thaumatin</v>
      </c>
      <c r="B8696" t="str">
        <f ca="1">IFERROR(__xludf.DUMMYFUNCTION("""COMPUTED_VALUE"""),"RF-00000333-ADD")</f>
        <v>RF-00000333-ADD</v>
      </c>
    </row>
    <row r="8697" spans="1:2" ht="12.5" x14ac:dyDescent="0.25">
      <c r="A8697" t="str">
        <f ca="1">IFERROR(__xludf.DUMMYFUNCTION("""COMPUTED_VALUE"""),"Thebaine")</f>
        <v>Thebaine</v>
      </c>
      <c r="B8697" t="str">
        <f ca="1">IFERROR(__xludf.DUMMYFUNCTION("""COMPUTED_VALUE"""),"RF-00000254-TOX")</f>
        <v>RF-00000254-TOX</v>
      </c>
    </row>
    <row r="8698" spans="1:2" ht="12.5" x14ac:dyDescent="0.25">
      <c r="A8698" t="str">
        <f ca="1">IFERROR(__xludf.DUMMYFUNCTION("""COMPUTED_VALUE"""),"Theileria")</f>
        <v>Theileria</v>
      </c>
      <c r="B8698" t="str">
        <f ca="1">IFERROR(__xludf.DUMMYFUNCTION("""COMPUTED_VALUE"""),"RF-00002770-MCG")</f>
        <v>RF-00002770-MCG</v>
      </c>
    </row>
    <row r="8699" spans="1:2" ht="12.5" x14ac:dyDescent="0.25">
      <c r="A8699" t="str">
        <f ca="1">IFERROR(__xludf.DUMMYFUNCTION("""COMPUTED_VALUE"""),"Theileria annulata")</f>
        <v>Theileria annulata</v>
      </c>
      <c r="B8699" t="str">
        <f ca="1">IFERROR(__xludf.DUMMYFUNCTION("""COMPUTED_VALUE"""),"RF-00002772-MCG")</f>
        <v>RF-00002772-MCG</v>
      </c>
    </row>
    <row r="8700" spans="1:2" ht="12.5" x14ac:dyDescent="0.25">
      <c r="A8700" t="str">
        <f ca="1">IFERROR(__xludf.DUMMYFUNCTION("""COMPUTED_VALUE"""),"Theileria buffeli")</f>
        <v>Theileria buffeli</v>
      </c>
      <c r="B8700" t="str">
        <f ca="1">IFERROR(__xludf.DUMMYFUNCTION("""COMPUTED_VALUE"""),"RF-00002773-MCG")</f>
        <v>RF-00002773-MCG</v>
      </c>
    </row>
    <row r="8701" spans="1:2" ht="12.5" x14ac:dyDescent="0.25">
      <c r="A8701" t="str">
        <f ca="1">IFERROR(__xludf.DUMMYFUNCTION("""COMPUTED_VALUE"""),"Theileria cervi")</f>
        <v>Theileria cervi</v>
      </c>
      <c r="B8701" t="str">
        <f ca="1">IFERROR(__xludf.DUMMYFUNCTION("""COMPUTED_VALUE"""),"RF-00002774-MCG")</f>
        <v>RF-00002774-MCG</v>
      </c>
    </row>
    <row r="8702" spans="1:2" ht="12.5" x14ac:dyDescent="0.25">
      <c r="A8702" t="str">
        <f ca="1">IFERROR(__xludf.DUMMYFUNCTION("""COMPUTED_VALUE"""),"Theileria equi")</f>
        <v>Theileria equi</v>
      </c>
      <c r="B8702" t="str">
        <f ca="1">IFERROR(__xludf.DUMMYFUNCTION("""COMPUTED_VALUE"""),"RF-00003923-MCG")</f>
        <v>RF-00003923-MCG</v>
      </c>
    </row>
    <row r="8703" spans="1:2" ht="12.5" x14ac:dyDescent="0.25">
      <c r="A8703" t="str">
        <f ca="1">IFERROR(__xludf.DUMMYFUNCTION("""COMPUTED_VALUE"""),"Theileria hirci")</f>
        <v>Theileria hirci</v>
      </c>
      <c r="B8703" t="str">
        <f ca="1">IFERROR(__xludf.DUMMYFUNCTION("""COMPUTED_VALUE"""),"RF-00002775-MCG")</f>
        <v>RF-00002775-MCG</v>
      </c>
    </row>
    <row r="8704" spans="1:2" ht="12.5" x14ac:dyDescent="0.25">
      <c r="A8704" t="str">
        <f ca="1">IFERROR(__xludf.DUMMYFUNCTION("""COMPUTED_VALUE"""),"Theileria lawrencei")</f>
        <v>Theileria lawrencei</v>
      </c>
      <c r="B8704" t="str">
        <f ca="1">IFERROR(__xludf.DUMMYFUNCTION("""COMPUTED_VALUE"""),"RF-00002776-MCG")</f>
        <v>RF-00002776-MCG</v>
      </c>
    </row>
    <row r="8705" spans="1:2" ht="12.5" x14ac:dyDescent="0.25">
      <c r="A8705" t="str">
        <f ca="1">IFERROR(__xludf.DUMMYFUNCTION("""COMPUTED_VALUE"""),"Theileria lestoquardi")</f>
        <v>Theileria lestoquardi</v>
      </c>
      <c r="B8705" t="str">
        <f ca="1">IFERROR(__xludf.DUMMYFUNCTION("""COMPUTED_VALUE"""),"RF-00003922-MCG")</f>
        <v>RF-00003922-MCG</v>
      </c>
    </row>
    <row r="8706" spans="1:2" ht="12.5" x14ac:dyDescent="0.25">
      <c r="A8706" t="str">
        <f ca="1">IFERROR(__xludf.DUMMYFUNCTION("""COMPUTED_VALUE"""),"Theileria mutans")</f>
        <v>Theileria mutans</v>
      </c>
      <c r="B8706" t="str">
        <f ca="1">IFERROR(__xludf.DUMMYFUNCTION("""COMPUTED_VALUE"""),"RF-00002777-MCG")</f>
        <v>RF-00002777-MCG</v>
      </c>
    </row>
    <row r="8707" spans="1:2" ht="12.5" x14ac:dyDescent="0.25">
      <c r="A8707" t="str">
        <f ca="1">IFERROR(__xludf.DUMMYFUNCTION("""COMPUTED_VALUE"""),"Theileria orientalis")</f>
        <v>Theileria orientalis</v>
      </c>
      <c r="B8707" t="str">
        <f ca="1">IFERROR(__xludf.DUMMYFUNCTION("""COMPUTED_VALUE"""),"RF-00002778-MCG")</f>
        <v>RF-00002778-MCG</v>
      </c>
    </row>
    <row r="8708" spans="1:2" ht="12.5" x14ac:dyDescent="0.25">
      <c r="A8708" t="str">
        <f ca="1">IFERROR(__xludf.DUMMYFUNCTION("""COMPUTED_VALUE"""),"Theileria ovis")</f>
        <v>Theileria ovis</v>
      </c>
      <c r="B8708" t="str">
        <f ca="1">IFERROR(__xludf.DUMMYFUNCTION("""COMPUTED_VALUE"""),"RF-00002779-MCG")</f>
        <v>RF-00002779-MCG</v>
      </c>
    </row>
    <row r="8709" spans="1:2" ht="12.5" x14ac:dyDescent="0.25">
      <c r="A8709" t="str">
        <f ca="1">IFERROR(__xludf.DUMMYFUNCTION("""COMPUTED_VALUE"""),"Theileria parva")</f>
        <v>Theileria parva</v>
      </c>
      <c r="B8709" t="str">
        <f ca="1">IFERROR(__xludf.DUMMYFUNCTION("""COMPUTED_VALUE"""),"RF-00002780-MCG")</f>
        <v>RF-00002780-MCG</v>
      </c>
    </row>
    <row r="8710" spans="1:2" ht="12.5" x14ac:dyDescent="0.25">
      <c r="A8710" t="str">
        <f ca="1">IFERROR(__xludf.DUMMYFUNCTION("""COMPUTED_VALUE"""),"Theileria recondita")</f>
        <v>Theileria recondita</v>
      </c>
      <c r="B8710" t="str">
        <f ca="1">IFERROR(__xludf.DUMMYFUNCTION("""COMPUTED_VALUE"""),"RF-00002781-MCG")</f>
        <v>RF-00002781-MCG</v>
      </c>
    </row>
    <row r="8711" spans="1:2" ht="12.5" x14ac:dyDescent="0.25">
      <c r="A8711" t="str">
        <f ca="1">IFERROR(__xludf.DUMMYFUNCTION("""COMPUTED_VALUE"""),"Theileria sergenti")</f>
        <v>Theileria sergenti</v>
      </c>
      <c r="B8711" t="str">
        <f ca="1">IFERROR(__xludf.DUMMYFUNCTION("""COMPUTED_VALUE"""),"RF-00002782-MCG")</f>
        <v>RF-00002782-MCG</v>
      </c>
    </row>
    <row r="8712" spans="1:2" ht="12.5" x14ac:dyDescent="0.25">
      <c r="A8712" t="str">
        <f ca="1">IFERROR(__xludf.DUMMYFUNCTION("""COMPUTED_VALUE"""),"Theileria spp., unidentified")</f>
        <v>Theileria spp., unidentified</v>
      </c>
      <c r="B8712" t="str">
        <f ca="1">IFERROR(__xludf.DUMMYFUNCTION("""COMPUTED_VALUE"""),"RF-00002771-MCG")</f>
        <v>RF-00002771-MCG</v>
      </c>
    </row>
    <row r="8713" spans="1:2" ht="12.5" x14ac:dyDescent="0.25">
      <c r="A8713" t="str">
        <f ca="1">IFERROR(__xludf.DUMMYFUNCTION("""COMPUTED_VALUE"""),"Theileria taurotragi")</f>
        <v>Theileria taurotragi</v>
      </c>
      <c r="B8713" t="str">
        <f ca="1">IFERROR(__xludf.DUMMYFUNCTION("""COMPUTED_VALUE"""),"RF-00002783-MCG")</f>
        <v>RF-00002783-MCG</v>
      </c>
    </row>
    <row r="8714" spans="1:2" ht="12.5" x14ac:dyDescent="0.25">
      <c r="A8714" t="str">
        <f ca="1">IFERROR(__xludf.DUMMYFUNCTION("""COMPUTED_VALUE"""),"Theileria velifera")</f>
        <v>Theileria velifera</v>
      </c>
      <c r="B8714" t="str">
        <f ca="1">IFERROR(__xludf.DUMMYFUNCTION("""COMPUTED_VALUE"""),"RF-00002784-MCG")</f>
        <v>RF-00002784-MCG</v>
      </c>
    </row>
    <row r="8715" spans="1:2" ht="12.5" x14ac:dyDescent="0.25">
      <c r="A8715" t="str">
        <f ca="1">IFERROR(__xludf.DUMMYFUNCTION("""COMPUTED_VALUE"""),"Thenylchlor")</f>
        <v>Thenylchlor</v>
      </c>
      <c r="B8715" t="str">
        <f ca="1">IFERROR(__xludf.DUMMYFUNCTION("""COMPUTED_VALUE"""),"RF-0924-001-PPP")</f>
        <v>RF-0924-001-PPP</v>
      </c>
    </row>
    <row r="8716" spans="1:2" ht="12.5" x14ac:dyDescent="0.25">
      <c r="A8716" t="str">
        <f ca="1">IFERROR(__xludf.DUMMYFUNCTION("""COMPUTED_VALUE"""),"Theobromine")</f>
        <v>Theobromine</v>
      </c>
      <c r="B8716" t="str">
        <f ca="1">IFERROR(__xludf.DUMMYFUNCTION("""COMPUTED_VALUE"""),"RF-00000334-TOX")</f>
        <v>RF-00000334-TOX</v>
      </c>
    </row>
    <row r="8717" spans="1:2" ht="12.5" x14ac:dyDescent="0.25">
      <c r="A8717" t="str">
        <f ca="1">IFERROR(__xludf.DUMMYFUNCTION("""COMPUTED_VALUE"""),"theobromine")</f>
        <v>theobromine</v>
      </c>
      <c r="B8717" t="str">
        <f ca="1">IFERROR(__xludf.DUMMYFUNCTION("""COMPUTED_VALUE"""),"RF-00000410-NTR")</f>
        <v>RF-00000410-NTR</v>
      </c>
    </row>
    <row r="8718" spans="1:2" ht="12.5" x14ac:dyDescent="0.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x14ac:dyDescent="0.25">
      <c r="A8719" t="str">
        <f ca="1">IFERROR(__xludf.DUMMYFUNCTION("""COMPUTED_VALUE"""),"Thermophilic Campylobacter spp., unspecified")</f>
        <v>Thermophilic Campylobacter spp., unspecified</v>
      </c>
      <c r="B8719" t="str">
        <f ca="1">IFERROR(__xludf.DUMMYFUNCTION("""COMPUTED_VALUE"""),"RF-00000052-MCG")</f>
        <v>RF-00000052-MCG</v>
      </c>
    </row>
    <row r="8720" spans="1:2" ht="12.5" x14ac:dyDescent="0.25">
      <c r="A8720" t="str">
        <f ca="1">IFERROR(__xludf.DUMMYFUNCTION("""COMPUTED_VALUE"""),"Thiabendazole")</f>
        <v>Thiabendazole</v>
      </c>
      <c r="B8720" t="str">
        <f ca="1">IFERROR(__xludf.DUMMYFUNCTION("""COMPUTED_VALUE"""),"RF-00000044-VET")</f>
        <v>RF-00000044-VET</v>
      </c>
    </row>
    <row r="8721" spans="1:2" ht="12.5" x14ac:dyDescent="0.25">
      <c r="A8721" t="str">
        <f ca="1">IFERROR(__xludf.DUMMYFUNCTION("""COMPUTED_VALUE"""),"Thiabendazole")</f>
        <v>Thiabendazole</v>
      </c>
      <c r="B8721" t="str">
        <f ca="1">IFERROR(__xludf.DUMMYFUNCTION("""COMPUTED_VALUE"""),"RF-0416-001-PPP")</f>
        <v>RF-0416-001-PPP</v>
      </c>
    </row>
    <row r="8722" spans="1:2" ht="12.5" x14ac:dyDescent="0.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x14ac:dyDescent="0.25">
      <c r="A8723" t="str">
        <f ca="1">IFERROR(__xludf.DUMMYFUNCTION("""COMPUTED_VALUE"""),"Thiabendazole-5-Hydroxy")</f>
        <v>Thiabendazole-5-Hydroxy</v>
      </c>
      <c r="B8723" t="str">
        <f ca="1">IFERROR(__xludf.DUMMYFUNCTION("""COMPUTED_VALUE"""),"RF-00000050-VET")</f>
        <v>RF-00000050-VET</v>
      </c>
    </row>
    <row r="8724" spans="1:2" ht="12.5" x14ac:dyDescent="0.25">
      <c r="A8724" t="str">
        <f ca="1">IFERROR(__xludf.DUMMYFUNCTION("""COMPUTED_VALUE"""),"Thiabendazole, 5-Hydroxy-")</f>
        <v>Thiabendazole, 5-Hydroxy-</v>
      </c>
      <c r="B8724" t="str">
        <f ca="1">IFERROR(__xludf.DUMMYFUNCTION("""COMPUTED_VALUE"""),"RF-0926-001-PPP")</f>
        <v>RF-0926-001-PPP</v>
      </c>
    </row>
    <row r="8725" spans="1:2" ht="12.5" x14ac:dyDescent="0.25">
      <c r="A8725" t="str">
        <f ca="1">IFERROR(__xludf.DUMMYFUNCTION("""COMPUTED_VALUE"""),"Thiacloprid")</f>
        <v>Thiacloprid</v>
      </c>
      <c r="B8725" t="str">
        <f ca="1">IFERROR(__xludf.DUMMYFUNCTION("""COMPUTED_VALUE"""),"RF-0417-001-PPP")</f>
        <v>RF-0417-001-PPP</v>
      </c>
    </row>
    <row r="8726" spans="1:2" ht="12.5" x14ac:dyDescent="0.25">
      <c r="A8726" t="str">
        <f ca="1">IFERROR(__xludf.DUMMYFUNCTION("""COMPUTED_VALUE"""),"Thiametoxam")</f>
        <v>Thiametoxam</v>
      </c>
      <c r="B8726" t="str">
        <f ca="1">IFERROR(__xludf.DUMMYFUNCTION("""COMPUTED_VALUE"""),"RF-0418-001-PPP")</f>
        <v>RF-0418-001-PPP</v>
      </c>
    </row>
    <row r="8727" spans="1:2" ht="12.5" x14ac:dyDescent="0.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x14ac:dyDescent="0.25">
      <c r="A8728" t="str">
        <f ca="1">IFERROR(__xludf.DUMMYFUNCTION("""COMPUTED_VALUE"""),"thiamin")</f>
        <v>thiamin</v>
      </c>
      <c r="B8728" t="str">
        <f ca="1">IFERROR(__xludf.DUMMYFUNCTION("""COMPUTED_VALUE"""),"RF-00000411-NTR")</f>
        <v>RF-00000411-NTR</v>
      </c>
    </row>
    <row r="8729" spans="1:2" ht="12.5" x14ac:dyDescent="0.25">
      <c r="A8729" t="str">
        <f ca="1">IFERROR(__xludf.DUMMYFUNCTION("""COMPUTED_VALUE"""),"Thiamphenicol")</f>
        <v>Thiamphenicol</v>
      </c>
      <c r="B8729" t="str">
        <f ca="1">IFERROR(__xludf.DUMMYFUNCTION("""COMPUTED_VALUE"""),"RF-00000555-VET")</f>
        <v>RF-00000555-VET</v>
      </c>
    </row>
    <row r="8730" spans="1:2" ht="12.5" x14ac:dyDescent="0.25">
      <c r="A8730" t="str">
        <f ca="1">IFERROR(__xludf.DUMMYFUNCTION("""COMPUTED_VALUE"""),"Thiazafluron")</f>
        <v>Thiazafluron</v>
      </c>
      <c r="B8730" t="str">
        <f ca="1">IFERROR(__xludf.DUMMYFUNCTION("""COMPUTED_VALUE"""),"RF-0927-001-PPP")</f>
        <v>RF-0927-001-PPP</v>
      </c>
    </row>
    <row r="8731" spans="1:2" ht="12.5" x14ac:dyDescent="0.25">
      <c r="A8731" t="str">
        <f ca="1">IFERROR(__xludf.DUMMYFUNCTION("""COMPUTED_VALUE"""),"Thiazopyr")</f>
        <v>Thiazopyr</v>
      </c>
      <c r="B8731" t="str">
        <f ca="1">IFERROR(__xludf.DUMMYFUNCTION("""COMPUTED_VALUE"""),"RF-0928-001-PPP")</f>
        <v>RF-0928-001-PPP</v>
      </c>
    </row>
    <row r="8732" spans="1:2" ht="12.5" x14ac:dyDescent="0.25">
      <c r="A8732" t="str">
        <f ca="1">IFERROR(__xludf.DUMMYFUNCTION("""COMPUTED_VALUE"""),"Thidiazuron")</f>
        <v>Thidiazuron</v>
      </c>
      <c r="B8732" t="str">
        <f ca="1">IFERROR(__xludf.DUMMYFUNCTION("""COMPUTED_VALUE"""),"RF-0929-001-PPP")</f>
        <v>RF-0929-001-PPP</v>
      </c>
    </row>
    <row r="8733" spans="1:2" ht="12.5" x14ac:dyDescent="0.25">
      <c r="A8733" t="str">
        <f ca="1">IFERROR(__xludf.DUMMYFUNCTION("""COMPUTED_VALUE"""),"Thifensulfuron")</f>
        <v>Thifensulfuron</v>
      </c>
      <c r="B8733" t="str">
        <f ca="1">IFERROR(__xludf.DUMMYFUNCTION("""COMPUTED_VALUE"""),"RF-0930-001-PPP")</f>
        <v>RF-0930-001-PPP</v>
      </c>
    </row>
    <row r="8734" spans="1:2" ht="12.5" x14ac:dyDescent="0.25">
      <c r="A8734" t="str">
        <f ca="1">IFERROR(__xludf.DUMMYFUNCTION("""COMPUTED_VALUE"""),"Thifensulfuron-methyl")</f>
        <v>Thifensulfuron-methyl</v>
      </c>
      <c r="B8734" t="str">
        <f ca="1">IFERROR(__xludf.DUMMYFUNCTION("""COMPUTED_VALUE"""),"RF-0419-001-PPP")</f>
        <v>RF-0419-001-PPP</v>
      </c>
    </row>
    <row r="8735" spans="1:2" ht="12.5" x14ac:dyDescent="0.25">
      <c r="A8735" t="str">
        <f ca="1">IFERROR(__xludf.DUMMYFUNCTION("""COMPUTED_VALUE"""),"Thifluzamide")</f>
        <v>Thifluzamide</v>
      </c>
      <c r="B8735" t="str">
        <f ca="1">IFERROR(__xludf.DUMMYFUNCTION("""COMPUTED_VALUE"""),"RF-0931-001-PPP")</f>
        <v>RF-0931-001-PPP</v>
      </c>
    </row>
    <row r="8736" spans="1:2" ht="12.5" x14ac:dyDescent="0.25">
      <c r="A8736" t="str">
        <f ca="1">IFERROR(__xludf.DUMMYFUNCTION("""COMPUTED_VALUE"""),"Thiobencarb")</f>
        <v>Thiobencarb</v>
      </c>
      <c r="B8736" t="str">
        <f ca="1">IFERROR(__xludf.DUMMYFUNCTION("""COMPUTED_VALUE"""),"RF-0420-001-PPP")</f>
        <v>RF-0420-001-PPP</v>
      </c>
    </row>
    <row r="8737" spans="1:2" ht="12.5" x14ac:dyDescent="0.25">
      <c r="A8737" t="str">
        <f ca="1">IFERROR(__xludf.DUMMYFUNCTION("""COMPUTED_VALUE"""),"Thiocyclam")</f>
        <v>Thiocyclam</v>
      </c>
      <c r="B8737" t="str">
        <f ca="1">IFERROR(__xludf.DUMMYFUNCTION("""COMPUTED_VALUE"""),"RF-0932-001-PPP")</f>
        <v>RF-0932-001-PPP</v>
      </c>
    </row>
    <row r="8738" spans="1:2" ht="12.5" x14ac:dyDescent="0.25">
      <c r="A8738" t="str">
        <f ca="1">IFERROR(__xludf.DUMMYFUNCTION("""COMPUTED_VALUE"""),"Thiocyclam hydrogen oxalate")</f>
        <v>Thiocyclam hydrogen oxalate</v>
      </c>
      <c r="B8738" t="str">
        <f ca="1">IFERROR(__xludf.DUMMYFUNCTION("""COMPUTED_VALUE"""),"RF-1076-001-PPP")</f>
        <v>RF-1076-001-PPP</v>
      </c>
    </row>
    <row r="8739" spans="1:2" ht="12.5" x14ac:dyDescent="0.25">
      <c r="A8739" t="str">
        <f ca="1">IFERROR(__xludf.DUMMYFUNCTION("""COMPUTED_VALUE"""),"Thiodicarb")</f>
        <v>Thiodicarb</v>
      </c>
      <c r="B8739" t="str">
        <f ca="1">IFERROR(__xludf.DUMMYFUNCTION("""COMPUTED_VALUE"""),"RF-00000137-VET")</f>
        <v>RF-00000137-VET</v>
      </c>
    </row>
    <row r="8740" spans="1:2" ht="12.5" x14ac:dyDescent="0.25">
      <c r="A8740" t="str">
        <f ca="1">IFERROR(__xludf.DUMMYFUNCTION("""COMPUTED_VALUE"""),"Thiodicarb")</f>
        <v>Thiodicarb</v>
      </c>
      <c r="B8740" t="str">
        <f ca="1">IFERROR(__xludf.DUMMYFUNCTION("""COMPUTED_VALUE"""),"RF-0293-002-PPP")</f>
        <v>RF-0293-002-PPP</v>
      </c>
    </row>
    <row r="8741" spans="1:2" ht="12.5" x14ac:dyDescent="0.25">
      <c r="A8741" t="str">
        <f ca="1">IFERROR(__xludf.DUMMYFUNCTION("""COMPUTED_VALUE"""),"Thiofanox")</f>
        <v>Thiofanox</v>
      </c>
      <c r="B8741" t="str">
        <f ca="1">IFERROR(__xludf.DUMMYFUNCTION("""COMPUTED_VALUE"""),"RF-0933-001-PPP")</f>
        <v>RF-0933-001-PPP</v>
      </c>
    </row>
    <row r="8742" spans="1:2" ht="12.5" x14ac:dyDescent="0.25">
      <c r="A8742" t="str">
        <f ca="1">IFERROR(__xludf.DUMMYFUNCTION("""COMPUTED_VALUE"""),"Thiofanox-Sulfon")</f>
        <v>Thiofanox-Sulfon</v>
      </c>
      <c r="B8742" t="str">
        <f ca="1">IFERROR(__xludf.DUMMYFUNCTION("""COMPUTED_VALUE"""),"RF-0934-001-PPP")</f>
        <v>RF-0934-001-PPP</v>
      </c>
    </row>
    <row r="8743" spans="1:2" ht="12.5" x14ac:dyDescent="0.25">
      <c r="A8743" t="str">
        <f ca="1">IFERROR(__xludf.DUMMYFUNCTION("""COMPUTED_VALUE"""),"Thiofanox-Sulfoxid")</f>
        <v>Thiofanox-Sulfoxid</v>
      </c>
      <c r="B8743" t="str">
        <f ca="1">IFERROR(__xludf.DUMMYFUNCTION("""COMPUTED_VALUE"""),"RF-0935-001-PPP")</f>
        <v>RF-0935-001-PPP</v>
      </c>
    </row>
    <row r="8744" spans="1:2" ht="12.5" x14ac:dyDescent="0.25">
      <c r="A8744" t="str">
        <f ca="1">IFERROR(__xludf.DUMMYFUNCTION("""COMPUTED_VALUE"""),"Thiomethon sulphone")</f>
        <v>Thiomethon sulphone</v>
      </c>
      <c r="B8744" t="str">
        <f ca="1">IFERROR(__xludf.DUMMYFUNCTION("""COMPUTED_VALUE"""),"RF-0976-001-PPP")</f>
        <v>RF-0976-001-PPP</v>
      </c>
    </row>
    <row r="8745" spans="1:2" ht="12.5" x14ac:dyDescent="0.25">
      <c r="A8745" t="str">
        <f ca="1">IFERROR(__xludf.DUMMYFUNCTION("""COMPUTED_VALUE"""),"Thiometon")</f>
        <v>Thiometon</v>
      </c>
      <c r="B8745" t="str">
        <f ca="1">IFERROR(__xludf.DUMMYFUNCTION("""COMPUTED_VALUE"""),"RF-0936-001-PPP")</f>
        <v>RF-0936-001-PPP</v>
      </c>
    </row>
    <row r="8746" spans="1:2" ht="12.5" x14ac:dyDescent="0.25">
      <c r="A8746" t="str">
        <f ca="1">IFERROR(__xludf.DUMMYFUNCTION("""COMPUTED_VALUE"""),"Thiometon sulfoxide")</f>
        <v>Thiometon sulfoxide</v>
      </c>
      <c r="B8746" t="str">
        <f ca="1">IFERROR(__xludf.DUMMYFUNCTION("""COMPUTED_VALUE"""),"RF-1077-001-PPP")</f>
        <v>RF-1077-001-PPP</v>
      </c>
    </row>
    <row r="8747" spans="1:2" ht="12.5" x14ac:dyDescent="0.25">
      <c r="A8747" t="str">
        <f ca="1">IFERROR(__xludf.DUMMYFUNCTION("""COMPUTED_VALUE"""),"Thionazin")</f>
        <v>Thionazin</v>
      </c>
      <c r="B8747" t="str">
        <f ca="1">IFERROR(__xludf.DUMMYFUNCTION("""COMPUTED_VALUE"""),"RF-0937-001-PPP")</f>
        <v>RF-0937-001-PPP</v>
      </c>
    </row>
    <row r="8748" spans="1:2" ht="12.5" x14ac:dyDescent="0.25">
      <c r="A8748" t="str">
        <f ca="1">IFERROR(__xludf.DUMMYFUNCTION("""COMPUTED_VALUE"""),"Thiophanate-Ethyl")</f>
        <v>Thiophanate-Ethyl</v>
      </c>
      <c r="B8748" t="str">
        <f ca="1">IFERROR(__xludf.DUMMYFUNCTION("""COMPUTED_VALUE"""),"RF-0938-001-PPP")</f>
        <v>RF-0938-001-PPP</v>
      </c>
    </row>
    <row r="8749" spans="1:2" ht="12.5" x14ac:dyDescent="0.25">
      <c r="A8749" t="str">
        <f ca="1">IFERROR(__xludf.DUMMYFUNCTION("""COMPUTED_VALUE"""),"Thiophanate-methyl")</f>
        <v>Thiophanate-methyl</v>
      </c>
      <c r="B8749" t="str">
        <f ca="1">IFERROR(__xludf.DUMMYFUNCTION("""COMPUTED_VALUE"""),"RF-0422-001-PPP")</f>
        <v>RF-0422-001-PPP</v>
      </c>
    </row>
    <row r="8750" spans="1:2" ht="12.5" x14ac:dyDescent="0.25">
      <c r="A8750" t="str">
        <f ca="1">IFERROR(__xludf.DUMMYFUNCTION("""COMPUTED_VALUE"""),"Thioquinox")</f>
        <v>Thioquinox</v>
      </c>
      <c r="B8750" t="str">
        <f ca="1">IFERROR(__xludf.DUMMYFUNCTION("""COMPUTED_VALUE"""),"RF-0939-001-PPP")</f>
        <v>RF-0939-001-PPP</v>
      </c>
    </row>
    <row r="8751" spans="1:2" ht="12.5" x14ac:dyDescent="0.25">
      <c r="A8751" t="str">
        <f ca="1">IFERROR(__xludf.DUMMYFUNCTION("""COMPUTED_VALUE"""),"Thiosultap")</f>
        <v>Thiosultap</v>
      </c>
      <c r="B8751" t="str">
        <f ca="1">IFERROR(__xludf.DUMMYFUNCTION("""COMPUTED_VALUE"""),"RF-0940-001-PPP")</f>
        <v>RF-0940-001-PPP</v>
      </c>
    </row>
    <row r="8752" spans="1:2" ht="12.5" x14ac:dyDescent="0.25">
      <c r="A8752" t="str">
        <f ca="1">IFERROR(__xludf.DUMMYFUNCTION("""COMPUTED_VALUE"""),"Thiouracil")</f>
        <v>Thiouracil</v>
      </c>
      <c r="B8752" t="str">
        <f ca="1">IFERROR(__xludf.DUMMYFUNCTION("""COMPUTED_VALUE"""),"RF-00000299-VET")</f>
        <v>RF-00000299-VET</v>
      </c>
    </row>
    <row r="8753" spans="1:2" ht="12.5" x14ac:dyDescent="0.25">
      <c r="A8753" t="str">
        <f ca="1">IFERROR(__xludf.DUMMYFUNCTION("""COMPUTED_VALUE"""),"Thiourea")</f>
        <v>Thiourea</v>
      </c>
      <c r="B8753" t="str">
        <f ca="1">IFERROR(__xludf.DUMMYFUNCTION("""COMPUTED_VALUE"""),"RF-00000307-VET")</f>
        <v>RF-00000307-VET</v>
      </c>
    </row>
    <row r="8754" spans="1:2" ht="12.5" x14ac:dyDescent="0.25">
      <c r="A8754" t="str">
        <f ca="1">IFERROR(__xludf.DUMMYFUNCTION("""COMPUTED_VALUE"""),"Thiram (expressed as thiram)")</f>
        <v>Thiram (expressed as thiram)</v>
      </c>
      <c r="B8754" t="str">
        <f ca="1">IFERROR(__xludf.DUMMYFUNCTION("""COMPUTED_VALUE"""),"RF-0423-001-PPP")</f>
        <v>RF-0423-001-PPP</v>
      </c>
    </row>
    <row r="8755" spans="1:2" ht="12.5" x14ac:dyDescent="0.25">
      <c r="A8755" t="str">
        <f ca="1">IFERROR(__xludf.DUMMYFUNCTION("""COMPUTED_VALUE"""),"threonine")</f>
        <v>threonine</v>
      </c>
      <c r="B8755" t="str">
        <f ca="1">IFERROR(__xludf.DUMMYFUNCTION("""COMPUTED_VALUE"""),"RF-00000412-NTR")</f>
        <v>RF-00000412-NTR</v>
      </c>
    </row>
    <row r="8756" spans="1:2" ht="12.5" x14ac:dyDescent="0.25">
      <c r="A8756" t="str">
        <f ca="1">IFERROR(__xludf.DUMMYFUNCTION("""COMPUTED_VALUE"""),"Thymol")</f>
        <v>Thymol</v>
      </c>
      <c r="B8756" t="str">
        <f ca="1">IFERROR(__xludf.DUMMYFUNCTION("""COMPUTED_VALUE"""),"RF-0941-001-PPP")</f>
        <v>RF-0941-001-PPP</v>
      </c>
    </row>
    <row r="8757" spans="1:2" ht="12.5" x14ac:dyDescent="0.25">
      <c r="A8757" t="str">
        <f ca="1">IFERROR(__xludf.DUMMYFUNCTION("""COMPUTED_VALUE"""),"Tiamulin")</f>
        <v>Tiamulin</v>
      </c>
      <c r="B8757" t="str">
        <f ca="1">IFERROR(__xludf.DUMMYFUNCTION("""COMPUTED_VALUE"""),"RF-00000582-VET")</f>
        <v>RF-00000582-VET</v>
      </c>
    </row>
    <row r="8758" spans="1:2" ht="12.5" x14ac:dyDescent="0.25">
      <c r="A8758" t="str">
        <f ca="1">IFERROR(__xludf.DUMMYFUNCTION("""COMPUTED_VALUE"""),"Tick-borne encephalitis virus (TBE)")</f>
        <v>Tick-borne encephalitis virus (TBE)</v>
      </c>
      <c r="B8758" t="str">
        <f ca="1">IFERROR(__xludf.DUMMYFUNCTION("""COMPUTED_VALUE"""),"RF-00000218-MCG")</f>
        <v>RF-00000218-MCG</v>
      </c>
    </row>
    <row r="8759" spans="1:2" ht="12.5" x14ac:dyDescent="0.25">
      <c r="A8759" t="str">
        <f ca="1">IFERROR(__xludf.DUMMYFUNCTION("""COMPUTED_VALUE"""),"Tigecycline")</f>
        <v>Tigecycline</v>
      </c>
      <c r="B8759" t="str">
        <f ca="1">IFERROR(__xludf.DUMMYFUNCTION("""COMPUTED_VALUE"""),"RF-00000745-VET")</f>
        <v>RF-00000745-VET</v>
      </c>
    </row>
    <row r="8760" spans="1:2" ht="12.5" x14ac:dyDescent="0.25">
      <c r="A8760" t="str">
        <f ca="1">IFERROR(__xludf.DUMMYFUNCTION("""COMPUTED_VALUE"""),"Tilmicosin")</f>
        <v>Tilmicosin</v>
      </c>
      <c r="B8760" t="str">
        <f ca="1">IFERROR(__xludf.DUMMYFUNCTION("""COMPUTED_VALUE"""),"RF-00000584-VET")</f>
        <v>RF-00000584-VET</v>
      </c>
    </row>
    <row r="8761" spans="1:2" ht="12.5" x14ac:dyDescent="0.25">
      <c r="A8761" t="str">
        <f ca="1">IFERROR(__xludf.DUMMYFUNCTION("""COMPUTED_VALUE"""),"Tin (II) chloride")</f>
        <v>Tin (II) chloride</v>
      </c>
      <c r="B8761" t="str">
        <f ca="1">IFERROR(__xludf.DUMMYFUNCTION("""COMPUTED_VALUE"""),"RF-00000254-CHE")</f>
        <v>RF-00000254-CHE</v>
      </c>
    </row>
    <row r="8762" spans="1:2" ht="12.5" x14ac:dyDescent="0.25">
      <c r="A8762" t="str">
        <f ca="1">IFERROR(__xludf.DUMMYFUNCTION("""COMPUTED_VALUE"""),"Tin (II) difluoroborate")</f>
        <v>Tin (II) difluoroborate</v>
      </c>
      <c r="B8762" t="str">
        <f ca="1">IFERROR(__xludf.DUMMYFUNCTION("""COMPUTED_VALUE"""),"RF-00000264-CHE")</f>
        <v>RF-00000264-CHE</v>
      </c>
    </row>
    <row r="8763" spans="1:2" ht="12.5" x14ac:dyDescent="0.25">
      <c r="A8763" t="str">
        <f ca="1">IFERROR(__xludf.DUMMYFUNCTION("""COMPUTED_VALUE"""),"Tin (II) fluoride")</f>
        <v>Tin (II) fluoride</v>
      </c>
      <c r="B8763" t="str">
        <f ca="1">IFERROR(__xludf.DUMMYFUNCTION("""COMPUTED_VALUE"""),"RF-00000259-CHE")</f>
        <v>RF-00000259-CHE</v>
      </c>
    </row>
    <row r="8764" spans="1:2" ht="12.5" x14ac:dyDescent="0.25">
      <c r="A8764" t="str">
        <f ca="1">IFERROR(__xludf.DUMMYFUNCTION("""COMPUTED_VALUE"""),"Tin (II) oxide")</f>
        <v>Tin (II) oxide</v>
      </c>
      <c r="B8764" t="str">
        <f ca="1">IFERROR(__xludf.DUMMYFUNCTION("""COMPUTED_VALUE"""),"RF-00000257-CHE")</f>
        <v>RF-00000257-CHE</v>
      </c>
    </row>
    <row r="8765" spans="1:2" ht="12.5" x14ac:dyDescent="0.25">
      <c r="A8765" t="str">
        <f ca="1">IFERROR(__xludf.DUMMYFUNCTION("""COMPUTED_VALUE"""),"Tin (II) pyrophosphate")</f>
        <v>Tin (II) pyrophosphate</v>
      </c>
      <c r="B8765" t="str">
        <f ca="1">IFERROR(__xludf.DUMMYFUNCTION("""COMPUTED_VALUE"""),"RF-00000265-CHE")</f>
        <v>RF-00000265-CHE</v>
      </c>
    </row>
    <row r="8766" spans="1:2" ht="12.5" x14ac:dyDescent="0.25">
      <c r="A8766" t="str">
        <f ca="1">IFERROR(__xludf.DUMMYFUNCTION("""COMPUTED_VALUE"""),"Tin (IV) chloride")</f>
        <v>Tin (IV) chloride</v>
      </c>
      <c r="B8766" t="str">
        <f ca="1">IFERROR(__xludf.DUMMYFUNCTION("""COMPUTED_VALUE"""),"RF-00000255-CHE")</f>
        <v>RF-00000255-CHE</v>
      </c>
    </row>
    <row r="8767" spans="1:2" ht="12.5" x14ac:dyDescent="0.25">
      <c r="A8767" t="str">
        <f ca="1">IFERROR(__xludf.DUMMYFUNCTION("""COMPUTED_VALUE"""),"Tin (IV) oxide")</f>
        <v>Tin (IV) oxide</v>
      </c>
      <c r="B8767" t="str">
        <f ca="1">IFERROR(__xludf.DUMMYFUNCTION("""COMPUTED_VALUE"""),"RF-00000258-CHE")</f>
        <v>RF-00000258-CHE</v>
      </c>
    </row>
    <row r="8768" spans="1:2" ht="12.5" x14ac:dyDescent="0.25">
      <c r="A8768" t="str">
        <f ca="1">IFERROR(__xludf.DUMMYFUNCTION("""COMPUTED_VALUE"""),"Tin (Sn) (Total)")</f>
        <v>Tin (Sn) (Total)</v>
      </c>
      <c r="B8768" t="str">
        <f ca="1">IFERROR(__xludf.DUMMYFUNCTION("""COMPUTED_VALUE"""),"RF-00000193-CHE")</f>
        <v>RF-00000193-CHE</v>
      </c>
    </row>
    <row r="8769" spans="1:2" ht="12.5" x14ac:dyDescent="0.25">
      <c r="A8769" t="str">
        <f ca="1">IFERROR(__xludf.DUMMYFUNCTION("""COMPUTED_VALUE"""),"Tin and derivatives")</f>
        <v>Tin and derivatives</v>
      </c>
      <c r="B8769" t="str">
        <f ca="1">IFERROR(__xludf.DUMMYFUNCTION("""COMPUTED_VALUE"""),"RF-00000192-CHE")</f>
        <v>RF-00000192-CHE</v>
      </c>
    </row>
    <row r="8770" spans="1:2" ht="12.5" x14ac:dyDescent="0.25">
      <c r="A8770" t="str">
        <f ca="1">IFERROR(__xludf.DUMMYFUNCTION("""COMPUTED_VALUE"""),"Tinidazole")</f>
        <v>Tinidazole</v>
      </c>
      <c r="B8770" t="str">
        <f ca="1">IFERROR(__xludf.DUMMYFUNCTION("""COMPUTED_VALUE"""),"RF-00000086-VET")</f>
        <v>RF-00000086-VET</v>
      </c>
    </row>
    <row r="8771" spans="1:2" ht="12.5" x14ac:dyDescent="0.25">
      <c r="A8771" t="str">
        <f ca="1">IFERROR(__xludf.DUMMYFUNCTION("""COMPUTED_VALUE"""),"Tiocarbazil")</f>
        <v>Tiocarbazil</v>
      </c>
      <c r="B8771" t="str">
        <f ca="1">IFERROR(__xludf.DUMMYFUNCTION("""COMPUTED_VALUE"""),"RF-0942-001-PPP")</f>
        <v>RF-0942-001-PPP</v>
      </c>
    </row>
    <row r="8772" spans="1:2" ht="12.5" x14ac:dyDescent="0.25">
      <c r="A8772" t="str">
        <f ca="1">IFERROR(__xludf.DUMMYFUNCTION("""COMPUTED_VALUE"""),"Titanium (Ti)")</f>
        <v>Titanium (Ti)</v>
      </c>
      <c r="B8772" t="str">
        <f ca="1">IFERROR(__xludf.DUMMYFUNCTION("""COMPUTED_VALUE"""),"RF-00000195-CHE")</f>
        <v>RF-00000195-CHE</v>
      </c>
    </row>
    <row r="8773" spans="1:2" ht="12.5" x14ac:dyDescent="0.25">
      <c r="A8773" t="str">
        <f ca="1">IFERROR(__xludf.DUMMYFUNCTION("""COMPUTED_VALUE"""),"Titanium and derivatives")</f>
        <v>Titanium and derivatives</v>
      </c>
      <c r="B8773" t="str">
        <f ca="1">IFERROR(__xludf.DUMMYFUNCTION("""COMPUTED_VALUE"""),"RF-00000194-CHE")</f>
        <v>RF-00000194-CHE</v>
      </c>
    </row>
    <row r="8774" spans="1:2" ht="12.5" x14ac:dyDescent="0.25">
      <c r="A8774" t="str">
        <f ca="1">IFERROR(__xludf.DUMMYFUNCTION("""COMPUTED_VALUE"""),"Titanium dioxide")</f>
        <v>Titanium dioxide</v>
      </c>
      <c r="B8774" t="str">
        <f ca="1">IFERROR(__xludf.DUMMYFUNCTION("""COMPUTED_VALUE"""),"RF-00000335-ADD")</f>
        <v>RF-00000335-ADD</v>
      </c>
    </row>
    <row r="8775" spans="1:2" ht="12.5" x14ac:dyDescent="0.25">
      <c r="A8775" t="str">
        <f ca="1">IFERROR(__xludf.DUMMYFUNCTION("""COMPUTED_VALUE"""),"Tobramycin")</f>
        <v>Tobramycin</v>
      </c>
      <c r="B8775" t="str">
        <f ca="1">IFERROR(__xludf.DUMMYFUNCTION("""COMPUTED_VALUE"""),"RF-00000704-VET")</f>
        <v>RF-00000704-VET</v>
      </c>
    </row>
    <row r="8776" spans="1:2" ht="12.5" x14ac:dyDescent="0.25">
      <c r="A8776" t="str">
        <f ca="1">IFERROR(__xludf.DUMMYFUNCTION("""COMPUTED_VALUE"""),"Tocopherol-rich extract")</f>
        <v>Tocopherol-rich extract</v>
      </c>
      <c r="B8776" t="str">
        <f ca="1">IFERROR(__xludf.DUMMYFUNCTION("""COMPUTED_VALUE"""),"RF-00000336-ADD")</f>
        <v>RF-00000336-ADD</v>
      </c>
    </row>
    <row r="8777" spans="1:2" ht="12.5" x14ac:dyDescent="0.25">
      <c r="A8777" t="str">
        <f ca="1">IFERROR(__xludf.DUMMYFUNCTION("""COMPUTED_VALUE"""),"tocopherols, total")</f>
        <v>tocopherols, total</v>
      </c>
      <c r="B8777" t="str">
        <f ca="1">IFERROR(__xludf.DUMMYFUNCTION("""COMPUTED_VALUE"""),"RF-00000413-NTR")</f>
        <v>RF-00000413-NTR</v>
      </c>
    </row>
    <row r="8778" spans="1:2" ht="12.5" x14ac:dyDescent="0.25">
      <c r="A8778" t="str">
        <f ca="1">IFERROR(__xludf.DUMMYFUNCTION("""COMPUTED_VALUE"""),"tocotrienols, total")</f>
        <v>tocotrienols, total</v>
      </c>
      <c r="B8778" t="str">
        <f ca="1">IFERROR(__xludf.DUMMYFUNCTION("""COMPUTED_VALUE"""),"RF-00000414-NTR")</f>
        <v>RF-00000414-NTR</v>
      </c>
    </row>
    <row r="8779" spans="1:2" ht="12.5" x14ac:dyDescent="0.25">
      <c r="A8779" t="str">
        <f ca="1">IFERROR(__xludf.DUMMYFUNCTION("""COMPUTED_VALUE"""),"Tolclofos-methyl")</f>
        <v>Tolclofos-methyl</v>
      </c>
      <c r="B8779" t="str">
        <f ca="1">IFERROR(__xludf.DUMMYFUNCTION("""COMPUTED_VALUE"""),"RF-0424-001-PPP")</f>
        <v>RF-0424-001-PPP</v>
      </c>
    </row>
    <row r="8780" spans="1:2" ht="12.5" x14ac:dyDescent="0.25">
      <c r="A8780" t="str">
        <f ca="1">IFERROR(__xludf.DUMMYFUNCTION("""COMPUTED_VALUE"""),"Tolfenamic acid")</f>
        <v>Tolfenamic acid</v>
      </c>
      <c r="B8780" t="str">
        <f ca="1">IFERROR(__xludf.DUMMYFUNCTION("""COMPUTED_VALUE"""),"RF-00000235-VET")</f>
        <v>RF-00000235-VET</v>
      </c>
    </row>
    <row r="8781" spans="1:2" ht="12.5" x14ac:dyDescent="0.25">
      <c r="A8781" t="str">
        <f ca="1">IFERROR(__xludf.DUMMYFUNCTION("""COMPUTED_VALUE"""),"Tolfenpyrad")</f>
        <v>Tolfenpyrad</v>
      </c>
      <c r="B8781" t="str">
        <f ca="1">IFERROR(__xludf.DUMMYFUNCTION("""COMPUTED_VALUE"""),"RF-0943-001-PPP")</f>
        <v>RF-0943-001-PPP</v>
      </c>
    </row>
    <row r="8782" spans="1:2" ht="12.5" x14ac:dyDescent="0.25">
      <c r="A8782" t="str">
        <f ca="1">IFERROR(__xludf.DUMMYFUNCTION("""COMPUTED_VALUE"""),"Tolmetin")</f>
        <v>Tolmetin</v>
      </c>
      <c r="B8782" t="str">
        <f ca="1">IFERROR(__xludf.DUMMYFUNCTION("""COMPUTED_VALUE"""),"RF-00000208-VET")</f>
        <v>RF-00000208-VET</v>
      </c>
    </row>
    <row r="8783" spans="1:2" ht="12.5" x14ac:dyDescent="0.25">
      <c r="A8783" t="str">
        <f ca="1">IFERROR(__xludf.DUMMYFUNCTION("""COMPUTED_VALUE"""),"Toltrazuril")</f>
        <v>Toltrazuril</v>
      </c>
      <c r="B8783" t="str">
        <f ca="1">IFERROR(__xludf.DUMMYFUNCTION("""COMPUTED_VALUE"""),"RF-00000064-VET")</f>
        <v>RF-00000064-VET</v>
      </c>
    </row>
    <row r="8784" spans="1:2" ht="12.5" x14ac:dyDescent="0.25">
      <c r="A8784" t="str">
        <f ca="1">IFERROR(__xludf.DUMMYFUNCTION("""COMPUTED_VALUE"""),"Toltrazuril sulfoxide")</f>
        <v>Toltrazuril sulfoxide</v>
      </c>
      <c r="B8784" t="str">
        <f ca="1">IFERROR(__xludf.DUMMYFUNCTION("""COMPUTED_VALUE"""),"RF-00000063-VET")</f>
        <v>RF-00000063-VET</v>
      </c>
    </row>
    <row r="8785" spans="1:2" ht="12.5" x14ac:dyDescent="0.25">
      <c r="A8785" t="str">
        <f ca="1">IFERROR(__xludf.DUMMYFUNCTION("""COMPUTED_VALUE"""),"Toltrazurilsulfon")</f>
        <v>Toltrazurilsulfon</v>
      </c>
      <c r="B8785" t="str">
        <f ca="1">IFERROR(__xludf.DUMMYFUNCTION("""COMPUTED_VALUE"""),"RF-00000061-VET")</f>
        <v>RF-00000061-VET</v>
      </c>
    </row>
    <row r="8786" spans="1:2" ht="12.5" x14ac:dyDescent="0.25">
      <c r="A8786" t="str">
        <f ca="1">IFERROR(__xludf.DUMMYFUNCTION("""COMPUTED_VALUE"""),"Tolylfluanid")</f>
        <v>Tolylfluanid</v>
      </c>
      <c r="B8786" t="str">
        <f ca="1">IFERROR(__xludf.DUMMYFUNCTION("""COMPUTED_VALUE"""),"RF-0425-002-PPP")</f>
        <v>RF-0425-002-PPP</v>
      </c>
    </row>
    <row r="8787" spans="1:2" ht="12.5" x14ac:dyDescent="0.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x14ac:dyDescent="0.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x14ac:dyDescent="0.25">
      <c r="A8789" t="str">
        <f ca="1">IFERROR(__xludf.DUMMYFUNCTION("""COMPUTED_VALUE"""),"Topramezone  (BAS 670H)")</f>
        <v>Topramezone  (BAS 670H)</v>
      </c>
      <c r="B8789" t="str">
        <f ca="1">IFERROR(__xludf.DUMMYFUNCTION("""COMPUTED_VALUE"""),"RF-0426-001-PPP")</f>
        <v>RF-0426-001-PPP</v>
      </c>
    </row>
    <row r="8790" spans="1:2" ht="12.5" x14ac:dyDescent="0.25">
      <c r="A8790" t="str">
        <f ca="1">IFERROR(__xludf.DUMMYFUNCTION("""COMPUTED_VALUE"""),"Total Arsenic")</f>
        <v>Total Arsenic</v>
      </c>
      <c r="B8790" t="str">
        <f ca="1">IFERROR(__xludf.DUMMYFUNCTION("""COMPUTED_VALUE"""),"RF-00000129-CHE")</f>
        <v>RF-00000129-CHE</v>
      </c>
    </row>
    <row r="8791" spans="1:2" ht="12.5" x14ac:dyDescent="0.25">
      <c r="A8791" t="str">
        <f ca="1">IFERROR(__xludf.DUMMYFUNCTION("""COMPUTED_VALUE"""),"Total boron")</f>
        <v>Total boron</v>
      </c>
      <c r="B8791" t="str">
        <f ca="1">IFERROR(__xludf.DUMMYFUNCTION("""COMPUTED_VALUE"""),"RF-00000148-CHE")</f>
        <v>RF-00000148-CHE</v>
      </c>
    </row>
    <row r="8792" spans="1:2" ht="12.5" x14ac:dyDescent="0.25">
      <c r="A8792" t="str">
        <f ca="1">IFERROR(__xludf.DUMMYFUNCTION("""COMPUTED_VALUE"""),"Total calcium")</f>
        <v>Total calcium</v>
      </c>
      <c r="B8792" t="str">
        <f ca="1">IFERROR(__xludf.DUMMYFUNCTION("""COMPUTED_VALUE"""),"RF-00000011-CHE")</f>
        <v>RF-00000011-CHE</v>
      </c>
    </row>
    <row r="8793" spans="1:2" ht="12.5" x14ac:dyDescent="0.25">
      <c r="A8793" t="str">
        <f ca="1">IFERROR(__xludf.DUMMYFUNCTION("""COMPUTED_VALUE"""),"Total Chromium")</f>
        <v>Total Chromium</v>
      </c>
      <c r="B8793" t="str">
        <f ca="1">IFERROR(__xludf.DUMMYFUNCTION("""COMPUTED_VALUE"""),"RF-00000154-CHE")</f>
        <v>RF-00000154-CHE</v>
      </c>
    </row>
    <row r="8794" spans="1:2" ht="12.5" x14ac:dyDescent="0.25">
      <c r="A8794" t="str">
        <f ca="1">IFERROR(__xludf.DUMMYFUNCTION("""COMPUTED_VALUE"""),"Total copper")</f>
        <v>Total copper</v>
      </c>
      <c r="B8794" t="str">
        <f ca="1">IFERROR(__xludf.DUMMYFUNCTION("""COMPUTED_VALUE"""),"RF-00000168-CHE")</f>
        <v>RF-00000168-CHE</v>
      </c>
    </row>
    <row r="8795" spans="1:2" ht="12.5" x14ac:dyDescent="0.25">
      <c r="A8795" t="str">
        <f ca="1">IFERROR(__xludf.DUMMYFUNCTION("""COMPUTED_VALUE"""),"Total iron")</f>
        <v>Total iron</v>
      </c>
      <c r="B8795" t="str">
        <f ca="1">IFERROR(__xludf.DUMMYFUNCTION("""COMPUTED_VALUE"""),"RF-00000165-CHE")</f>
        <v>RF-00000165-CHE</v>
      </c>
    </row>
    <row r="8796" spans="1:2" ht="12.5" x14ac:dyDescent="0.25">
      <c r="A8796" t="str">
        <f ca="1">IFERROR(__xludf.DUMMYFUNCTION("""COMPUTED_VALUE"""),"Total magnesium")</f>
        <v>Total magnesium</v>
      </c>
      <c r="B8796" t="str">
        <f ca="1">IFERROR(__xludf.DUMMYFUNCTION("""COMPUTED_VALUE"""),"RF-00000064-CHE")</f>
        <v>RF-00000064-CHE</v>
      </c>
    </row>
    <row r="8797" spans="1:2" ht="12.5" x14ac:dyDescent="0.25">
      <c r="A8797" t="str">
        <f ca="1">IFERROR(__xludf.DUMMYFUNCTION("""COMPUTED_VALUE"""),"Total manganese")</f>
        <v>Total manganese</v>
      </c>
      <c r="B8797" t="str">
        <f ca="1">IFERROR(__xludf.DUMMYFUNCTION("""COMPUTED_VALUE"""),"RF-00000177-CHE")</f>
        <v>RF-00000177-CHE</v>
      </c>
    </row>
    <row r="8798" spans="1:2" ht="12.5" x14ac:dyDescent="0.25">
      <c r="A8798" t="str">
        <f ca="1">IFERROR(__xludf.DUMMYFUNCTION("""COMPUTED_VALUE"""),"Total mercury")</f>
        <v>Total mercury</v>
      </c>
      <c r="B8798" t="str">
        <f ca="1">IFERROR(__xludf.DUMMYFUNCTION("""COMPUTED_VALUE"""),"RF-00000170-CHE")</f>
        <v>RF-00000170-CHE</v>
      </c>
    </row>
    <row r="8799" spans="1:2" ht="12.5" x14ac:dyDescent="0.25">
      <c r="A8799" t="str">
        <f ca="1">IFERROR(__xludf.DUMMYFUNCTION("""COMPUTED_VALUE"""),"Total Molybdenum")</f>
        <v>Total Molybdenum</v>
      </c>
      <c r="B8799" t="str">
        <f ca="1">IFERROR(__xludf.DUMMYFUNCTION("""COMPUTED_VALUE"""),"RF-00000180-CHE")</f>
        <v>RF-00000180-CHE</v>
      </c>
    </row>
    <row r="8800" spans="1:2" ht="12.5" x14ac:dyDescent="0.25">
      <c r="A8800" t="str">
        <f ca="1">IFERROR(__xludf.DUMMYFUNCTION("""COMPUTED_VALUE"""),"Total nitrogen")</f>
        <v>Total nitrogen</v>
      </c>
      <c r="B8800" t="str">
        <f ca="1">IFERROR(__xludf.DUMMYFUNCTION("""COMPUTED_VALUE"""),"RF-00000096-CHE")</f>
        <v>RF-00000096-CHE</v>
      </c>
    </row>
    <row r="8801" spans="1:2" ht="12.5" x14ac:dyDescent="0.25">
      <c r="A8801" t="str">
        <f ca="1">IFERROR(__xludf.DUMMYFUNCTION("""COMPUTED_VALUE"""),"Total Phosphorus")</f>
        <v>Total Phosphorus</v>
      </c>
      <c r="B8801" t="str">
        <f ca="1">IFERROR(__xludf.DUMMYFUNCTION("""COMPUTED_VALUE"""),"RF-00000045-CHE")</f>
        <v>RF-00000045-CHE</v>
      </c>
    </row>
    <row r="8802" spans="1:2" ht="12.5" x14ac:dyDescent="0.25">
      <c r="A8802" t="str">
        <f ca="1">IFERROR(__xludf.DUMMYFUNCTION("""COMPUTED_VALUE"""),"Total Potassium")</f>
        <v>Total Potassium</v>
      </c>
      <c r="B8802" t="str">
        <f ca="1">IFERROR(__xludf.DUMMYFUNCTION("""COMPUTED_VALUE"""),"RF-00000057-CHE")</f>
        <v>RF-00000057-CHE</v>
      </c>
    </row>
    <row r="8803" spans="1:2" ht="12.5" x14ac:dyDescent="0.25">
      <c r="A8803" t="str">
        <f ca="1">IFERROR(__xludf.DUMMYFUNCTION("""COMPUTED_VALUE"""),"Total Selenium")</f>
        <v>Total Selenium</v>
      </c>
      <c r="B8803" t="str">
        <f ca="1">IFERROR(__xludf.DUMMYFUNCTION("""COMPUTED_VALUE"""),"RF-00000186-CHE")</f>
        <v>RF-00000186-CHE</v>
      </c>
    </row>
    <row r="8804" spans="1:2" ht="12.5" x14ac:dyDescent="0.25">
      <c r="A8804" t="str">
        <f ca="1">IFERROR(__xludf.DUMMYFUNCTION("""COMPUTED_VALUE"""),"Total silicon")</f>
        <v>Total silicon</v>
      </c>
      <c r="B8804" t="str">
        <f ca="1">IFERROR(__xludf.DUMMYFUNCTION("""COMPUTED_VALUE"""),"RF-00000073-CHE")</f>
        <v>RF-00000073-CHE</v>
      </c>
    </row>
    <row r="8805" spans="1:2" ht="12.5" x14ac:dyDescent="0.25">
      <c r="A8805" t="str">
        <f ca="1">IFERROR(__xludf.DUMMYFUNCTION("""COMPUTED_VALUE"""),"Total silicon oxide")</f>
        <v>Total silicon oxide</v>
      </c>
      <c r="B8805" t="str">
        <f ca="1">IFERROR(__xludf.DUMMYFUNCTION("""COMPUTED_VALUE"""),"RF-00000074-CHE")</f>
        <v>RF-00000074-CHE</v>
      </c>
    </row>
    <row r="8806" spans="1:2" ht="12.5" x14ac:dyDescent="0.25">
      <c r="A8806" t="str">
        <f ca="1">IFERROR(__xludf.DUMMYFUNCTION("""COMPUTED_VALUE"""),"Total sodium")</f>
        <v>Total sodium</v>
      </c>
      <c r="B8806" t="str">
        <f ca="1">IFERROR(__xludf.DUMMYFUNCTION("""COMPUTED_VALUE"""),"RF-00000070-CHE")</f>
        <v>RF-00000070-CHE</v>
      </c>
    </row>
    <row r="8807" spans="1:2" ht="12.5" x14ac:dyDescent="0.25">
      <c r="A8807" t="str">
        <f ca="1">IFERROR(__xludf.DUMMYFUNCTION("""COMPUTED_VALUE"""),"Total sulfur")</f>
        <v>Total sulfur</v>
      </c>
      <c r="B8807" t="str">
        <f ca="1">IFERROR(__xludf.DUMMYFUNCTION("""COMPUTED_VALUE"""),"RF-00000116-CHE")</f>
        <v>RF-00000116-CHE</v>
      </c>
    </row>
    <row r="8808" spans="1:2" ht="12.5" x14ac:dyDescent="0.25">
      <c r="A8808" t="str">
        <f ca="1">IFERROR(__xludf.DUMMYFUNCTION("""COMPUTED_VALUE"""),"Total sulfur present in various forms")</f>
        <v>Total sulfur present in various forms</v>
      </c>
      <c r="B8808" t="str">
        <f ca="1">IFERROR(__xludf.DUMMYFUNCTION("""COMPUTED_VALUE"""),"RF-00000115-CHE")</f>
        <v>RF-00000115-CHE</v>
      </c>
    </row>
    <row r="8809" spans="1:2" ht="12.5" x14ac:dyDescent="0.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x14ac:dyDescent="0.25">
      <c r="A8810" t="str">
        <f ca="1">IFERROR(__xludf.DUMMYFUNCTION("""COMPUTED_VALUE"""),"TOTAL TEQ Dioxin-like PCB L")</f>
        <v>TOTAL TEQ Dioxin-like PCB L</v>
      </c>
      <c r="B8810" t="str">
        <f ca="1">IFERROR(__xludf.DUMMYFUNCTION("""COMPUTED_VALUE"""),"RF-00000467-ORG")</f>
        <v>RF-00000467-ORG</v>
      </c>
    </row>
    <row r="8811" spans="1:2" ht="12.5" x14ac:dyDescent="0.25">
      <c r="A8811" t="str">
        <f ca="1">IFERROR(__xludf.DUMMYFUNCTION("""COMPUTED_VALUE"""),"TOTAL TEQ Dioxin-like PCB U")</f>
        <v>TOTAL TEQ Dioxin-like PCB U</v>
      </c>
      <c r="B8811" t="str">
        <f ca="1">IFERROR(__xludf.DUMMYFUNCTION("""COMPUTED_VALUE"""),"RF-00000468-ORG")</f>
        <v>RF-00000468-ORG</v>
      </c>
    </row>
    <row r="8812" spans="1:2" ht="12.5" x14ac:dyDescent="0.25">
      <c r="A8812" t="str">
        <f ca="1">IFERROR(__xludf.DUMMYFUNCTION("""COMPUTED_VALUE"""),"Total zinc")</f>
        <v>Total zinc</v>
      </c>
      <c r="B8812" t="str">
        <f ca="1">IFERROR(__xludf.DUMMYFUNCTION("""COMPUTED_VALUE"""),"RF-00000206-CHE")</f>
        <v>RF-00000206-CHE</v>
      </c>
    </row>
    <row r="8813" spans="1:2" ht="12.5" x14ac:dyDescent="0.25">
      <c r="A8813" t="str">
        <f ca="1">IFERROR(__xludf.DUMMYFUNCTION("""COMPUTED_VALUE"""),"toxigenic V. cholerae")</f>
        <v>toxigenic V. cholerae</v>
      </c>
      <c r="B8813" t="str">
        <f ca="1">IFERROR(__xludf.DUMMYFUNCTION("""COMPUTED_VALUE"""),"RF-00002529-MCG")</f>
        <v>RF-00002529-MCG</v>
      </c>
    </row>
    <row r="8814" spans="1:2" ht="12.5" x14ac:dyDescent="0.25">
      <c r="A8814" t="str">
        <f ca="1">IFERROR(__xludf.DUMMYFUNCTION("""COMPUTED_VALUE"""),"toxigenic V. parahaemolyticus")</f>
        <v>toxigenic V. parahaemolyticus</v>
      </c>
      <c r="B8814" t="str">
        <f ca="1">IFERROR(__xludf.DUMMYFUNCTION("""COMPUTED_VALUE"""),"RF-00002527-MCG")</f>
        <v>RF-00002527-MCG</v>
      </c>
    </row>
    <row r="8815" spans="1:2" ht="12.5" x14ac:dyDescent="0.25">
      <c r="A8815" t="str">
        <f ca="1">IFERROR(__xludf.DUMMYFUNCTION("""COMPUTED_VALUE"""),"Toxins")</f>
        <v>Toxins</v>
      </c>
      <c r="B8815" t="str">
        <f ca="1">IFERROR(__xludf.DUMMYFUNCTION("""COMPUTED_VALUE"""),"RF-00000001-TOX")</f>
        <v>RF-00000001-TOX</v>
      </c>
    </row>
    <row r="8816" spans="1:2" ht="12.5" x14ac:dyDescent="0.25">
      <c r="A8816" t="str">
        <f ca="1">IFERROR(__xludf.DUMMYFUNCTION("""COMPUTED_VALUE"""),"Toxins, unspecified")</f>
        <v>Toxins, unspecified</v>
      </c>
      <c r="B8816" t="str">
        <f ca="1">IFERROR(__xludf.DUMMYFUNCTION("""COMPUTED_VALUE"""),"RF-00000454-TOX")</f>
        <v>RF-00000454-TOX</v>
      </c>
    </row>
    <row r="8817" spans="1:2" ht="12.5" x14ac:dyDescent="0.25">
      <c r="A8817" t="str">
        <f ca="1">IFERROR(__xludf.DUMMYFUNCTION("""COMPUTED_VALUE"""),"Toxocara")</f>
        <v>Toxocara</v>
      </c>
      <c r="B8817" t="str">
        <f ca="1">IFERROR(__xludf.DUMMYFUNCTION("""COMPUTED_VALUE"""),"RF-00002509-MCG")</f>
        <v>RF-00002509-MCG</v>
      </c>
    </row>
    <row r="8818" spans="1:2" ht="12.5" x14ac:dyDescent="0.25">
      <c r="A8818" t="str">
        <f ca="1">IFERROR(__xludf.DUMMYFUNCTION("""COMPUTED_VALUE"""),"Toxocara canis")</f>
        <v>Toxocara canis</v>
      </c>
      <c r="B8818" t="str">
        <f ca="1">IFERROR(__xludf.DUMMYFUNCTION("""COMPUTED_VALUE"""),"RF-00002511-MCG")</f>
        <v>RF-00002511-MCG</v>
      </c>
    </row>
    <row r="8819" spans="1:2" ht="12.5" x14ac:dyDescent="0.25">
      <c r="A8819" t="str">
        <f ca="1">IFERROR(__xludf.DUMMYFUNCTION("""COMPUTED_VALUE"""),"Toxocara spp., unspecified")</f>
        <v>Toxocara spp., unspecified</v>
      </c>
      <c r="B8819" t="str">
        <f ca="1">IFERROR(__xludf.DUMMYFUNCTION("""COMPUTED_VALUE"""),"RF-00002510-MCG")</f>
        <v>RF-00002510-MCG</v>
      </c>
    </row>
    <row r="8820" spans="1:2" ht="12.5" x14ac:dyDescent="0.25">
      <c r="A8820" t="str">
        <f ca="1">IFERROR(__xludf.DUMMYFUNCTION("""COMPUTED_VALUE"""),"Toxoplasma")</f>
        <v>Toxoplasma</v>
      </c>
      <c r="B8820" t="str">
        <f ca="1">IFERROR(__xludf.DUMMYFUNCTION("""COMPUTED_VALUE"""),"RF-00002512-MCG")</f>
        <v>RF-00002512-MCG</v>
      </c>
    </row>
    <row r="8821" spans="1:2" ht="12.5" x14ac:dyDescent="0.25">
      <c r="A8821" t="str">
        <f ca="1">IFERROR(__xludf.DUMMYFUNCTION("""COMPUTED_VALUE"""),"Toxoplasma gondii")</f>
        <v>Toxoplasma gondii</v>
      </c>
      <c r="B8821" t="str">
        <f ca="1">IFERROR(__xludf.DUMMYFUNCTION("""COMPUTED_VALUE"""),"RF-00002514-MCG")</f>
        <v>RF-00002514-MCG</v>
      </c>
    </row>
    <row r="8822" spans="1:2" ht="12.5" x14ac:dyDescent="0.25">
      <c r="A8822" t="str">
        <f ca="1">IFERROR(__xludf.DUMMYFUNCTION("""COMPUTED_VALUE"""),"Toxoplasma spp., unspecified")</f>
        <v>Toxoplasma spp., unspecified</v>
      </c>
      <c r="B8822" t="str">
        <f ca="1">IFERROR(__xludf.DUMMYFUNCTION("""COMPUTED_VALUE"""),"RF-00002513-MCG")</f>
        <v>RF-00002513-MCG</v>
      </c>
    </row>
    <row r="8823" spans="1:2" ht="12.5" x14ac:dyDescent="0.25">
      <c r="A8823" t="str">
        <f ca="1">IFERROR(__xludf.DUMMYFUNCTION("""COMPUTED_VALUE"""),"Trachelanthamine")</f>
        <v>Trachelanthamine</v>
      </c>
      <c r="B8823" t="str">
        <f ca="1">IFERROR(__xludf.DUMMYFUNCTION("""COMPUTED_VALUE"""),"RF-00000305-TOX")</f>
        <v>RF-00000305-TOX</v>
      </c>
    </row>
    <row r="8824" spans="1:2" ht="12.5" x14ac:dyDescent="0.25">
      <c r="A8824" t="str">
        <f ca="1">IFERROR(__xludf.DUMMYFUNCTION("""COMPUTED_VALUE"""),"Tragacanth")</f>
        <v>Tragacanth</v>
      </c>
      <c r="B8824" t="str">
        <f ca="1">IFERROR(__xludf.DUMMYFUNCTION("""COMPUTED_VALUE"""),"RF-00000337-ADD")</f>
        <v>RF-00000337-ADD</v>
      </c>
    </row>
    <row r="8825" spans="1:2" ht="12.5" x14ac:dyDescent="0.25">
      <c r="A8825" t="str">
        <f ca="1">IFERROR(__xludf.DUMMYFUNCTION("""COMPUTED_VALUE"""),"Tralkoxydim")</f>
        <v>Tralkoxydim</v>
      </c>
      <c r="B8825" t="str">
        <f ca="1">IFERROR(__xludf.DUMMYFUNCTION("""COMPUTED_VALUE"""),"RF-0427-001-PPP")</f>
        <v>RF-0427-001-PPP</v>
      </c>
    </row>
    <row r="8826" spans="1:2" ht="12.5" x14ac:dyDescent="0.25">
      <c r="A8826" t="str">
        <f ca="1">IFERROR(__xludf.DUMMYFUNCTION("""COMPUTED_VALUE"""),"Tralomethrin")</f>
        <v>Tralomethrin</v>
      </c>
      <c r="B8826" t="str">
        <f ca="1">IFERROR(__xludf.DUMMYFUNCTION("""COMPUTED_VALUE"""),"RF-0944-001-PPP")</f>
        <v>RF-0944-001-PPP</v>
      </c>
    </row>
    <row r="8827" spans="1:2" ht="12.5" x14ac:dyDescent="0.25">
      <c r="A8827" t="str">
        <f ca="1">IFERROR(__xludf.DUMMYFUNCTION("""COMPUTED_VALUE"""),"Trans-permethrin")</f>
        <v>Trans-permethrin</v>
      </c>
      <c r="B8827" t="str">
        <f ca="1">IFERROR(__xludf.DUMMYFUNCTION("""COMPUTED_VALUE"""),"RF-0975-001-PPP")</f>
        <v>RF-0975-001-PPP</v>
      </c>
    </row>
    <row r="8828" spans="1:2" ht="12.5" x14ac:dyDescent="0.25">
      <c r="A8828" t="str">
        <f ca="1">IFERROR(__xludf.DUMMYFUNCTION("""COMPUTED_VALUE"""),"Transfluthrin")</f>
        <v>Transfluthrin</v>
      </c>
      <c r="B8828" t="str">
        <f ca="1">IFERROR(__xludf.DUMMYFUNCTION("""COMPUTED_VALUE"""),"RF-0945-001-PPP")</f>
        <v>RF-0945-001-PPP</v>
      </c>
    </row>
    <row r="8829" spans="1:2" ht="12.5" x14ac:dyDescent="0.25">
      <c r="A8829" t="str">
        <f ca="1">IFERROR(__xludf.DUMMYFUNCTION("""COMPUTED_VALUE"""),"trehalose")</f>
        <v>trehalose</v>
      </c>
      <c r="B8829" t="str">
        <f ca="1">IFERROR(__xludf.DUMMYFUNCTION("""COMPUTED_VALUE"""),"RF-00000415-NTR")</f>
        <v>RF-00000415-NTR</v>
      </c>
    </row>
    <row r="8830" spans="1:2" ht="12.5" x14ac:dyDescent="0.25">
      <c r="A8830" t="str">
        <f ca="1">IFERROR(__xludf.DUMMYFUNCTION("""COMPUTED_VALUE"""),"Trenbolone")</f>
        <v>Trenbolone</v>
      </c>
      <c r="B8830" t="str">
        <f ca="1">IFERROR(__xludf.DUMMYFUNCTION("""COMPUTED_VALUE"""),"RF-00000430-VET")</f>
        <v>RF-00000430-VET</v>
      </c>
    </row>
    <row r="8831" spans="1:2" ht="12.5" x14ac:dyDescent="0.25">
      <c r="A8831" t="str">
        <f ca="1">IFERROR(__xludf.DUMMYFUNCTION("""COMPUTED_VALUE"""),"Trenbolone acetate")</f>
        <v>Trenbolone acetate</v>
      </c>
      <c r="B8831" t="str">
        <f ca="1">IFERROR(__xludf.DUMMYFUNCTION("""COMPUTED_VALUE"""),"RF-00000432-VET")</f>
        <v>RF-00000432-VET</v>
      </c>
    </row>
    <row r="8832" spans="1:2" ht="12.5" x14ac:dyDescent="0.25">
      <c r="A8832" t="str">
        <f ca="1">IFERROR(__xludf.DUMMYFUNCTION("""COMPUTED_VALUE"""),"Tri-allate")</f>
        <v>Tri-allate</v>
      </c>
      <c r="B8832" t="str">
        <f ca="1">IFERROR(__xludf.DUMMYFUNCTION("""COMPUTED_VALUE"""),"RF-0430-001-PPP")</f>
        <v>RF-0430-001-PPP</v>
      </c>
    </row>
    <row r="8833" spans="1:2" ht="12.5" x14ac:dyDescent="0.25">
      <c r="A8833" t="str">
        <f ca="1">IFERROR(__xludf.DUMMYFUNCTION("""COMPUTED_VALUE"""),"Triadimefon")</f>
        <v>Triadimefon</v>
      </c>
      <c r="B8833" t="str">
        <f ca="1">IFERROR(__xludf.DUMMYFUNCTION("""COMPUTED_VALUE"""),"RF-0428-003-PPP")</f>
        <v>RF-0428-003-PPP</v>
      </c>
    </row>
    <row r="8834" spans="1:2" ht="12.5" x14ac:dyDescent="0.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x14ac:dyDescent="0.25">
      <c r="A8835" t="str">
        <f ca="1">IFERROR(__xludf.DUMMYFUNCTION("""COMPUTED_VALUE"""),"Triadimenol")</f>
        <v>Triadimenol</v>
      </c>
      <c r="B8835" t="str">
        <f ca="1">IFERROR(__xludf.DUMMYFUNCTION("""COMPUTED_VALUE"""),"RF-0428-002-PPP")</f>
        <v>RF-0428-002-PPP</v>
      </c>
    </row>
    <row r="8836" spans="1:2" ht="12.5" x14ac:dyDescent="0.25">
      <c r="A8836" t="str">
        <f ca="1">IFERROR(__xludf.DUMMYFUNCTION("""COMPUTED_VALUE"""),"Triallate")</f>
        <v>Triallate</v>
      </c>
      <c r="B8836" t="str">
        <f ca="1">IFERROR(__xludf.DUMMYFUNCTION("""COMPUTED_VALUE"""),"RF-00000118-VET")</f>
        <v>RF-00000118-VET</v>
      </c>
    </row>
    <row r="8837" spans="1:2" ht="12.5" x14ac:dyDescent="0.25">
      <c r="A8837" t="str">
        <f ca="1">IFERROR(__xludf.DUMMYFUNCTION("""COMPUTED_VALUE"""),"Triamcinolone")</f>
        <v>Triamcinolone</v>
      </c>
      <c r="B8837" t="str">
        <f ca="1">IFERROR(__xludf.DUMMYFUNCTION("""COMPUTED_VALUE"""),"RF-00000266-VET")</f>
        <v>RF-00000266-VET</v>
      </c>
    </row>
    <row r="8838" spans="1:2" ht="12.5" x14ac:dyDescent="0.25">
      <c r="A8838" t="str">
        <f ca="1">IFERROR(__xludf.DUMMYFUNCTION("""COMPUTED_VALUE"""),"Triamcinolone acetonide")</f>
        <v>Triamcinolone acetonide</v>
      </c>
      <c r="B8838" t="str">
        <f ca="1">IFERROR(__xludf.DUMMYFUNCTION("""COMPUTED_VALUE"""),"RF-00000264-VET")</f>
        <v>RF-00000264-VET</v>
      </c>
    </row>
    <row r="8839" spans="1:2" ht="12.5" x14ac:dyDescent="0.25">
      <c r="A8839" t="str">
        <f ca="1">IFERROR(__xludf.DUMMYFUNCTION("""COMPUTED_VALUE"""),"Triamcinolone diacetate")</f>
        <v>Triamcinolone diacetate</v>
      </c>
      <c r="B8839" t="str">
        <f ca="1">IFERROR(__xludf.DUMMYFUNCTION("""COMPUTED_VALUE"""),"RF-00000263-VET")</f>
        <v>RF-00000263-VET</v>
      </c>
    </row>
    <row r="8840" spans="1:2" ht="12.5" x14ac:dyDescent="0.25">
      <c r="A8840" t="str">
        <f ca="1">IFERROR(__xludf.DUMMYFUNCTION("""COMPUTED_VALUE"""),"Triamiphos")</f>
        <v>Triamiphos</v>
      </c>
      <c r="B8840" t="str">
        <f ca="1">IFERROR(__xludf.DUMMYFUNCTION("""COMPUTED_VALUE"""),"RF-0946-001-PPP")</f>
        <v>RF-0946-001-PPP</v>
      </c>
    </row>
    <row r="8841" spans="1:2" ht="12.5" x14ac:dyDescent="0.25">
      <c r="A8841" t="str">
        <f ca="1">IFERROR(__xludf.DUMMYFUNCTION("""COMPUTED_VALUE"""),"Triammonium citrate")</f>
        <v>Triammonium citrate</v>
      </c>
      <c r="B8841" t="str">
        <f ca="1">IFERROR(__xludf.DUMMYFUNCTION("""COMPUTED_VALUE"""),"RF-00000338-ADD")</f>
        <v>RF-00000338-ADD</v>
      </c>
    </row>
    <row r="8842" spans="1:2" ht="12.5" x14ac:dyDescent="0.25">
      <c r="A8842" t="str">
        <f ca="1">IFERROR(__xludf.DUMMYFUNCTION("""COMPUTED_VALUE"""),"Triangularine")</f>
        <v>Triangularine</v>
      </c>
      <c r="B8842" t="str">
        <f ca="1">IFERROR(__xludf.DUMMYFUNCTION("""COMPUTED_VALUE"""),"RF-00000231-TOX")</f>
        <v>RF-00000231-TOX</v>
      </c>
    </row>
    <row r="8843" spans="1:2" ht="12.5" x14ac:dyDescent="0.25">
      <c r="A8843" t="str">
        <f ca="1">IFERROR(__xludf.DUMMYFUNCTION("""COMPUTED_VALUE"""),"Triapenthenol")</f>
        <v>Triapenthenol</v>
      </c>
      <c r="B8843" t="str">
        <f ca="1">IFERROR(__xludf.DUMMYFUNCTION("""COMPUTED_VALUE"""),"RF-0947-001-PPP")</f>
        <v>RF-0947-001-PPP</v>
      </c>
    </row>
    <row r="8844" spans="1:2" ht="12.5" x14ac:dyDescent="0.25">
      <c r="A8844" t="str">
        <f ca="1">IFERROR(__xludf.DUMMYFUNCTION("""COMPUTED_VALUE"""),"Triasulfuron")</f>
        <v>Triasulfuron</v>
      </c>
      <c r="B8844" t="str">
        <f ca="1">IFERROR(__xludf.DUMMYFUNCTION("""COMPUTED_VALUE"""),"RF-0431-001-PPP")</f>
        <v>RF-0431-001-PPP</v>
      </c>
    </row>
    <row r="8845" spans="1:2" ht="12.5" x14ac:dyDescent="0.25">
      <c r="A8845" t="str">
        <f ca="1">IFERROR(__xludf.DUMMYFUNCTION("""COMPUTED_VALUE"""),"Triazamate")</f>
        <v>Triazamate</v>
      </c>
      <c r="B8845" t="str">
        <f ca="1">IFERROR(__xludf.DUMMYFUNCTION("""COMPUTED_VALUE"""),"RF-0948-001-PPP")</f>
        <v>RF-0948-001-PPP</v>
      </c>
    </row>
    <row r="8846" spans="1:2" ht="12.5" x14ac:dyDescent="0.25">
      <c r="A8846" t="str">
        <f ca="1">IFERROR(__xludf.DUMMYFUNCTION("""COMPUTED_VALUE"""),"Triazolam")</f>
        <v>Triazolam</v>
      </c>
      <c r="B8846" t="str">
        <f ca="1">IFERROR(__xludf.DUMMYFUNCTION("""COMPUTED_VALUE"""),"RF-00000191-VET")</f>
        <v>RF-00000191-VET</v>
      </c>
    </row>
    <row r="8847" spans="1:2" ht="12.5" x14ac:dyDescent="0.25">
      <c r="A8847" t="str">
        <f ca="1">IFERROR(__xludf.DUMMYFUNCTION("""COMPUTED_VALUE"""),"Triazole acetic acid")</f>
        <v>Triazole acetic acid</v>
      </c>
      <c r="B8847" t="str">
        <f ca="1">IFERROR(__xludf.DUMMYFUNCTION("""COMPUTED_VALUE"""),"RF-0949-002-PPP")</f>
        <v>RF-0949-002-PPP</v>
      </c>
    </row>
    <row r="8848" spans="1:2" ht="12.5" x14ac:dyDescent="0.25">
      <c r="A8848" t="str">
        <f ca="1">IFERROR(__xludf.DUMMYFUNCTION("""COMPUTED_VALUE"""),"Triazole alanine")</f>
        <v>Triazole alanine</v>
      </c>
      <c r="B8848" t="str">
        <f ca="1">IFERROR(__xludf.DUMMYFUNCTION("""COMPUTED_VALUE"""),"RF-0949-003-PPP")</f>
        <v>RF-0949-003-PPP</v>
      </c>
    </row>
    <row r="8849" spans="1:2" ht="12.5" x14ac:dyDescent="0.25">
      <c r="A8849" t="str">
        <f ca="1">IFERROR(__xludf.DUMMYFUNCTION("""COMPUTED_VALUE"""),"Triazole lactic acid")</f>
        <v>Triazole lactic acid</v>
      </c>
      <c r="B8849" t="str">
        <f ca="1">IFERROR(__xludf.DUMMYFUNCTION("""COMPUTED_VALUE"""),"RF-0949-004-PPP")</f>
        <v>RF-0949-004-PPP</v>
      </c>
    </row>
    <row r="8850" spans="1:2" ht="12.5" x14ac:dyDescent="0.25">
      <c r="A8850" t="str">
        <f ca="1">IFERROR(__xludf.DUMMYFUNCTION("""COMPUTED_VALUE"""),"Triazole, 1,2,4-")</f>
        <v>Triazole, 1,2,4-</v>
      </c>
      <c r="B8850" t="str">
        <f ca="1">IFERROR(__xludf.DUMMYFUNCTION("""COMPUTED_VALUE"""),"RF-0949-001-PPP")</f>
        <v>RF-0949-001-PPP</v>
      </c>
    </row>
    <row r="8851" spans="1:2" ht="12.5" x14ac:dyDescent="0.25">
      <c r="A8851" t="str">
        <f ca="1">IFERROR(__xludf.DUMMYFUNCTION("""COMPUTED_VALUE"""),"Triazophos")</f>
        <v>Triazophos</v>
      </c>
      <c r="B8851" t="str">
        <f ca="1">IFERROR(__xludf.DUMMYFUNCTION("""COMPUTED_VALUE"""),"RF-0432-001-PPP")</f>
        <v>RF-0432-001-PPP</v>
      </c>
    </row>
    <row r="8852" spans="1:2" ht="12.5" x14ac:dyDescent="0.25">
      <c r="A8852" t="str">
        <f ca="1">IFERROR(__xludf.DUMMYFUNCTION("""COMPUTED_VALUE"""),"Triazoxide")</f>
        <v>Triazoxide</v>
      </c>
      <c r="B8852" t="str">
        <f ca="1">IFERROR(__xludf.DUMMYFUNCTION("""COMPUTED_VALUE"""),"RF-0433-001-PPP")</f>
        <v>RF-0433-001-PPP</v>
      </c>
    </row>
    <row r="8853" spans="1:2" ht="12.5" x14ac:dyDescent="0.25">
      <c r="A8853" t="str">
        <f ca="1">IFERROR(__xludf.DUMMYFUNCTION("""COMPUTED_VALUE"""),"Tribenuron")</f>
        <v>Tribenuron</v>
      </c>
      <c r="B8853" t="str">
        <f ca="1">IFERROR(__xludf.DUMMYFUNCTION("""COMPUTED_VALUE"""),"RF-0950-001-PPP")</f>
        <v>RF-0950-001-PPP</v>
      </c>
    </row>
    <row r="8854" spans="1:2" ht="12.5" x14ac:dyDescent="0.25">
      <c r="A8854" t="str">
        <f ca="1">IFERROR(__xludf.DUMMYFUNCTION("""COMPUTED_VALUE"""),"Tribenuron-methyl")</f>
        <v>Tribenuron-methyl</v>
      </c>
      <c r="B8854" t="str">
        <f ca="1">IFERROR(__xludf.DUMMYFUNCTION("""COMPUTED_VALUE"""),"RF-0434-001-PPP")</f>
        <v>RF-0434-001-PPP</v>
      </c>
    </row>
    <row r="8855" spans="1:2" ht="12.5" x14ac:dyDescent="0.25">
      <c r="A8855" t="str">
        <f ca="1">IFERROR(__xludf.DUMMYFUNCTION("""COMPUTED_VALUE"""),"Tribromoanisole, 2,4,6-")</f>
        <v>Tribromoanisole, 2,4,6-</v>
      </c>
      <c r="B8855" t="str">
        <f ca="1">IFERROR(__xludf.DUMMYFUNCTION("""COMPUTED_VALUE"""),"RF-0951-001-PPP")</f>
        <v>RF-0951-001-PPP</v>
      </c>
    </row>
    <row r="8856" spans="1:2" ht="12.5" x14ac:dyDescent="0.25">
      <c r="A8856" t="str">
        <f ca="1">IFERROR(__xludf.DUMMYFUNCTION("""COMPUTED_VALUE"""),"Tribromophenol, 2,4,6-")</f>
        <v>Tribromophenol, 2,4,6-</v>
      </c>
      <c r="B8856" t="str">
        <f ca="1">IFERROR(__xludf.DUMMYFUNCTION("""COMPUTED_VALUE"""),"RF-0952-001-PPP")</f>
        <v>RF-0952-001-PPP</v>
      </c>
    </row>
    <row r="8857" spans="1:2" ht="12.5" x14ac:dyDescent="0.25">
      <c r="A8857" t="str">
        <f ca="1">IFERROR(__xludf.DUMMYFUNCTION("""COMPUTED_VALUE"""),"Tribufos (s,s,s-tributyl-phosphorotrithioate)")</f>
        <v>Tribufos (s,s,s-tributyl-phosphorotrithioate)</v>
      </c>
      <c r="B8857" t="str">
        <f ca="1">IFERROR(__xludf.DUMMYFUNCTION("""COMPUTED_VALUE"""),"RF-0974-001-PPP")</f>
        <v>RF-0974-001-PPP</v>
      </c>
    </row>
    <row r="8858" spans="1:2" ht="12.5" x14ac:dyDescent="0.25">
      <c r="A8858" t="str">
        <f ca="1">IFERROR(__xludf.DUMMYFUNCTION("""COMPUTED_VALUE"""),"Tributylphosphate")</f>
        <v>Tributylphosphate</v>
      </c>
      <c r="B8858" t="str">
        <f ca="1">IFERROR(__xludf.DUMMYFUNCTION("""COMPUTED_VALUE"""),"RF-0953-001-PPP")</f>
        <v>RF-0953-001-PPP</v>
      </c>
    </row>
    <row r="8859" spans="1:2" ht="12.5" x14ac:dyDescent="0.25">
      <c r="A8859" t="str">
        <f ca="1">IFERROR(__xludf.DUMMYFUNCTION("""COMPUTED_VALUE"""),"Tributyltin")</f>
        <v>Tributyltin</v>
      </c>
      <c r="B8859" t="str">
        <f ca="1">IFERROR(__xludf.DUMMYFUNCTION("""COMPUTED_VALUE"""),"RF-00000269-CHE")</f>
        <v>RF-00000269-CHE</v>
      </c>
    </row>
    <row r="8860" spans="1:2" ht="12.5" x14ac:dyDescent="0.25">
      <c r="A8860" t="str">
        <f ca="1">IFERROR(__xludf.DUMMYFUNCTION("""COMPUTED_VALUE"""),"Tributyltin Oxide")</f>
        <v>Tributyltin Oxide</v>
      </c>
      <c r="B8860" t="str">
        <f ca="1">IFERROR(__xludf.DUMMYFUNCTION("""COMPUTED_VALUE"""),"RF-0954-001-PPP")</f>
        <v>RF-0954-001-PPP</v>
      </c>
    </row>
    <row r="8861" spans="1:2" ht="12.5" x14ac:dyDescent="0.25">
      <c r="A8861" t="str">
        <f ca="1">IFERROR(__xludf.DUMMYFUNCTION("""COMPUTED_VALUE"""),"Trichinella")</f>
        <v>Trichinella</v>
      </c>
      <c r="B8861" t="str">
        <f ca="1">IFERROR(__xludf.DUMMYFUNCTION("""COMPUTED_VALUE"""),"RF-00002515-MCG")</f>
        <v>RF-00002515-MCG</v>
      </c>
    </row>
    <row r="8862" spans="1:2" ht="12.5" x14ac:dyDescent="0.25">
      <c r="A8862" t="str">
        <f ca="1">IFERROR(__xludf.DUMMYFUNCTION("""COMPUTED_VALUE"""),"Trichinella britovi")</f>
        <v>Trichinella britovi</v>
      </c>
      <c r="B8862" t="str">
        <f ca="1">IFERROR(__xludf.DUMMYFUNCTION("""COMPUTED_VALUE"""),"RF-00002521-MCG")</f>
        <v>RF-00002521-MCG</v>
      </c>
    </row>
    <row r="8863" spans="1:2" ht="12.5" x14ac:dyDescent="0.25">
      <c r="A8863" t="str">
        <f ca="1">IFERROR(__xludf.DUMMYFUNCTION("""COMPUTED_VALUE"""),"Trichinella nativa")</f>
        <v>Trichinella nativa</v>
      </c>
      <c r="B8863" t="str">
        <f ca="1">IFERROR(__xludf.DUMMYFUNCTION("""COMPUTED_VALUE"""),"RF-00002519-MCG")</f>
        <v>RF-00002519-MCG</v>
      </c>
    </row>
    <row r="8864" spans="1:2" ht="12.5" x14ac:dyDescent="0.25">
      <c r="A8864" t="str">
        <f ca="1">IFERROR(__xludf.DUMMYFUNCTION("""COMPUTED_VALUE"""),"Trichinella pseudospiralis")</f>
        <v>Trichinella pseudospiralis</v>
      </c>
      <c r="B8864" t="str">
        <f ca="1">IFERROR(__xludf.DUMMYFUNCTION("""COMPUTED_VALUE"""),"RF-00002518-MCG")</f>
        <v>RF-00002518-MCG</v>
      </c>
    </row>
    <row r="8865" spans="1:2" ht="12.5" x14ac:dyDescent="0.25">
      <c r="A8865" t="str">
        <f ca="1">IFERROR(__xludf.DUMMYFUNCTION("""COMPUTED_VALUE"""),"Trichinella spiralis")</f>
        <v>Trichinella spiralis</v>
      </c>
      <c r="B8865" t="str">
        <f ca="1">IFERROR(__xludf.DUMMYFUNCTION("""COMPUTED_VALUE"""),"RF-00002516-MCG")</f>
        <v>RF-00002516-MCG</v>
      </c>
    </row>
    <row r="8866" spans="1:2" ht="12.5" x14ac:dyDescent="0.25">
      <c r="A8866" t="str">
        <f ca="1">IFERROR(__xludf.DUMMYFUNCTION("""COMPUTED_VALUE"""),"Trichinella spp., unspecified")</f>
        <v>Trichinella spp., unspecified</v>
      </c>
      <c r="B8866" t="str">
        <f ca="1">IFERROR(__xludf.DUMMYFUNCTION("""COMPUTED_VALUE"""),"RF-00002517-MCG")</f>
        <v>RF-00002517-MCG</v>
      </c>
    </row>
    <row r="8867" spans="1:2" ht="12.5" x14ac:dyDescent="0.25">
      <c r="A8867" t="str">
        <f ca="1">IFERROR(__xludf.DUMMYFUNCTION("""COMPUTED_VALUE"""),"Trichinella T6")</f>
        <v>Trichinella T6</v>
      </c>
      <c r="B8867" t="str">
        <f ca="1">IFERROR(__xludf.DUMMYFUNCTION("""COMPUTED_VALUE"""),"RF-00002520-MCG")</f>
        <v>RF-00002520-MCG</v>
      </c>
    </row>
    <row r="8868" spans="1:2" ht="12.5" x14ac:dyDescent="0.25">
      <c r="A8868" t="str">
        <f ca="1">IFERROR(__xludf.DUMMYFUNCTION("""COMPUTED_VALUE"""),"Trichlamide")</f>
        <v>Trichlamide</v>
      </c>
      <c r="B8868" t="str">
        <f ca="1">IFERROR(__xludf.DUMMYFUNCTION("""COMPUTED_VALUE"""),"RF-0955-001-PPP")</f>
        <v>RF-0955-001-PPP</v>
      </c>
    </row>
    <row r="8869" spans="1:2" ht="12.5" x14ac:dyDescent="0.25">
      <c r="A8869" t="str">
        <f ca="1">IFERROR(__xludf.DUMMYFUNCTION("""COMPUTED_VALUE"""),"Trichlophenidine")</f>
        <v>Trichlophenidine</v>
      </c>
      <c r="B8869" t="str">
        <f ca="1">IFERROR(__xludf.DUMMYFUNCTION("""COMPUTED_VALUE"""),"RF-1041-001-PPP")</f>
        <v>RF-1041-001-PPP</v>
      </c>
    </row>
    <row r="8870" spans="1:2" ht="12.5" x14ac:dyDescent="0.25">
      <c r="A8870" t="str">
        <f ca="1">IFERROR(__xludf.DUMMYFUNCTION("""COMPUTED_VALUE"""),"Trichlorethylene")</f>
        <v>Trichlorethylene</v>
      </c>
      <c r="B8870" t="str">
        <f ca="1">IFERROR(__xludf.DUMMYFUNCTION("""COMPUTED_VALUE"""),"RF-00000035-ORG")</f>
        <v>RF-00000035-ORG</v>
      </c>
    </row>
    <row r="8871" spans="1:2" ht="12.5" x14ac:dyDescent="0.25">
      <c r="A8871" t="str">
        <f ca="1">IFERROR(__xludf.DUMMYFUNCTION("""COMPUTED_VALUE"""),"Trichlorfon")</f>
        <v>Trichlorfon</v>
      </c>
      <c r="B8871" t="str">
        <f ca="1">IFERROR(__xludf.DUMMYFUNCTION("""COMPUTED_VALUE"""),"RF-0435-001-PPP")</f>
        <v>RF-0435-001-PPP</v>
      </c>
    </row>
    <row r="8872" spans="1:2" ht="12.5" x14ac:dyDescent="0.25">
      <c r="A8872" t="str">
        <f ca="1">IFERROR(__xludf.DUMMYFUNCTION("""COMPUTED_VALUE"""),"Trichlorobenzoic acid, 2,3,6-")</f>
        <v>Trichlorobenzoic acid, 2,3,6-</v>
      </c>
      <c r="B8872" t="str">
        <f ca="1">IFERROR(__xludf.DUMMYFUNCTION("""COMPUTED_VALUE"""),"RF-0956-001-PPP")</f>
        <v>RF-0956-001-PPP</v>
      </c>
    </row>
    <row r="8873" spans="1:2" ht="12.5" x14ac:dyDescent="0.25">
      <c r="A8873" t="str">
        <f ca="1">IFERROR(__xludf.DUMMYFUNCTION("""COMPUTED_VALUE"""),"Trichloronat")</f>
        <v>Trichloronat</v>
      </c>
      <c r="B8873" t="str">
        <f ca="1">IFERROR(__xludf.DUMMYFUNCTION("""COMPUTED_VALUE"""),"RF-0957-001-PPP")</f>
        <v>RF-0957-001-PPP</v>
      </c>
    </row>
    <row r="8874" spans="1:2" ht="12.5" x14ac:dyDescent="0.25">
      <c r="A8874" t="str">
        <f ca="1">IFERROR(__xludf.DUMMYFUNCTION("""COMPUTED_VALUE"""),"Trichlorophenol, 2,4,6-")</f>
        <v>Trichlorophenol, 2,4,6-</v>
      </c>
      <c r="B8874" t="str">
        <f ca="1">IFERROR(__xludf.DUMMYFUNCTION("""COMPUTED_VALUE"""),"RF-0993-001-PPP")</f>
        <v>RF-0993-001-PPP</v>
      </c>
    </row>
    <row r="8875" spans="1:2" ht="12.5" x14ac:dyDescent="0.25">
      <c r="A8875" t="str">
        <f ca="1">IFERROR(__xludf.DUMMYFUNCTION("""COMPUTED_VALUE"""),"Trichodesmine")</f>
        <v>Trichodesmine</v>
      </c>
      <c r="B8875" t="str">
        <f ca="1">IFERROR(__xludf.DUMMYFUNCTION("""COMPUTED_VALUE"""),"RF-00000306-TOX")</f>
        <v>RF-00000306-TOX</v>
      </c>
    </row>
    <row r="8876" spans="1:2" ht="12.5" x14ac:dyDescent="0.25">
      <c r="A8876" t="str">
        <f ca="1">IFERROR(__xludf.DUMMYFUNCTION("""COMPUTED_VALUE"""),"Trichodesmine-N-oxide")</f>
        <v>Trichodesmine-N-oxide</v>
      </c>
      <c r="B8876" t="str">
        <f ca="1">IFERROR(__xludf.DUMMYFUNCTION("""COMPUTED_VALUE"""),"RF-00000416-TOX")</f>
        <v>RF-00000416-TOX</v>
      </c>
    </row>
    <row r="8877" spans="1:2" ht="12.5" x14ac:dyDescent="0.25">
      <c r="A8877" t="str">
        <f ca="1">IFERROR(__xludf.DUMMYFUNCTION("""COMPUTED_VALUE"""),"Trichophyton")</f>
        <v>Trichophyton</v>
      </c>
      <c r="B8877" t="str">
        <f ca="1">IFERROR(__xludf.DUMMYFUNCTION("""COMPUTED_VALUE"""),"RF-00002522-MCG")</f>
        <v>RF-00002522-MCG</v>
      </c>
    </row>
    <row r="8878" spans="1:2" ht="12.5" x14ac:dyDescent="0.25">
      <c r="A8878" t="str">
        <f ca="1">IFERROR(__xludf.DUMMYFUNCTION("""COMPUTED_VALUE"""),"Trichophyton mentagrophytes")</f>
        <v>Trichophyton mentagrophytes</v>
      </c>
      <c r="B8878" t="str">
        <f ca="1">IFERROR(__xludf.DUMMYFUNCTION("""COMPUTED_VALUE"""),"RF-00002523-MCG")</f>
        <v>RF-00002523-MCG</v>
      </c>
    </row>
    <row r="8879" spans="1:2" ht="12.5" x14ac:dyDescent="0.25">
      <c r="A8879" t="str">
        <f ca="1">IFERROR(__xludf.DUMMYFUNCTION("""COMPUTED_VALUE"""),"Trichophyton spp., unspecified")</f>
        <v>Trichophyton spp., unspecified</v>
      </c>
      <c r="B8879" t="str">
        <f ca="1">IFERROR(__xludf.DUMMYFUNCTION("""COMPUTED_VALUE"""),"RF-00002525-MCG")</f>
        <v>RF-00002525-MCG</v>
      </c>
    </row>
    <row r="8880" spans="1:2" ht="12.5" x14ac:dyDescent="0.25">
      <c r="A8880" t="str">
        <f ca="1">IFERROR(__xludf.DUMMYFUNCTION("""COMPUTED_VALUE"""),"Trichophyton verrucosum")</f>
        <v>Trichophyton verrucosum</v>
      </c>
      <c r="B8880" t="str">
        <f ca="1">IFERROR(__xludf.DUMMYFUNCTION("""COMPUTED_VALUE"""),"RF-00002524-MCG")</f>
        <v>RF-00002524-MCG</v>
      </c>
    </row>
    <row r="8881" spans="1:2" ht="12.5" x14ac:dyDescent="0.25">
      <c r="A8881" t="str">
        <f ca="1">IFERROR(__xludf.DUMMYFUNCTION("""COMPUTED_VALUE"""),"Trichothecenes")</f>
        <v>Trichothecenes</v>
      </c>
      <c r="B8881" t="str">
        <f ca="1">IFERROR(__xludf.DUMMYFUNCTION("""COMPUTED_VALUE"""),"RF-00000159-TOX")</f>
        <v>RF-00000159-TOX</v>
      </c>
    </row>
    <row r="8882" spans="1:2" ht="12.5" x14ac:dyDescent="0.25">
      <c r="A8882" t="str">
        <f ca="1">IFERROR(__xludf.DUMMYFUNCTION("""COMPUTED_VALUE"""),"Trichothecenes A")</f>
        <v>Trichothecenes A</v>
      </c>
      <c r="B8882" t="str">
        <f ca="1">IFERROR(__xludf.DUMMYFUNCTION("""COMPUTED_VALUE"""),"RF-00000160-TOX")</f>
        <v>RF-00000160-TOX</v>
      </c>
    </row>
    <row r="8883" spans="1:2" ht="12.5" x14ac:dyDescent="0.25">
      <c r="A8883" t="str">
        <f ca="1">IFERROR(__xludf.DUMMYFUNCTION("""COMPUTED_VALUE"""),"Trichothecenes B")</f>
        <v>Trichothecenes B</v>
      </c>
      <c r="B8883" t="str">
        <f ca="1">IFERROR(__xludf.DUMMYFUNCTION("""COMPUTED_VALUE"""),"RF-00000164-TOX")</f>
        <v>RF-00000164-TOX</v>
      </c>
    </row>
    <row r="8884" spans="1:2" ht="12.5" x14ac:dyDescent="0.25">
      <c r="A8884" t="str">
        <f ca="1">IFERROR(__xludf.DUMMYFUNCTION("""COMPUTED_VALUE"""),"Triclabendazole")</f>
        <v>Triclabendazole</v>
      </c>
      <c r="B8884" t="str">
        <f ca="1">IFERROR(__xludf.DUMMYFUNCTION("""COMPUTED_VALUE"""),"RF-00000043-VET")</f>
        <v>RF-00000043-VET</v>
      </c>
    </row>
    <row r="8885" spans="1:2" ht="12.5" x14ac:dyDescent="0.25">
      <c r="A8885" t="str">
        <f ca="1">IFERROR(__xludf.DUMMYFUNCTION("""COMPUTED_VALUE"""),"Triclabendazolsulfon")</f>
        <v>Triclabendazolsulfon</v>
      </c>
      <c r="B8885" t="str">
        <f ca="1">IFERROR(__xludf.DUMMYFUNCTION("""COMPUTED_VALUE"""),"RF-00000038-VET")</f>
        <v>RF-00000038-VET</v>
      </c>
    </row>
    <row r="8886" spans="1:2" ht="12.5" x14ac:dyDescent="0.25">
      <c r="A8886" t="str">
        <f ca="1">IFERROR(__xludf.DUMMYFUNCTION("""COMPUTED_VALUE"""),"Triclabenzolsulfoxide")</f>
        <v>Triclabenzolsulfoxide</v>
      </c>
      <c r="B8886" t="str">
        <f ca="1">IFERROR(__xludf.DUMMYFUNCTION("""COMPUTED_VALUE"""),"RF-00000037-VET")</f>
        <v>RF-00000037-VET</v>
      </c>
    </row>
    <row r="8887" spans="1:2" ht="12.5" x14ac:dyDescent="0.25">
      <c r="A8887" t="str">
        <f ca="1">IFERROR(__xludf.DUMMYFUNCTION("""COMPUTED_VALUE"""),"Triclopyr")</f>
        <v>Triclopyr</v>
      </c>
      <c r="B8887" t="str">
        <f ca="1">IFERROR(__xludf.DUMMYFUNCTION("""COMPUTED_VALUE"""),"RF-0436-001-PPP")</f>
        <v>RF-0436-001-PPP</v>
      </c>
    </row>
    <row r="8888" spans="1:2" ht="12.5" x14ac:dyDescent="0.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x14ac:dyDescent="0.25">
      <c r="A8889" t="str">
        <f ca="1">IFERROR(__xludf.DUMMYFUNCTION("""COMPUTED_VALUE"""),"Tricresyl phosphate")</f>
        <v>Tricresyl phosphate</v>
      </c>
      <c r="B8889" t="str">
        <f ca="1">IFERROR(__xludf.DUMMYFUNCTION("""COMPUTED_VALUE"""),"RF-00000031-PAR")</f>
        <v>RF-00000031-PAR</v>
      </c>
    </row>
    <row r="8890" spans="1:2" ht="12.5" x14ac:dyDescent="0.25">
      <c r="A8890" t="str">
        <f ca="1">IFERROR(__xludf.DUMMYFUNCTION("""COMPUTED_VALUE"""),"Tricyclazole")</f>
        <v>Tricyclazole</v>
      </c>
      <c r="B8890" t="str">
        <f ca="1">IFERROR(__xludf.DUMMYFUNCTION("""COMPUTED_VALUE"""),"RF-0437-001-PPP")</f>
        <v>RF-0437-001-PPP</v>
      </c>
    </row>
    <row r="8891" spans="1:2" ht="12.5" x14ac:dyDescent="0.25">
      <c r="A8891" t="str">
        <f ca="1">IFERROR(__xludf.DUMMYFUNCTION("""COMPUTED_VALUE"""),"Tridemorph")</f>
        <v>Tridemorph</v>
      </c>
      <c r="B8891" t="str">
        <f ca="1">IFERROR(__xludf.DUMMYFUNCTION("""COMPUTED_VALUE"""),"RF-0438-001-PPP")</f>
        <v>RF-0438-001-PPP</v>
      </c>
    </row>
    <row r="8892" spans="1:2" ht="12.5" x14ac:dyDescent="0.25">
      <c r="A8892" t="str">
        <f ca="1">IFERROR(__xludf.DUMMYFUNCTION("""COMPUTED_VALUE"""),"Tridiphane")</f>
        <v>Tridiphane</v>
      </c>
      <c r="B8892" t="str">
        <f ca="1">IFERROR(__xludf.DUMMYFUNCTION("""COMPUTED_VALUE"""),"RF-0958-001-PPP")</f>
        <v>RF-0958-001-PPP</v>
      </c>
    </row>
    <row r="8893" spans="1:2" ht="12.5" x14ac:dyDescent="0.25">
      <c r="A8893" t="str">
        <f ca="1">IFERROR(__xludf.DUMMYFUNCTION("""COMPUTED_VALUE"""),"Trietazine")</f>
        <v>Trietazine</v>
      </c>
      <c r="B8893" t="str">
        <f ca="1">IFERROR(__xludf.DUMMYFUNCTION("""COMPUTED_VALUE"""),"RF-0959-001-PPP")</f>
        <v>RF-0959-001-PPP</v>
      </c>
    </row>
    <row r="8894" spans="1:2" ht="12.5" x14ac:dyDescent="0.25">
      <c r="A8894" t="str">
        <f ca="1">IFERROR(__xludf.DUMMYFUNCTION("""COMPUTED_VALUE"""),"Triethyl citrate")</f>
        <v>Triethyl citrate</v>
      </c>
      <c r="B8894" t="str">
        <f ca="1">IFERROR(__xludf.DUMMYFUNCTION("""COMPUTED_VALUE"""),"RF-00000339-ADD")</f>
        <v>RF-00000339-ADD</v>
      </c>
    </row>
    <row r="8895" spans="1:2" ht="12.5" x14ac:dyDescent="0.25">
      <c r="A8895" t="str">
        <f ca="1">IFERROR(__xludf.DUMMYFUNCTION("""COMPUTED_VALUE"""),"Trifenmorph")</f>
        <v>Trifenmorph</v>
      </c>
      <c r="B8895" t="str">
        <f ca="1">IFERROR(__xludf.DUMMYFUNCTION("""COMPUTED_VALUE"""),"RF-1042-001-PPP")</f>
        <v>RF-1042-001-PPP</v>
      </c>
    </row>
    <row r="8896" spans="1:2" ht="12.5" x14ac:dyDescent="0.25">
      <c r="A8896" t="str">
        <f ca="1">IFERROR(__xludf.DUMMYFUNCTION("""COMPUTED_VALUE"""),"Trifloxystrobin")</f>
        <v>Trifloxystrobin</v>
      </c>
      <c r="B8896" t="str">
        <f ca="1">IFERROR(__xludf.DUMMYFUNCTION("""COMPUTED_VALUE"""),"RF-0439-001-PPP")</f>
        <v>RF-0439-001-PPP</v>
      </c>
    </row>
    <row r="8897" spans="1:2" ht="12.5" x14ac:dyDescent="0.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x14ac:dyDescent="0.25">
      <c r="A8898" t="str">
        <f ca="1">IFERROR(__xludf.DUMMYFUNCTION("""COMPUTED_VALUE"""),"Trifloxysulfuron")</f>
        <v>Trifloxysulfuron</v>
      </c>
      <c r="B8898" t="str">
        <f ca="1">IFERROR(__xludf.DUMMYFUNCTION("""COMPUTED_VALUE"""),"RF-0960-001-PPP")</f>
        <v>RF-0960-001-PPP</v>
      </c>
    </row>
    <row r="8899" spans="1:2" ht="12.5" x14ac:dyDescent="0.25">
      <c r="A8899" t="str">
        <f ca="1">IFERROR(__xludf.DUMMYFUNCTION("""COMPUTED_VALUE"""),"Triflumizole")</f>
        <v>Triflumizole</v>
      </c>
      <c r="B8899" t="str">
        <f ca="1">IFERROR(__xludf.DUMMYFUNCTION("""COMPUTED_VALUE"""),"RF-0440-002-PPP")</f>
        <v>RF-0440-002-PPP</v>
      </c>
    </row>
    <row r="8900" spans="1:2" ht="12.5" x14ac:dyDescent="0.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x14ac:dyDescent="0.25">
      <c r="A8901" t="str">
        <f ca="1">IFERROR(__xludf.DUMMYFUNCTION("""COMPUTED_VALUE"""),"Triflumuron")</f>
        <v>Triflumuron</v>
      </c>
      <c r="B8901" t="str">
        <f ca="1">IFERROR(__xludf.DUMMYFUNCTION("""COMPUTED_VALUE"""),"RF-0441-001-PPP")</f>
        <v>RF-0441-001-PPP</v>
      </c>
    </row>
    <row r="8902" spans="1:2" ht="12.5" x14ac:dyDescent="0.25">
      <c r="A8902" t="str">
        <f ca="1">IFERROR(__xludf.DUMMYFUNCTION("""COMPUTED_VALUE"""),"Trifluralin")</f>
        <v>Trifluralin</v>
      </c>
      <c r="B8902" t="str">
        <f ca="1">IFERROR(__xludf.DUMMYFUNCTION("""COMPUTED_VALUE"""),"RF-0442-001-PPP")</f>
        <v>RF-0442-001-PPP</v>
      </c>
    </row>
    <row r="8903" spans="1:2" ht="12.5" x14ac:dyDescent="0.25">
      <c r="A8903" t="str">
        <f ca="1">IFERROR(__xludf.DUMMYFUNCTION("""COMPUTED_VALUE"""),"Triflusulfuron")</f>
        <v>Triflusulfuron</v>
      </c>
      <c r="B8903" t="str">
        <f ca="1">IFERROR(__xludf.DUMMYFUNCTION("""COMPUTED_VALUE"""),"RF-0443-001-PPP")</f>
        <v>RF-0443-001-PPP</v>
      </c>
    </row>
    <row r="8904" spans="1:2" ht="12.5" x14ac:dyDescent="0.25">
      <c r="A8904" t="str">
        <f ca="1">IFERROR(__xludf.DUMMYFUNCTION("""COMPUTED_VALUE"""),"Triflusulfuron-Methyl")</f>
        <v>Triflusulfuron-Methyl</v>
      </c>
      <c r="B8904" t="str">
        <f ca="1">IFERROR(__xludf.DUMMYFUNCTION("""COMPUTED_VALUE"""),"RF-0961-001-PPP")</f>
        <v>RF-0961-001-PPP</v>
      </c>
    </row>
    <row r="8905" spans="1:2" ht="12.5" x14ac:dyDescent="0.25">
      <c r="A8905" t="str">
        <f ca="1">IFERROR(__xludf.DUMMYFUNCTION("""COMPUTED_VALUE"""),"Triforine")</f>
        <v>Triforine</v>
      </c>
      <c r="B8905" t="str">
        <f ca="1">IFERROR(__xludf.DUMMYFUNCTION("""COMPUTED_VALUE"""),"RF-0444-001-PPP")</f>
        <v>RF-0444-001-PPP</v>
      </c>
    </row>
    <row r="8906" spans="1:2" ht="12.5" x14ac:dyDescent="0.25">
      <c r="A8906" t="str">
        <f ca="1">IFERROR(__xludf.DUMMYFUNCTION("""COMPUTED_VALUE"""),"Trimethacarb")</f>
        <v>Trimethacarb</v>
      </c>
      <c r="B8906" t="str">
        <f ca="1">IFERROR(__xludf.DUMMYFUNCTION("""COMPUTED_VALUE"""),"RF-0962-001-PPP")</f>
        <v>RF-0962-001-PPP</v>
      </c>
    </row>
    <row r="8907" spans="1:2" ht="12.5" x14ac:dyDescent="0.25">
      <c r="A8907" t="str">
        <f ca="1">IFERROR(__xludf.DUMMYFUNCTION("""COMPUTED_VALUE"""),"Trimethoprim")</f>
        <v>Trimethoprim</v>
      </c>
      <c r="B8907" t="str">
        <f ca="1">IFERROR(__xludf.DUMMYFUNCTION("""COMPUTED_VALUE"""),"RF-00000562-VET")</f>
        <v>RF-00000562-VET</v>
      </c>
    </row>
    <row r="8908" spans="1:2" ht="12.5" x14ac:dyDescent="0.25">
      <c r="A8908" t="str">
        <f ca="1">IFERROR(__xludf.DUMMYFUNCTION("""COMPUTED_VALUE"""),"Trimethoprim + Sulfabromomethazin")</f>
        <v>Trimethoprim + Sulfabromomethazin</v>
      </c>
      <c r="B8908" t="str">
        <f ca="1">IFERROR(__xludf.DUMMYFUNCTION("""COMPUTED_VALUE"""),"RF-00000785-VET")</f>
        <v>RF-00000785-VET</v>
      </c>
    </row>
    <row r="8909" spans="1:2" ht="12.5" x14ac:dyDescent="0.25">
      <c r="A8909" t="str">
        <f ca="1">IFERROR(__xludf.DUMMYFUNCTION("""COMPUTED_VALUE"""),"Trimethoprim + Sulfachlorpyridazin")</f>
        <v>Trimethoprim + Sulfachlorpyridazin</v>
      </c>
      <c r="B8909" t="str">
        <f ca="1">IFERROR(__xludf.DUMMYFUNCTION("""COMPUTED_VALUE"""),"RF-00000786-VET")</f>
        <v>RF-00000786-VET</v>
      </c>
    </row>
    <row r="8910" spans="1:2" ht="12.5" x14ac:dyDescent="0.25">
      <c r="A8910" t="str">
        <f ca="1">IFERROR(__xludf.DUMMYFUNCTION("""COMPUTED_VALUE"""),"Trimethoprim + Sulfadiazin")</f>
        <v>Trimethoprim + Sulfadiazin</v>
      </c>
      <c r="B8910" t="str">
        <f ca="1">IFERROR(__xludf.DUMMYFUNCTION("""COMPUTED_VALUE"""),"RF-00000787-VET")</f>
        <v>RF-00000787-VET</v>
      </c>
    </row>
    <row r="8911" spans="1:2" ht="12.5" x14ac:dyDescent="0.25">
      <c r="A8911" t="str">
        <f ca="1">IFERROR(__xludf.DUMMYFUNCTION("""COMPUTED_VALUE"""),"Trimethoprim + Sulfadimethoxin")</f>
        <v>Trimethoprim + Sulfadimethoxin</v>
      </c>
      <c r="B8911" t="str">
        <f ca="1">IFERROR(__xludf.DUMMYFUNCTION("""COMPUTED_VALUE"""),"RF-00000788-VET")</f>
        <v>RF-00000788-VET</v>
      </c>
    </row>
    <row r="8912" spans="1:2" ht="12.5" x14ac:dyDescent="0.25">
      <c r="A8912" t="str">
        <f ca="1">IFERROR(__xludf.DUMMYFUNCTION("""COMPUTED_VALUE"""),"Trimethoprim + Sulfadimidin")</f>
        <v>Trimethoprim + Sulfadimidin</v>
      </c>
      <c r="B8912" t="str">
        <f ca="1">IFERROR(__xludf.DUMMYFUNCTION("""COMPUTED_VALUE"""),"RF-00000789-VET")</f>
        <v>RF-00000789-VET</v>
      </c>
    </row>
    <row r="8913" spans="1:2" ht="12.5" x14ac:dyDescent="0.25">
      <c r="A8913" t="str">
        <f ca="1">IFERROR(__xludf.DUMMYFUNCTION("""COMPUTED_VALUE"""),"Trimethoprim + Sulfadoxin")</f>
        <v>Trimethoprim + Sulfadoxin</v>
      </c>
      <c r="B8913" t="str">
        <f ca="1">IFERROR(__xludf.DUMMYFUNCTION("""COMPUTED_VALUE"""),"RF-00000790-VET")</f>
        <v>RF-00000790-VET</v>
      </c>
    </row>
    <row r="8914" spans="1:2" ht="12.5" x14ac:dyDescent="0.25">
      <c r="A8914" t="str">
        <f ca="1">IFERROR(__xludf.DUMMYFUNCTION("""COMPUTED_VALUE"""),"Trimethoprim + Sulfaethoxypyridazin")</f>
        <v>Trimethoprim + Sulfaethoxypyridazin</v>
      </c>
      <c r="B8914" t="str">
        <f ca="1">IFERROR(__xludf.DUMMYFUNCTION("""COMPUTED_VALUE"""),"RF-00000791-VET")</f>
        <v>RF-00000791-VET</v>
      </c>
    </row>
    <row r="8915" spans="1:2" ht="12.5" x14ac:dyDescent="0.25">
      <c r="A8915" t="str">
        <f ca="1">IFERROR(__xludf.DUMMYFUNCTION("""COMPUTED_VALUE"""),"Trimethoprim + Sulfamerazin")</f>
        <v>Trimethoprim + Sulfamerazin</v>
      </c>
      <c r="B8915" t="str">
        <f ca="1">IFERROR(__xludf.DUMMYFUNCTION("""COMPUTED_VALUE"""),"RF-00000792-VET")</f>
        <v>RF-00000792-VET</v>
      </c>
    </row>
    <row r="8916" spans="1:2" ht="12.5" x14ac:dyDescent="0.25">
      <c r="A8916" t="str">
        <f ca="1">IFERROR(__xludf.DUMMYFUNCTION("""COMPUTED_VALUE"""),"Trimethoprim + Sulfamethazin (sulfadimidin)")</f>
        <v>Trimethoprim + Sulfamethazin (sulfadimidin)</v>
      </c>
      <c r="B8916" t="str">
        <f ca="1">IFERROR(__xludf.DUMMYFUNCTION("""COMPUTED_VALUE"""),"RF-00000793-VET")</f>
        <v>RF-00000793-VET</v>
      </c>
    </row>
    <row r="8917" spans="1:2" ht="12.5" x14ac:dyDescent="0.25">
      <c r="A8917" t="str">
        <f ca="1">IFERROR(__xludf.DUMMYFUNCTION("""COMPUTED_VALUE"""),"Trimethoprim + Sulfamethoxazol")</f>
        <v>Trimethoprim + Sulfamethoxazol</v>
      </c>
      <c r="B8917" t="str">
        <f ca="1">IFERROR(__xludf.DUMMYFUNCTION("""COMPUTED_VALUE"""),"RF-00000794-VET")</f>
        <v>RF-00000794-VET</v>
      </c>
    </row>
    <row r="8918" spans="1:2" ht="12.5" x14ac:dyDescent="0.25">
      <c r="A8918" t="str">
        <f ca="1">IFERROR(__xludf.DUMMYFUNCTION("""COMPUTED_VALUE"""),"Trimethoprim + Sulfamethoxypyridazin")</f>
        <v>Trimethoprim + Sulfamethoxypyridazin</v>
      </c>
      <c r="B8918" t="str">
        <f ca="1">IFERROR(__xludf.DUMMYFUNCTION("""COMPUTED_VALUE"""),"RF-00000795-VET")</f>
        <v>RF-00000795-VET</v>
      </c>
    </row>
    <row r="8919" spans="1:2" ht="12.5" x14ac:dyDescent="0.25">
      <c r="A8919" t="str">
        <f ca="1">IFERROR(__xludf.DUMMYFUNCTION("""COMPUTED_VALUE"""),"Trimethoprim + Sulfapyridin")</f>
        <v>Trimethoprim + Sulfapyridin</v>
      </c>
      <c r="B8919" t="str">
        <f ca="1">IFERROR(__xludf.DUMMYFUNCTION("""COMPUTED_VALUE"""),"RF-00000796-VET")</f>
        <v>RF-00000796-VET</v>
      </c>
    </row>
    <row r="8920" spans="1:2" ht="12.5" x14ac:dyDescent="0.25">
      <c r="A8920" t="str">
        <f ca="1">IFERROR(__xludf.DUMMYFUNCTION("""COMPUTED_VALUE"""),"Trimethoprim + Sulfasomidin")</f>
        <v>Trimethoprim + Sulfasomidin</v>
      </c>
      <c r="B8920" t="str">
        <f ca="1">IFERROR(__xludf.DUMMYFUNCTION("""COMPUTED_VALUE"""),"RF-00000797-VET")</f>
        <v>RF-00000797-VET</v>
      </c>
    </row>
    <row r="8921" spans="1:2" ht="12.5" x14ac:dyDescent="0.25">
      <c r="A8921" t="str">
        <f ca="1">IFERROR(__xludf.DUMMYFUNCTION("""COMPUTED_VALUE"""),"Trimethoprim + Sulfathiazol")</f>
        <v>Trimethoprim + Sulfathiazol</v>
      </c>
      <c r="B8921" t="str">
        <f ca="1">IFERROR(__xludf.DUMMYFUNCTION("""COMPUTED_VALUE"""),"RF-00000798-VET")</f>
        <v>RF-00000798-VET</v>
      </c>
    </row>
    <row r="8922" spans="1:2" ht="12.5" x14ac:dyDescent="0.25">
      <c r="A8922" t="str">
        <f ca="1">IFERROR(__xludf.DUMMYFUNCTION("""COMPUTED_VALUE"""),"Trimethoprim + Sulfisoxazol (sulfafurazol)")</f>
        <v>Trimethoprim + Sulfisoxazol (sulfafurazol)</v>
      </c>
      <c r="B8922" t="str">
        <f ca="1">IFERROR(__xludf.DUMMYFUNCTION("""COMPUTED_VALUE"""),"RF-00000799-VET")</f>
        <v>RF-00000799-VET</v>
      </c>
    </row>
    <row r="8923" spans="1:2" ht="12.5" x14ac:dyDescent="0.25">
      <c r="A8923" t="str">
        <f ca="1">IFERROR(__xludf.DUMMYFUNCTION("""COMPUTED_VALUE"""),"Trimethoprim + Sulfonamide")</f>
        <v>Trimethoprim + Sulfonamide</v>
      </c>
      <c r="B8923" t="str">
        <f ca="1">IFERROR(__xludf.DUMMYFUNCTION("""COMPUTED_VALUE"""),"RF-00000800-VET")</f>
        <v>RF-00000800-VET</v>
      </c>
    </row>
    <row r="8924" spans="1:2" ht="12.5" x14ac:dyDescent="0.25">
      <c r="A8924" t="str">
        <f ca="1">IFERROR(__xludf.DUMMYFUNCTION("""COMPUTED_VALUE"""),"Trimethoprim + Sulphonamides")</f>
        <v>Trimethoprim + Sulphonamides</v>
      </c>
      <c r="B8924" t="str">
        <f ca="1">IFERROR(__xludf.DUMMYFUNCTION("""COMPUTED_VALUE"""),"RF-00000784-VET")</f>
        <v>RF-00000784-VET</v>
      </c>
    </row>
    <row r="8925" spans="1:2" ht="12.5" x14ac:dyDescent="0.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x14ac:dyDescent="0.25">
      <c r="A8926" t="str">
        <f ca="1">IFERROR(__xludf.DUMMYFUNCTION("""COMPUTED_VALUE"""),"Trimethylarsine")</f>
        <v>Trimethylarsine</v>
      </c>
      <c r="B8926" t="str">
        <f ca="1">IFERROR(__xludf.DUMMYFUNCTION("""COMPUTED_VALUE"""),"RF-00000130-CHE")</f>
        <v>RF-00000130-CHE</v>
      </c>
    </row>
    <row r="8927" spans="1:2" ht="12.5" x14ac:dyDescent="0.25">
      <c r="A8927" t="str">
        <f ca="1">IFERROR(__xludf.DUMMYFUNCTION("""COMPUTED_VALUE"""),"Trimethylarsine oxide")</f>
        <v>Trimethylarsine oxide</v>
      </c>
      <c r="B8927" t="str">
        <f ca="1">IFERROR(__xludf.DUMMYFUNCTION("""COMPUTED_VALUE"""),"RF-00000131-CHE")</f>
        <v>RF-00000131-CHE</v>
      </c>
    </row>
    <row r="8928" spans="1:2" ht="12.5" x14ac:dyDescent="0.25">
      <c r="A8928" t="str">
        <f ca="1">IFERROR(__xludf.DUMMYFUNCTION("""COMPUTED_VALUE"""),"Trinexapac")</f>
        <v>Trinexapac</v>
      </c>
      <c r="B8928" t="str">
        <f ca="1">IFERROR(__xludf.DUMMYFUNCTION("""COMPUTED_VALUE"""),"RF-0446-001-PPP")</f>
        <v>RF-0446-001-PPP</v>
      </c>
    </row>
    <row r="8929" spans="1:2" ht="12.5" x14ac:dyDescent="0.25">
      <c r="A8929" t="str">
        <f ca="1">IFERROR(__xludf.DUMMYFUNCTION("""COMPUTED_VALUE"""),"Trinexapac-Ethyl")</f>
        <v>Trinexapac-Ethyl</v>
      </c>
      <c r="B8929" t="str">
        <f ca="1">IFERROR(__xludf.DUMMYFUNCTION("""COMPUTED_VALUE"""),"RF-0963-001-PPP")</f>
        <v>RF-0963-001-PPP</v>
      </c>
    </row>
    <row r="8930" spans="1:2" ht="12.5" x14ac:dyDescent="0.25">
      <c r="A8930" t="str">
        <f ca="1">IFERROR(__xludf.DUMMYFUNCTION("""COMPUTED_VALUE"""),"Triphenylmethane")</f>
        <v>Triphenylmethane</v>
      </c>
      <c r="B8930" t="str">
        <f ca="1">IFERROR(__xludf.DUMMYFUNCTION("""COMPUTED_VALUE"""),"RF-0964-001-PPP")</f>
        <v>RF-0964-001-PPP</v>
      </c>
    </row>
    <row r="8931" spans="1:2" ht="12.5" x14ac:dyDescent="0.25">
      <c r="A8931" t="str">
        <f ca="1">IFERROR(__xludf.DUMMYFUNCTION("""COMPUTED_VALUE"""),"Triphenylphosphate")</f>
        <v>Triphenylphosphate</v>
      </c>
      <c r="B8931" t="str">
        <f ca="1">IFERROR(__xludf.DUMMYFUNCTION("""COMPUTED_VALUE"""),"RF-0965-001-PPP")</f>
        <v>RF-0965-001-PPP</v>
      </c>
    </row>
    <row r="8932" spans="1:2" ht="12.5" x14ac:dyDescent="0.25">
      <c r="A8932" t="str">
        <f ca="1">IFERROR(__xludf.DUMMYFUNCTION("""COMPUTED_VALUE"""),"Triphenyltin")</f>
        <v>Triphenyltin</v>
      </c>
      <c r="B8932" t="str">
        <f ca="1">IFERROR(__xludf.DUMMYFUNCTION("""COMPUTED_VALUE"""),"RF-00000272-CHE")</f>
        <v>RF-00000272-CHE</v>
      </c>
    </row>
    <row r="8933" spans="1:2" ht="12.5" x14ac:dyDescent="0.25">
      <c r="A8933" t="str">
        <f ca="1">IFERROR(__xludf.DUMMYFUNCTION("""COMPUTED_VALUE"""),"Triphosphates")</f>
        <v>Triphosphates</v>
      </c>
      <c r="B8933" t="str">
        <f ca="1">IFERROR(__xludf.DUMMYFUNCTION("""COMPUTED_VALUE"""),"RF-00000340-ADD")</f>
        <v>RF-00000340-ADD</v>
      </c>
    </row>
    <row r="8934" spans="1:2" ht="12.5" x14ac:dyDescent="0.25">
      <c r="A8934" t="str">
        <f ca="1">IFERROR(__xludf.DUMMYFUNCTION("""COMPUTED_VALUE"""),"Triticonazole")</f>
        <v>Triticonazole</v>
      </c>
      <c r="B8934" t="str">
        <f ca="1">IFERROR(__xludf.DUMMYFUNCTION("""COMPUTED_VALUE"""),"RF-0447-001-PPP")</f>
        <v>RF-0447-001-PPP</v>
      </c>
    </row>
    <row r="8935" spans="1:2" ht="12.5" x14ac:dyDescent="0.25">
      <c r="A8935" t="str">
        <f ca="1">IFERROR(__xludf.DUMMYFUNCTION("""COMPUTED_VALUE"""),"Tritium")</f>
        <v>Tritium</v>
      </c>
      <c r="B8935" t="str">
        <f ca="1">IFERROR(__xludf.DUMMYFUNCTION("""COMPUTED_VALUE"""),"RF-00000012-RAD")</f>
        <v>RF-00000012-RAD</v>
      </c>
    </row>
    <row r="8936" spans="1:2" ht="12.5" x14ac:dyDescent="0.25">
      <c r="A8936" t="str">
        <f ca="1">IFERROR(__xludf.DUMMYFUNCTION("""COMPUTED_VALUE"""),"Tritosulfuron")</f>
        <v>Tritosulfuron</v>
      </c>
      <c r="B8936" t="str">
        <f ca="1">IFERROR(__xludf.DUMMYFUNCTION("""COMPUTED_VALUE"""),"RF-0448-001-PPP")</f>
        <v>RF-0448-001-PPP</v>
      </c>
    </row>
    <row r="8937" spans="1:2" ht="12.5" x14ac:dyDescent="0.25">
      <c r="A8937" t="str">
        <f ca="1">IFERROR(__xludf.DUMMYFUNCTION("""COMPUTED_VALUE"""),"Tropane alkaloids")</f>
        <v>Tropane alkaloids</v>
      </c>
      <c r="B8937" t="str">
        <f ca="1">IFERROR(__xludf.DUMMYFUNCTION("""COMPUTED_VALUE"""),"RF-00000245-TOX")</f>
        <v>RF-00000245-TOX</v>
      </c>
    </row>
    <row r="8938" spans="1:2" ht="12.5" x14ac:dyDescent="0.25">
      <c r="A8938" t="str">
        <f ca="1">IFERROR(__xludf.DUMMYFUNCTION("""COMPUTED_VALUE"""),"Trovafloxacin")</f>
        <v>Trovafloxacin</v>
      </c>
      <c r="B8938" t="str">
        <f ca="1">IFERROR(__xludf.DUMMYFUNCTION("""COMPUTED_VALUE"""),"RF-00000563-VET")</f>
        <v>RF-00000563-VET</v>
      </c>
    </row>
    <row r="8939" spans="1:2" ht="12.5" x14ac:dyDescent="0.25">
      <c r="A8939" t="str">
        <f ca="1">IFERROR(__xludf.DUMMYFUNCTION("""COMPUTED_VALUE"""),"Tryptamine")</f>
        <v>Tryptamine</v>
      </c>
      <c r="B8939" t="str">
        <f ca="1">IFERROR(__xludf.DUMMYFUNCTION("""COMPUTED_VALUE"""),"RF-00000009-BGA")</f>
        <v>RF-00000009-BGA</v>
      </c>
    </row>
    <row r="8940" spans="1:2" ht="12.5" x14ac:dyDescent="0.25">
      <c r="A8940" t="str">
        <f ca="1">IFERROR(__xludf.DUMMYFUNCTION("""COMPUTED_VALUE"""),"tryptophan")</f>
        <v>tryptophan</v>
      </c>
      <c r="B8940" t="str">
        <f ca="1">IFERROR(__xludf.DUMMYFUNCTION("""COMPUTED_VALUE"""),"RF-00000416-NTR")</f>
        <v>RF-00000416-NTR</v>
      </c>
    </row>
    <row r="8941" spans="1:2" ht="12.5" x14ac:dyDescent="0.25">
      <c r="A8941" t="str">
        <f ca="1">IFERROR(__xludf.DUMMYFUNCTION("""COMPUTED_VALUE"""),"Tulathromycin")</f>
        <v>Tulathromycin</v>
      </c>
      <c r="B8941" t="str">
        <f ca="1">IFERROR(__xludf.DUMMYFUNCTION("""COMPUTED_VALUE"""),"RF-00000564-VET")</f>
        <v>RF-00000564-VET</v>
      </c>
    </row>
    <row r="8942" spans="1:2" ht="12.5" x14ac:dyDescent="0.25">
      <c r="A8942" t="str">
        <f ca="1">IFERROR(__xludf.DUMMYFUNCTION("""COMPUTED_VALUE"""),"Tulobuterol")</f>
        <v>Tulobuterol</v>
      </c>
      <c r="B8942" t="str">
        <f ca="1">IFERROR(__xludf.DUMMYFUNCTION("""COMPUTED_VALUE"""),"RF-00000471-VET")</f>
        <v>RF-00000471-VET</v>
      </c>
    </row>
    <row r="8943" spans="1:2" ht="12.5" x14ac:dyDescent="0.25">
      <c r="A8943" t="str">
        <f ca="1">IFERROR(__xludf.DUMMYFUNCTION("""COMPUTED_VALUE"""),"Tulobuterol hydrochloride")</f>
        <v>Tulobuterol hydrochloride</v>
      </c>
      <c r="B8943" t="str">
        <f ca="1">IFERROR(__xludf.DUMMYFUNCTION("""COMPUTED_VALUE"""),"RF-00000469-VET")</f>
        <v>RF-00000469-VET</v>
      </c>
    </row>
    <row r="8944" spans="1:2" ht="12.5" x14ac:dyDescent="0.25">
      <c r="A8944" t="str">
        <f ca="1">IFERROR(__xludf.DUMMYFUNCTION("""COMPUTED_VALUE"""),"Tungsten (W)")</f>
        <v>Tungsten (W)</v>
      </c>
      <c r="B8944" t="str">
        <f ca="1">IFERROR(__xludf.DUMMYFUNCTION("""COMPUTED_VALUE"""),"RF-00000201-CHE")</f>
        <v>RF-00000201-CHE</v>
      </c>
    </row>
    <row r="8945" spans="1:2" ht="12.5" x14ac:dyDescent="0.25">
      <c r="A8945" t="str">
        <f ca="1">IFERROR(__xludf.DUMMYFUNCTION("""COMPUTED_VALUE"""),"Tungsten and derivatives")</f>
        <v>Tungsten and derivatives</v>
      </c>
      <c r="B8945" t="str">
        <f ca="1">IFERROR(__xludf.DUMMYFUNCTION("""COMPUTED_VALUE"""),"RF-00000200-CHE")</f>
        <v>RF-00000200-CHE</v>
      </c>
    </row>
    <row r="8946" spans="1:2" ht="12.5" x14ac:dyDescent="0.25">
      <c r="A8946" t="str">
        <f ca="1">IFERROR(__xludf.DUMMYFUNCTION("""COMPUTED_VALUE"""),"Tussilagine")</f>
        <v>Tussilagine</v>
      </c>
      <c r="B8946" t="str">
        <f ca="1">IFERROR(__xludf.DUMMYFUNCTION("""COMPUTED_VALUE"""),"RF-00000307-TOX")</f>
        <v>RF-00000307-TOX</v>
      </c>
    </row>
    <row r="8947" spans="1:2" ht="12.5" x14ac:dyDescent="0.25">
      <c r="A8947" t="str">
        <f ca="1">IFERROR(__xludf.DUMMYFUNCTION("""COMPUTED_VALUE"""),"Tussilaginine")</f>
        <v>Tussilaginine</v>
      </c>
      <c r="B8947" t="str">
        <f ca="1">IFERROR(__xludf.DUMMYFUNCTION("""COMPUTED_VALUE"""),"RF-00000308-TOX")</f>
        <v>RF-00000308-TOX</v>
      </c>
    </row>
    <row r="8948" spans="1:2" ht="12.5" x14ac:dyDescent="0.25">
      <c r="A8948" t="str">
        <f ca="1">IFERROR(__xludf.DUMMYFUNCTION("""COMPUTED_VALUE"""),"Tylon (Tylosin, Tylosin A)")</f>
        <v>Tylon (Tylosin, Tylosin A)</v>
      </c>
      <c r="B8948" t="str">
        <f ca="1">IFERROR(__xludf.DUMMYFUNCTION("""COMPUTED_VALUE"""),"RF-00000565-VET")</f>
        <v>RF-00000565-VET</v>
      </c>
    </row>
    <row r="8949" spans="1:2" ht="12.5" x14ac:dyDescent="0.25">
      <c r="A8949" t="str">
        <f ca="1">IFERROR(__xludf.DUMMYFUNCTION("""COMPUTED_VALUE"""),"Tylosine")</f>
        <v>Tylosine</v>
      </c>
      <c r="B8949" t="str">
        <f ca="1">IFERROR(__xludf.DUMMYFUNCTION("""COMPUTED_VALUE"""),"RF-00000747-VET")</f>
        <v>RF-00000747-VET</v>
      </c>
    </row>
    <row r="8950" spans="1:2" ht="12.5" x14ac:dyDescent="0.25">
      <c r="A8950" t="str">
        <f ca="1">IFERROR(__xludf.DUMMYFUNCTION("""COMPUTED_VALUE"""),"Tyramine")</f>
        <v>Tyramine</v>
      </c>
      <c r="B8950" t="str">
        <f ca="1">IFERROR(__xludf.DUMMYFUNCTION("""COMPUTED_VALUE"""),"RF-00000007-BGA")</f>
        <v>RF-00000007-BGA</v>
      </c>
    </row>
    <row r="8951" spans="1:2" ht="12.5" x14ac:dyDescent="0.25">
      <c r="A8951" t="str">
        <f ca="1">IFERROR(__xludf.DUMMYFUNCTION("""COMPUTED_VALUE"""),"tyrosine")</f>
        <v>tyrosine</v>
      </c>
      <c r="B8951" t="str">
        <f ca="1">IFERROR(__xludf.DUMMYFUNCTION("""COMPUTED_VALUE"""),"RF-00000417-NTR")</f>
        <v>RF-00000417-NTR</v>
      </c>
    </row>
    <row r="8952" spans="1:2" ht="12.5" x14ac:dyDescent="0.25">
      <c r="A8952" t="str">
        <f ca="1">IFERROR(__xludf.DUMMYFUNCTION("""COMPUTED_VALUE"""),"Uniconazole")</f>
        <v>Uniconazole</v>
      </c>
      <c r="B8952" t="str">
        <f ca="1">IFERROR(__xludf.DUMMYFUNCTION("""COMPUTED_VALUE"""),"RF-0967-001-PPP")</f>
        <v>RF-0967-001-PPP</v>
      </c>
    </row>
    <row r="8953" spans="1:2" ht="12.5" x14ac:dyDescent="0.25">
      <c r="A8953" t="str">
        <f ca="1">IFERROR(__xludf.DUMMYFUNCTION("""COMPUTED_VALUE"""),"Unknown")</f>
        <v>Unknown</v>
      </c>
      <c r="B8953" t="str">
        <f ca="1">IFERROR(__xludf.DUMMYFUNCTION("""COMPUTED_VALUE"""),"RF-XXXX-XXX-X01")</f>
        <v>RF-XXXX-XXX-X01</v>
      </c>
    </row>
    <row r="8954" spans="1:2" ht="12.5" x14ac:dyDescent="0.25">
      <c r="A8954" t="str">
        <f ca="1">IFERROR(__xludf.DUMMYFUNCTION("""COMPUTED_VALUE"""),"Unspecified")</f>
        <v>Unspecified</v>
      </c>
      <c r="B8954" t="str">
        <f ca="1">IFERROR(__xludf.DUMMYFUNCTION("""COMPUTED_VALUE"""),"RF-XXXX-XXX-X02")</f>
        <v>RF-XXXX-XXX-X02</v>
      </c>
    </row>
    <row r="8955" spans="1:2" ht="12.5" x14ac:dyDescent="0.25">
      <c r="A8955" t="str">
        <f ca="1">IFERROR(__xludf.DUMMYFUNCTION("""COMPUTED_VALUE"""),"Unspecified Lyssavirus")</f>
        <v>Unspecified Lyssavirus</v>
      </c>
      <c r="B8955" t="str">
        <f ca="1">IFERROR(__xludf.DUMMYFUNCTION("""COMPUTED_VALUE"""),"RF-00000264-MCG")</f>
        <v>RF-00000264-MCG</v>
      </c>
    </row>
    <row r="8956" spans="1:2" ht="12.5" x14ac:dyDescent="0.25">
      <c r="A8956" t="str">
        <f ca="1">IFERROR(__xludf.DUMMYFUNCTION("""COMPUTED_VALUE"""),"Unspecified Microsporum")</f>
        <v>Unspecified Microsporum</v>
      </c>
      <c r="B8956" t="str">
        <f ca="1">IFERROR(__xludf.DUMMYFUNCTION("""COMPUTED_VALUE"""),"RF-00000271-MCG")</f>
        <v>RF-00000271-MCG</v>
      </c>
    </row>
    <row r="8957" spans="1:2" ht="12.5" x14ac:dyDescent="0.25">
      <c r="A8957" t="str">
        <f ca="1">IFERROR(__xludf.DUMMYFUNCTION("""COMPUTED_VALUE"""),"Uplandicine")</f>
        <v>Uplandicine</v>
      </c>
      <c r="B8957" t="str">
        <f ca="1">IFERROR(__xludf.DUMMYFUNCTION("""COMPUTED_VALUE"""),"RF-00000309-TOX")</f>
        <v>RF-00000309-TOX</v>
      </c>
    </row>
    <row r="8958" spans="1:2" ht="12.5" x14ac:dyDescent="0.25">
      <c r="A8958" t="str">
        <f ca="1">IFERROR(__xludf.DUMMYFUNCTION("""COMPUTED_VALUE"""),"Uranium (U)")</f>
        <v>Uranium (U)</v>
      </c>
      <c r="B8958" t="str">
        <f ca="1">IFERROR(__xludf.DUMMYFUNCTION("""COMPUTED_VALUE"""),"RF-00000197-CHE")</f>
        <v>RF-00000197-CHE</v>
      </c>
    </row>
    <row r="8959" spans="1:2" ht="12.5" x14ac:dyDescent="0.25">
      <c r="A8959" t="str">
        <f ca="1">IFERROR(__xludf.DUMMYFUNCTION("""COMPUTED_VALUE"""),"Uranium and derivatives")</f>
        <v>Uranium and derivatives</v>
      </c>
      <c r="B8959" t="str">
        <f ca="1">IFERROR(__xludf.DUMMYFUNCTION("""COMPUTED_VALUE"""),"RF-00000196-CHE")</f>
        <v>RF-00000196-CHE</v>
      </c>
    </row>
    <row r="8960" spans="1:2" ht="12.5" x14ac:dyDescent="0.25">
      <c r="A8960" t="str">
        <f ca="1">IFERROR(__xludf.DUMMYFUNCTION("""COMPUTED_VALUE"""),"Urea")</f>
        <v>Urea</v>
      </c>
      <c r="B8960" t="str">
        <f ca="1">IFERROR(__xludf.DUMMYFUNCTION("""COMPUTED_VALUE"""),"RF-00000104-CHE")</f>
        <v>RF-00000104-CHE</v>
      </c>
    </row>
    <row r="8961" spans="1:2" ht="12.5" x14ac:dyDescent="0.25">
      <c r="A8961" t="str">
        <f ca="1">IFERROR(__xludf.DUMMYFUNCTION("""COMPUTED_VALUE"""),"Urea and derivatives")</f>
        <v>Urea and derivatives</v>
      </c>
      <c r="B8961" t="str">
        <f ca="1">IFERROR(__xludf.DUMMYFUNCTION("""COMPUTED_VALUE"""),"RF-00000103-CHE")</f>
        <v>RF-00000103-CHE</v>
      </c>
    </row>
    <row r="8962" spans="1:2" ht="12.5" x14ac:dyDescent="0.25">
      <c r="A8962" t="str">
        <f ca="1">IFERROR(__xludf.DUMMYFUNCTION("""COMPUTED_VALUE"""),"Urea phosphate")</f>
        <v>Urea phosphate</v>
      </c>
      <c r="B8962" t="str">
        <f ca="1">IFERROR(__xludf.DUMMYFUNCTION("""COMPUTED_VALUE"""),"RF-00000097-CHE")</f>
        <v>RF-00000097-CHE</v>
      </c>
    </row>
    <row r="8963" spans="1:2" ht="12.5" x14ac:dyDescent="0.25">
      <c r="A8963" t="str">
        <f ca="1">IFERROR(__xludf.DUMMYFUNCTION("""COMPUTED_VALUE"""),"Uric acid")</f>
        <v>Uric acid</v>
      </c>
      <c r="B8963" t="str">
        <f ca="1">IFERROR(__xludf.DUMMYFUNCTION("""COMPUTED_VALUE"""),"RF-00000107-CHE")</f>
        <v>RF-00000107-CHE</v>
      </c>
    </row>
    <row r="8964" spans="1:2" ht="12.5" x14ac:dyDescent="0.25">
      <c r="A8964" t="str">
        <f ca="1">IFERROR(__xludf.DUMMYFUNCTION("""COMPUTED_VALUE"""),"Usaramine-N-oxide")</f>
        <v>Usaramine-N-oxide</v>
      </c>
      <c r="B8964" t="str">
        <f ca="1">IFERROR(__xludf.DUMMYFUNCTION("""COMPUTED_VALUE"""),"RF-00000420-TOX")</f>
        <v>RF-00000420-TOX</v>
      </c>
    </row>
    <row r="8965" spans="1:2" ht="12.5" x14ac:dyDescent="0.25">
      <c r="A8965" t="str">
        <f ca="1">IFERROR(__xludf.DUMMYFUNCTION("""COMPUTED_VALUE"""),"usual portion")</f>
        <v>usual portion</v>
      </c>
      <c r="B8965" t="str">
        <f ca="1">IFERROR(__xludf.DUMMYFUNCTION("""COMPUTED_VALUE"""),"RF-00000418-NTR")</f>
        <v>RF-00000418-NTR</v>
      </c>
    </row>
    <row r="8966" spans="1:2" ht="12.5" x14ac:dyDescent="0.25">
      <c r="A8966" t="str">
        <f ca="1">IFERROR(__xludf.DUMMYFUNCTION("""COMPUTED_VALUE"""),"Usuramine")</f>
        <v>Usuramine</v>
      </c>
      <c r="B8966" t="str">
        <f ca="1">IFERROR(__xludf.DUMMYFUNCTION("""COMPUTED_VALUE"""),"RF-00000310-TOX")</f>
        <v>RF-00000310-TOX</v>
      </c>
    </row>
    <row r="8967" spans="1:2" ht="12.5" x14ac:dyDescent="0.25">
      <c r="A8967" t="str">
        <f ca="1">IFERROR(__xludf.DUMMYFUNCTION("""COMPUTED_VALUE"""),"Validamycin")</f>
        <v>Validamycin</v>
      </c>
      <c r="B8967" t="str">
        <f ca="1">IFERROR(__xludf.DUMMYFUNCTION("""COMPUTED_VALUE"""),"RF-0968-001-PPP")</f>
        <v>RF-0968-001-PPP</v>
      </c>
    </row>
    <row r="8968" spans="1:2" ht="12.5" x14ac:dyDescent="0.25">
      <c r="A8968" t="str">
        <f ca="1">IFERROR(__xludf.DUMMYFUNCTION("""COMPUTED_VALUE"""),"Valifenalate")</f>
        <v>Valifenalate</v>
      </c>
      <c r="B8968" t="str">
        <f ca="1">IFERROR(__xludf.DUMMYFUNCTION("""COMPUTED_VALUE"""),"RF-1057-001-PPP")</f>
        <v>RF-1057-001-PPP</v>
      </c>
    </row>
    <row r="8969" spans="1:2" ht="12.5" x14ac:dyDescent="0.25">
      <c r="A8969" t="str">
        <f ca="1">IFERROR(__xludf.DUMMYFUNCTION("""COMPUTED_VALUE"""),"valine")</f>
        <v>valine</v>
      </c>
      <c r="B8969" t="str">
        <f ca="1">IFERROR(__xludf.DUMMYFUNCTION("""COMPUTED_VALUE"""),"RF-00000419-NTR")</f>
        <v>RF-00000419-NTR</v>
      </c>
    </row>
    <row r="8970" spans="1:2" ht="12.5" x14ac:dyDescent="0.25">
      <c r="A8970" t="str">
        <f ca="1">IFERROR(__xludf.DUMMYFUNCTION("""COMPUTED_VALUE"""),"Valiphenal")</f>
        <v>Valiphenal</v>
      </c>
      <c r="B8970" t="str">
        <f ca="1">IFERROR(__xludf.DUMMYFUNCTION("""COMPUTED_VALUE"""),"RF-0449-001-PPP")</f>
        <v>RF-0449-001-PPP</v>
      </c>
    </row>
    <row r="8971" spans="1:2" ht="12.5" x14ac:dyDescent="0.25">
      <c r="A8971" t="str">
        <f ca="1">IFERROR(__xludf.DUMMYFUNCTION("""COMPUTED_VALUE"""),"Valnemulin")</f>
        <v>Valnemulin</v>
      </c>
      <c r="B8971" t="str">
        <f ca="1">IFERROR(__xludf.DUMMYFUNCTION("""COMPUTED_VALUE"""),"RF-00000557-VET")</f>
        <v>RF-00000557-VET</v>
      </c>
    </row>
    <row r="8972" spans="1:2" ht="12.5" x14ac:dyDescent="0.25">
      <c r="A8972" t="str">
        <f ca="1">IFERROR(__xludf.DUMMYFUNCTION("""COMPUTED_VALUE"""),"Vamidothion")</f>
        <v>Vamidothion</v>
      </c>
      <c r="B8972" t="str">
        <f ca="1">IFERROR(__xludf.DUMMYFUNCTION("""COMPUTED_VALUE"""),"RF-0969-001-PPP")</f>
        <v>RF-0969-001-PPP</v>
      </c>
    </row>
    <row r="8973" spans="1:2" ht="12.5" x14ac:dyDescent="0.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x14ac:dyDescent="0.25">
      <c r="A8974" t="str">
        <f ca="1">IFERROR(__xludf.DUMMYFUNCTION("""COMPUTED_VALUE"""),"Vamidothion sulfone")</f>
        <v>Vamidothion sulfone</v>
      </c>
      <c r="B8974" t="str">
        <f ca="1">IFERROR(__xludf.DUMMYFUNCTION("""COMPUTED_VALUE"""),"RF-0969-003-PPP")</f>
        <v>RF-0969-003-PPP</v>
      </c>
    </row>
    <row r="8975" spans="1:2" ht="12.5" x14ac:dyDescent="0.25">
      <c r="A8975" t="str">
        <f ca="1">IFERROR(__xludf.DUMMYFUNCTION("""COMPUTED_VALUE"""),"Vamidothion sulfoxide")</f>
        <v>Vamidothion sulfoxide</v>
      </c>
      <c r="B8975" t="str">
        <f ca="1">IFERROR(__xludf.DUMMYFUNCTION("""COMPUTED_VALUE"""),"RF-0969-004-PPP")</f>
        <v>RF-0969-004-PPP</v>
      </c>
    </row>
    <row r="8976" spans="1:2" ht="12.5" x14ac:dyDescent="0.25">
      <c r="A8976" t="str">
        <f ca="1">IFERROR(__xludf.DUMMYFUNCTION("""COMPUTED_VALUE"""),"Vanadium (V)")</f>
        <v>Vanadium (V)</v>
      </c>
      <c r="B8976" t="str">
        <f ca="1">IFERROR(__xludf.DUMMYFUNCTION("""COMPUTED_VALUE"""),"RF-00000199-CHE")</f>
        <v>RF-00000199-CHE</v>
      </c>
    </row>
    <row r="8977" spans="1:2" ht="12.5" x14ac:dyDescent="0.25">
      <c r="A8977" t="str">
        <f ca="1">IFERROR(__xludf.DUMMYFUNCTION("""COMPUTED_VALUE"""),"Vanadium and derivatives")</f>
        <v>Vanadium and derivatives</v>
      </c>
      <c r="B8977" t="str">
        <f ca="1">IFERROR(__xludf.DUMMYFUNCTION("""COMPUTED_VALUE"""),"RF-00000198-CHE")</f>
        <v>RF-00000198-CHE</v>
      </c>
    </row>
    <row r="8978" spans="1:2" ht="12.5" x14ac:dyDescent="0.25">
      <c r="A8978" t="str">
        <f ca="1">IFERROR(__xludf.DUMMYFUNCTION("""COMPUTED_VALUE"""),"Vancomycin")</f>
        <v>Vancomycin</v>
      </c>
      <c r="B8978" t="str">
        <f ca="1">IFERROR(__xludf.DUMMYFUNCTION("""COMPUTED_VALUE"""),"RF-00000569-VET")</f>
        <v>RF-00000569-VET</v>
      </c>
    </row>
    <row r="8979" spans="1:2" ht="12.5" x14ac:dyDescent="0.25">
      <c r="A8979" t="str">
        <f ca="1">IFERROR(__xludf.DUMMYFUNCTION("""COMPUTED_VALUE"""),"VEB")</f>
        <v>VEB</v>
      </c>
      <c r="B8979" t="str">
        <f ca="1">IFERROR(__xludf.DUMMYFUNCTION("""COMPUTED_VALUE"""),"RF-00000167-PAR")</f>
        <v>RF-00000167-PAR</v>
      </c>
    </row>
    <row r="8980" spans="1:2" ht="12.5" x14ac:dyDescent="0.25">
      <c r="A8980" t="str">
        <f ca="1">IFERROR(__xludf.DUMMYFUNCTION("""COMPUTED_VALUE"""),"VEB-1")</f>
        <v>VEB-1</v>
      </c>
      <c r="B8980" t="str">
        <f ca="1">IFERROR(__xludf.DUMMYFUNCTION("""COMPUTED_VALUE"""),"RF-00000168-PAR")</f>
        <v>RF-00000168-PAR</v>
      </c>
    </row>
    <row r="8981" spans="1:2" ht="12.5" x14ac:dyDescent="0.25">
      <c r="A8981" t="str">
        <f ca="1">IFERROR(__xludf.DUMMYFUNCTION("""COMPUTED_VALUE"""),"VEB-2")</f>
        <v>VEB-2</v>
      </c>
      <c r="B8981" t="str">
        <f ca="1">IFERROR(__xludf.DUMMYFUNCTION("""COMPUTED_VALUE"""),"RF-00000169-PAR")</f>
        <v>RF-00000169-PAR</v>
      </c>
    </row>
    <row r="8982" spans="1:2" ht="12.5" x14ac:dyDescent="0.25">
      <c r="A8982" t="str">
        <f ca="1">IFERROR(__xludf.DUMMYFUNCTION("""COMPUTED_VALUE"""),"VEB-3")</f>
        <v>VEB-3</v>
      </c>
      <c r="B8982" t="str">
        <f ca="1">IFERROR(__xludf.DUMMYFUNCTION("""COMPUTED_VALUE"""),"RF-00000170-PAR")</f>
        <v>RF-00000170-PAR</v>
      </c>
    </row>
    <row r="8983" spans="1:2" ht="12.5" x14ac:dyDescent="0.25">
      <c r="A8983" t="str">
        <f ca="1">IFERROR(__xludf.DUMMYFUNCTION("""COMPUTED_VALUE"""),"VEB-4")</f>
        <v>VEB-4</v>
      </c>
      <c r="B8983" t="str">
        <f ca="1">IFERROR(__xludf.DUMMYFUNCTION("""COMPUTED_VALUE"""),"RF-00000171-PAR")</f>
        <v>RF-00000171-PAR</v>
      </c>
    </row>
    <row r="8984" spans="1:2" ht="12.5" x14ac:dyDescent="0.25">
      <c r="A8984" t="str">
        <f ca="1">IFERROR(__xludf.DUMMYFUNCTION("""COMPUTED_VALUE"""),"VEB-5")</f>
        <v>VEB-5</v>
      </c>
      <c r="B8984" t="str">
        <f ca="1">IFERROR(__xludf.DUMMYFUNCTION("""COMPUTED_VALUE"""),"RF-00000172-PAR")</f>
        <v>RF-00000172-PAR</v>
      </c>
    </row>
    <row r="8985" spans="1:2" ht="12.5" x14ac:dyDescent="0.25">
      <c r="A8985" t="str">
        <f ca="1">IFERROR(__xludf.DUMMYFUNCTION("""COMPUTED_VALUE"""),"VEB-6")</f>
        <v>VEB-6</v>
      </c>
      <c r="B8985" t="str">
        <f ca="1">IFERROR(__xludf.DUMMYFUNCTION("""COMPUTED_VALUE"""),"RF-00000173-PAR")</f>
        <v>RF-00000173-PAR</v>
      </c>
    </row>
    <row r="8986" spans="1:2" ht="12.5" x14ac:dyDescent="0.25">
      <c r="A8986" t="str">
        <f ca="1">IFERROR(__xludf.DUMMYFUNCTION("""COMPUTED_VALUE"""),"VEB-7")</f>
        <v>VEB-7</v>
      </c>
      <c r="B8986" t="str">
        <f ca="1">IFERROR(__xludf.DUMMYFUNCTION("""COMPUTED_VALUE"""),"RF-00000174-PAR")</f>
        <v>RF-00000174-PAR</v>
      </c>
    </row>
    <row r="8987" spans="1:2" ht="12.5" x14ac:dyDescent="0.25">
      <c r="A8987" t="str">
        <f ca="1">IFERROR(__xludf.DUMMYFUNCTION("""COMPUTED_VALUE"""),"VEB-8")</f>
        <v>VEB-8</v>
      </c>
      <c r="B8987" t="str">
        <f ca="1">IFERROR(__xludf.DUMMYFUNCTION("""COMPUTED_VALUE"""),"RF-00000175-PAR")</f>
        <v>RF-00000175-PAR</v>
      </c>
    </row>
    <row r="8988" spans="1:2" ht="12.5" x14ac:dyDescent="0.25">
      <c r="A8988" t="str">
        <f ca="1">IFERROR(__xludf.DUMMYFUNCTION("""COMPUTED_VALUE"""),"VEB-9")</f>
        <v>VEB-9</v>
      </c>
      <c r="B8988" t="str">
        <f ca="1">IFERROR(__xludf.DUMMYFUNCTION("""COMPUTED_VALUE"""),"RF-00000176-PAR")</f>
        <v>RF-00000176-PAR</v>
      </c>
    </row>
    <row r="8989" spans="1:2" ht="12.5" x14ac:dyDescent="0.25">
      <c r="A8989" t="str">
        <f ca="1">IFERROR(__xludf.DUMMYFUNCTION("""COMPUTED_VALUE"""),"Vedaprofen")</f>
        <v>Vedaprofen</v>
      </c>
      <c r="B8989" t="str">
        <f ca="1">IFERROR(__xludf.DUMMYFUNCTION("""COMPUTED_VALUE"""),"RF-00000225-VET")</f>
        <v>RF-00000225-VET</v>
      </c>
    </row>
    <row r="8990" spans="1:2" ht="12.5" x14ac:dyDescent="0.25">
      <c r="A8990" t="str">
        <f ca="1">IFERROR(__xludf.DUMMYFUNCTION("""COMPUTED_VALUE"""),"Vegetable carbon Black")</f>
        <v>Vegetable carbon Black</v>
      </c>
      <c r="B8990" t="str">
        <f ca="1">IFERROR(__xludf.DUMMYFUNCTION("""COMPUTED_VALUE"""),"RF-00000341-ADD")</f>
        <v>RF-00000341-ADD</v>
      </c>
    </row>
    <row r="8991" spans="1:2" ht="12.5" x14ac:dyDescent="0.25">
      <c r="A8991" t="str">
        <f ca="1">IFERROR(__xludf.DUMMYFUNCTION("""COMPUTED_VALUE"""),"Ventide")</f>
        <v>Ventide</v>
      </c>
      <c r="B8991" t="str">
        <f ca="1">IFERROR(__xludf.DUMMYFUNCTION("""COMPUTED_VALUE"""),"RF-00000489-VET")</f>
        <v>RF-00000489-VET</v>
      </c>
    </row>
    <row r="8992" spans="1:2" ht="12.5" x14ac:dyDescent="0.25">
      <c r="A8992" t="str">
        <f ca="1">IFERROR(__xludf.DUMMYFUNCTION("""COMPUTED_VALUE"""),"Vernolate")</f>
        <v>Vernolate</v>
      </c>
      <c r="B8992" t="str">
        <f ca="1">IFERROR(__xludf.DUMMYFUNCTION("""COMPUTED_VALUE"""),"RF-0970-001-PPP")</f>
        <v>RF-0970-001-PPP</v>
      </c>
    </row>
    <row r="8993" spans="1:2" ht="12.5" x14ac:dyDescent="0.25">
      <c r="A8993" t="str">
        <f ca="1">IFERROR(__xludf.DUMMYFUNCTION("""COMPUTED_VALUE"""),"Vesiculovirus")</f>
        <v>Vesiculovirus</v>
      </c>
      <c r="B8993" t="str">
        <f ca="1">IFERROR(__xludf.DUMMYFUNCTION("""COMPUTED_VALUE"""),"RF-00002627-MCG")</f>
        <v>RF-00002627-MCG</v>
      </c>
    </row>
    <row r="8994" spans="1:2" ht="12.5" x14ac:dyDescent="0.25">
      <c r="A8994" t="str">
        <f ca="1">IFERROR(__xludf.DUMMYFUNCTION("""COMPUTED_VALUE"""),"Vesiculovirus Chandipura virus")</f>
        <v>Vesiculovirus Chandipura virus</v>
      </c>
      <c r="B8994" t="str">
        <f ca="1">IFERROR(__xludf.DUMMYFUNCTION("""COMPUTED_VALUE"""),"RF-00002629-MCG")</f>
        <v>RF-00002629-MCG</v>
      </c>
    </row>
    <row r="8995" spans="1:2" ht="12.5" x14ac:dyDescent="0.25">
      <c r="A8995" t="str">
        <f ca="1">IFERROR(__xludf.DUMMYFUNCTION("""COMPUTED_VALUE"""),"Vesiculovirus spp., unidentified")</f>
        <v>Vesiculovirus spp., unidentified</v>
      </c>
      <c r="B8995" t="str">
        <f ca="1">IFERROR(__xludf.DUMMYFUNCTION("""COMPUTED_VALUE"""),"RF-00002628-MCG")</f>
        <v>RF-00002628-MCG</v>
      </c>
    </row>
    <row r="8996" spans="1:2" ht="12.5" x14ac:dyDescent="0.25">
      <c r="A8996" t="str">
        <f ca="1">IFERROR(__xludf.DUMMYFUNCTION("""COMPUTED_VALUE"""),"Vesiculovirus Vesicular stomatitis virus")</f>
        <v>Vesiculovirus Vesicular stomatitis virus</v>
      </c>
      <c r="B8996" t="str">
        <f ca="1">IFERROR(__xludf.DUMMYFUNCTION("""COMPUTED_VALUE"""),"RF-00002630-MCG")</f>
        <v>RF-00002630-MCG</v>
      </c>
    </row>
    <row r="8997" spans="1:2" ht="12.5" x14ac:dyDescent="0.25">
      <c r="A8997" t="str">
        <f ca="1">IFERROR(__xludf.DUMMYFUNCTION("""COMPUTED_VALUE"""),"Veterinary drugs")</f>
        <v>Veterinary drugs</v>
      </c>
      <c r="B8997" t="str">
        <f ca="1">IFERROR(__xludf.DUMMYFUNCTION("""COMPUTED_VALUE"""),"RF-00000001-VET")</f>
        <v>RF-00000001-VET</v>
      </c>
    </row>
    <row r="8998" spans="1:2" ht="12.5" x14ac:dyDescent="0.25">
      <c r="A8998" t="str">
        <f ca="1">IFERROR(__xludf.DUMMYFUNCTION("""COMPUTED_VALUE"""),"Vibrio")</f>
        <v>Vibrio</v>
      </c>
      <c r="B8998" t="str">
        <f ca="1">IFERROR(__xludf.DUMMYFUNCTION("""COMPUTED_VALUE"""),"RF-00002526-MCG")</f>
        <v>RF-00002526-MCG</v>
      </c>
    </row>
    <row r="8999" spans="1:2" ht="12.5" x14ac:dyDescent="0.25">
      <c r="A8999" t="str">
        <f ca="1">IFERROR(__xludf.DUMMYFUNCTION("""COMPUTED_VALUE"""),"Vibrio - V. cholerae")</f>
        <v>Vibrio - V. cholerae</v>
      </c>
      <c r="B8999" t="str">
        <f ca="1">IFERROR(__xludf.DUMMYFUNCTION("""COMPUTED_VALUE"""),"RF-00003893-MCG")</f>
        <v>RF-00003893-MCG</v>
      </c>
    </row>
    <row r="9000" spans="1:2" ht="12.5" x14ac:dyDescent="0.25">
      <c r="A9000" t="str">
        <f ca="1">IFERROR(__xludf.DUMMYFUNCTION("""COMPUTED_VALUE"""),"Vibrio - V. parahaemolyticus")</f>
        <v>Vibrio - V. parahaemolyticus</v>
      </c>
      <c r="B9000" t="str">
        <f ca="1">IFERROR(__xludf.DUMMYFUNCTION("""COMPUTED_VALUE"""),"RF-00003894-MCG")</f>
        <v>RF-00003894-MCG</v>
      </c>
    </row>
    <row r="9001" spans="1:2" ht="12.5" x14ac:dyDescent="0.25">
      <c r="A9001" t="str">
        <f ca="1">IFERROR(__xludf.DUMMYFUNCTION("""COMPUTED_VALUE"""),"Vibrio spp., unspecified")</f>
        <v>Vibrio spp., unspecified</v>
      </c>
      <c r="B9001" t="str">
        <f ca="1">IFERROR(__xludf.DUMMYFUNCTION("""COMPUTED_VALUE"""),"RF-00002530-MCG")</f>
        <v>RF-00002530-MCG</v>
      </c>
    </row>
    <row r="9002" spans="1:2" ht="12.5" x14ac:dyDescent="0.25">
      <c r="A9002" t="str">
        <f ca="1">IFERROR(__xludf.DUMMYFUNCTION("""COMPUTED_VALUE"""),"Vibrio vulnificus")</f>
        <v>Vibrio vulnificus</v>
      </c>
      <c r="B9002" t="str">
        <f ca="1">IFERROR(__xludf.DUMMYFUNCTION("""COMPUTED_VALUE"""),"RF-00002528-MCG")</f>
        <v>RF-00002528-MCG</v>
      </c>
    </row>
    <row r="9003" spans="1:2" ht="12.5" x14ac:dyDescent="0.25">
      <c r="A9003" t="str">
        <f ca="1">IFERROR(__xludf.DUMMYFUNCTION("""COMPUTED_VALUE"""),"VIM")</f>
        <v>VIM</v>
      </c>
      <c r="B9003" t="str">
        <f ca="1">IFERROR(__xludf.DUMMYFUNCTION("""COMPUTED_VALUE"""),"RF-00000926-PAR")</f>
        <v>RF-00000926-PAR</v>
      </c>
    </row>
    <row r="9004" spans="1:2" ht="12.5" x14ac:dyDescent="0.25">
      <c r="A9004" t="str">
        <f ca="1">IFERROR(__xludf.DUMMYFUNCTION("""COMPUTED_VALUE"""),"VIM-1")</f>
        <v>VIM-1</v>
      </c>
      <c r="B9004" t="str">
        <f ca="1">IFERROR(__xludf.DUMMYFUNCTION("""COMPUTED_VALUE"""),"RF-00000927-PAR")</f>
        <v>RF-00000927-PAR</v>
      </c>
    </row>
    <row r="9005" spans="1:2" ht="12.5" x14ac:dyDescent="0.25">
      <c r="A9005" t="str">
        <f ca="1">IFERROR(__xludf.DUMMYFUNCTION("""COMPUTED_VALUE"""),"VIM-10")</f>
        <v>VIM-10</v>
      </c>
      <c r="B9005" t="str">
        <f ca="1">IFERROR(__xludf.DUMMYFUNCTION("""COMPUTED_VALUE"""),"RF-00000936-PAR")</f>
        <v>RF-00000936-PAR</v>
      </c>
    </row>
    <row r="9006" spans="1:2" ht="12.5" x14ac:dyDescent="0.25">
      <c r="A9006" t="str">
        <f ca="1">IFERROR(__xludf.DUMMYFUNCTION("""COMPUTED_VALUE"""),"VIM-11")</f>
        <v>VIM-11</v>
      </c>
      <c r="B9006" t="str">
        <f ca="1">IFERROR(__xludf.DUMMYFUNCTION("""COMPUTED_VALUE"""),"RF-00000937-PAR")</f>
        <v>RF-00000937-PAR</v>
      </c>
    </row>
    <row r="9007" spans="1:2" ht="12.5" x14ac:dyDescent="0.25">
      <c r="A9007" t="str">
        <f ca="1">IFERROR(__xludf.DUMMYFUNCTION("""COMPUTED_VALUE"""),"VIM-12")</f>
        <v>VIM-12</v>
      </c>
      <c r="B9007" t="str">
        <f ca="1">IFERROR(__xludf.DUMMYFUNCTION("""COMPUTED_VALUE"""),"RF-00000938-PAR")</f>
        <v>RF-00000938-PAR</v>
      </c>
    </row>
    <row r="9008" spans="1:2" ht="12.5" x14ac:dyDescent="0.25">
      <c r="A9008" t="str">
        <f ca="1">IFERROR(__xludf.DUMMYFUNCTION("""COMPUTED_VALUE"""),"VIM-13")</f>
        <v>VIM-13</v>
      </c>
      <c r="B9008" t="str">
        <f ca="1">IFERROR(__xludf.DUMMYFUNCTION("""COMPUTED_VALUE"""),"RF-00000939-PAR")</f>
        <v>RF-00000939-PAR</v>
      </c>
    </row>
    <row r="9009" spans="1:2" ht="12.5" x14ac:dyDescent="0.25">
      <c r="A9009" t="str">
        <f ca="1">IFERROR(__xludf.DUMMYFUNCTION("""COMPUTED_VALUE"""),"VIM-14")</f>
        <v>VIM-14</v>
      </c>
      <c r="B9009" t="str">
        <f ca="1">IFERROR(__xludf.DUMMYFUNCTION("""COMPUTED_VALUE"""),"RF-00000940-PAR")</f>
        <v>RF-00000940-PAR</v>
      </c>
    </row>
    <row r="9010" spans="1:2" ht="12.5" x14ac:dyDescent="0.25">
      <c r="A9010" t="str">
        <f ca="1">IFERROR(__xludf.DUMMYFUNCTION("""COMPUTED_VALUE"""),"VIM-15")</f>
        <v>VIM-15</v>
      </c>
      <c r="B9010" t="str">
        <f ca="1">IFERROR(__xludf.DUMMYFUNCTION("""COMPUTED_VALUE"""),"RF-00000941-PAR")</f>
        <v>RF-00000941-PAR</v>
      </c>
    </row>
    <row r="9011" spans="1:2" ht="12.5" x14ac:dyDescent="0.25">
      <c r="A9011" t="str">
        <f ca="1">IFERROR(__xludf.DUMMYFUNCTION("""COMPUTED_VALUE"""),"VIM-16")</f>
        <v>VIM-16</v>
      </c>
      <c r="B9011" t="str">
        <f ca="1">IFERROR(__xludf.DUMMYFUNCTION("""COMPUTED_VALUE"""),"RF-00000942-PAR")</f>
        <v>RF-00000942-PAR</v>
      </c>
    </row>
    <row r="9012" spans="1:2" ht="12.5" x14ac:dyDescent="0.25">
      <c r="A9012" t="str">
        <f ca="1">IFERROR(__xludf.DUMMYFUNCTION("""COMPUTED_VALUE"""),"VIM-17")</f>
        <v>VIM-17</v>
      </c>
      <c r="B9012" t="str">
        <f ca="1">IFERROR(__xludf.DUMMYFUNCTION("""COMPUTED_VALUE"""),"RF-00000943-PAR")</f>
        <v>RF-00000943-PAR</v>
      </c>
    </row>
    <row r="9013" spans="1:2" ht="12.5" x14ac:dyDescent="0.25">
      <c r="A9013" t="str">
        <f ca="1">IFERROR(__xludf.DUMMYFUNCTION("""COMPUTED_VALUE"""),"VIM-18")</f>
        <v>VIM-18</v>
      </c>
      <c r="B9013" t="str">
        <f ca="1">IFERROR(__xludf.DUMMYFUNCTION("""COMPUTED_VALUE"""),"RF-00000944-PAR")</f>
        <v>RF-00000944-PAR</v>
      </c>
    </row>
    <row r="9014" spans="1:2" ht="12.5" x14ac:dyDescent="0.25">
      <c r="A9014" t="str">
        <f ca="1">IFERROR(__xludf.DUMMYFUNCTION("""COMPUTED_VALUE"""),"VIM-19")</f>
        <v>VIM-19</v>
      </c>
      <c r="B9014" t="str">
        <f ca="1">IFERROR(__xludf.DUMMYFUNCTION("""COMPUTED_VALUE"""),"RF-00000945-PAR")</f>
        <v>RF-00000945-PAR</v>
      </c>
    </row>
    <row r="9015" spans="1:2" ht="12.5" x14ac:dyDescent="0.25">
      <c r="A9015" t="str">
        <f ca="1">IFERROR(__xludf.DUMMYFUNCTION("""COMPUTED_VALUE"""),"VIM-2")</f>
        <v>VIM-2</v>
      </c>
      <c r="B9015" t="str">
        <f ca="1">IFERROR(__xludf.DUMMYFUNCTION("""COMPUTED_VALUE"""),"RF-00000928-PAR")</f>
        <v>RF-00000928-PAR</v>
      </c>
    </row>
    <row r="9016" spans="1:2" ht="12.5" x14ac:dyDescent="0.25">
      <c r="A9016" t="str">
        <f ca="1">IFERROR(__xludf.DUMMYFUNCTION("""COMPUTED_VALUE"""),"VIM-20")</f>
        <v>VIM-20</v>
      </c>
      <c r="B9016" t="str">
        <f ca="1">IFERROR(__xludf.DUMMYFUNCTION("""COMPUTED_VALUE"""),"RF-00000946-PAR")</f>
        <v>RF-00000946-PAR</v>
      </c>
    </row>
    <row r="9017" spans="1:2" ht="12.5" x14ac:dyDescent="0.25">
      <c r="A9017" t="str">
        <f ca="1">IFERROR(__xludf.DUMMYFUNCTION("""COMPUTED_VALUE"""),"VIM-21")</f>
        <v>VIM-21</v>
      </c>
      <c r="B9017" t="str">
        <f ca="1">IFERROR(__xludf.DUMMYFUNCTION("""COMPUTED_VALUE"""),"RF-00000947-PAR")</f>
        <v>RF-00000947-PAR</v>
      </c>
    </row>
    <row r="9018" spans="1:2" ht="12.5" x14ac:dyDescent="0.25">
      <c r="A9018" t="str">
        <f ca="1">IFERROR(__xludf.DUMMYFUNCTION("""COMPUTED_VALUE"""),"VIM-22")</f>
        <v>VIM-22</v>
      </c>
      <c r="B9018" t="str">
        <f ca="1">IFERROR(__xludf.DUMMYFUNCTION("""COMPUTED_VALUE"""),"RF-00000948-PAR")</f>
        <v>RF-00000948-PAR</v>
      </c>
    </row>
    <row r="9019" spans="1:2" ht="12.5" x14ac:dyDescent="0.25">
      <c r="A9019" t="str">
        <f ca="1">IFERROR(__xludf.DUMMYFUNCTION("""COMPUTED_VALUE"""),"VIM-23")</f>
        <v>VIM-23</v>
      </c>
      <c r="B9019" t="str">
        <f ca="1">IFERROR(__xludf.DUMMYFUNCTION("""COMPUTED_VALUE"""),"RF-00000949-PAR")</f>
        <v>RF-00000949-PAR</v>
      </c>
    </row>
    <row r="9020" spans="1:2" ht="12.5" x14ac:dyDescent="0.25">
      <c r="A9020" t="str">
        <f ca="1">IFERROR(__xludf.DUMMYFUNCTION("""COMPUTED_VALUE"""),"VIM-24")</f>
        <v>VIM-24</v>
      </c>
      <c r="B9020" t="str">
        <f ca="1">IFERROR(__xludf.DUMMYFUNCTION("""COMPUTED_VALUE"""),"RF-00000950-PAR")</f>
        <v>RF-00000950-PAR</v>
      </c>
    </row>
    <row r="9021" spans="1:2" ht="12.5" x14ac:dyDescent="0.25">
      <c r="A9021" t="str">
        <f ca="1">IFERROR(__xludf.DUMMYFUNCTION("""COMPUTED_VALUE"""),"VIM-25")</f>
        <v>VIM-25</v>
      </c>
      <c r="B9021" t="str">
        <f ca="1">IFERROR(__xludf.DUMMYFUNCTION("""COMPUTED_VALUE"""),"RF-00000951-PAR")</f>
        <v>RF-00000951-PAR</v>
      </c>
    </row>
    <row r="9022" spans="1:2" ht="12.5" x14ac:dyDescent="0.25">
      <c r="A9022" t="str">
        <f ca="1">IFERROR(__xludf.DUMMYFUNCTION("""COMPUTED_VALUE"""),"VIM-26")</f>
        <v>VIM-26</v>
      </c>
      <c r="B9022" t="str">
        <f ca="1">IFERROR(__xludf.DUMMYFUNCTION("""COMPUTED_VALUE"""),"RF-00000952-PAR")</f>
        <v>RF-00000952-PAR</v>
      </c>
    </row>
    <row r="9023" spans="1:2" ht="12.5" x14ac:dyDescent="0.25">
      <c r="A9023" t="str">
        <f ca="1">IFERROR(__xludf.DUMMYFUNCTION("""COMPUTED_VALUE"""),"VIM-27")</f>
        <v>VIM-27</v>
      </c>
      <c r="B9023" t="str">
        <f ca="1">IFERROR(__xludf.DUMMYFUNCTION("""COMPUTED_VALUE"""),"RF-00000953-PAR")</f>
        <v>RF-00000953-PAR</v>
      </c>
    </row>
    <row r="9024" spans="1:2" ht="12.5" x14ac:dyDescent="0.25">
      <c r="A9024" t="str">
        <f ca="1">IFERROR(__xludf.DUMMYFUNCTION("""COMPUTED_VALUE"""),"VIM-28")</f>
        <v>VIM-28</v>
      </c>
      <c r="B9024" t="str">
        <f ca="1">IFERROR(__xludf.DUMMYFUNCTION("""COMPUTED_VALUE"""),"RF-00000954-PAR")</f>
        <v>RF-00000954-PAR</v>
      </c>
    </row>
    <row r="9025" spans="1:2" ht="12.5" x14ac:dyDescent="0.25">
      <c r="A9025" t="str">
        <f ca="1">IFERROR(__xludf.DUMMYFUNCTION("""COMPUTED_VALUE"""),"VIM-29")</f>
        <v>VIM-29</v>
      </c>
      <c r="B9025" t="str">
        <f ca="1">IFERROR(__xludf.DUMMYFUNCTION("""COMPUTED_VALUE"""),"RF-00000955-PAR")</f>
        <v>RF-00000955-PAR</v>
      </c>
    </row>
    <row r="9026" spans="1:2" ht="12.5" x14ac:dyDescent="0.25">
      <c r="A9026" t="str">
        <f ca="1">IFERROR(__xludf.DUMMYFUNCTION("""COMPUTED_VALUE"""),"VIM-3")</f>
        <v>VIM-3</v>
      </c>
      <c r="B9026" t="str">
        <f ca="1">IFERROR(__xludf.DUMMYFUNCTION("""COMPUTED_VALUE"""),"RF-00000929-PAR")</f>
        <v>RF-00000929-PAR</v>
      </c>
    </row>
    <row r="9027" spans="1:2" ht="12.5" x14ac:dyDescent="0.25">
      <c r="A9027" t="str">
        <f ca="1">IFERROR(__xludf.DUMMYFUNCTION("""COMPUTED_VALUE"""),"VIM-30")</f>
        <v>VIM-30</v>
      </c>
      <c r="B9027" t="str">
        <f ca="1">IFERROR(__xludf.DUMMYFUNCTION("""COMPUTED_VALUE"""),"RF-00000956-PAR")</f>
        <v>RF-00000956-PAR</v>
      </c>
    </row>
    <row r="9028" spans="1:2" ht="12.5" x14ac:dyDescent="0.25">
      <c r="A9028" t="str">
        <f ca="1">IFERROR(__xludf.DUMMYFUNCTION("""COMPUTED_VALUE"""),"VIM-31")</f>
        <v>VIM-31</v>
      </c>
      <c r="B9028" t="str">
        <f ca="1">IFERROR(__xludf.DUMMYFUNCTION("""COMPUTED_VALUE"""),"RF-00000957-PAR")</f>
        <v>RF-00000957-PAR</v>
      </c>
    </row>
    <row r="9029" spans="1:2" ht="12.5" x14ac:dyDescent="0.25">
      <c r="A9029" t="str">
        <f ca="1">IFERROR(__xludf.DUMMYFUNCTION("""COMPUTED_VALUE"""),"VIM-32")</f>
        <v>VIM-32</v>
      </c>
      <c r="B9029" t="str">
        <f ca="1">IFERROR(__xludf.DUMMYFUNCTION("""COMPUTED_VALUE"""),"RF-00000958-PAR")</f>
        <v>RF-00000958-PAR</v>
      </c>
    </row>
    <row r="9030" spans="1:2" ht="12.5" x14ac:dyDescent="0.25">
      <c r="A9030" t="str">
        <f ca="1">IFERROR(__xludf.DUMMYFUNCTION("""COMPUTED_VALUE"""),"VIM-33")</f>
        <v>VIM-33</v>
      </c>
      <c r="B9030" t="str">
        <f ca="1">IFERROR(__xludf.DUMMYFUNCTION("""COMPUTED_VALUE"""),"RF-00000959-PAR")</f>
        <v>RF-00000959-PAR</v>
      </c>
    </row>
    <row r="9031" spans="1:2" ht="12.5" x14ac:dyDescent="0.25">
      <c r="A9031" t="str">
        <f ca="1">IFERROR(__xludf.DUMMYFUNCTION("""COMPUTED_VALUE"""),"VIM-34")</f>
        <v>VIM-34</v>
      </c>
      <c r="B9031" t="str">
        <f ca="1">IFERROR(__xludf.DUMMYFUNCTION("""COMPUTED_VALUE"""),"RF-00000960-PAR")</f>
        <v>RF-00000960-PAR</v>
      </c>
    </row>
    <row r="9032" spans="1:2" ht="12.5" x14ac:dyDescent="0.25">
      <c r="A9032" t="str">
        <f ca="1">IFERROR(__xludf.DUMMYFUNCTION("""COMPUTED_VALUE"""),"VIM-35")</f>
        <v>VIM-35</v>
      </c>
      <c r="B9032" t="str">
        <f ca="1">IFERROR(__xludf.DUMMYFUNCTION("""COMPUTED_VALUE"""),"RF-00000961-PAR")</f>
        <v>RF-00000961-PAR</v>
      </c>
    </row>
    <row r="9033" spans="1:2" ht="12.5" x14ac:dyDescent="0.25">
      <c r="A9033" t="str">
        <f ca="1">IFERROR(__xludf.DUMMYFUNCTION("""COMPUTED_VALUE"""),"VIM-36")</f>
        <v>VIM-36</v>
      </c>
      <c r="B9033" t="str">
        <f ca="1">IFERROR(__xludf.DUMMYFUNCTION("""COMPUTED_VALUE"""),"RF-00000962-PAR")</f>
        <v>RF-00000962-PAR</v>
      </c>
    </row>
    <row r="9034" spans="1:2" ht="12.5" x14ac:dyDescent="0.25">
      <c r="A9034" t="str">
        <f ca="1">IFERROR(__xludf.DUMMYFUNCTION("""COMPUTED_VALUE"""),"VIM-37")</f>
        <v>VIM-37</v>
      </c>
      <c r="B9034" t="str">
        <f ca="1">IFERROR(__xludf.DUMMYFUNCTION("""COMPUTED_VALUE"""),"RF-00000963-PAR")</f>
        <v>RF-00000963-PAR</v>
      </c>
    </row>
    <row r="9035" spans="1:2" ht="12.5" x14ac:dyDescent="0.25">
      <c r="A9035" t="str">
        <f ca="1">IFERROR(__xludf.DUMMYFUNCTION("""COMPUTED_VALUE"""),"VIM-4")</f>
        <v>VIM-4</v>
      </c>
      <c r="B9035" t="str">
        <f ca="1">IFERROR(__xludf.DUMMYFUNCTION("""COMPUTED_VALUE"""),"RF-00000930-PAR")</f>
        <v>RF-00000930-PAR</v>
      </c>
    </row>
    <row r="9036" spans="1:2" ht="12.5" x14ac:dyDescent="0.25">
      <c r="A9036" t="str">
        <f ca="1">IFERROR(__xludf.DUMMYFUNCTION("""COMPUTED_VALUE"""),"VIM-5")</f>
        <v>VIM-5</v>
      </c>
      <c r="B9036" t="str">
        <f ca="1">IFERROR(__xludf.DUMMYFUNCTION("""COMPUTED_VALUE"""),"RF-00000931-PAR")</f>
        <v>RF-00000931-PAR</v>
      </c>
    </row>
    <row r="9037" spans="1:2" ht="12.5" x14ac:dyDescent="0.25">
      <c r="A9037" t="str">
        <f ca="1">IFERROR(__xludf.DUMMYFUNCTION("""COMPUTED_VALUE"""),"VIM-6")</f>
        <v>VIM-6</v>
      </c>
      <c r="B9037" t="str">
        <f ca="1">IFERROR(__xludf.DUMMYFUNCTION("""COMPUTED_VALUE"""),"RF-00000932-PAR")</f>
        <v>RF-00000932-PAR</v>
      </c>
    </row>
    <row r="9038" spans="1:2" ht="12.5" x14ac:dyDescent="0.25">
      <c r="A9038" t="str">
        <f ca="1">IFERROR(__xludf.DUMMYFUNCTION("""COMPUTED_VALUE"""),"VIM-7")</f>
        <v>VIM-7</v>
      </c>
      <c r="B9038" t="str">
        <f ca="1">IFERROR(__xludf.DUMMYFUNCTION("""COMPUTED_VALUE"""),"RF-00000933-PAR")</f>
        <v>RF-00000933-PAR</v>
      </c>
    </row>
    <row r="9039" spans="1:2" ht="12.5" x14ac:dyDescent="0.25">
      <c r="A9039" t="str">
        <f ca="1">IFERROR(__xludf.DUMMYFUNCTION("""COMPUTED_VALUE"""),"VIM-8")</f>
        <v>VIM-8</v>
      </c>
      <c r="B9039" t="str">
        <f ca="1">IFERROR(__xludf.DUMMYFUNCTION("""COMPUTED_VALUE"""),"RF-00000934-PAR")</f>
        <v>RF-00000934-PAR</v>
      </c>
    </row>
    <row r="9040" spans="1:2" ht="12.5" x14ac:dyDescent="0.25">
      <c r="A9040" t="str">
        <f ca="1">IFERROR(__xludf.DUMMYFUNCTION("""COMPUTED_VALUE"""),"VIM-9")</f>
        <v>VIM-9</v>
      </c>
      <c r="B9040" t="str">
        <f ca="1">IFERROR(__xludf.DUMMYFUNCTION("""COMPUTED_VALUE"""),"RF-00000935-PAR")</f>
        <v>RF-00000935-PAR</v>
      </c>
    </row>
    <row r="9041" spans="1:2" ht="12.5" x14ac:dyDescent="0.25">
      <c r="A9041" t="str">
        <f ca="1">IFERROR(__xludf.DUMMYFUNCTION("""COMPUTED_VALUE"""),"Vinclozolin")</f>
        <v>Vinclozolin</v>
      </c>
      <c r="B9041" t="str">
        <f ca="1">IFERROR(__xludf.DUMMYFUNCTION("""COMPUTED_VALUE"""),"RF-0450-003-PPP")</f>
        <v>RF-0450-003-PPP</v>
      </c>
    </row>
    <row r="9042" spans="1:2" ht="12.5" x14ac:dyDescent="0.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x14ac:dyDescent="0.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x14ac:dyDescent="0.25">
      <c r="A9044" t="str">
        <f ca="1">IFERROR(__xludf.DUMMYFUNCTION("""COMPUTED_VALUE"""),"Vinylestradiol")</f>
        <v>Vinylestradiol</v>
      </c>
      <c r="B9044" t="str">
        <f ca="1">IFERROR(__xludf.DUMMYFUNCTION("""COMPUTED_VALUE"""),"RF-00000380-VET")</f>
        <v>RF-00000380-VET</v>
      </c>
    </row>
    <row r="9045" spans="1:2" ht="12.5" x14ac:dyDescent="0.25">
      <c r="A9045" t="str">
        <f ca="1">IFERROR(__xludf.DUMMYFUNCTION("""COMPUTED_VALUE"""),"Virginiamycin (M1+S1)")</f>
        <v>Virginiamycin (M1+S1)</v>
      </c>
      <c r="B9045" t="str">
        <f ca="1">IFERROR(__xludf.DUMMYFUNCTION("""COMPUTED_VALUE"""),"RF-00000572-VET")</f>
        <v>RF-00000572-VET</v>
      </c>
    </row>
    <row r="9046" spans="1:2" ht="12.5" x14ac:dyDescent="0.25">
      <c r="A9046" t="str">
        <f ca="1">IFERROR(__xludf.DUMMYFUNCTION("""COMPUTED_VALUE"""),"Virginiamycin-M1")</f>
        <v>Virginiamycin-M1</v>
      </c>
      <c r="B9046" t="str">
        <f ca="1">IFERROR(__xludf.DUMMYFUNCTION("""COMPUTED_VALUE"""),"RF-00000573-VET")</f>
        <v>RF-00000573-VET</v>
      </c>
    </row>
    <row r="9047" spans="1:2" ht="12.5" x14ac:dyDescent="0.25">
      <c r="A9047" t="str">
        <f ca="1">IFERROR(__xludf.DUMMYFUNCTION("""COMPUTED_VALUE"""),"Virginiamycin-S1")</f>
        <v>Virginiamycin-S1</v>
      </c>
      <c r="B9047" t="str">
        <f ca="1">IFERROR(__xludf.DUMMYFUNCTION("""COMPUTED_VALUE"""),"RF-00000574-VET")</f>
        <v>RF-00000574-VET</v>
      </c>
    </row>
    <row r="9048" spans="1:2" ht="12.5" x14ac:dyDescent="0.25">
      <c r="A9048" t="str">
        <f ca="1">IFERROR(__xludf.DUMMYFUNCTION("""COMPUTED_VALUE"""),"Viridiflorine")</f>
        <v>Viridiflorine</v>
      </c>
      <c r="B9048" t="str">
        <f ca="1">IFERROR(__xludf.DUMMYFUNCTION("""COMPUTED_VALUE"""),"RF-00000311-TOX")</f>
        <v>RF-00000311-TOX</v>
      </c>
    </row>
    <row r="9049" spans="1:2" ht="12.5" x14ac:dyDescent="0.25">
      <c r="A9049" t="str">
        <f ca="1">IFERROR(__xludf.DUMMYFUNCTION("""COMPUTED_VALUE"""),"Viruses")</f>
        <v>Viruses</v>
      </c>
      <c r="B9049" t="str">
        <f ca="1">IFERROR(__xludf.DUMMYFUNCTION("""COMPUTED_VALUE"""),"RF-00002792-MCG")</f>
        <v>RF-00002792-MCG</v>
      </c>
    </row>
    <row r="9050" spans="1:2" ht="12.5" x14ac:dyDescent="0.25">
      <c r="A9050" t="str">
        <f ca="1">IFERROR(__xludf.DUMMYFUNCTION("""COMPUTED_VALUE"""),"vitamin A acetate")</f>
        <v>vitamin A acetate</v>
      </c>
      <c r="B9050" t="str">
        <f ca="1">IFERROR(__xludf.DUMMYFUNCTION("""COMPUTED_VALUE"""),"RF-00000421-NTR")</f>
        <v>RF-00000421-NTR</v>
      </c>
    </row>
    <row r="9051" spans="1:2" ht="12.5" x14ac:dyDescent="0.25">
      <c r="A9051" t="str">
        <f ca="1">IFERROR(__xludf.DUMMYFUNCTION("""COMPUTED_VALUE"""),"vitamin A palmitate")</f>
        <v>vitamin A palmitate</v>
      </c>
      <c r="B9051" t="str">
        <f ca="1">IFERROR(__xludf.DUMMYFUNCTION("""COMPUTED_VALUE"""),"RF-00000422-NTR")</f>
        <v>RF-00000422-NTR</v>
      </c>
    </row>
    <row r="9052" spans="1:2" ht="12.5" x14ac:dyDescent="0.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x14ac:dyDescent="0.25">
      <c r="A9053" t="str">
        <f ca="1">IFERROR(__xludf.DUMMYFUNCTION("""COMPUTED_VALUE"""),"vitamin B-12")</f>
        <v>vitamin B-12</v>
      </c>
      <c r="B9053" t="str">
        <f ca="1">IFERROR(__xludf.DUMMYFUNCTION("""COMPUTED_VALUE"""),"RF-00000424-NTR")</f>
        <v>RF-00000424-NTR</v>
      </c>
    </row>
    <row r="9054" spans="1:2" ht="12.5" x14ac:dyDescent="0.25">
      <c r="A9054" t="str">
        <f ca="1">IFERROR(__xludf.DUMMYFUNCTION("""COMPUTED_VALUE"""),"vitamin B-6, total")</f>
        <v>vitamin B-6, total</v>
      </c>
      <c r="B9054" t="str">
        <f ca="1">IFERROR(__xludf.DUMMYFUNCTION("""COMPUTED_VALUE"""),"RF-00000425-NTR")</f>
        <v>RF-00000425-NTR</v>
      </c>
    </row>
    <row r="9055" spans="1:2" ht="12.5" x14ac:dyDescent="0.25">
      <c r="A9055" t="str">
        <f ca="1">IFERROR(__xludf.DUMMYFUNCTION("""COMPUTED_VALUE"""),"vitamin C (ascorbic acid)")</f>
        <v>vitamin C (ascorbic acid)</v>
      </c>
      <c r="B9055" t="str">
        <f ca="1">IFERROR(__xludf.DUMMYFUNCTION("""COMPUTED_VALUE"""),"RF-00000426-NTR")</f>
        <v>RF-00000426-NTR</v>
      </c>
    </row>
    <row r="9056" spans="1:2" ht="12.5" x14ac:dyDescent="0.25">
      <c r="A9056" t="str">
        <f ca="1">IFERROR(__xludf.DUMMYFUNCTION("""COMPUTED_VALUE"""),"vitamin D")</f>
        <v>vitamin D</v>
      </c>
      <c r="B9056" t="str">
        <f ca="1">IFERROR(__xludf.DUMMYFUNCTION("""COMPUTED_VALUE"""),"RF-00000427-NTR")</f>
        <v>RF-00000427-NTR</v>
      </c>
    </row>
    <row r="9057" spans="1:2" ht="12.5" x14ac:dyDescent="0.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x14ac:dyDescent="0.25">
      <c r="A9058" t="str">
        <f ca="1">IFERROR(__xludf.DUMMYFUNCTION("""COMPUTED_VALUE"""),"vitamin K-1")</f>
        <v>vitamin K-1</v>
      </c>
      <c r="B9058" t="str">
        <f ca="1">IFERROR(__xludf.DUMMYFUNCTION("""COMPUTED_VALUE"""),"RF-00000430-NTR")</f>
        <v>RF-00000430-NTR</v>
      </c>
    </row>
    <row r="9059" spans="1:2" ht="12.5" x14ac:dyDescent="0.25">
      <c r="A9059" t="str">
        <f ca="1">IFERROR(__xludf.DUMMYFUNCTION("""COMPUTED_VALUE"""),"vitamin K-2 (menakinone)")</f>
        <v>vitamin K-2 (menakinone)</v>
      </c>
      <c r="B9059" t="str">
        <f ca="1">IFERROR(__xludf.DUMMYFUNCTION("""COMPUTED_VALUE"""),"RF-00000431-NTR")</f>
        <v>RF-00000431-NTR</v>
      </c>
    </row>
    <row r="9060" spans="1:2" ht="12.5" x14ac:dyDescent="0.25">
      <c r="A9060" t="str">
        <f ca="1">IFERROR(__xludf.DUMMYFUNCTION("""COMPUTED_VALUE"""),"vitamin K, total")</f>
        <v>vitamin K, total</v>
      </c>
      <c r="B9060" t="str">
        <f ca="1">IFERROR(__xludf.DUMMYFUNCTION("""COMPUTED_VALUE"""),"RF-00000429-NTR")</f>
        <v>RF-00000429-NTR</v>
      </c>
    </row>
    <row r="9061" spans="1:2" ht="12.5" x14ac:dyDescent="0.25">
      <c r="A9061" t="str">
        <f ca="1">IFERROR(__xludf.DUMMYFUNCTION("""COMPUTED_VALUE"""),"vitamins and derivates")</f>
        <v>vitamins and derivates</v>
      </c>
      <c r="B9061" t="str">
        <f ca="1">IFERROR(__xludf.DUMMYFUNCTION("""COMPUTED_VALUE"""),"RF-00000420-NTR")</f>
        <v>RF-00000420-NTR</v>
      </c>
    </row>
    <row r="9062" spans="1:2" ht="12.5" x14ac:dyDescent="0.25">
      <c r="A9062" t="str">
        <f ca="1">IFERROR(__xludf.DUMMYFUNCTION("""COMPUTED_VALUE"""),"Volatile PFAS")</f>
        <v>Volatile PFAS</v>
      </c>
      <c r="B9062" t="str">
        <f ca="1">IFERROR(__xludf.DUMMYFUNCTION("""COMPUTED_VALUE"""),"RF-00000371-ORG")</f>
        <v>RF-00000371-ORG</v>
      </c>
    </row>
    <row r="9063" spans="1:2" ht="12.5" x14ac:dyDescent="0.25">
      <c r="A9063" t="str">
        <f ca="1">IFERROR(__xludf.DUMMYFUNCTION("""COMPUTED_VALUE"""),"Warfarin")</f>
        <v>Warfarin</v>
      </c>
      <c r="B9063" t="str">
        <f ca="1">IFERROR(__xludf.DUMMYFUNCTION("""COMPUTED_VALUE"""),"RF-1043-001-PPP")</f>
        <v>RF-1043-001-PPP</v>
      </c>
    </row>
    <row r="9064" spans="1:2" ht="12.5" x14ac:dyDescent="0.25">
      <c r="A9064" t="str">
        <f ca="1">IFERROR(__xludf.DUMMYFUNCTION("""COMPUTED_VALUE"""),"waste")</f>
        <v>waste</v>
      </c>
      <c r="B9064" t="str">
        <f ca="1">IFERROR(__xludf.DUMMYFUNCTION("""COMPUTED_VALUE"""),"RF-00000432-NTR")</f>
        <v>RF-00000432-NTR</v>
      </c>
    </row>
    <row r="9065" spans="1:2" ht="12.5" x14ac:dyDescent="0.25">
      <c r="A9065" t="str">
        <f ca="1">IFERROR(__xludf.DUMMYFUNCTION("""COMPUTED_VALUE"""),"water (moisture)")</f>
        <v>water (moisture)</v>
      </c>
      <c r="B9065" t="str">
        <f ca="1">IFERROR(__xludf.DUMMYFUNCTION("""COMPUTED_VALUE"""),"RF-00000433-NTR")</f>
        <v>RF-00000433-NTR</v>
      </c>
    </row>
    <row r="9066" spans="1:2" ht="12.5" x14ac:dyDescent="0.25">
      <c r="A9066" t="str">
        <f ca="1">IFERROR(__xludf.DUMMYFUNCTION("""COMPUTED_VALUE"""),"Wax esters (from fish)")</f>
        <v>Wax esters (from fish)</v>
      </c>
      <c r="B9066" t="str">
        <f ca="1">IFERROR(__xludf.DUMMYFUNCTION("""COMPUTED_VALUE"""),"RF-00000480-ORG")</f>
        <v>RF-00000480-ORG</v>
      </c>
    </row>
    <row r="9067" spans="1:2" ht="12.5" x14ac:dyDescent="0.25">
      <c r="A9067" t="str">
        <f ca="1">IFERROR(__xludf.DUMMYFUNCTION("""COMPUTED_VALUE"""),"WHO-PCB-TEQ")</f>
        <v>WHO-PCB-TEQ</v>
      </c>
      <c r="B9067" t="str">
        <f ca="1">IFERROR(__xludf.DUMMYFUNCTION("""COMPUTED_VALUE"""),"RF-00000470-ORG")</f>
        <v>RF-00000470-ORG</v>
      </c>
    </row>
    <row r="9068" spans="1:2" ht="12.5" x14ac:dyDescent="0.25">
      <c r="A9068" t="str">
        <f ca="1">IFERROR(__xludf.DUMMYFUNCTION("""COMPUTED_VALUE"""),"WHO-PCDD-F-PCB-TEQ")</f>
        <v>WHO-PCDD-F-PCB-TEQ</v>
      </c>
      <c r="B9068" t="str">
        <f ca="1">IFERROR(__xludf.DUMMYFUNCTION("""COMPUTED_VALUE"""),"RF-00000471-ORG")</f>
        <v>RF-00000471-ORG</v>
      </c>
    </row>
    <row r="9069" spans="1:2" ht="12.5" x14ac:dyDescent="0.25">
      <c r="A9069" t="str">
        <f ca="1">IFERROR(__xludf.DUMMYFUNCTION("""COMPUTED_VALUE"""),"WHO-PCDD-F-TEQ")</f>
        <v>WHO-PCDD-F-TEQ</v>
      </c>
      <c r="B9069" t="str">
        <f ca="1">IFERROR(__xludf.DUMMYFUNCTION("""COMPUTED_VALUE"""),"RF-00000472-ORG")</f>
        <v>RF-00000472-ORG</v>
      </c>
    </row>
    <row r="9070" spans="1:2" ht="12.5" x14ac:dyDescent="0.25">
      <c r="A9070" t="str">
        <f ca="1">IFERROR(__xludf.DUMMYFUNCTION("""COMPUTED_VALUE"""),"Xanthan gum")</f>
        <v>Xanthan gum</v>
      </c>
      <c r="B9070" t="str">
        <f ca="1">IFERROR(__xludf.DUMMYFUNCTION("""COMPUTED_VALUE"""),"RF-00000342-ADD")</f>
        <v>RF-00000342-ADD</v>
      </c>
    </row>
    <row r="9071" spans="1:2" ht="12.5" x14ac:dyDescent="0.25">
      <c r="A9071" t="str">
        <f ca="1">IFERROR(__xludf.DUMMYFUNCTION("""COMPUTED_VALUE"""),"XMC")</f>
        <v>XMC</v>
      </c>
      <c r="B9071" t="str">
        <f ca="1">IFERROR(__xludf.DUMMYFUNCTION("""COMPUTED_VALUE"""),"RF-0971-001-PPP")</f>
        <v>RF-0971-001-PPP</v>
      </c>
    </row>
    <row r="9072" spans="1:2" ht="12.5" x14ac:dyDescent="0.25">
      <c r="A9072" t="str">
        <f ca="1">IFERROR(__xludf.DUMMYFUNCTION("""COMPUTED_VALUE"""),"Xylazine")</f>
        <v>Xylazine</v>
      </c>
      <c r="B9072" t="str">
        <f ca="1">IFERROR(__xludf.DUMMYFUNCTION("""COMPUTED_VALUE"""),"RF-00000177-VET")</f>
        <v>RF-00000177-VET</v>
      </c>
    </row>
    <row r="9073" spans="1:2" ht="12.5" x14ac:dyDescent="0.25">
      <c r="A9073" t="str">
        <f ca="1">IFERROR(__xludf.DUMMYFUNCTION("""COMPUTED_VALUE"""),"Xylidine")</f>
        <v>Xylidine</v>
      </c>
      <c r="B9073" t="str">
        <f ca="1">IFERROR(__xludf.DUMMYFUNCTION("""COMPUTED_VALUE"""),"RF-00000270-VET")</f>
        <v>RF-00000270-VET</v>
      </c>
    </row>
    <row r="9074" spans="1:2" ht="12.5" x14ac:dyDescent="0.25">
      <c r="A9074" t="str">
        <f ca="1">IFERROR(__xludf.DUMMYFUNCTION("""COMPUTED_VALUE"""),"Xylitol")</f>
        <v>Xylitol</v>
      </c>
      <c r="B9074" t="str">
        <f ca="1">IFERROR(__xludf.DUMMYFUNCTION("""COMPUTED_VALUE"""),"RF-00000343-ADD")</f>
        <v>RF-00000343-ADD</v>
      </c>
    </row>
    <row r="9075" spans="1:2" ht="12.5" x14ac:dyDescent="0.25">
      <c r="A9075" t="str">
        <f ca="1">IFERROR(__xludf.DUMMYFUNCTION("""COMPUTED_VALUE"""),"xylose")</f>
        <v>xylose</v>
      </c>
      <c r="B9075" t="str">
        <f ca="1">IFERROR(__xludf.DUMMYFUNCTION("""COMPUTED_VALUE"""),"RF-00000434-NTR")</f>
        <v>RF-00000434-NTR</v>
      </c>
    </row>
    <row r="9076" spans="1:2" ht="12.5" x14ac:dyDescent="0.25">
      <c r="A9076" t="str">
        <f ca="1">IFERROR(__xludf.DUMMYFUNCTION("""COMPUTED_VALUE"""),"Yersinia")</f>
        <v>Yersinia</v>
      </c>
      <c r="B9076" t="str">
        <f ca="1">IFERROR(__xludf.DUMMYFUNCTION("""COMPUTED_VALUE"""),"RF-00002531-MCG")</f>
        <v>RF-00002531-MCG</v>
      </c>
    </row>
    <row r="9077" spans="1:2" ht="12.5" x14ac:dyDescent="0.25">
      <c r="A9077" t="str">
        <f ca="1">IFERROR(__xludf.DUMMYFUNCTION("""COMPUTED_VALUE"""),"Yersinia - Y. enterocolitica - biotype 1A")</f>
        <v>Yersinia - Y. enterocolitica - biotype 1A</v>
      </c>
      <c r="B9077" t="str">
        <f ca="1">IFERROR(__xludf.DUMMYFUNCTION("""COMPUTED_VALUE"""),"RF-00003527-MCG")</f>
        <v>RF-00003527-MCG</v>
      </c>
    </row>
    <row r="9078" spans="1:2" ht="12.5" x14ac:dyDescent="0.25">
      <c r="A9078" t="str">
        <f ca="1">IFERROR(__xludf.DUMMYFUNCTION("""COMPUTED_VALUE"""),"Yersinia - Y. enterocolitica - biotype 1B")</f>
        <v>Yersinia - Y. enterocolitica - biotype 1B</v>
      </c>
      <c r="B9078" t="str">
        <f ca="1">IFERROR(__xludf.DUMMYFUNCTION("""COMPUTED_VALUE"""),"RF-00003528-MCG")</f>
        <v>RF-00003528-MCG</v>
      </c>
    </row>
    <row r="9079" spans="1:2" ht="12.5" x14ac:dyDescent="0.25">
      <c r="A9079" t="str">
        <f ca="1">IFERROR(__xludf.DUMMYFUNCTION("""COMPUTED_VALUE"""),"Yersinia - Y. enterocolitica - biotype 1B-O:13")</f>
        <v>Yersinia - Y. enterocolitica - biotype 1B-O:13</v>
      </c>
      <c r="B9079" t="str">
        <f ca="1">IFERROR(__xludf.DUMMYFUNCTION("""COMPUTED_VALUE"""),"RF-00003529-MCG")</f>
        <v>RF-00003529-MCG</v>
      </c>
    </row>
    <row r="9080" spans="1:2" ht="12.5" x14ac:dyDescent="0.25">
      <c r="A9080" t="str">
        <f ca="1">IFERROR(__xludf.DUMMYFUNCTION("""COMPUTED_VALUE"""),"Yersinia - Y. enterocolitica - biotype 1B-O:21")</f>
        <v>Yersinia - Y. enterocolitica - biotype 1B-O:21</v>
      </c>
      <c r="B9080" t="str">
        <f ca="1">IFERROR(__xludf.DUMMYFUNCTION("""COMPUTED_VALUE"""),"RF-00003530-MCG")</f>
        <v>RF-00003530-MCG</v>
      </c>
    </row>
    <row r="9081" spans="1:2" ht="12.5" x14ac:dyDescent="0.25">
      <c r="A9081" t="str">
        <f ca="1">IFERROR(__xludf.DUMMYFUNCTION("""COMPUTED_VALUE"""),"Yersinia - Y. enterocolitica - biotype 1B-O:7")</f>
        <v>Yersinia - Y. enterocolitica - biotype 1B-O:7</v>
      </c>
      <c r="B9081" t="str">
        <f ca="1">IFERROR(__xludf.DUMMYFUNCTION("""COMPUTED_VALUE"""),"RF-00003531-MCG")</f>
        <v>RF-00003531-MCG</v>
      </c>
    </row>
    <row r="9082" spans="1:2" ht="12.5" x14ac:dyDescent="0.25">
      <c r="A9082" t="str">
        <f ca="1">IFERROR(__xludf.DUMMYFUNCTION("""COMPUTED_VALUE"""),"Yersinia - Y. enterocolitica - biotype 1B-O:8")</f>
        <v>Yersinia - Y. enterocolitica - biotype 1B-O:8</v>
      </c>
      <c r="B9082" t="str">
        <f ca="1">IFERROR(__xludf.DUMMYFUNCTION("""COMPUTED_VALUE"""),"RF-00003532-MCG")</f>
        <v>RF-00003532-MCG</v>
      </c>
    </row>
    <row r="9083" spans="1:2" ht="12.5" x14ac:dyDescent="0.25">
      <c r="A9083" t="str">
        <f ca="1">IFERROR(__xludf.DUMMYFUNCTION("""COMPUTED_VALUE"""),"Yersinia - Y. enterocolitica - biotype 2")</f>
        <v>Yersinia - Y. enterocolitica - biotype 2</v>
      </c>
      <c r="B9083" t="str">
        <f ca="1">IFERROR(__xludf.DUMMYFUNCTION("""COMPUTED_VALUE"""),"RF-00003533-MCG")</f>
        <v>RF-00003533-MCG</v>
      </c>
    </row>
    <row r="9084" spans="1:2" ht="12.5" x14ac:dyDescent="0.25">
      <c r="A9084" t="str">
        <f ca="1">IFERROR(__xludf.DUMMYFUNCTION("""COMPUTED_VALUE"""),"Yersinia - Y. enterocolitica - biotype 2-O:5,27")</f>
        <v>Yersinia - Y. enterocolitica - biotype 2-O:5,27</v>
      </c>
      <c r="B9084" t="str">
        <f ca="1">IFERROR(__xludf.DUMMYFUNCTION("""COMPUTED_VALUE"""),"RF-00003534-MCG")</f>
        <v>RF-00003534-MCG</v>
      </c>
    </row>
    <row r="9085" spans="1:2" ht="12.5" x14ac:dyDescent="0.25">
      <c r="A9085" t="str">
        <f ca="1">IFERROR(__xludf.DUMMYFUNCTION("""COMPUTED_VALUE"""),"Yersinia - Y. enterocolitica - biotype 2-O:9")</f>
        <v>Yersinia - Y. enterocolitica - biotype 2-O:9</v>
      </c>
      <c r="B9085" t="str">
        <f ca="1">IFERROR(__xludf.DUMMYFUNCTION("""COMPUTED_VALUE"""),"RF-00003535-MCG")</f>
        <v>RF-00003535-MCG</v>
      </c>
    </row>
    <row r="9086" spans="1:2" ht="12.5" x14ac:dyDescent="0.25">
      <c r="A9086" t="str">
        <f ca="1">IFERROR(__xludf.DUMMYFUNCTION("""COMPUTED_VALUE"""),"Yersinia - Y. enterocolitica - biotype 3")</f>
        <v>Yersinia - Y. enterocolitica - biotype 3</v>
      </c>
      <c r="B9086" t="str">
        <f ca="1">IFERROR(__xludf.DUMMYFUNCTION("""COMPUTED_VALUE"""),"RF-00003536-MCG")</f>
        <v>RF-00003536-MCG</v>
      </c>
    </row>
    <row r="9087" spans="1:2" ht="12.5" x14ac:dyDescent="0.25">
      <c r="A9087" t="str">
        <f ca="1">IFERROR(__xludf.DUMMYFUNCTION("""COMPUTED_VALUE"""),"Yersinia - Y. enterocolitica - biotype 3-O:3")</f>
        <v>Yersinia - Y. enterocolitica - biotype 3-O:3</v>
      </c>
      <c r="B9087" t="str">
        <f ca="1">IFERROR(__xludf.DUMMYFUNCTION("""COMPUTED_VALUE"""),"RF-00003537-MCG")</f>
        <v>RF-00003537-MCG</v>
      </c>
    </row>
    <row r="9088" spans="1:2" ht="12.5" x14ac:dyDescent="0.25">
      <c r="A9088" t="str">
        <f ca="1">IFERROR(__xludf.DUMMYFUNCTION("""COMPUTED_VALUE"""),"Yersinia - Y. enterocolitica - biotype 3-O:5,27")</f>
        <v>Yersinia - Y. enterocolitica - biotype 3-O:5,27</v>
      </c>
      <c r="B9088" t="str">
        <f ca="1">IFERROR(__xludf.DUMMYFUNCTION("""COMPUTED_VALUE"""),"RF-00003538-MCG")</f>
        <v>RF-00003538-MCG</v>
      </c>
    </row>
    <row r="9089" spans="1:2" ht="12.5" x14ac:dyDescent="0.25">
      <c r="A9089" t="str">
        <f ca="1">IFERROR(__xludf.DUMMYFUNCTION("""COMPUTED_VALUE"""),"Yersinia - Y. enterocolitica - biotype 4")</f>
        <v>Yersinia - Y. enterocolitica - biotype 4</v>
      </c>
      <c r="B9089" t="str">
        <f ca="1">IFERROR(__xludf.DUMMYFUNCTION("""COMPUTED_VALUE"""),"RF-00003539-MCG")</f>
        <v>RF-00003539-MCG</v>
      </c>
    </row>
    <row r="9090" spans="1:2" ht="12.5" x14ac:dyDescent="0.25">
      <c r="A9090" t="str">
        <f ca="1">IFERROR(__xludf.DUMMYFUNCTION("""COMPUTED_VALUE"""),"Yersinia - Y. enterocolitica - biotype 4-O:3")</f>
        <v>Yersinia - Y. enterocolitica - biotype 4-O:3</v>
      </c>
      <c r="B9090" t="str">
        <f ca="1">IFERROR(__xludf.DUMMYFUNCTION("""COMPUTED_VALUE"""),"RF-00003540-MCG")</f>
        <v>RF-00003540-MCG</v>
      </c>
    </row>
    <row r="9091" spans="1:2" ht="12.5" x14ac:dyDescent="0.25">
      <c r="A9091" t="str">
        <f ca="1">IFERROR(__xludf.DUMMYFUNCTION("""COMPUTED_VALUE"""),"Yersinia - Y. enterocolitica - biotype 5")</f>
        <v>Yersinia - Y. enterocolitica - biotype 5</v>
      </c>
      <c r="B9091" t="str">
        <f ca="1">IFERROR(__xludf.DUMMYFUNCTION("""COMPUTED_VALUE"""),"RF-00003541-MCG")</f>
        <v>RF-00003541-MCG</v>
      </c>
    </row>
    <row r="9092" spans="1:2" ht="12.5" x14ac:dyDescent="0.25">
      <c r="A9092" t="str">
        <f ca="1">IFERROR(__xludf.DUMMYFUNCTION("""COMPUTED_VALUE"""),"Yersinia - Y. enterocolitica - biotype 5-O:1,2,3")</f>
        <v>Yersinia - Y. enterocolitica - biotype 5-O:1,2,3</v>
      </c>
      <c r="B9092" t="str">
        <f ca="1">IFERROR(__xludf.DUMMYFUNCTION("""COMPUTED_VALUE"""),"RF-00003542-MCG")</f>
        <v>RF-00003542-MCG</v>
      </c>
    </row>
    <row r="9093" spans="1:2" ht="12.5" x14ac:dyDescent="0.25">
      <c r="A9093" t="str">
        <f ca="1">IFERROR(__xludf.DUMMYFUNCTION("""COMPUTED_VALUE"""),"Yersinia - Y. enterocolitica - biotype 5-O:2,3")</f>
        <v>Yersinia - Y. enterocolitica - biotype 5-O:2,3</v>
      </c>
      <c r="B9093" t="str">
        <f ca="1">IFERROR(__xludf.DUMMYFUNCTION("""COMPUTED_VALUE"""),"RF-00003543-MCG")</f>
        <v>RF-00003543-MCG</v>
      </c>
    </row>
    <row r="9094" spans="1:2" ht="12.5" x14ac:dyDescent="0.25">
      <c r="A9094" t="str">
        <f ca="1">IFERROR(__xludf.DUMMYFUNCTION("""COMPUTED_VALUE"""),"Yersinia - Y. enterocolitica - biotype 5-O:3")</f>
        <v>Yersinia - Y. enterocolitica - biotype 5-O:3</v>
      </c>
      <c r="B9094" t="str">
        <f ca="1">IFERROR(__xludf.DUMMYFUNCTION("""COMPUTED_VALUE"""),"RF-00003544-MCG")</f>
        <v>RF-00003544-MCG</v>
      </c>
    </row>
    <row r="9095" spans="1:2" ht="12.5" x14ac:dyDescent="0.25">
      <c r="A9095" t="str">
        <f ca="1">IFERROR(__xludf.DUMMYFUNCTION("""COMPUTED_VALUE"""),"Yersinia - Y. enterocolitica - O:1,2,3")</f>
        <v>Yersinia - Y. enterocolitica - O:1,2,3</v>
      </c>
      <c r="B9095" t="str">
        <f ca="1">IFERROR(__xludf.DUMMYFUNCTION("""COMPUTED_VALUE"""),"RF-00003522-MCG")</f>
        <v>RF-00003522-MCG</v>
      </c>
    </row>
    <row r="9096" spans="1:2" ht="12.5" x14ac:dyDescent="0.25">
      <c r="A9096" t="str">
        <f ca="1">IFERROR(__xludf.DUMMYFUNCTION("""COMPUTED_VALUE"""),"Yersinia - Y. enterocolitica - O:13")</f>
        <v>Yersinia - Y. enterocolitica - O:13</v>
      </c>
      <c r="B9096" t="str">
        <f ca="1">IFERROR(__xludf.DUMMYFUNCTION("""COMPUTED_VALUE"""),"RF-00003523-MCG")</f>
        <v>RF-00003523-MCG</v>
      </c>
    </row>
    <row r="9097" spans="1:2" ht="12.5" x14ac:dyDescent="0.25">
      <c r="A9097" t="str">
        <f ca="1">IFERROR(__xludf.DUMMYFUNCTION("""COMPUTED_VALUE"""),"Yersinia - Y. enterocolitica - O:21")</f>
        <v>Yersinia - Y. enterocolitica - O:21</v>
      </c>
      <c r="B9097" t="str">
        <f ca="1">IFERROR(__xludf.DUMMYFUNCTION("""COMPUTED_VALUE"""),"RF-00003524-MCG")</f>
        <v>RF-00003524-MCG</v>
      </c>
    </row>
    <row r="9098" spans="1:2" ht="12.5" x14ac:dyDescent="0.25">
      <c r="A9098" t="str">
        <f ca="1">IFERROR(__xludf.DUMMYFUNCTION("""COMPUTED_VALUE"""),"Yersinia - Y. enterocolitica - O:7")</f>
        <v>Yersinia - Y. enterocolitica - O:7</v>
      </c>
      <c r="B9098" t="str">
        <f ca="1">IFERROR(__xludf.DUMMYFUNCTION("""COMPUTED_VALUE"""),"RF-00003525-MCG")</f>
        <v>RF-00003525-MCG</v>
      </c>
    </row>
    <row r="9099" spans="1:2" ht="12.5" x14ac:dyDescent="0.25">
      <c r="A9099" t="str">
        <f ca="1">IFERROR(__xludf.DUMMYFUNCTION("""COMPUTED_VALUE"""),"Yersinia - Y. enterocolitica - O:8")</f>
        <v>Yersinia - Y. enterocolitica - O:8</v>
      </c>
      <c r="B9099" t="str">
        <f ca="1">IFERROR(__xludf.DUMMYFUNCTION("""COMPUTED_VALUE"""),"RF-00003526-MCG")</f>
        <v>RF-00003526-MCG</v>
      </c>
    </row>
    <row r="9100" spans="1:2" ht="12.5" x14ac:dyDescent="0.25">
      <c r="A9100" t="str">
        <f ca="1">IFERROR(__xludf.DUMMYFUNCTION("""COMPUTED_VALUE"""),"Yersinia enterocolitica")</f>
        <v>Yersinia enterocolitica</v>
      </c>
      <c r="B9100" t="str">
        <f ca="1">IFERROR(__xludf.DUMMYFUNCTION("""COMPUTED_VALUE"""),"RF-00002538-MCG")</f>
        <v>RF-00002538-MCG</v>
      </c>
    </row>
    <row r="9101" spans="1:2" ht="12.5" x14ac:dyDescent="0.25">
      <c r="A9101" t="str">
        <f ca="1">IFERROR(__xludf.DUMMYFUNCTION("""COMPUTED_VALUE"""),"Yersinia enterocolitica non typable")</f>
        <v>Yersinia enterocolitica non typable</v>
      </c>
      <c r="B9101" t="str">
        <f ca="1">IFERROR(__xludf.DUMMYFUNCTION("""COMPUTED_VALUE"""),"RF-00002546-MCG")</f>
        <v>RF-00002546-MCG</v>
      </c>
    </row>
    <row r="9102" spans="1:2" ht="12.5" x14ac:dyDescent="0.25">
      <c r="A9102" t="str">
        <f ca="1">IFERROR(__xludf.DUMMYFUNCTION("""COMPUTED_VALUE"""),"Yersinia enterocolitica O:1")</f>
        <v>Yersinia enterocolitica O:1</v>
      </c>
      <c r="B9102" t="str">
        <f ca="1">IFERROR(__xludf.DUMMYFUNCTION("""COMPUTED_VALUE"""),"RF-00002547-MCG")</f>
        <v>RF-00002547-MCG</v>
      </c>
    </row>
    <row r="9103" spans="1:2" ht="12.5" x14ac:dyDescent="0.25">
      <c r="A9103" t="str">
        <f ca="1">IFERROR(__xludf.DUMMYFUNCTION("""COMPUTED_VALUE"""),"Yersinia enterocolitica O:2,3")</f>
        <v>Yersinia enterocolitica O:2,3</v>
      </c>
      <c r="B9103" t="str">
        <f ca="1">IFERROR(__xludf.DUMMYFUNCTION("""COMPUTED_VALUE"""),"RF-00002545-MCG")</f>
        <v>RF-00002545-MCG</v>
      </c>
    </row>
    <row r="9104" spans="1:2" ht="12.5" x14ac:dyDescent="0.25">
      <c r="A9104" t="str">
        <f ca="1">IFERROR(__xludf.DUMMYFUNCTION("""COMPUTED_VALUE"""),"Yersinia enterocolitica O:3")</f>
        <v>Yersinia enterocolitica O:3</v>
      </c>
      <c r="B9104" t="str">
        <f ca="1">IFERROR(__xludf.DUMMYFUNCTION("""COMPUTED_VALUE"""),"RF-00002544-MCG")</f>
        <v>RF-00002544-MCG</v>
      </c>
    </row>
    <row r="9105" spans="1:2" ht="12.5" x14ac:dyDescent="0.25">
      <c r="A9105" t="str">
        <f ca="1">IFERROR(__xludf.DUMMYFUNCTION("""COMPUTED_VALUE"""),"Yersinia enterocolitica O:5")</f>
        <v>Yersinia enterocolitica O:5</v>
      </c>
      <c r="B9105" t="str">
        <f ca="1">IFERROR(__xludf.DUMMYFUNCTION("""COMPUTED_VALUE"""),"RF-00002539-MCG")</f>
        <v>RF-00002539-MCG</v>
      </c>
    </row>
    <row r="9106" spans="1:2" ht="12.5" x14ac:dyDescent="0.25">
      <c r="A9106" t="str">
        <f ca="1">IFERROR(__xludf.DUMMYFUNCTION("""COMPUTED_VALUE"""),"Yersinia enterocolitica O:5,27")</f>
        <v>Yersinia enterocolitica O:5,27</v>
      </c>
      <c r="B9106" t="str">
        <f ca="1">IFERROR(__xludf.DUMMYFUNCTION("""COMPUTED_VALUE"""),"RF-00002542-MCG")</f>
        <v>RF-00002542-MCG</v>
      </c>
    </row>
    <row r="9107" spans="1:2" ht="12.5" x14ac:dyDescent="0.25">
      <c r="A9107" t="str">
        <f ca="1">IFERROR(__xludf.DUMMYFUNCTION("""COMPUTED_VALUE"""),"Yersinia enterocolitica O:6")</f>
        <v>Yersinia enterocolitica O:6</v>
      </c>
      <c r="B9107" t="str">
        <f ca="1">IFERROR(__xludf.DUMMYFUNCTION("""COMPUTED_VALUE"""),"RF-00002541-MCG")</f>
        <v>RF-00002541-MCG</v>
      </c>
    </row>
    <row r="9108" spans="1:2" ht="12.5" x14ac:dyDescent="0.25">
      <c r="A9108" t="str">
        <f ca="1">IFERROR(__xludf.DUMMYFUNCTION("""COMPUTED_VALUE"""),"Yersinia enterocolitica O:9")</f>
        <v>Yersinia enterocolitica O:9</v>
      </c>
      <c r="B9108" t="str">
        <f ca="1">IFERROR(__xludf.DUMMYFUNCTION("""COMPUTED_VALUE"""),"RF-00002540-MCG")</f>
        <v>RF-00002540-MCG</v>
      </c>
    </row>
    <row r="9109" spans="1:2" ht="12.5" x14ac:dyDescent="0.25">
      <c r="A9109" t="str">
        <f ca="1">IFERROR(__xludf.DUMMYFUNCTION("""COMPUTED_VALUE"""),"Yersinia enterocolitica unspecified")</f>
        <v>Yersinia enterocolitica unspecified</v>
      </c>
      <c r="B9109" t="str">
        <f ca="1">IFERROR(__xludf.DUMMYFUNCTION("""COMPUTED_VALUE"""),"RF-00002543-MCG")</f>
        <v>RF-00002543-MCG</v>
      </c>
    </row>
    <row r="9110" spans="1:2" ht="12.5" x14ac:dyDescent="0.25">
      <c r="A9110" t="str">
        <f ca="1">IFERROR(__xludf.DUMMYFUNCTION("""COMPUTED_VALUE"""),"Yersinia frederiksenii")</f>
        <v>Yersinia frederiksenii</v>
      </c>
      <c r="B9110" t="str">
        <f ca="1">IFERROR(__xludf.DUMMYFUNCTION("""COMPUTED_VALUE"""),"RF-00002532-MCG")</f>
        <v>RF-00002532-MCG</v>
      </c>
    </row>
    <row r="9111" spans="1:2" ht="12.5" x14ac:dyDescent="0.25">
      <c r="A9111" t="str">
        <f ca="1">IFERROR(__xludf.DUMMYFUNCTION("""COMPUTED_VALUE"""),"Yersinia intermedia")</f>
        <v>Yersinia intermedia</v>
      </c>
      <c r="B9111" t="str">
        <f ca="1">IFERROR(__xludf.DUMMYFUNCTION("""COMPUTED_VALUE"""),"RF-00002533-MCG")</f>
        <v>RF-00002533-MCG</v>
      </c>
    </row>
    <row r="9112" spans="1:2" ht="12.5" x14ac:dyDescent="0.25">
      <c r="A9112" t="str">
        <f ca="1">IFERROR(__xludf.DUMMYFUNCTION("""COMPUTED_VALUE"""),"Yersinia kristensenii")</f>
        <v>Yersinia kristensenii</v>
      </c>
      <c r="B9112" t="str">
        <f ca="1">IFERROR(__xludf.DUMMYFUNCTION("""COMPUTED_VALUE"""),"RF-00002534-MCG")</f>
        <v>RF-00002534-MCG</v>
      </c>
    </row>
    <row r="9113" spans="1:2" ht="12.5" x14ac:dyDescent="0.25">
      <c r="A9113" t="str">
        <f ca="1">IFERROR(__xludf.DUMMYFUNCTION("""COMPUTED_VALUE"""),"Yersinia molaretti")</f>
        <v>Yersinia molaretti</v>
      </c>
      <c r="B9113" t="str">
        <f ca="1">IFERROR(__xludf.DUMMYFUNCTION("""COMPUTED_VALUE"""),"RF-00002535-MCG")</f>
        <v>RF-00002535-MCG</v>
      </c>
    </row>
    <row r="9114" spans="1:2" ht="12.5" x14ac:dyDescent="0.25">
      <c r="A9114" t="str">
        <f ca="1">IFERROR(__xludf.DUMMYFUNCTION("""COMPUTED_VALUE"""),"Yersinia pseudotuberculosis")</f>
        <v>Yersinia pseudotuberculosis</v>
      </c>
      <c r="B9114" t="str">
        <f ca="1">IFERROR(__xludf.DUMMYFUNCTION("""COMPUTED_VALUE"""),"RF-00002536-MCG")</f>
        <v>RF-00002536-MCG</v>
      </c>
    </row>
    <row r="9115" spans="1:2" ht="12.5" x14ac:dyDescent="0.25">
      <c r="A9115" t="str">
        <f ca="1">IFERROR(__xludf.DUMMYFUNCTION("""COMPUTED_VALUE"""),"Yersinia spp., unspecified")</f>
        <v>Yersinia spp., unspecified</v>
      </c>
      <c r="B9115" t="str">
        <f ca="1">IFERROR(__xludf.DUMMYFUNCTION("""COMPUTED_VALUE"""),"RF-00002537-MCG")</f>
        <v>RF-00002537-MCG</v>
      </c>
    </row>
    <row r="9116" spans="1:2" ht="12.5" x14ac:dyDescent="0.25">
      <c r="A9116" t="str">
        <f ca="1">IFERROR(__xludf.DUMMYFUNCTION("""COMPUTED_VALUE"""),"Yessotoxin group toxins")</f>
        <v>Yessotoxin group toxins</v>
      </c>
      <c r="B9116" t="str">
        <f ca="1">IFERROR(__xludf.DUMMYFUNCTION("""COMPUTED_VALUE"""),"RF-00000116-TOX")</f>
        <v>RF-00000116-TOX</v>
      </c>
    </row>
    <row r="9117" spans="1:2" ht="12.5" x14ac:dyDescent="0.25">
      <c r="A9117" t="str">
        <f ca="1">IFERROR(__xludf.DUMMYFUNCTION("""COMPUTED_VALUE"""),"YTX")</f>
        <v>YTX</v>
      </c>
      <c r="B9117" t="str">
        <f ca="1">IFERROR(__xludf.DUMMYFUNCTION("""COMPUTED_VALUE"""),"RF-00000117-TOX")</f>
        <v>RF-00000117-TOX</v>
      </c>
    </row>
    <row r="9118" spans="1:2" ht="12.5" x14ac:dyDescent="0.25">
      <c r="A9118" t="str">
        <f ca="1">IFERROR(__xludf.DUMMYFUNCTION("""COMPUTED_VALUE"""),"Zearalanol")</f>
        <v>Zearalanol</v>
      </c>
      <c r="B9118" t="str">
        <f ca="1">IFERROR(__xludf.DUMMYFUNCTION("""COMPUTED_VALUE"""),"RF-00000183-TOX")</f>
        <v>RF-00000183-TOX</v>
      </c>
    </row>
    <row r="9119" spans="1:2" ht="12.5" x14ac:dyDescent="0.25">
      <c r="A9119" t="str">
        <f ca="1">IFERROR(__xludf.DUMMYFUNCTION("""COMPUTED_VALUE"""),"Zearalanol alpha")</f>
        <v>Zearalanol alpha</v>
      </c>
      <c r="B9119" t="str">
        <f ca="1">IFERROR(__xludf.DUMMYFUNCTION("""COMPUTED_VALUE"""),"RF-00000184-TOX")</f>
        <v>RF-00000184-TOX</v>
      </c>
    </row>
    <row r="9120" spans="1:2" ht="12.5" x14ac:dyDescent="0.25">
      <c r="A9120" t="str">
        <f ca="1">IFERROR(__xludf.DUMMYFUNCTION("""COMPUTED_VALUE"""),"Zearalanol beta (Taleranol)")</f>
        <v>Zearalanol beta (Taleranol)</v>
      </c>
      <c r="B9120" t="str">
        <f ca="1">IFERROR(__xludf.DUMMYFUNCTION("""COMPUTED_VALUE"""),"RF-00000185-TOX")</f>
        <v>RF-00000185-TOX</v>
      </c>
    </row>
    <row r="9121" spans="1:2" ht="12.5" x14ac:dyDescent="0.25">
      <c r="A9121" t="str">
        <f ca="1">IFERROR(__xludf.DUMMYFUNCTION("""COMPUTED_VALUE"""),"Zearalanone")</f>
        <v>Zearalanone</v>
      </c>
      <c r="B9121" t="str">
        <f ca="1">IFERROR(__xludf.DUMMYFUNCTION("""COMPUTED_VALUE"""),"RF-00000182-TOX")</f>
        <v>RF-00000182-TOX</v>
      </c>
    </row>
    <row r="9122" spans="1:2" ht="12.5" x14ac:dyDescent="0.25">
      <c r="A9122" t="str">
        <f ca="1">IFERROR(__xludf.DUMMYFUNCTION("""COMPUTED_VALUE"""),"Zearalanone")</f>
        <v>Zearalanone</v>
      </c>
      <c r="B9122" t="str">
        <f ca="1">IFERROR(__xludf.DUMMYFUNCTION("""COMPUTED_VALUE"""),"RF-00000450-VET")</f>
        <v>RF-00000450-VET</v>
      </c>
    </row>
    <row r="9123" spans="1:2" ht="12.5" x14ac:dyDescent="0.25">
      <c r="A9123" t="str">
        <f ca="1">IFERROR(__xludf.DUMMYFUNCTION("""COMPUTED_VALUE"""),"Zearalenol")</f>
        <v>Zearalenol</v>
      </c>
      <c r="B9123" t="str">
        <f ca="1">IFERROR(__xludf.DUMMYFUNCTION("""COMPUTED_VALUE"""),"RF-00000171-TOX")</f>
        <v>RF-00000171-TOX</v>
      </c>
    </row>
    <row r="9124" spans="1:2" ht="12.5" x14ac:dyDescent="0.25">
      <c r="A9124" t="str">
        <f ca="1">IFERROR(__xludf.DUMMYFUNCTION("""COMPUTED_VALUE"""),"Zearalenol alpha")</f>
        <v>Zearalenol alpha</v>
      </c>
      <c r="B9124" t="str">
        <f ca="1">IFERROR(__xludf.DUMMYFUNCTION("""COMPUTED_VALUE"""),"RF-00000172-TOX")</f>
        <v>RF-00000172-TOX</v>
      </c>
    </row>
    <row r="9125" spans="1:2" ht="12.5" x14ac:dyDescent="0.25">
      <c r="A9125" t="str">
        <f ca="1">IFERROR(__xludf.DUMMYFUNCTION("""COMPUTED_VALUE"""),"Zearalenol beta")</f>
        <v>Zearalenol beta</v>
      </c>
      <c r="B9125" t="str">
        <f ca="1">IFERROR(__xludf.DUMMYFUNCTION("""COMPUTED_VALUE"""),"RF-00000173-TOX")</f>
        <v>RF-00000173-TOX</v>
      </c>
    </row>
    <row r="9126" spans="1:2" ht="12.5" x14ac:dyDescent="0.25">
      <c r="A9126" t="str">
        <f ca="1">IFERROR(__xludf.DUMMYFUNCTION("""COMPUTED_VALUE"""),"Zearalenone")</f>
        <v>Zearalenone</v>
      </c>
      <c r="B9126" t="str">
        <f ca="1">IFERROR(__xludf.DUMMYFUNCTION("""COMPUTED_VALUE"""),"RF-00000170-TOX")</f>
        <v>RF-00000170-TOX</v>
      </c>
    </row>
    <row r="9127" spans="1:2" ht="12.5" x14ac:dyDescent="0.25">
      <c r="A9127" t="str">
        <f ca="1">IFERROR(__xludf.DUMMYFUNCTION("""COMPUTED_VALUE"""),"Zearalenone and derivatives")</f>
        <v>Zearalenone and derivatives</v>
      </c>
      <c r="B9127" t="str">
        <f ca="1">IFERROR(__xludf.DUMMYFUNCTION("""COMPUTED_VALUE"""),"RF-00000440-TOX")</f>
        <v>RF-00000440-TOX</v>
      </c>
    </row>
    <row r="9128" spans="1:2" ht="12.5" x14ac:dyDescent="0.25">
      <c r="A9128" t="str">
        <f ca="1">IFERROR(__xludf.DUMMYFUNCTION("""COMPUTED_VALUE"""),"zeaxanthin")</f>
        <v>zeaxanthin</v>
      </c>
      <c r="B9128" t="str">
        <f ca="1">IFERROR(__xludf.DUMMYFUNCTION("""COMPUTED_VALUE"""),"RF-00000435-NTR")</f>
        <v>RF-00000435-NTR</v>
      </c>
    </row>
    <row r="9129" spans="1:2" ht="12.5" x14ac:dyDescent="0.25">
      <c r="A9129" t="str">
        <f ca="1">IFERROR(__xludf.DUMMYFUNCTION("""COMPUTED_VALUE"""),"Zeta-Cypermethrin")</f>
        <v>Zeta-Cypermethrin</v>
      </c>
      <c r="B9129" t="str">
        <f ca="1">IFERROR(__xludf.DUMMYFUNCTION("""COMPUTED_VALUE"""),"RF-0112-005-PPP")</f>
        <v>RF-0112-005-PPP</v>
      </c>
    </row>
    <row r="9130" spans="1:2" ht="12.5" x14ac:dyDescent="0.25">
      <c r="A9130" t="str">
        <f ca="1">IFERROR(__xludf.DUMMYFUNCTION("""COMPUTED_VALUE"""),"Zilpaterol")</f>
        <v>Zilpaterol</v>
      </c>
      <c r="B9130" t="str">
        <f ca="1">IFERROR(__xludf.DUMMYFUNCTION("""COMPUTED_VALUE"""),"RF-00000493-VET")</f>
        <v>RF-00000493-VET</v>
      </c>
    </row>
    <row r="9131" spans="1:2" ht="12.5" x14ac:dyDescent="0.25">
      <c r="A9131" t="str">
        <f ca="1">IFERROR(__xludf.DUMMYFUNCTION("""COMPUTED_VALUE"""),"Zinc acetate")</f>
        <v>Zinc acetate</v>
      </c>
      <c r="B9131" t="str">
        <f ca="1">IFERROR(__xludf.DUMMYFUNCTION("""COMPUTED_VALUE"""),"RF-00000344-ADD")</f>
        <v>RF-00000344-ADD</v>
      </c>
    </row>
    <row r="9132" spans="1:2" ht="12.5" x14ac:dyDescent="0.25">
      <c r="A9132" t="str">
        <f ca="1">IFERROR(__xludf.DUMMYFUNCTION("""COMPUTED_VALUE"""),"Zineb")</f>
        <v>Zineb</v>
      </c>
      <c r="B9132" t="str">
        <f ca="1">IFERROR(__xludf.DUMMYFUNCTION("""COMPUTED_VALUE"""),"RF-0972-001-PPP")</f>
        <v>RF-0972-001-PPP</v>
      </c>
    </row>
    <row r="9133" spans="1:2" ht="12.5" x14ac:dyDescent="0.25">
      <c r="A9133" t="str">
        <f ca="1">IFERROR(__xludf.DUMMYFUNCTION("""COMPUTED_VALUE"""),"Zink (Zn)")</f>
        <v>Zink (Zn)</v>
      </c>
      <c r="B9133" t="str">
        <f ca="1">IFERROR(__xludf.DUMMYFUNCTION("""COMPUTED_VALUE"""),"RF-00000205-CHE")</f>
        <v>RF-00000205-CHE</v>
      </c>
    </row>
    <row r="9134" spans="1:2" ht="12.5" x14ac:dyDescent="0.25">
      <c r="A9134" t="str">
        <f ca="1">IFERROR(__xludf.DUMMYFUNCTION("""COMPUTED_VALUE"""),"Zink and derivatives")</f>
        <v>Zink and derivatives</v>
      </c>
      <c r="B9134" t="str">
        <f ca="1">IFERROR(__xludf.DUMMYFUNCTION("""COMPUTED_VALUE"""),"RF-00000204-CHE")</f>
        <v>RF-00000204-CHE</v>
      </c>
    </row>
    <row r="9135" spans="1:2" ht="12.5" x14ac:dyDescent="0.25">
      <c r="A9135" t="str">
        <f ca="1">IFERROR(__xludf.DUMMYFUNCTION("""COMPUTED_VALUE"""),"Ziram")</f>
        <v>Ziram</v>
      </c>
      <c r="B9135" t="str">
        <f ca="1">IFERROR(__xludf.DUMMYFUNCTION("""COMPUTED_VALUE"""),"RF-0451-001-PPP")</f>
        <v>RF-0451-001-PPP</v>
      </c>
    </row>
    <row r="9136" spans="1:2" ht="12.5" x14ac:dyDescent="0.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x14ac:dyDescent="0.25"/>
  <cols>
    <col min="1" max="1" width="30.453125" customWidth="1"/>
  </cols>
  <sheetData>
    <row r="1" spans="1:3" ht="15.75" customHeight="1" x14ac:dyDescent="0.3">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x14ac:dyDescent="0.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x14ac:dyDescent="0.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x14ac:dyDescent="0.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x14ac:dyDescent="0.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x14ac:dyDescent="0.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x14ac:dyDescent="0.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x14ac:dyDescent="0.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x14ac:dyDescent="0.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x14ac:dyDescent="0.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x14ac:dyDescent="0.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x14ac:dyDescent="0.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x14ac:dyDescent="0.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x14ac:dyDescent="0.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x14ac:dyDescent="0.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x14ac:dyDescent="0.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x14ac:dyDescent="0.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x14ac:dyDescent="0.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x14ac:dyDescent="0.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x14ac:dyDescent="0.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x14ac:dyDescent="0.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x14ac:dyDescent="0.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x14ac:dyDescent="0.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x14ac:dyDescent="0.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x14ac:dyDescent="0.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x14ac:dyDescent="0.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x14ac:dyDescent="0.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x14ac:dyDescent="0.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x14ac:dyDescent="0.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x14ac:dyDescent="0.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x14ac:dyDescent="0.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x14ac:dyDescent="0.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x14ac:dyDescent="0.25">
      <c r="A33" t="str">
        <f ca="1">IFERROR(__xludf.DUMMYFUNCTION("""COMPUTED_VALUE"""),"Other")</f>
        <v>Other</v>
      </c>
      <c r="B33" t="str">
        <f ca="1">IFERROR(__xludf.DUMMYFUNCTION("""COMPUTED_VALUE"""),"Other")</f>
        <v>Other</v>
      </c>
    </row>
    <row r="34" spans="1:3" ht="12.5" x14ac:dyDescent="0.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x14ac:dyDescent="0.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x14ac:dyDescent="0.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x14ac:dyDescent="0.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x14ac:dyDescent="0.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x14ac:dyDescent="0.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x14ac:dyDescent="0.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x14ac:dyDescent="0.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x14ac:dyDescent="0.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x14ac:dyDescent="0.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x14ac:dyDescent="0.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x14ac:dyDescent="0.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x14ac:dyDescent="0.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x14ac:dyDescent="0.25">
      <c r="A47" t="str">
        <f ca="1">IFERROR(__xludf.DUMMYFUNCTION("""COMPUTED_VALUE"""),"Smoking")</f>
        <v>Smoking</v>
      </c>
      <c r="B47" t="str">
        <f ca="1">IFERROR(__xludf.DUMMYFUNCTION("""COMPUTED_VALUE"""),"T135A")</f>
        <v>T135A</v>
      </c>
      <c r="C47" t="str">
        <f ca="1">IFERROR(__xludf.DUMMYFUNCTION("""COMPUTED_VALUE"""),"Smoking")</f>
        <v>Smoking</v>
      </c>
    </row>
    <row r="48" spans="1:3" ht="12.5" x14ac:dyDescent="0.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x14ac:dyDescent="0.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x14ac:dyDescent="0.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x14ac:dyDescent="0.25">
      <c r="A51" t="str">
        <f ca="1">IFERROR(__xludf.DUMMYFUNCTION("""COMPUTED_VALUE"""),"Unknown")</f>
        <v>Unknown</v>
      </c>
      <c r="B51" t="str">
        <f ca="1">IFERROR(__xludf.DUMMYFUNCTION("""COMPUTED_VALUE"""),"T899A")</f>
        <v>T899A</v>
      </c>
    </row>
    <row r="52" spans="1:3" ht="12.5" x14ac:dyDescent="0.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x14ac:dyDescent="0.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x14ac:dyDescent="0.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x14ac:dyDescent="0.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x14ac:dyDescent="0.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x14ac:dyDescent="0.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IFERROR(__xludf.DUMMYFUNCTION("importrange(""https://docs.google.com/spreadsheets/d/1C6N4-YWX9OMmNStd2rYlSUaVys-aiJGLj00cD44aVc8/edit#gid=1894320575"",""Format!A1:A50"")"),"Value")</f>
        <v>Value</v>
      </c>
    </row>
    <row r="2" spans="1:1" ht="12.5" x14ac:dyDescent="0.25">
      <c r="A2" t="str">
        <f ca="1">IFERROR(__xludf.DUMMYFUNCTION("""COMPUTED_VALUE"""),".fskx")</f>
        <v>.fskx</v>
      </c>
    </row>
    <row r="3" spans="1:1" ht="12.5" x14ac:dyDescent="0.25">
      <c r="A3" t="str">
        <f ca="1">IFERROR(__xludf.DUMMYFUNCTION("""COMPUTED_VALUE"""),".pmfx")</f>
        <v>.pmfx</v>
      </c>
    </row>
    <row r="4" spans="1:1" ht="12.5" x14ac:dyDescent="0.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x14ac:dyDescent="0.25"/>
  <sheetData>
    <row r="1" spans="1:1" x14ac:dyDescent="0.25">
      <c r="A1" t="str">
        <f ca="1">IFERROR(__xludf.DUMMYFUNCTION("importrange(""https://docs.google.com/spreadsheets/d/1C6N4-YWX9OMmNStd2rYlSUaVys-aiJGLj00cD44aVc8/edit#gid=1894320575"",""Source!A1:A50"")"),"Value")</f>
        <v>Value</v>
      </c>
    </row>
    <row r="2" spans="1:1" x14ac:dyDescent="0.25">
      <c r="A2" t="str">
        <f ca="1">IFERROR(__xludf.DUMMYFUNCTION("""COMPUTED_VALUE"""),"EVENTS (MEETING OR CONFERENCE)")</f>
        <v>EVENTS (MEETING OR CONFERENCE)</v>
      </c>
    </row>
    <row r="3" spans="1:1" x14ac:dyDescent="0.25">
      <c r="A3" t="str">
        <f ca="1">IFERROR(__xludf.DUMMYFUNCTION("""COMPUTED_VALUE"""),"EXPERT KNOWLEDGE ELICITATION AND EXPERT OPINIONS")</f>
        <v>EXPERT KNOWLEDGE ELICITATION AND EXPERT OPINIONS</v>
      </c>
    </row>
    <row r="4" spans="1:1" x14ac:dyDescent="0.25">
      <c r="A4" t="str">
        <f ca="1">IFERROR(__xludf.DUMMYFUNCTION("""COMPUTED_VALUE"""),"NATIONAL OR INTERNATIONAL OFFICIAL DATA:  Human health surveillance data")</f>
        <v>NATIONAL OR INTERNATIONAL OFFICIAL DATA:  Human health surveillance data</v>
      </c>
    </row>
    <row r="5" spans="1:1" x14ac:dyDescent="0.25">
      <c r="A5" t="str">
        <f ca="1">IFERROR(__xludf.DUMMYFUNCTION("""COMPUTED_VALUE"""),"NATIONAL OR INTERNATIONAL OFFICIAL DATA: Food consumption survey or regional diet data")</f>
        <v>NATIONAL OR INTERNATIONAL OFFICIAL DATA: Food consumption survey or regional diet data</v>
      </c>
    </row>
    <row r="6" spans="1:1" x14ac:dyDescent="0.25">
      <c r="A6" t="str">
        <f ca="1">IFERROR(__xludf.DUMMYFUNCTION("""COMPUTED_VALUE"""),"NATIONAL OR INTERNATIONAL OFFICIAL DATA: Food monitoring data")</f>
        <v>NATIONAL OR INTERNATIONAL OFFICIAL DATA: Food monitoring data</v>
      </c>
    </row>
    <row r="7" spans="1:1" x14ac:dyDescent="0.25">
      <c r="A7" t="str">
        <f ca="1">IFERROR(__xludf.DUMMYFUNCTION("""COMPUTED_VALUE"""),"NATIONAL OR INTERNATIONAL OFFICIAL DATA: Food safety databases")</f>
        <v>NATIONAL OR INTERNATIONAL OFFICIAL DATA: Food safety databases</v>
      </c>
    </row>
    <row r="8" spans="1:1" x14ac:dyDescent="0.25">
      <c r="A8" t="str">
        <f ca="1">IFERROR(__xludf.DUMMYFUNCTION("""COMPUTED_VALUE"""),"OTHER SURVEYS AND QUESTIONNAIRES")</f>
        <v>OTHER SURVEYS AND QUESTIONNAIRES</v>
      </c>
    </row>
    <row r="9" spans="1:1" x14ac:dyDescent="0.25">
      <c r="A9" t="str">
        <f ca="1">IFERROR(__xludf.DUMMYFUNCTION("""COMPUTED_VALUE"""),"PUBLISHED SCIENTIFIC STUDIES")</f>
        <v>PUBLISHED SCIENTIFIC STUDIES</v>
      </c>
    </row>
    <row r="10" spans="1:1" x14ac:dyDescent="0.25">
      <c r="A10" t="str">
        <f ca="1">IFERROR(__xludf.DUMMYFUNCTION("""COMPUTED_VALUE"""),"PUBLISHED SCIENTIFIC STUDIES: Contamination data and exposure models")</f>
        <v>PUBLISHED SCIENTIFIC STUDIES: Contamination data and exposure models</v>
      </c>
    </row>
    <row r="11" spans="1:1" x14ac:dyDescent="0.25">
      <c r="A11" t="str">
        <f ca="1">IFERROR(__xludf.DUMMYFUNCTION("""COMPUTED_VALUE"""),"PUBLISHED SCIENTIFIC STUDIES: Dose-response data and models")</f>
        <v>PUBLISHED SCIENTIFIC STUDIES: Dose-response data and models</v>
      </c>
    </row>
    <row r="12" spans="1:1" x14ac:dyDescent="0.25">
      <c r="A12" t="str">
        <f ca="1">IFERROR(__xludf.DUMMYFUNCTION("""COMPUTED_VALUE"""),"PUBLISHED SCIENTIFIC STUDIES: Predictive microbial models and underlying data")</f>
        <v>PUBLISHED SCIENTIFIC STUDIES: Predictive microbial models and underlying data</v>
      </c>
    </row>
    <row r="13" spans="1:1" x14ac:dyDescent="0.25">
      <c r="A13" t="str">
        <f ca="1">IFERROR(__xludf.DUMMYFUNCTION("""COMPUTED_VALUE"""),"PUBLISHED SCIENTIFIC STUDIES: Toxicological data and models")</f>
        <v>PUBLISHED SCIENTIFIC STUDIES: Toxicological data and models</v>
      </c>
    </row>
    <row r="14" spans="1:1" x14ac:dyDescent="0.25">
      <c r="A14" t="str">
        <f ca="1">IFERROR(__xludf.DUMMYFUNCTION("""COMPUTED_VALUE"""),"RISK ASSESSMENTS")</f>
        <v>RISK ASSESSMENTS</v>
      </c>
    </row>
    <row r="15" spans="1:1" x14ac:dyDescent="0.25">
      <c r="A15" t="str">
        <f ca="1">IFERROR(__xludf.DUMMYFUNCTION("""COMPUTED_VALUE"""),"RISK ASSESSMENTS:  International risk assessment agencies data")</f>
        <v>RISK ASSESSMENTS:  International risk assessment agencies data</v>
      </c>
    </row>
    <row r="16" spans="1:1" x14ac:dyDescent="0.25">
      <c r="A16" t="str">
        <f ca="1">IFERROR(__xludf.DUMMYFUNCTION("""COMPUTED_VALUE"""),"RISK ASSESSMENTS: Risk assessments models")</f>
        <v>RISK ASSESSMENTS: Risk assessments models</v>
      </c>
    </row>
    <row r="17" spans="1:1" x14ac:dyDescent="0.25">
      <c r="A17" t="str">
        <f ca="1">IFERROR(__xludf.DUMMYFUNCTION("""COMPUTED_VALUE"""),"UNPUBLISHED STUDIES (EXPERIMENTS-OBSERVATIONS)")</f>
        <v>UNPUBLISHED STUDIES (EXPERIMENTS-OBSERVATIONS)</v>
      </c>
    </row>
    <row r="18" spans="1:1" x14ac:dyDescent="0.25">
      <c r="A18" t="str">
        <f ca="1">IFERROR(__xludf.DUMMYFUNCTION("""COMPUTED_VALUE"""),"UNPUBLISHED STUDIES (EXPERIMENTS-OBSERVATIONS):   Laboratory (private, research) databases")</f>
        <v>UNPUBLISHED STUDIES (EXPERIMENTS-OBSERVATIONS):   Laboratory (private, research) databases</v>
      </c>
    </row>
    <row r="19" spans="1:1" x14ac:dyDescent="0.25">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IFERROR(__xludf.DUMMYFUNCTION("importrange(""https://docs.google.com/spreadsheets/d/1C6N4-YWX9OMmNStd2rYlSUaVys-aiJGLj00cD44aVc8/edit#gid=1894320575"",""Publication Status!A1:A500"")"),"Value")</f>
        <v>Value</v>
      </c>
    </row>
    <row r="2" spans="1:1" ht="12.5" x14ac:dyDescent="0.25">
      <c r="A2" t="str">
        <f ca="1">IFERROR(__xludf.DUMMYFUNCTION("""COMPUTED_VALUE"""),"Accepted")</f>
        <v>Accepted</v>
      </c>
    </row>
    <row r="3" spans="1:1" ht="12.5" x14ac:dyDescent="0.25">
      <c r="A3" t="str">
        <f ca="1">IFERROR(__xludf.DUMMYFUNCTION("""COMPUTED_VALUE"""),"Draft")</f>
        <v>Draft</v>
      </c>
    </row>
    <row r="4" spans="1:1" ht="12.5" x14ac:dyDescent="0.25">
      <c r="A4" t="str">
        <f ca="1">IFERROR(__xludf.DUMMYFUNCTION("""COMPUTED_VALUE"""),"Forthcoming")</f>
        <v>Forthcoming</v>
      </c>
    </row>
    <row r="5" spans="1:1" ht="12.5" x14ac:dyDescent="0.25">
      <c r="A5" t="str">
        <f ca="1">IFERROR(__xludf.DUMMYFUNCTION("""COMPUTED_VALUE"""),"Legal")</f>
        <v>Legal</v>
      </c>
    </row>
    <row r="6" spans="1:1" ht="12.5" x14ac:dyDescent="0.25">
      <c r="A6" t="str">
        <f ca="1">IFERROR(__xludf.DUMMYFUNCTION("""COMPUTED_VALUE"""),"Non peer reviewed")</f>
        <v>Non peer reviewed</v>
      </c>
    </row>
    <row r="7" spans="1:1" ht="12.5" x14ac:dyDescent="0.25">
      <c r="A7" t="str">
        <f ca="1">IFERROR(__xludf.DUMMYFUNCTION("""COMPUTED_VALUE"""),"Other")</f>
        <v>Other</v>
      </c>
    </row>
    <row r="8" spans="1:1" ht="12.5" x14ac:dyDescent="0.25">
      <c r="A8" t="str">
        <f ca="1">IFERROR(__xludf.DUMMYFUNCTION("""COMPUTED_VALUE"""),"Peer reviewed")</f>
        <v>Peer reviewed</v>
      </c>
    </row>
    <row r="9" spans="1:1" ht="12.5" x14ac:dyDescent="0.25">
      <c r="A9" t="str">
        <f ca="1">IFERROR(__xludf.DUMMYFUNCTION("""COMPUTED_VALUE"""),"Published")</f>
        <v>Published</v>
      </c>
    </row>
    <row r="10" spans="1:1" ht="12.5" x14ac:dyDescent="0.25">
      <c r="A10" t="str">
        <f ca="1">IFERROR(__xludf.DUMMYFUNCTION("""COMPUTED_VALUE"""),"Rejected")</f>
        <v>Rejected</v>
      </c>
    </row>
    <row r="11" spans="1:1" ht="12.5" x14ac:dyDescent="0.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IFERROR(__xludf.DUMMYFUNCTION("importrange(""https://docs.google.com/spreadsheets/d/1C6N4-YWX9OMmNStd2rYlSUaVys-aiJGLj00cD44aVc8/edit#gid=1894320575"",""Publication type!A1:A500"")"),"REFERENCE TYPE")</f>
        <v>REFERENCE TYPE</v>
      </c>
    </row>
    <row r="2" spans="1:1" ht="12.5" x14ac:dyDescent="0.25">
      <c r="A2" t="str">
        <f ca="1">IFERROR(__xludf.DUMMYFUNCTION("""COMPUTED_VALUE"""),"Abstract")</f>
        <v>Abstract</v>
      </c>
    </row>
    <row r="3" spans="1:1" ht="12.5" x14ac:dyDescent="0.25">
      <c r="A3" t="str">
        <f ca="1">IFERROR(__xludf.DUMMYFUNCTION("""COMPUTED_VALUE"""),"Aggregated Database")</f>
        <v>Aggregated Database</v>
      </c>
    </row>
    <row r="4" spans="1:1" ht="12.5" x14ac:dyDescent="0.25">
      <c r="A4" t="str">
        <f ca="1">IFERROR(__xludf.DUMMYFUNCTION("""COMPUTED_VALUE"""),"Ancient Text")</f>
        <v>Ancient Text</v>
      </c>
    </row>
    <row r="5" spans="1:1" ht="12.5" x14ac:dyDescent="0.25">
      <c r="A5" t="str">
        <f ca="1">IFERROR(__xludf.DUMMYFUNCTION("""COMPUTED_VALUE"""),"Artwork")</f>
        <v>Artwork</v>
      </c>
    </row>
    <row r="6" spans="1:1" ht="12.5" x14ac:dyDescent="0.25">
      <c r="A6" t="str">
        <f ca="1">IFERROR(__xludf.DUMMYFUNCTION("""COMPUTED_VALUE"""),"Audiovisual Material")</f>
        <v>Audiovisual Material</v>
      </c>
    </row>
    <row r="7" spans="1:1" ht="12.5" x14ac:dyDescent="0.25">
      <c r="A7" t="str">
        <f ca="1">IFERROR(__xludf.DUMMYFUNCTION("""COMPUTED_VALUE"""),"Bill")</f>
        <v>Bill</v>
      </c>
    </row>
    <row r="8" spans="1:1" ht="12.5" x14ac:dyDescent="0.25">
      <c r="A8" t="str">
        <f ca="1">IFERROR(__xludf.DUMMYFUNCTION("""COMPUTED_VALUE"""),"Blog")</f>
        <v>Blog</v>
      </c>
    </row>
    <row r="9" spans="1:1" ht="12.5" x14ac:dyDescent="0.25">
      <c r="A9" t="str">
        <f ca="1">IFERROR(__xludf.DUMMYFUNCTION("""COMPUTED_VALUE"""),"Book")</f>
        <v>Book</v>
      </c>
    </row>
    <row r="10" spans="1:1" ht="12.5" x14ac:dyDescent="0.25">
      <c r="A10" t="str">
        <f ca="1">IFERROR(__xludf.DUMMYFUNCTION("""COMPUTED_VALUE"""),"Book Section")</f>
        <v>Book Section</v>
      </c>
    </row>
    <row r="11" spans="1:1" ht="12.5" x14ac:dyDescent="0.25">
      <c r="A11" t="str">
        <f ca="1">IFERROR(__xludf.DUMMYFUNCTION("""COMPUTED_VALUE"""),"Case")</f>
        <v>Case</v>
      </c>
    </row>
    <row r="12" spans="1:1" ht="12.5" x14ac:dyDescent="0.25">
      <c r="A12" t="str">
        <f ca="1">IFERROR(__xludf.DUMMYFUNCTION("""COMPUTED_VALUE"""),"Catalog")</f>
        <v>Catalog</v>
      </c>
    </row>
    <row r="13" spans="1:1" ht="12.5" x14ac:dyDescent="0.25">
      <c r="A13" t="str">
        <f ca="1">IFERROR(__xludf.DUMMYFUNCTION("""COMPUTED_VALUE"""),"Chart")</f>
        <v>Chart</v>
      </c>
    </row>
    <row r="14" spans="1:1" ht="12.5" x14ac:dyDescent="0.25">
      <c r="A14" t="str">
        <f ca="1">IFERROR(__xludf.DUMMYFUNCTION("""COMPUTED_VALUE"""),"Classical Work")</f>
        <v>Classical Work</v>
      </c>
    </row>
    <row r="15" spans="1:1" ht="12.5" x14ac:dyDescent="0.25">
      <c r="A15" t="str">
        <f ca="1">IFERROR(__xludf.DUMMYFUNCTION("""COMPUTED_VALUE"""),"Computer Program")</f>
        <v>Computer Program</v>
      </c>
    </row>
    <row r="16" spans="1:1" ht="12.5" x14ac:dyDescent="0.25">
      <c r="A16" t="str">
        <f ca="1">IFERROR(__xludf.DUMMYFUNCTION("""COMPUTED_VALUE"""),"Conference Paper")</f>
        <v>Conference Paper</v>
      </c>
    </row>
    <row r="17" spans="1:1" ht="12.5" x14ac:dyDescent="0.25">
      <c r="A17" t="str">
        <f ca="1">IFERROR(__xludf.DUMMYFUNCTION("""COMPUTED_VALUE"""),"Conference Proceeding")</f>
        <v>Conference Proceeding</v>
      </c>
    </row>
    <row r="18" spans="1:1" ht="12.5" x14ac:dyDescent="0.25">
      <c r="A18" t="str">
        <f ca="1">IFERROR(__xludf.DUMMYFUNCTION("""COMPUTED_VALUE"""),"Dataset")</f>
        <v>Dataset</v>
      </c>
    </row>
    <row r="19" spans="1:1" ht="12.5" x14ac:dyDescent="0.25">
      <c r="A19" t="str">
        <f ca="1">IFERROR(__xludf.DUMMYFUNCTION("""COMPUTED_VALUE"""),"Dictionary")</f>
        <v>Dictionary</v>
      </c>
    </row>
    <row r="20" spans="1:1" ht="12.5" x14ac:dyDescent="0.25">
      <c r="A20" t="str">
        <f ca="1">IFERROR(__xludf.DUMMYFUNCTION("""COMPUTED_VALUE"""),"Edited Book")</f>
        <v>Edited Book</v>
      </c>
    </row>
    <row r="21" spans="1:1" ht="12.5" x14ac:dyDescent="0.25">
      <c r="A21" t="str">
        <f ca="1">IFERROR(__xludf.DUMMYFUNCTION("""COMPUTED_VALUE"""),"Electronic Article")</f>
        <v>Electronic Article</v>
      </c>
    </row>
    <row r="22" spans="1:1" ht="12.5" x14ac:dyDescent="0.25">
      <c r="A22" t="str">
        <f ca="1">IFERROR(__xludf.DUMMYFUNCTION("""COMPUTED_VALUE"""),"Electronic Book")</f>
        <v>Electronic Book</v>
      </c>
    </row>
    <row r="23" spans="1:1" ht="12.5" x14ac:dyDescent="0.25">
      <c r="A23" t="str">
        <f ca="1">IFERROR(__xludf.DUMMYFUNCTION("""COMPUTED_VALUE"""),"Electronic Book Section")</f>
        <v>Electronic Book Section</v>
      </c>
    </row>
    <row r="24" spans="1:1" ht="12.5" x14ac:dyDescent="0.25">
      <c r="A24" t="str">
        <f ca="1">IFERROR(__xludf.DUMMYFUNCTION("""COMPUTED_VALUE"""),"Encyclopedia")</f>
        <v>Encyclopedia</v>
      </c>
    </row>
    <row r="25" spans="1:1" ht="12.5" x14ac:dyDescent="0.25">
      <c r="A25" t="str">
        <f ca="1">IFERROR(__xludf.DUMMYFUNCTION("""COMPUTED_VALUE"""),"Equation")</f>
        <v>Equation</v>
      </c>
    </row>
    <row r="26" spans="1:1" ht="12.5" x14ac:dyDescent="0.25">
      <c r="A26" t="str">
        <f ca="1">IFERROR(__xludf.DUMMYFUNCTION("""COMPUTED_VALUE"""),"Figure")</f>
        <v>Figure</v>
      </c>
    </row>
    <row r="27" spans="1:1" ht="12.5" x14ac:dyDescent="0.25">
      <c r="A27" t="str">
        <f ca="1">IFERROR(__xludf.DUMMYFUNCTION("""COMPUTED_VALUE"""),"Film or Broadcast")</f>
        <v>Film or Broadcast</v>
      </c>
    </row>
    <row r="28" spans="1:1" ht="12.5" x14ac:dyDescent="0.25">
      <c r="A28" t="str">
        <f ca="1">IFERROR(__xludf.DUMMYFUNCTION("""COMPUTED_VALUE"""),"Full Journal")</f>
        <v>Full Journal</v>
      </c>
    </row>
    <row r="29" spans="1:1" ht="12.5" x14ac:dyDescent="0.25">
      <c r="A29" t="str">
        <f ca="1">IFERROR(__xludf.DUMMYFUNCTION("""COMPUTED_VALUE"""),"Generic")</f>
        <v>Generic</v>
      </c>
    </row>
    <row r="30" spans="1:1" ht="12.5" x14ac:dyDescent="0.25">
      <c r="A30" t="str">
        <f ca="1">IFERROR(__xludf.DUMMYFUNCTION("""COMPUTED_VALUE"""),"Government Document")</f>
        <v>Government Document</v>
      </c>
    </row>
    <row r="31" spans="1:1" ht="12.5" x14ac:dyDescent="0.25">
      <c r="A31" t="str">
        <f ca="1">IFERROR(__xludf.DUMMYFUNCTION("""COMPUTED_VALUE"""),"Grant")</f>
        <v>Grant</v>
      </c>
    </row>
    <row r="32" spans="1:1" ht="12.5" x14ac:dyDescent="0.25">
      <c r="A32" t="str">
        <f ca="1">IFERROR(__xludf.DUMMYFUNCTION("""COMPUTED_VALUE"""),"Hearing")</f>
        <v>Hearing</v>
      </c>
    </row>
    <row r="33" spans="1:1" ht="12.5" x14ac:dyDescent="0.25">
      <c r="A33" t="str">
        <f ca="1">IFERROR(__xludf.DUMMYFUNCTION("""COMPUTED_VALUE"""),"In Press Article")</f>
        <v>In Press Article</v>
      </c>
    </row>
    <row r="34" spans="1:1" ht="12.5" x14ac:dyDescent="0.25">
      <c r="A34" t="str">
        <f ca="1">IFERROR(__xludf.DUMMYFUNCTION("""COMPUTED_VALUE"""),"Internet Communication")</f>
        <v>Internet Communication</v>
      </c>
    </row>
    <row r="35" spans="1:1" ht="12.5" x14ac:dyDescent="0.25">
      <c r="A35" t="str">
        <f ca="1">IFERROR(__xludf.DUMMYFUNCTION("""COMPUTED_VALUE"""),"Journal Article")</f>
        <v>Journal Article</v>
      </c>
    </row>
    <row r="36" spans="1:1" ht="12.5" x14ac:dyDescent="0.25">
      <c r="A36" t="str">
        <f ca="1">IFERROR(__xludf.DUMMYFUNCTION("""COMPUTED_VALUE"""),"Legal Rule")</f>
        <v>Legal Rule</v>
      </c>
    </row>
    <row r="37" spans="1:1" ht="12.5" x14ac:dyDescent="0.25">
      <c r="A37" t="str">
        <f ca="1">IFERROR(__xludf.DUMMYFUNCTION("""COMPUTED_VALUE"""),"Magazine Article")</f>
        <v>Magazine Article</v>
      </c>
    </row>
    <row r="38" spans="1:1" ht="12.5" x14ac:dyDescent="0.25">
      <c r="A38" t="str">
        <f ca="1">IFERROR(__xludf.DUMMYFUNCTION("""COMPUTED_VALUE"""),"Manuscript")</f>
        <v>Manuscript</v>
      </c>
    </row>
    <row r="39" spans="1:1" ht="12.5" x14ac:dyDescent="0.25">
      <c r="A39" t="str">
        <f ca="1">IFERROR(__xludf.DUMMYFUNCTION("""COMPUTED_VALUE"""),"Map")</f>
        <v>Map</v>
      </c>
    </row>
    <row r="40" spans="1:1" ht="12.5" x14ac:dyDescent="0.25">
      <c r="A40" t="str">
        <f ca="1">IFERROR(__xludf.DUMMYFUNCTION("""COMPUTED_VALUE"""),"Music")</f>
        <v>Music</v>
      </c>
    </row>
    <row r="41" spans="1:1" ht="12.5" x14ac:dyDescent="0.25">
      <c r="A41" t="str">
        <f ca="1">IFERROR(__xludf.DUMMYFUNCTION("""COMPUTED_VALUE"""),"Newspaper Article")</f>
        <v>Newspaper Article</v>
      </c>
    </row>
    <row r="42" spans="1:1" ht="12.5" x14ac:dyDescent="0.25">
      <c r="A42" t="str">
        <f ca="1">IFERROR(__xludf.DUMMYFUNCTION("""COMPUTED_VALUE"""),"Online Database")</f>
        <v>Online Database</v>
      </c>
    </row>
    <row r="43" spans="1:1" ht="12.5" x14ac:dyDescent="0.25">
      <c r="A43" t="str">
        <f ca="1">IFERROR(__xludf.DUMMYFUNCTION("""COMPUTED_VALUE"""),"Online Multimedia")</f>
        <v>Online Multimedia</v>
      </c>
    </row>
    <row r="44" spans="1:1" ht="12.5" x14ac:dyDescent="0.25">
      <c r="A44" t="str">
        <f ca="1">IFERROR(__xludf.DUMMYFUNCTION("""COMPUTED_VALUE"""),"Pamphlet")</f>
        <v>Pamphlet</v>
      </c>
    </row>
    <row r="45" spans="1:1" ht="12.5" x14ac:dyDescent="0.25">
      <c r="A45" t="str">
        <f ca="1">IFERROR(__xludf.DUMMYFUNCTION("""COMPUTED_VALUE"""),"Patent")</f>
        <v>Patent</v>
      </c>
    </row>
    <row r="46" spans="1:1" ht="12.5" x14ac:dyDescent="0.25">
      <c r="A46" t="str">
        <f ca="1">IFERROR(__xludf.DUMMYFUNCTION("""COMPUTED_VALUE"""),"Personal Communication")</f>
        <v>Personal Communication</v>
      </c>
    </row>
    <row r="47" spans="1:1" ht="12.5" x14ac:dyDescent="0.25">
      <c r="A47" t="str">
        <f ca="1">IFERROR(__xludf.DUMMYFUNCTION("""COMPUTED_VALUE"""),"Report")</f>
        <v>Report</v>
      </c>
    </row>
    <row r="48" spans="1:1" ht="12.5" x14ac:dyDescent="0.25">
      <c r="A48" t="str">
        <f ca="1">IFERROR(__xludf.DUMMYFUNCTION("""COMPUTED_VALUE"""),"Serial")</f>
        <v>Serial</v>
      </c>
    </row>
    <row r="49" spans="1:1" ht="12.5" x14ac:dyDescent="0.25">
      <c r="A49" t="str">
        <f ca="1">IFERROR(__xludf.DUMMYFUNCTION("""COMPUTED_VALUE"""),"Slide")</f>
        <v>Slide</v>
      </c>
    </row>
    <row r="50" spans="1:1" ht="12.5" x14ac:dyDescent="0.25">
      <c r="A50" t="str">
        <f ca="1">IFERROR(__xludf.DUMMYFUNCTION("""COMPUTED_VALUE"""),"Sound Recording")</f>
        <v>Sound Recording</v>
      </c>
    </row>
    <row r="51" spans="1:1" ht="12.5" x14ac:dyDescent="0.25">
      <c r="A51" t="str">
        <f ca="1">IFERROR(__xludf.DUMMYFUNCTION("""COMPUTED_VALUE"""),"Standard")</f>
        <v>Standard</v>
      </c>
    </row>
    <row r="52" spans="1:1" ht="12.5" x14ac:dyDescent="0.25">
      <c r="A52" t="str">
        <f ca="1">IFERROR(__xludf.DUMMYFUNCTION("""COMPUTED_VALUE"""),"Statute")</f>
        <v>Statute</v>
      </c>
    </row>
    <row r="53" spans="1:1" ht="12.5" x14ac:dyDescent="0.25">
      <c r="A53" t="str">
        <f ca="1">IFERROR(__xludf.DUMMYFUNCTION("""COMPUTED_VALUE"""),"Thesis")</f>
        <v>Thesis</v>
      </c>
    </row>
    <row r="54" spans="1:1" ht="12.5" x14ac:dyDescent="0.25">
      <c r="A54" t="str">
        <f ca="1">IFERROR(__xludf.DUMMYFUNCTION("""COMPUTED_VALUE"""),"Unenacted Bill")</f>
        <v>Unenacted Bill</v>
      </c>
    </row>
    <row r="55" spans="1:1" ht="12.5" x14ac:dyDescent="0.25">
      <c r="A55" t="str">
        <f ca="1">IFERROR(__xludf.DUMMYFUNCTION("""COMPUTED_VALUE"""),"Unpublished Work")</f>
        <v>Unpublished Work</v>
      </c>
    </row>
    <row r="56" spans="1:1" ht="12.5" x14ac:dyDescent="0.25">
      <c r="A56" t="str">
        <f ca="1">IFERROR(__xludf.DUMMYFUNCTION("""COMPUTED_VALUE"""),"Video Recording")</f>
        <v>Video Recording</v>
      </c>
    </row>
    <row r="57" spans="1:1" ht="12.5" x14ac:dyDescent="0.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IFERROR(__xludf.DUMMYFUNCTION("importrange(""https://docs.google.com/spreadsheets/d/1C6N4-YWX9OMmNStd2rYlSUaVys-aiJGLj00cD44aVc8/edit#gid=1894320575"",""Software!A1:A500"")"),"Value")</f>
        <v>Value</v>
      </c>
    </row>
    <row r="2" spans="1:1" ht="12.5" x14ac:dyDescent="0.25">
      <c r="A2" t="str">
        <f ca="1">IFERROR(__xludf.DUMMYFUNCTION("""COMPUTED_VALUE"""),"@Risk")</f>
        <v>@Risk</v>
      </c>
    </row>
    <row r="3" spans="1:1" ht="12.5" x14ac:dyDescent="0.25">
      <c r="A3" t="str">
        <f ca="1">IFERROR(__xludf.DUMMYFUNCTION("""COMPUTED_VALUE"""),"FSK-Lab")</f>
        <v>FSK-Lab</v>
      </c>
    </row>
    <row r="4" spans="1:1" ht="12.5" x14ac:dyDescent="0.25">
      <c r="A4" t="str">
        <f ca="1">IFERROR(__xludf.DUMMYFUNCTION("""COMPUTED_VALUE"""),"FSSP")</f>
        <v>FSSP</v>
      </c>
    </row>
    <row r="5" spans="1:1" ht="12.5" x14ac:dyDescent="0.25">
      <c r="A5" t="str">
        <f ca="1">IFERROR(__xludf.DUMMYFUNCTION("""COMPUTED_VALUE"""),"ICRA")</f>
        <v>ICRA</v>
      </c>
    </row>
    <row r="6" spans="1:1" ht="12.5" x14ac:dyDescent="0.25">
      <c r="A6" t="str">
        <f ca="1">IFERROR(__xludf.DUMMYFUNCTION("""COMPUTED_VALUE"""),"Matlab")</f>
        <v>Matlab</v>
      </c>
    </row>
    <row r="7" spans="1:1" ht="12.5" x14ac:dyDescent="0.25">
      <c r="A7" t="str">
        <f ca="1">IFERROR(__xludf.DUMMYFUNCTION("""COMPUTED_VALUE"""),"MicroHibro")</f>
        <v>MicroHibro</v>
      </c>
    </row>
    <row r="8" spans="1:1" ht="12.5" x14ac:dyDescent="0.25">
      <c r="A8" t="str">
        <f ca="1">IFERROR(__xludf.DUMMYFUNCTION("""COMPUTED_VALUE"""),"Other")</f>
        <v>Other</v>
      </c>
    </row>
    <row r="9" spans="1:1" ht="12.5" x14ac:dyDescent="0.25">
      <c r="A9" t="str">
        <f ca="1">IFERROR(__xludf.DUMMYFUNCTION("""COMPUTED_VALUE"""),"PMM-Lab")</f>
        <v>PMM-Lab</v>
      </c>
    </row>
    <row r="10" spans="1:1" ht="12.5" x14ac:dyDescent="0.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IFERROR(__xludf.DUMMYFUNCTION("importrange(""https://docs.google.com/spreadsheets/d/1C6N4-YWX9OMmNStd2rYlSUaVys-aiJGLj00cD44aVc8/edit#gid=1894320575"",""Model Class!A1:A500"")"),"Value")</f>
        <v>Value</v>
      </c>
    </row>
    <row r="2" spans="1:1" ht="12.5" x14ac:dyDescent="0.25">
      <c r="A2" t="str">
        <f ca="1">IFERROR(__xludf.DUMMYFUNCTION("""COMPUTED_VALUE"""),"(Data)")</f>
        <v>(Data)</v>
      </c>
    </row>
    <row r="3" spans="1:1" ht="12.5" x14ac:dyDescent="0.25">
      <c r="A3" t="str">
        <f ca="1">IFERROR(__xludf.DUMMYFUNCTION("""COMPUTED_VALUE"""),"Consumption model")</f>
        <v>Consumption model</v>
      </c>
    </row>
    <row r="4" spans="1:1" ht="12.5" x14ac:dyDescent="0.25">
      <c r="A4" t="str">
        <f ca="1">IFERROR(__xludf.DUMMYFUNCTION("""COMPUTED_VALUE"""),"Dose-response model")</f>
        <v>Dose-response model</v>
      </c>
    </row>
    <row r="5" spans="1:1" ht="12.5" x14ac:dyDescent="0.25">
      <c r="A5" t="str">
        <f ca="1">IFERROR(__xludf.DUMMYFUNCTION("""COMPUTED_VALUE"""),"Exposure model")</f>
        <v>Exposure model</v>
      </c>
    </row>
    <row r="6" spans="1:1" ht="12.5" x14ac:dyDescent="0.25">
      <c r="A6" t="str">
        <f ca="1">IFERROR(__xludf.DUMMYFUNCTION("""COMPUTED_VALUE"""),"Health metrics model")</f>
        <v>Health metrics model</v>
      </c>
    </row>
    <row r="7" spans="1:1" ht="12.5" x14ac:dyDescent="0.25">
      <c r="A7" t="str">
        <f ca="1">IFERROR(__xludf.DUMMYFUNCTION("""COMPUTED_VALUE"""),"Other Empirical models")</f>
        <v>Other Empirical models</v>
      </c>
    </row>
    <row r="8" spans="1:1" ht="12.5" x14ac:dyDescent="0.25">
      <c r="A8" t="str">
        <f ca="1">IFERROR(__xludf.DUMMYFUNCTION("""COMPUTED_VALUE"""),"Predictive model")</f>
        <v>Predictive model</v>
      </c>
    </row>
    <row r="9" spans="1:1" ht="12.5" x14ac:dyDescent="0.25">
      <c r="A9" t="str">
        <f ca="1">IFERROR(__xludf.DUMMYFUNCTION("""COMPUTED_VALUE"""),"Process model")</f>
        <v>Process model</v>
      </c>
    </row>
    <row r="10" spans="1:1" ht="12.5" x14ac:dyDescent="0.25">
      <c r="A10" t="str">
        <f ca="1">IFERROR(__xludf.DUMMYFUNCTION("""COMPUTED_VALUE"""),"QRA model")</f>
        <v>QRA model</v>
      </c>
    </row>
    <row r="11" spans="1:1" ht="12.5" x14ac:dyDescent="0.25">
      <c r="A11" t="str">
        <f ca="1">IFERROR(__xludf.DUMMYFUNCTION("""COMPUTED_VALUE"""),"Risk characterization model")</f>
        <v>Risk characterization model</v>
      </c>
    </row>
    <row r="12" spans="1:1" ht="12.5" x14ac:dyDescent="0.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IFERROR(__xludf.DUMMYFUNCTION("importrange(""https://docs.google.com/spreadsheets/d/1C6N4-YWX9OMmNStd2rYlSUaVys-aiJGLj00cD44aVc8/edit#gid=1894320575"",""Language!A1:A500"")"),"Value")</f>
        <v>Value</v>
      </c>
    </row>
    <row r="2" spans="1:1" ht="12.5" x14ac:dyDescent="0.25">
      <c r="A2" t="str">
        <f ca="1">IFERROR(__xludf.DUMMYFUNCTION("""COMPUTED_VALUE"""),"Bulgarian")</f>
        <v>Bulgarian</v>
      </c>
    </row>
    <row r="3" spans="1:1" ht="12.5" x14ac:dyDescent="0.25">
      <c r="A3" t="str">
        <f ca="1">IFERROR(__xludf.DUMMYFUNCTION("""COMPUTED_VALUE"""),"Czech")</f>
        <v>Czech</v>
      </c>
    </row>
    <row r="4" spans="1:1" ht="12.5" x14ac:dyDescent="0.25">
      <c r="A4" t="str">
        <f ca="1">IFERROR(__xludf.DUMMYFUNCTION("""COMPUTED_VALUE"""),"Danish")</f>
        <v>Danish</v>
      </c>
    </row>
    <row r="5" spans="1:1" ht="12.5" x14ac:dyDescent="0.25">
      <c r="A5" t="str">
        <f ca="1">IFERROR(__xludf.DUMMYFUNCTION("""COMPUTED_VALUE"""),"Dutch")</f>
        <v>Dutch</v>
      </c>
    </row>
    <row r="6" spans="1:1" ht="12.5" x14ac:dyDescent="0.25">
      <c r="A6" t="str">
        <f ca="1">IFERROR(__xludf.DUMMYFUNCTION("""COMPUTED_VALUE"""),"English")</f>
        <v>English</v>
      </c>
    </row>
    <row r="7" spans="1:1" ht="12.5" x14ac:dyDescent="0.25">
      <c r="A7" t="str">
        <f ca="1">IFERROR(__xludf.DUMMYFUNCTION("""COMPUTED_VALUE"""),"Estonian")</f>
        <v>Estonian</v>
      </c>
    </row>
    <row r="8" spans="1:1" ht="12.5" x14ac:dyDescent="0.25">
      <c r="A8" t="str">
        <f ca="1">IFERROR(__xludf.DUMMYFUNCTION("""COMPUTED_VALUE"""),"Finnish")</f>
        <v>Finnish</v>
      </c>
    </row>
    <row r="9" spans="1:1" ht="12.5" x14ac:dyDescent="0.25">
      <c r="A9" t="str">
        <f ca="1">IFERROR(__xludf.DUMMYFUNCTION("""COMPUTED_VALUE"""),"French")</f>
        <v>French</v>
      </c>
    </row>
    <row r="10" spans="1:1" ht="12.5" x14ac:dyDescent="0.25">
      <c r="A10" t="str">
        <f ca="1">IFERROR(__xludf.DUMMYFUNCTION("""COMPUTED_VALUE"""),"German")</f>
        <v>German</v>
      </c>
    </row>
    <row r="11" spans="1:1" ht="12.5" x14ac:dyDescent="0.25">
      <c r="A11" t="str">
        <f ca="1">IFERROR(__xludf.DUMMYFUNCTION("""COMPUTED_VALUE"""),"Greek")</f>
        <v>Greek</v>
      </c>
    </row>
    <row r="12" spans="1:1" ht="12.5" x14ac:dyDescent="0.25">
      <c r="A12" t="str">
        <f ca="1">IFERROR(__xludf.DUMMYFUNCTION("""COMPUTED_VALUE"""),"Hungarian")</f>
        <v>Hungarian</v>
      </c>
    </row>
    <row r="13" spans="1:1" ht="12.5" x14ac:dyDescent="0.25">
      <c r="A13" t="str">
        <f ca="1">IFERROR(__xludf.DUMMYFUNCTION("""COMPUTED_VALUE"""),"Icelandic")</f>
        <v>Icelandic</v>
      </c>
    </row>
    <row r="14" spans="1:1" ht="12.5" x14ac:dyDescent="0.25">
      <c r="A14" t="str">
        <f ca="1">IFERROR(__xludf.DUMMYFUNCTION("""COMPUTED_VALUE"""),"Irish")</f>
        <v>Irish</v>
      </c>
    </row>
    <row r="15" spans="1:1" ht="12.5" x14ac:dyDescent="0.25">
      <c r="A15" t="str">
        <f ca="1">IFERROR(__xludf.DUMMYFUNCTION("""COMPUTED_VALUE"""),"Italian")</f>
        <v>Italian</v>
      </c>
    </row>
    <row r="16" spans="1:1" ht="12.5" x14ac:dyDescent="0.25">
      <c r="A16" t="str">
        <f ca="1">IFERROR(__xludf.DUMMYFUNCTION("""COMPUTED_VALUE"""),"Latvian")</f>
        <v>Latvian</v>
      </c>
    </row>
    <row r="17" spans="1:1" ht="12.5" x14ac:dyDescent="0.25">
      <c r="A17" t="str">
        <f ca="1">IFERROR(__xludf.DUMMYFUNCTION("""COMPUTED_VALUE"""),"Lithuanian")</f>
        <v>Lithuanian</v>
      </c>
    </row>
    <row r="18" spans="1:1" ht="12.5" x14ac:dyDescent="0.25">
      <c r="A18" t="str">
        <f ca="1">IFERROR(__xludf.DUMMYFUNCTION("""COMPUTED_VALUE"""),"Maltese")</f>
        <v>Maltese</v>
      </c>
    </row>
    <row r="19" spans="1:1" ht="12.5" x14ac:dyDescent="0.25">
      <c r="A19" t="str">
        <f ca="1">IFERROR(__xludf.DUMMYFUNCTION("""COMPUTED_VALUE"""),"Norwegian")</f>
        <v>Norwegian</v>
      </c>
    </row>
    <row r="20" spans="1:1" ht="12.5" x14ac:dyDescent="0.25">
      <c r="A20" t="str">
        <f ca="1">IFERROR(__xludf.DUMMYFUNCTION("""COMPUTED_VALUE"""),"Other")</f>
        <v>Other</v>
      </c>
    </row>
    <row r="21" spans="1:1" ht="12.5" x14ac:dyDescent="0.25">
      <c r="A21" t="str">
        <f ca="1">IFERROR(__xludf.DUMMYFUNCTION("""COMPUTED_VALUE"""),"Polish")</f>
        <v>Polish</v>
      </c>
    </row>
    <row r="22" spans="1:1" ht="12.5" x14ac:dyDescent="0.25">
      <c r="A22" t="str">
        <f ca="1">IFERROR(__xludf.DUMMYFUNCTION("""COMPUTED_VALUE"""),"Portuguese")</f>
        <v>Portuguese</v>
      </c>
    </row>
    <row r="23" spans="1:1" ht="12.5" x14ac:dyDescent="0.25">
      <c r="A23" t="str">
        <f ca="1">IFERROR(__xludf.DUMMYFUNCTION("""COMPUTED_VALUE"""),"Romanian")</f>
        <v>Romanian</v>
      </c>
    </row>
    <row r="24" spans="1:1" ht="12.5" x14ac:dyDescent="0.25">
      <c r="A24" t="str">
        <f ca="1">IFERROR(__xludf.DUMMYFUNCTION("""COMPUTED_VALUE"""),"Slovakian")</f>
        <v>Slovakian</v>
      </c>
    </row>
    <row r="25" spans="1:1" ht="12.5" x14ac:dyDescent="0.25">
      <c r="A25" t="str">
        <f ca="1">IFERROR(__xludf.DUMMYFUNCTION("""COMPUTED_VALUE"""),"Slovene")</f>
        <v>Slovene</v>
      </c>
    </row>
    <row r="26" spans="1:1" ht="12.5" x14ac:dyDescent="0.25">
      <c r="A26" t="str">
        <f ca="1">IFERROR(__xludf.DUMMYFUNCTION("""COMPUTED_VALUE"""),"Spanish")</f>
        <v>Spanish</v>
      </c>
    </row>
    <row r="27" spans="1:1" ht="12.5" x14ac:dyDescent="0.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x14ac:dyDescent="0.25"/>
  <sheetData>
    <row r="1" spans="1:39" ht="15.75" customHeight="1" x14ac:dyDescent="0.3">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x14ac:dyDescent="0.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x14ac:dyDescent="0.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x14ac:dyDescent="0.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x14ac:dyDescent="0.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x14ac:dyDescent="0.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x14ac:dyDescent="0.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x14ac:dyDescent="0.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x14ac:dyDescent="0.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x14ac:dyDescent="0.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x14ac:dyDescent="0.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x14ac:dyDescent="0.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x14ac:dyDescent="0.25">
      <c r="M13" t="str">
        <f ca="1">IFERROR(__xludf.DUMMYFUNCTION("""COMPUTED_VALUE"""),"Inactivation")</f>
        <v>Inactivation</v>
      </c>
      <c r="N13" t="str">
        <f ca="1">IFERROR(__xludf.DUMMYFUNCTION("""COMPUTED_VALUE"""),"Basic process_Process model_2")</f>
        <v>Basic process_Process model_2</v>
      </c>
    </row>
    <row r="14" spans="1:39" ht="12.5" x14ac:dyDescent="0.25">
      <c r="M14" t="str">
        <f ca="1">IFERROR(__xludf.DUMMYFUNCTION("""COMPUTED_VALUE"""),"Increase by Addition (CHEMICAL)")</f>
        <v>Increase by Addition (CHEMICAL)</v>
      </c>
      <c r="N14" t="str">
        <f ca="1">IFERROR(__xludf.DUMMYFUNCTION("""COMPUTED_VALUE"""),"Basic process_Process model_10")</f>
        <v>Basic process_Process model_10</v>
      </c>
    </row>
    <row r="15" spans="1:39" ht="12.5" x14ac:dyDescent="0.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x14ac:dyDescent="0.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x14ac:dyDescent="0.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x14ac:dyDescent="0.25">
      <c r="M18" t="str">
        <f ca="1">IFERROR(__xludf.DUMMYFUNCTION("""COMPUTED_VALUE"""),"Increase by Growth (MICROBIAL)")</f>
        <v>Increase by Growth (MICROBIAL)</v>
      </c>
      <c r="N18" t="str">
        <f ca="1">IFERROR(__xludf.DUMMYFUNCTION("""COMPUTED_VALUE"""),"Basic process_Process model_22")</f>
        <v>Basic process_Process model_22</v>
      </c>
    </row>
    <row r="19" spans="13:14" ht="12.5" x14ac:dyDescent="0.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x14ac:dyDescent="0.25">
      <c r="M20" t="str">
        <f ca="1">IFERROR(__xludf.DUMMYFUNCTION("""COMPUTED_VALUE"""),"Joining")</f>
        <v>Joining</v>
      </c>
      <c r="N20" t="str">
        <f ca="1">IFERROR(__xludf.DUMMYFUNCTION("""COMPUTED_VALUE"""),"Basic process_Process model_4")</f>
        <v>Basic process_Process model_4</v>
      </c>
    </row>
    <row r="21" spans="13:14" ht="12.5" x14ac:dyDescent="0.25">
      <c r="M21" t="str">
        <f ca="1">IFERROR(__xludf.DUMMYFUNCTION("""COMPUTED_VALUE"""),"Mass-change (CHEMICAL)")</f>
        <v>Mass-change (CHEMICAL)</v>
      </c>
      <c r="N21" t="str">
        <f ca="1">IFERROR(__xludf.DUMMYFUNCTION("""COMPUTED_VALUE"""),"Basic process_Process model_12")</f>
        <v>Basic process_Process model_12</v>
      </c>
    </row>
    <row r="22" spans="13:14" ht="12.5" x14ac:dyDescent="0.25">
      <c r="M22" t="str">
        <f ca="1">IFERROR(__xludf.DUMMYFUNCTION("""COMPUTED_VALUE"""),"Mixing")</f>
        <v>Mixing</v>
      </c>
      <c r="N22" t="str">
        <f ca="1">IFERROR(__xludf.DUMMYFUNCTION("""COMPUTED_VALUE"""),"Basic process_Process model_6")</f>
        <v>Basic process_Process model_6</v>
      </c>
    </row>
    <row r="23" spans="13:14" ht="12.5" x14ac:dyDescent="0.25">
      <c r="M23" t="str">
        <f ca="1">IFERROR(__xludf.DUMMYFUNCTION("""COMPUTED_VALUE"""),"No Change (CHEMICAL)")</f>
        <v>No Change (CHEMICAL)</v>
      </c>
      <c r="N23" t="str">
        <f ca="1">IFERROR(__xludf.DUMMYFUNCTION("""COMPUTED_VALUE"""),"Basic process_Process model_18")</f>
        <v>Basic process_Process model_18</v>
      </c>
    </row>
    <row r="24" spans="13:14" ht="12.5" x14ac:dyDescent="0.25">
      <c r="M24" t="str">
        <f ca="1">IFERROR(__xludf.DUMMYFUNCTION("""COMPUTED_VALUE"""),"Other")</f>
        <v>Other</v>
      </c>
      <c r="N24" t="str">
        <f ca="1">IFERROR(__xludf.DUMMYFUNCTION("""COMPUTED_VALUE"""),"Basic process_Process model_37")</f>
        <v>Basic process_Process model_37</v>
      </c>
    </row>
    <row r="25" spans="13:14" ht="12.5" x14ac:dyDescent="0.25">
      <c r="M25" t="str">
        <f ca="1">IFERROR(__xludf.DUMMYFUNCTION("""COMPUTED_VALUE"""),"Partioning")</f>
        <v>Partioning</v>
      </c>
      <c r="N25" t="str">
        <f ca="1">IFERROR(__xludf.DUMMYFUNCTION("""COMPUTED_VALUE"""),"Basic process_Process model_7")</f>
        <v>Basic process_Process model_7</v>
      </c>
    </row>
    <row r="26" spans="13:14" ht="12.5" x14ac:dyDescent="0.25">
      <c r="M26" t="str">
        <f ca="1">IFERROR(__xludf.DUMMYFUNCTION("""COMPUTED_VALUE"""),"Partitioning (CHEMICAL)")</f>
        <v>Partitioning (CHEMICAL)</v>
      </c>
      <c r="N26" t="str">
        <f ca="1">IFERROR(__xludf.DUMMYFUNCTION("""COMPUTED_VALUE"""),"Basic process_Process model_14")</f>
        <v>Basic process_Process model_14</v>
      </c>
    </row>
    <row r="27" spans="13:14" ht="12.5" x14ac:dyDescent="0.25">
      <c r="M27" t="str">
        <f ca="1">IFERROR(__xludf.DUMMYFUNCTION("""COMPUTED_VALUE"""),"Partitioning (MICROBIAL)")</f>
        <v>Partitioning (MICROBIAL)</v>
      </c>
      <c r="N27" t="str">
        <f ca="1">IFERROR(__xludf.DUMMYFUNCTION("""COMPUTED_VALUE"""),"Basic process_Process model_30")</f>
        <v>Basic process_Process model_30</v>
      </c>
    </row>
    <row r="28" spans="13:14" ht="12.5" x14ac:dyDescent="0.25">
      <c r="M28" t="str">
        <f ca="1">IFERROR(__xludf.DUMMYFUNCTION("""COMPUTED_VALUE"""),"Placeholder (CHEMICAL)")</f>
        <v>Placeholder (CHEMICAL)</v>
      </c>
      <c r="N28" t="str">
        <f ca="1">IFERROR(__xludf.DUMMYFUNCTION("""COMPUTED_VALUE"""),"Basic process_Process model_19")</f>
        <v>Basic process_Process model_19</v>
      </c>
    </row>
    <row r="29" spans="13:14" ht="12.5" x14ac:dyDescent="0.25">
      <c r="M29" t="str">
        <f ca="1">IFERROR(__xludf.DUMMYFUNCTION("""COMPUTED_VALUE"""),"Placeholder (MICROBIAL)")</f>
        <v>Placeholder (MICROBIAL)</v>
      </c>
      <c r="N29" t="str">
        <f ca="1">IFERROR(__xludf.DUMMYFUNCTION("""COMPUTED_VALUE"""),"Basic process_Process model_20")</f>
        <v>Basic process_Process model_20</v>
      </c>
    </row>
    <row r="30" spans="13:14" ht="12.5" x14ac:dyDescent="0.25">
      <c r="M30" t="str">
        <f ca="1">IFERROR(__xludf.DUMMYFUNCTION("""COMPUTED_VALUE"""),"Pooling (CHEMICAL)")</f>
        <v>Pooling (CHEMICAL)</v>
      </c>
      <c r="N30" t="str">
        <f ca="1">IFERROR(__xludf.DUMMYFUNCTION("""COMPUTED_VALUE"""),"Basic process_Process model_13")</f>
        <v>Basic process_Process model_13</v>
      </c>
    </row>
    <row r="31" spans="13:14" ht="12.5" x14ac:dyDescent="0.25">
      <c r="M31" t="str">
        <f ca="1">IFERROR(__xludf.DUMMYFUNCTION("""COMPUTED_VALUE"""),"Pooling (MICROBIAL)")</f>
        <v>Pooling (MICROBIAL)</v>
      </c>
      <c r="N31" t="str">
        <f ca="1">IFERROR(__xludf.DUMMYFUNCTION("""COMPUTED_VALUE"""),"Basic process_Process model_31")</f>
        <v>Basic process_Process model_31</v>
      </c>
    </row>
    <row r="32" spans="13:14" ht="12.5" x14ac:dyDescent="0.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x14ac:dyDescent="0.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x14ac:dyDescent="0.25">
      <c r="M34" t="str">
        <f ca="1">IFERROR(__xludf.DUMMYFUNCTION("""COMPUTED_VALUE"""),"Redistribution (Total) (CHEMICAL)")</f>
        <v>Redistribution (Total) (CHEMICAL)</v>
      </c>
      <c r="N34" t="str">
        <f ca="1">IFERROR(__xludf.DUMMYFUNCTION("""COMPUTED_VALUE"""),"Basic process_Process model_17")</f>
        <v>Basic process_Process model_17</v>
      </c>
    </row>
    <row r="35" spans="13:14" ht="12.5" x14ac:dyDescent="0.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x14ac:dyDescent="0.25">
      <c r="M36" t="str">
        <f ca="1">IFERROR(__xludf.DUMMYFUNCTION("""COMPUTED_VALUE"""),"Removal")</f>
        <v>Removal</v>
      </c>
      <c r="N36" t="str">
        <f ca="1">IFERROR(__xludf.DUMMYFUNCTION("""COMPUTED_VALUE"""),"Basic process_Process model_8")</f>
        <v>Basic process_Process model_8</v>
      </c>
    </row>
    <row r="37" spans="13:14" ht="12.5" x14ac:dyDescent="0.25">
      <c r="M37" t="str">
        <f ca="1">IFERROR(__xludf.DUMMYFUNCTION("""COMPUTED_VALUE"""),"Sampling (OC curve) (MICROBIAL)")</f>
        <v>Sampling (OC curve) (MICROBIAL)</v>
      </c>
      <c r="N37" t="str">
        <f ca="1">IFERROR(__xludf.DUMMYFUNCTION("""COMPUTED_VALUE"""),"Basic process_Process model_34")</f>
        <v>Basic process_Process model_34</v>
      </c>
    </row>
    <row r="38" spans="13:14" ht="12.5" x14ac:dyDescent="0.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x14ac:dyDescent="0.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x14ac:dyDescent="0.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x14ac:dyDescent="0.25">
      <c r="A3" t="str">
        <f ca="1">IFERROR(__xludf.DUMMYFUNCTION("""COMPUTED_VALUE"""),"Other")</f>
        <v>Other</v>
      </c>
      <c r="B3" t="str">
        <f ca="1">IFERROR(__xludf.DUMMYFUNCTION("""COMPUTED_VALUE"""),"Status_3")</f>
        <v>Status_3</v>
      </c>
    </row>
    <row r="4" spans="1:3" ht="12.5" x14ac:dyDescent="0.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IFERROR(__xludf.DUMMYFUNCTION("importrange(""https://docs.google.com/spreadsheets/d/1C6N4-YWX9OMmNStd2rYlSUaVys-aiJGLj00cD44aVc8/edit#gid=1894320575"",""Language written in!A1:A500"")"),"Value")</f>
        <v>Value</v>
      </c>
    </row>
    <row r="2" spans="1:1" ht="12.5" x14ac:dyDescent="0.25">
      <c r="A2" t="str">
        <f ca="1">IFERROR(__xludf.DUMMYFUNCTION("""COMPUTED_VALUE"""),"@Risk 4")</f>
        <v>@Risk 4</v>
      </c>
    </row>
    <row r="3" spans="1:1" ht="12.5" x14ac:dyDescent="0.25">
      <c r="A3" t="str">
        <f ca="1">IFERROR(__xludf.DUMMYFUNCTION("""COMPUTED_VALUE"""),"@Risk 5")</f>
        <v>@Risk 5</v>
      </c>
    </row>
    <row r="4" spans="1:1" ht="12.5" x14ac:dyDescent="0.25">
      <c r="A4" t="str">
        <f ca="1">IFERROR(__xludf.DUMMYFUNCTION("""COMPUTED_VALUE"""),"@Risk 6")</f>
        <v>@Risk 6</v>
      </c>
    </row>
    <row r="5" spans="1:1" ht="12.5" x14ac:dyDescent="0.25">
      <c r="A5" t="str">
        <f ca="1">IFERROR(__xludf.DUMMYFUNCTION("""COMPUTED_VALUE"""),"@Risk 7.5")</f>
        <v>@Risk 7.5</v>
      </c>
    </row>
    <row r="6" spans="1:1" ht="12.5" x14ac:dyDescent="0.25">
      <c r="A6" t="str">
        <f ca="1">IFERROR(__xludf.DUMMYFUNCTION("""COMPUTED_VALUE"""),"C++ 11")</f>
        <v>C++ 11</v>
      </c>
    </row>
    <row r="7" spans="1:1" ht="12.5" x14ac:dyDescent="0.25">
      <c r="A7" t="str">
        <f ca="1">IFERROR(__xludf.DUMMYFUNCTION("""COMPUTED_VALUE"""),"C++ 14")</f>
        <v>C++ 14</v>
      </c>
    </row>
    <row r="8" spans="1:1" ht="12.5" x14ac:dyDescent="0.25">
      <c r="A8" t="str">
        <f ca="1">IFERROR(__xludf.DUMMYFUNCTION("""COMPUTED_VALUE"""),"C++ 17")</f>
        <v>C++ 17</v>
      </c>
    </row>
    <row r="9" spans="1:1" ht="12.5" x14ac:dyDescent="0.25">
      <c r="A9" t="str">
        <f ca="1">IFERROR(__xludf.DUMMYFUNCTION("""COMPUTED_VALUE"""),"C11")</f>
        <v>C11</v>
      </c>
    </row>
    <row r="10" spans="1:1" ht="12.5" x14ac:dyDescent="0.25">
      <c r="A10" t="str">
        <f ca="1">IFERROR(__xludf.DUMMYFUNCTION("""COMPUTED_VALUE"""),"C99")</f>
        <v>C99</v>
      </c>
    </row>
    <row r="11" spans="1:1" ht="12.5" x14ac:dyDescent="0.25">
      <c r="A11" t="str">
        <f ca="1">IFERROR(__xludf.DUMMYFUNCTION("""COMPUTED_VALUE"""),"Fortran 2003")</f>
        <v>Fortran 2003</v>
      </c>
    </row>
    <row r="12" spans="1:1" ht="12.5" x14ac:dyDescent="0.25">
      <c r="A12" t="str">
        <f ca="1">IFERROR(__xludf.DUMMYFUNCTION("""COMPUTED_VALUE"""),"Fortran 2008")</f>
        <v>Fortran 2008</v>
      </c>
    </row>
    <row r="13" spans="1:1" ht="12.5" x14ac:dyDescent="0.25">
      <c r="A13" t="str">
        <f ca="1">IFERROR(__xludf.DUMMYFUNCTION("""COMPUTED_VALUE"""),"Fortran 95")</f>
        <v>Fortran 95</v>
      </c>
    </row>
    <row r="14" spans="1:1" ht="12.5" x14ac:dyDescent="0.25">
      <c r="A14" t="str">
        <f ca="1">IFERROR(__xludf.DUMMYFUNCTION("""COMPUTED_VALUE"""),"J2SE 1.2")</f>
        <v>J2SE 1.2</v>
      </c>
    </row>
    <row r="15" spans="1:1" ht="12.5" x14ac:dyDescent="0.25">
      <c r="A15" t="str">
        <f ca="1">IFERROR(__xludf.DUMMYFUNCTION("""COMPUTED_VALUE"""),"J2SE 1.3")</f>
        <v>J2SE 1.3</v>
      </c>
    </row>
    <row r="16" spans="1:1" ht="12.5" x14ac:dyDescent="0.25">
      <c r="A16" t="str">
        <f ca="1">IFERROR(__xludf.DUMMYFUNCTION("""COMPUTED_VALUE"""),"J2SE 1.4")</f>
        <v>J2SE 1.4</v>
      </c>
    </row>
    <row r="17" spans="1:1" ht="12.5" x14ac:dyDescent="0.25">
      <c r="A17" t="str">
        <f ca="1">IFERROR(__xludf.DUMMYFUNCTION("""COMPUTED_VALUE"""),"J2SE 5.0")</f>
        <v>J2SE 5.0</v>
      </c>
    </row>
    <row r="18" spans="1:1" ht="12.5" x14ac:dyDescent="0.25">
      <c r="A18" t="str">
        <f ca="1">IFERROR(__xludf.DUMMYFUNCTION("""COMPUTED_VALUE"""),"Java SE 6")</f>
        <v>Java SE 6</v>
      </c>
    </row>
    <row r="19" spans="1:1" ht="12.5" x14ac:dyDescent="0.25">
      <c r="A19" t="str">
        <f ca="1">IFERROR(__xludf.DUMMYFUNCTION("""COMPUTED_VALUE"""),"Java SE 7")</f>
        <v>Java SE 7</v>
      </c>
    </row>
    <row r="20" spans="1:1" ht="12.5" x14ac:dyDescent="0.25">
      <c r="A20" t="str">
        <f ca="1">IFERROR(__xludf.DUMMYFUNCTION("""COMPUTED_VALUE"""),"Java SE 8")</f>
        <v>Java SE 8</v>
      </c>
    </row>
    <row r="21" spans="1:1" ht="12.5" x14ac:dyDescent="0.25">
      <c r="A21" t="str">
        <f ca="1">IFERROR(__xludf.DUMMYFUNCTION("""COMPUTED_VALUE"""),"Java SE 9")</f>
        <v>Java SE 9</v>
      </c>
    </row>
    <row r="22" spans="1:1" ht="12.5" x14ac:dyDescent="0.25">
      <c r="A22" t="str">
        <f ca="1">IFERROR(__xludf.DUMMYFUNCTION("""COMPUTED_VALUE"""),"JDK 1.0")</f>
        <v>JDK 1.0</v>
      </c>
    </row>
    <row r="23" spans="1:1" ht="12.5" x14ac:dyDescent="0.25">
      <c r="A23" t="str">
        <f ca="1">IFERROR(__xludf.DUMMYFUNCTION("""COMPUTED_VALUE"""),"JDK 1.1")</f>
        <v>JDK 1.1</v>
      </c>
    </row>
    <row r="24" spans="1:1" ht="12.5" x14ac:dyDescent="0.25">
      <c r="A24" t="str">
        <f ca="1">IFERROR(__xludf.DUMMYFUNCTION("""COMPUTED_VALUE"""),"MATLAB 1.0")</f>
        <v>MATLAB 1.0</v>
      </c>
    </row>
    <row r="25" spans="1:1" ht="12.5" x14ac:dyDescent="0.25">
      <c r="A25" t="str">
        <f ca="1">IFERROR(__xludf.DUMMYFUNCTION("""COMPUTED_VALUE"""),"MATLAB 2")</f>
        <v>MATLAB 2</v>
      </c>
    </row>
    <row r="26" spans="1:1" ht="12.5" x14ac:dyDescent="0.25">
      <c r="A26" t="str">
        <f ca="1">IFERROR(__xludf.DUMMYFUNCTION("""COMPUTED_VALUE"""),"MATLAB 3")</f>
        <v>MATLAB 3</v>
      </c>
    </row>
    <row r="27" spans="1:1" ht="12.5" x14ac:dyDescent="0.25">
      <c r="A27" t="str">
        <f ca="1">IFERROR(__xludf.DUMMYFUNCTION("""COMPUTED_VALUE"""),"MATLAB 3.5")</f>
        <v>MATLAB 3.5</v>
      </c>
    </row>
    <row r="28" spans="1:1" ht="12.5" x14ac:dyDescent="0.25">
      <c r="A28" t="str">
        <f ca="1">IFERROR(__xludf.DUMMYFUNCTION("""COMPUTED_VALUE"""),"MATLAB 4")</f>
        <v>MATLAB 4</v>
      </c>
    </row>
    <row r="29" spans="1:1" ht="12.5" x14ac:dyDescent="0.25">
      <c r="A29" t="str">
        <f ca="1">IFERROR(__xludf.DUMMYFUNCTION("""COMPUTED_VALUE"""),"MATLAB 4.2c")</f>
        <v>MATLAB 4.2c</v>
      </c>
    </row>
    <row r="30" spans="1:1" ht="12.5" x14ac:dyDescent="0.25">
      <c r="A30" t="str">
        <f ca="1">IFERROR(__xludf.DUMMYFUNCTION("""COMPUTED_VALUE"""),"MATLAB 5.0")</f>
        <v>MATLAB 5.0</v>
      </c>
    </row>
    <row r="31" spans="1:1" ht="12.5" x14ac:dyDescent="0.25">
      <c r="A31" t="str">
        <f ca="1">IFERROR(__xludf.DUMMYFUNCTION("""COMPUTED_VALUE"""),"MATLAB 6.0")</f>
        <v>MATLAB 6.0</v>
      </c>
    </row>
    <row r="32" spans="1:1" ht="12.5" x14ac:dyDescent="0.25">
      <c r="A32" t="str">
        <f ca="1">IFERROR(__xludf.DUMMYFUNCTION("""COMPUTED_VALUE"""),"MATLAB 7")</f>
        <v>MATLAB 7</v>
      </c>
    </row>
    <row r="33" spans="1:1" ht="12.5" x14ac:dyDescent="0.25">
      <c r="A33" t="str">
        <f ca="1">IFERROR(__xludf.DUMMYFUNCTION("""COMPUTED_VALUE"""),"MATLAB 8")</f>
        <v>MATLAB 8</v>
      </c>
    </row>
    <row r="34" spans="1:1" ht="12.5" x14ac:dyDescent="0.25">
      <c r="A34" t="str">
        <f ca="1">IFERROR(__xludf.DUMMYFUNCTION("""COMPUTED_VALUE"""),"MATLAB 9.0")</f>
        <v>MATLAB 9.0</v>
      </c>
    </row>
    <row r="35" spans="1:1" ht="12.5" x14ac:dyDescent="0.25">
      <c r="A35" t="str">
        <f ca="1">IFERROR(__xludf.DUMMYFUNCTION("""COMPUTED_VALUE"""),"MATLAB 9.4")</f>
        <v>MATLAB 9.4</v>
      </c>
    </row>
    <row r="36" spans="1:1" ht="12.5" x14ac:dyDescent="0.25">
      <c r="A36" t="str">
        <f ca="1">IFERROR(__xludf.DUMMYFUNCTION("""COMPUTED_VALUE"""),"Octave 2.0")</f>
        <v>Octave 2.0</v>
      </c>
    </row>
    <row r="37" spans="1:1" ht="12.5" x14ac:dyDescent="0.25">
      <c r="A37" t="str">
        <f ca="1">IFERROR(__xludf.DUMMYFUNCTION("""COMPUTED_VALUE"""),"Octave 3.0.0")</f>
        <v>Octave 3.0.0</v>
      </c>
    </row>
    <row r="38" spans="1:1" ht="12.5" x14ac:dyDescent="0.25">
      <c r="A38" t="str">
        <f ca="1">IFERROR(__xludf.DUMMYFUNCTION("""COMPUTED_VALUE"""),"Octave 4.0.0")</f>
        <v>Octave 4.0.0</v>
      </c>
    </row>
    <row r="39" spans="1:1" ht="12.5" x14ac:dyDescent="0.25">
      <c r="A39" t="str">
        <f ca="1">IFERROR(__xludf.DUMMYFUNCTION("""COMPUTED_VALUE"""),"Octave 4.2.2")</f>
        <v>Octave 4.2.2</v>
      </c>
    </row>
    <row r="40" spans="1:1" ht="12.5" x14ac:dyDescent="0.25">
      <c r="A40" t="str">
        <f ca="1">IFERROR(__xludf.DUMMYFUNCTION("""COMPUTED_VALUE"""),"Other")</f>
        <v>Other</v>
      </c>
    </row>
    <row r="41" spans="1:1" ht="12.5" x14ac:dyDescent="0.25">
      <c r="A41" t="str">
        <f ca="1">IFERROR(__xludf.DUMMYFUNCTION("""COMPUTED_VALUE"""),"Python 2.0.1")</f>
        <v>Python 2.0.1</v>
      </c>
    </row>
    <row r="42" spans="1:1" ht="12.5" x14ac:dyDescent="0.25">
      <c r="A42" t="str">
        <f ca="1">IFERROR(__xludf.DUMMYFUNCTION("""COMPUTED_VALUE"""),"Python 3.1.0")</f>
        <v>Python 3.1.0</v>
      </c>
    </row>
    <row r="43" spans="1:1" ht="12.5" x14ac:dyDescent="0.25">
      <c r="A43" t="str">
        <f ca="1">IFERROR(__xludf.DUMMYFUNCTION("""COMPUTED_VALUE"""),"Python 3.4.8")</f>
        <v>Python 3.4.8</v>
      </c>
    </row>
    <row r="44" spans="1:1" ht="12.5" x14ac:dyDescent="0.25">
      <c r="A44" t="str">
        <f ca="1">IFERROR(__xludf.DUMMYFUNCTION("""COMPUTED_VALUE"""),"R 0.16")</f>
        <v>R 0.16</v>
      </c>
    </row>
    <row r="45" spans="1:1" ht="12.5" x14ac:dyDescent="0.25">
      <c r="A45" t="str">
        <f ca="1">IFERROR(__xludf.DUMMYFUNCTION("""COMPUTED_VALUE"""),"R 0.49")</f>
        <v>R 0.49</v>
      </c>
    </row>
    <row r="46" spans="1:1" ht="12.5" x14ac:dyDescent="0.25">
      <c r="A46" t="str">
        <f ca="1">IFERROR(__xludf.DUMMYFUNCTION("""COMPUTED_VALUE"""),"R 0.6")</f>
        <v>R 0.6</v>
      </c>
    </row>
    <row r="47" spans="1:1" ht="12.5" x14ac:dyDescent="0.25">
      <c r="A47" t="str">
        <f ca="1">IFERROR(__xludf.DUMMYFUNCTION("""COMPUTED_VALUE"""),"R 1")</f>
        <v>R 1</v>
      </c>
    </row>
    <row r="48" spans="1:1" ht="12.5" x14ac:dyDescent="0.25">
      <c r="A48" t="str">
        <f ca="1">IFERROR(__xludf.DUMMYFUNCTION("""COMPUTED_VALUE"""),"R 1.4")</f>
        <v>R 1.4</v>
      </c>
    </row>
    <row r="49" spans="1:1" ht="12.5" x14ac:dyDescent="0.25">
      <c r="A49" t="str">
        <f ca="1">IFERROR(__xludf.DUMMYFUNCTION("""COMPUTED_VALUE"""),"R 1.4")</f>
        <v>R 1.4</v>
      </c>
    </row>
    <row r="50" spans="1:1" ht="12.5" x14ac:dyDescent="0.25">
      <c r="A50" t="str">
        <f ca="1">IFERROR(__xludf.DUMMYFUNCTION("""COMPUTED_VALUE"""),"R 2")</f>
        <v>R 2</v>
      </c>
    </row>
    <row r="51" spans="1:1" ht="12.5" x14ac:dyDescent="0.25">
      <c r="A51" t="str">
        <f ca="1">IFERROR(__xludf.DUMMYFUNCTION("""COMPUTED_VALUE"""),"R 2.1")</f>
        <v>R 2.1</v>
      </c>
    </row>
    <row r="52" spans="1:1" ht="12.5" x14ac:dyDescent="0.25">
      <c r="A52" t="str">
        <f ca="1">IFERROR(__xludf.DUMMYFUNCTION("""COMPUTED_VALUE"""),"R 2.11")</f>
        <v>R 2.11</v>
      </c>
    </row>
    <row r="53" spans="1:1" ht="12.5" x14ac:dyDescent="0.25">
      <c r="A53" t="str">
        <f ca="1">IFERROR(__xludf.DUMMYFUNCTION("""COMPUTED_VALUE"""),"R 2.13")</f>
        <v>R 2.13</v>
      </c>
    </row>
    <row r="54" spans="1:1" ht="12.5" x14ac:dyDescent="0.25">
      <c r="A54" t="str">
        <f ca="1">IFERROR(__xludf.DUMMYFUNCTION("""COMPUTED_VALUE"""),"R 2.14")</f>
        <v>R 2.14</v>
      </c>
    </row>
    <row r="55" spans="1:1" ht="12.5" x14ac:dyDescent="0.25">
      <c r="A55" t="str">
        <f ca="1">IFERROR(__xludf.DUMMYFUNCTION("""COMPUTED_VALUE"""),"R 2.15")</f>
        <v>R 2.15</v>
      </c>
    </row>
    <row r="56" spans="1:1" ht="12.5" x14ac:dyDescent="0.25">
      <c r="A56" t="str">
        <f ca="1">IFERROR(__xludf.DUMMYFUNCTION("""COMPUTED_VALUE"""),"R 3")</f>
        <v>R 3</v>
      </c>
    </row>
    <row r="57" spans="1:1" ht="12.5" x14ac:dyDescent="0.25">
      <c r="A57" t="str">
        <f ca="1">IFERROR(__xludf.DUMMYFUNCTION("""COMPUTED_VALUE"""),"VBA 6")</f>
        <v>VBA 6</v>
      </c>
    </row>
    <row r="58" spans="1:1" ht="12.5" x14ac:dyDescent="0.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IFERROR(__xludf.DUMMYFUNCTION("importrange(""https://docs.google.com/spreadsheets/d/1C6N4-YWX9OMmNStd2rYlSUaVys-aiJGLj00cD44aVc8/edit#gid=1894320575"",""Product-matrix name!A1:A19000"")"),"Value")</f>
        <v>Value</v>
      </c>
    </row>
    <row r="2" spans="1:1" ht="12.5" x14ac:dyDescent="0.25">
      <c r="A2" t="str">
        <f ca="1">IFERROR(__xludf.DUMMYFUNCTION("""COMPUTED_VALUE"""),"Allspice")</f>
        <v>Allspice</v>
      </c>
    </row>
    <row r="3" spans="1:1" ht="12.5" x14ac:dyDescent="0.25">
      <c r="A3" t="str">
        <f ca="1">IFERROR(__xludf.DUMMYFUNCTION("""COMPUTED_VALUE"""),"Almonds")</f>
        <v>Almonds</v>
      </c>
    </row>
    <row r="4" spans="1:1" ht="12.5" x14ac:dyDescent="0.25">
      <c r="A4" t="str">
        <f ca="1">IFERROR(__xludf.DUMMYFUNCTION("""COMPUTED_VALUE"""),"American persimmon (Virginia kaki)")</f>
        <v>American persimmon (Virginia kaki)</v>
      </c>
    </row>
    <row r="5" spans="1:1" ht="12.5" x14ac:dyDescent="0.25">
      <c r="A5" t="str">
        <f ca="1">IFERROR(__xludf.DUMMYFUNCTION("""COMPUTED_VALUE"""),"Amphibians and reptiles")</f>
        <v>Amphibians and reptiles</v>
      </c>
    </row>
    <row r="6" spans="1:1" ht="12.5" x14ac:dyDescent="0.25">
      <c r="A6" t="str">
        <f ca="1">IFERROR(__xludf.DUMMYFUNCTION("""COMPUTED_VALUE"""),"Anise")</f>
        <v>Anise</v>
      </c>
    </row>
    <row r="7" spans="1:1" ht="12.5" x14ac:dyDescent="0.25">
      <c r="A7" t="str">
        <f ca="1">IFERROR(__xludf.DUMMYFUNCTION("""COMPUTED_VALUE"""),"Anise pepper (Japan pepper)")</f>
        <v>Anise pepper (Japan pepper)</v>
      </c>
    </row>
    <row r="8" spans="1:1" ht="12.5" x14ac:dyDescent="0.25">
      <c r="A8" t="str">
        <f ca="1">IFERROR(__xludf.DUMMYFUNCTION("""COMPUTED_VALUE"""),"Apples")</f>
        <v>Apples</v>
      </c>
    </row>
    <row r="9" spans="1:1" ht="12.5" x14ac:dyDescent="0.25">
      <c r="A9" t="str">
        <f ca="1">IFERROR(__xludf.DUMMYFUNCTION("""COMPUTED_VALUE"""),"Apricots")</f>
        <v>Apricots</v>
      </c>
    </row>
    <row r="10" spans="1:1" ht="12.5" x14ac:dyDescent="0.25">
      <c r="A10" t="str">
        <f ca="1">IFERROR(__xludf.DUMMYFUNCTION("""COMPUTED_VALUE"""),"Arrowroot")</f>
        <v>Arrowroot</v>
      </c>
    </row>
    <row r="11" spans="1:1" ht="12.5" x14ac:dyDescent="0.25">
      <c r="A11" t="str">
        <f ca="1">IFERROR(__xludf.DUMMYFUNCTION("""COMPUTED_VALUE"""),"Asparagus")</f>
        <v>Asparagus</v>
      </c>
    </row>
    <row r="12" spans="1:1" ht="12.5" x14ac:dyDescent="0.25">
      <c r="A12" t="str">
        <f ca="1">IFERROR(__xludf.DUMMYFUNCTION("""COMPUTED_VALUE"""),"Aubergines (egg plants)")</f>
        <v>Aubergines (egg plants)</v>
      </c>
    </row>
    <row r="13" spans="1:1" ht="12.5" x14ac:dyDescent="0.25">
      <c r="A13" t="str">
        <f ca="1">IFERROR(__xludf.DUMMYFUNCTION("""COMPUTED_VALUE"""),"Avocados")</f>
        <v>Avocados</v>
      </c>
    </row>
    <row r="14" spans="1:1" ht="12.5" x14ac:dyDescent="0.25">
      <c r="A14" t="str">
        <f ca="1">IFERROR(__xludf.DUMMYFUNCTION("""COMPUTED_VALUE"""),"Azarole (mediteranean medlar)")</f>
        <v>Azarole (mediteranean medlar)</v>
      </c>
    </row>
    <row r="15" spans="1:1" ht="12.5" x14ac:dyDescent="0.25">
      <c r="A15" t="str">
        <f ca="1">IFERROR(__xludf.DUMMYFUNCTION("""COMPUTED_VALUE"""),"Baby food for infants and young childern")</f>
        <v>Baby food for infants and young childern</v>
      </c>
    </row>
    <row r="16" spans="1:1" ht="12.5" x14ac:dyDescent="0.25">
      <c r="A16" t="str">
        <f ca="1">IFERROR(__xludf.DUMMYFUNCTION("""COMPUTED_VALUE"""),"Bamboo shoots")</f>
        <v>Bamboo shoots</v>
      </c>
    </row>
    <row r="17" spans="1:1" ht="12.5" x14ac:dyDescent="0.25">
      <c r="A17" t="str">
        <f ca="1">IFERROR(__xludf.DUMMYFUNCTION("""COMPUTED_VALUE"""),"Bananas")</f>
        <v>Bananas</v>
      </c>
    </row>
    <row r="18" spans="1:1" ht="12.5" x14ac:dyDescent="0.25">
      <c r="A18" t="str">
        <f ca="1">IFERROR(__xludf.DUMMYFUNCTION("""COMPUTED_VALUE"""),"Barley")</f>
        <v>Barley</v>
      </c>
    </row>
    <row r="19" spans="1:1" ht="12.5" x14ac:dyDescent="0.25">
      <c r="A19" t="str">
        <f ca="1">IFERROR(__xludf.DUMMYFUNCTION("""COMPUTED_VALUE"""),"Basil")</f>
        <v>Basil</v>
      </c>
    </row>
    <row r="20" spans="1:1" ht="12.5" x14ac:dyDescent="0.25">
      <c r="A20" t="str">
        <f ca="1">IFERROR(__xludf.DUMMYFUNCTION("""COMPUTED_VALUE"""),"Bay leaves (laurel)")</f>
        <v>Bay leaves (laurel)</v>
      </c>
    </row>
    <row r="21" spans="1:1" ht="12.5" x14ac:dyDescent="0.25">
      <c r="A21" t="str">
        <f ca="1">IFERROR(__xludf.DUMMYFUNCTION("""COMPUTED_VALUE"""),"Beans (dry)")</f>
        <v>Beans (dry)</v>
      </c>
    </row>
    <row r="22" spans="1:1" ht="12.5" x14ac:dyDescent="0.25">
      <c r="A22" t="str">
        <f ca="1">IFERROR(__xludf.DUMMYFUNCTION("""COMPUTED_VALUE"""),"Beans (with pods)")</f>
        <v>Beans (with pods)</v>
      </c>
    </row>
    <row r="23" spans="1:1" ht="12.5" x14ac:dyDescent="0.25">
      <c r="A23" t="str">
        <f ca="1">IFERROR(__xludf.DUMMYFUNCTION("""COMPUTED_VALUE"""),"Beans (without pods)")</f>
        <v>Beans (without pods)</v>
      </c>
    </row>
    <row r="24" spans="1:1" ht="12.5" x14ac:dyDescent="0.25">
      <c r="A24" t="str">
        <f ca="1">IFERROR(__xludf.DUMMYFUNCTION("""COMPUTED_VALUE"""),"Beet leaves (chard)")</f>
        <v>Beet leaves (chard)</v>
      </c>
    </row>
    <row r="25" spans="1:1" ht="12.5" x14ac:dyDescent="0.25">
      <c r="A25" t="str">
        <f ca="1">IFERROR(__xludf.DUMMYFUNCTION("""COMPUTED_VALUE"""),"Beetroot")</f>
        <v>Beetroot</v>
      </c>
    </row>
    <row r="26" spans="1:1" ht="12.5" x14ac:dyDescent="0.25">
      <c r="A26" t="str">
        <f ca="1">IFERROR(__xludf.DUMMYFUNCTION("""COMPUTED_VALUE"""),"Berries and small fruit")</f>
        <v>Berries and small fruit</v>
      </c>
    </row>
    <row r="27" spans="1:1" ht="12.5" x14ac:dyDescent="0.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x14ac:dyDescent="0.25">
      <c r="A28" t="str">
        <f ca="1">IFERROR(__xludf.DUMMYFUNCTION("""COMPUTED_VALUE"""),"Black caraway")</f>
        <v>Black caraway</v>
      </c>
    </row>
    <row r="29" spans="1:1" ht="12.5" x14ac:dyDescent="0.25">
      <c r="A29" t="str">
        <f ca="1">IFERROR(__xludf.DUMMYFUNCTION("""COMPUTED_VALUE"""),"Blackberries")</f>
        <v>Blackberries</v>
      </c>
    </row>
    <row r="30" spans="1:1" ht="12.5" x14ac:dyDescent="0.25">
      <c r="A30" t="str">
        <f ca="1">IFERROR(__xludf.DUMMYFUNCTION("""COMPUTED_VALUE"""),"Blueberries")</f>
        <v>Blueberries</v>
      </c>
    </row>
    <row r="31" spans="1:1" ht="12.5" x14ac:dyDescent="0.25">
      <c r="A31" t="str">
        <f ca="1">IFERROR(__xludf.DUMMYFUNCTION("""COMPUTED_VALUE"""),"Borage")</f>
        <v>Borage</v>
      </c>
    </row>
    <row r="32" spans="1:1" ht="12.5" x14ac:dyDescent="0.25">
      <c r="A32" t="str">
        <f ca="1">IFERROR(__xludf.DUMMYFUNCTION("""COMPUTED_VALUE"""),"Bovine")</f>
        <v>Bovine</v>
      </c>
    </row>
    <row r="33" spans="1:1" ht="12.5" x14ac:dyDescent="0.25">
      <c r="A33" t="str">
        <f ca="1">IFERROR(__xludf.DUMMYFUNCTION("""COMPUTED_VALUE"""),"Bovine Edible offal")</f>
        <v>Bovine Edible offal</v>
      </c>
    </row>
    <row r="34" spans="1:1" ht="12.5" x14ac:dyDescent="0.25">
      <c r="A34" t="str">
        <f ca="1">IFERROR(__xludf.DUMMYFUNCTION("""COMPUTED_VALUE"""),"Bovine Fat")</f>
        <v>Bovine Fat</v>
      </c>
    </row>
    <row r="35" spans="1:1" ht="12.5" x14ac:dyDescent="0.25">
      <c r="A35" t="str">
        <f ca="1">IFERROR(__xludf.DUMMYFUNCTION("""COMPUTED_VALUE"""),"Bovine Kidney")</f>
        <v>Bovine Kidney</v>
      </c>
    </row>
    <row r="36" spans="1:1" ht="12.5" x14ac:dyDescent="0.25">
      <c r="A36" t="str">
        <f ca="1">IFERROR(__xludf.DUMMYFUNCTION("""COMPUTED_VALUE"""),"Bovine Liver")</f>
        <v>Bovine Liver</v>
      </c>
    </row>
    <row r="37" spans="1:1" ht="12.5" x14ac:dyDescent="0.25">
      <c r="A37" t="str">
        <f ca="1">IFERROR(__xludf.DUMMYFUNCTION("""COMPUTED_VALUE"""),"Bovine Meat")</f>
        <v>Bovine Meat</v>
      </c>
    </row>
    <row r="38" spans="1:1" ht="12.5" x14ac:dyDescent="0.25">
      <c r="A38" t="str">
        <f ca="1">IFERROR(__xludf.DUMMYFUNCTION("""COMPUTED_VALUE"""),"Bovine Others")</f>
        <v>Bovine Others</v>
      </c>
    </row>
    <row r="39" spans="1:1" ht="12.5" x14ac:dyDescent="0.25">
      <c r="A39" t="str">
        <f ca="1">IFERROR(__xludf.DUMMYFUNCTION("""COMPUTED_VALUE"""),"Brassica vegetables")</f>
        <v>Brassica vegetables</v>
      </c>
    </row>
    <row r="40" spans="1:1" ht="12.5" x14ac:dyDescent="0.25">
      <c r="A40" t="str">
        <f ca="1">IFERROR(__xludf.DUMMYFUNCTION("""COMPUTED_VALUE"""),"Brazil nuts")</f>
        <v>Brazil nuts</v>
      </c>
    </row>
    <row r="41" spans="1:1" ht="12.5" x14ac:dyDescent="0.25">
      <c r="A41" t="str">
        <f ca="1">IFERROR(__xludf.DUMMYFUNCTION("""COMPUTED_VALUE"""),"Bread fruit")</f>
        <v>Bread fruit</v>
      </c>
    </row>
    <row r="42" spans="1:1" ht="12.5" x14ac:dyDescent="0.25">
      <c r="A42" t="str">
        <f ca="1">IFERROR(__xludf.DUMMYFUNCTION("""COMPUTED_VALUE"""),"Broccoli")</f>
        <v>Broccoli</v>
      </c>
    </row>
    <row r="43" spans="1:1" ht="12.5" x14ac:dyDescent="0.25">
      <c r="A43" t="str">
        <f ca="1">IFERROR(__xludf.DUMMYFUNCTION("""COMPUTED_VALUE"""),"Brussels sprouts")</f>
        <v>Brussels sprouts</v>
      </c>
    </row>
    <row r="44" spans="1:1" ht="12.5" x14ac:dyDescent="0.25">
      <c r="A44" t="str">
        <f ca="1">IFERROR(__xludf.DUMMYFUNCTION("""COMPUTED_VALUE"""),"Buckwheat")</f>
        <v>Buckwheat</v>
      </c>
    </row>
    <row r="45" spans="1:1" ht="12.5" x14ac:dyDescent="0.25">
      <c r="A45" t="str">
        <f ca="1">IFERROR(__xludf.DUMMYFUNCTION("""COMPUTED_VALUE"""),"Bulb vegetables")</f>
        <v>Bulb vegetables</v>
      </c>
    </row>
    <row r="46" spans="1:1" ht="12.5" x14ac:dyDescent="0.25">
      <c r="A46" t="str">
        <f ca="1">IFERROR(__xludf.DUMMYFUNCTION("""COMPUTED_VALUE"""),"Camomille flowers")</f>
        <v>Camomille flowers</v>
      </c>
    </row>
    <row r="47" spans="1:1" ht="12.5" x14ac:dyDescent="0.25">
      <c r="A47" t="str">
        <f ca="1">IFERROR(__xludf.DUMMYFUNCTION("""COMPUTED_VALUE"""),"Cane fruit")</f>
        <v>Cane fruit</v>
      </c>
    </row>
    <row r="48" spans="1:1" ht="12.5" x14ac:dyDescent="0.25">
      <c r="A48" t="str">
        <f ca="1">IFERROR(__xludf.DUMMYFUNCTION("""COMPUTED_VALUE"""),"Capers")</f>
        <v>Capers</v>
      </c>
    </row>
    <row r="49" spans="1:1" ht="12.5" x14ac:dyDescent="0.25">
      <c r="A49" t="str">
        <f ca="1">IFERROR(__xludf.DUMMYFUNCTION("""COMPUTED_VALUE"""),"Carambola")</f>
        <v>Carambola</v>
      </c>
    </row>
    <row r="50" spans="1:1" ht="12.5" x14ac:dyDescent="0.25">
      <c r="A50" t="str">
        <f ca="1">IFERROR(__xludf.DUMMYFUNCTION("""COMPUTED_VALUE"""),"Caraway")</f>
        <v>Caraway</v>
      </c>
    </row>
    <row r="51" spans="1:1" ht="12.5" x14ac:dyDescent="0.25">
      <c r="A51" t="str">
        <f ca="1">IFERROR(__xludf.DUMMYFUNCTION("""COMPUTED_VALUE"""),"Cardamom")</f>
        <v>Cardamom</v>
      </c>
    </row>
    <row r="52" spans="1:1" ht="12.5" x14ac:dyDescent="0.25">
      <c r="A52" t="str">
        <f ca="1">IFERROR(__xludf.DUMMYFUNCTION("""COMPUTED_VALUE"""),"Cardoons")</f>
        <v>Cardoons</v>
      </c>
    </row>
    <row r="53" spans="1:1" ht="12.5" x14ac:dyDescent="0.25">
      <c r="A53" t="str">
        <f ca="1">IFERROR(__xludf.DUMMYFUNCTION("""COMPUTED_VALUE"""),"Carob (St Johns bread)")</f>
        <v>Carob (St Johns bread)</v>
      </c>
    </row>
    <row r="54" spans="1:1" ht="12.5" x14ac:dyDescent="0.25">
      <c r="A54" t="str">
        <f ca="1">IFERROR(__xludf.DUMMYFUNCTION("""COMPUTED_VALUE"""),"Carrots")</f>
        <v>Carrots</v>
      </c>
    </row>
    <row r="55" spans="1:1" ht="12.5" x14ac:dyDescent="0.25">
      <c r="A55" t="str">
        <f ca="1">IFERROR(__xludf.DUMMYFUNCTION("""COMPUTED_VALUE"""),"Cashew nuts")</f>
        <v>Cashew nuts</v>
      </c>
    </row>
    <row r="56" spans="1:1" ht="12.5" x14ac:dyDescent="0.25">
      <c r="A56" t="str">
        <f ca="1">IFERROR(__xludf.DUMMYFUNCTION("""COMPUTED_VALUE"""),"Cassava")</f>
        <v>Cassava</v>
      </c>
    </row>
    <row r="57" spans="1:1" ht="12.5" x14ac:dyDescent="0.25">
      <c r="A57" t="str">
        <f ca="1">IFERROR(__xludf.DUMMYFUNCTION("""COMPUTED_VALUE"""),"Castor bean")</f>
        <v>Castor bean</v>
      </c>
    </row>
    <row r="58" spans="1:1" ht="12.5" x14ac:dyDescent="0.25">
      <c r="A58" t="str">
        <f ca="1">IFERROR(__xludf.DUMMYFUNCTION("""COMPUTED_VALUE"""),"Cauliflower")</f>
        <v>Cauliflower</v>
      </c>
    </row>
    <row r="59" spans="1:1" ht="12.5" x14ac:dyDescent="0.25">
      <c r="A59" t="str">
        <f ca="1">IFERROR(__xludf.DUMMYFUNCTION("""COMPUTED_VALUE"""),"Celeriac")</f>
        <v>Celeriac</v>
      </c>
    </row>
    <row r="60" spans="1:1" ht="12.5" x14ac:dyDescent="0.25">
      <c r="A60" t="str">
        <f ca="1">IFERROR(__xludf.DUMMYFUNCTION("""COMPUTED_VALUE"""),"Celery")</f>
        <v>Celery</v>
      </c>
    </row>
    <row r="61" spans="1:1" ht="12.5" x14ac:dyDescent="0.25">
      <c r="A61" t="str">
        <f ca="1">IFERROR(__xludf.DUMMYFUNCTION("""COMPUTED_VALUE"""),"Celery leaves")</f>
        <v>Celery leaves</v>
      </c>
    </row>
    <row r="62" spans="1:1" ht="12.5" x14ac:dyDescent="0.25">
      <c r="A62" t="str">
        <f ca="1">IFERROR(__xludf.DUMMYFUNCTION("""COMPUTED_VALUE"""),"Celery seed")</f>
        <v>Celery seed</v>
      </c>
    </row>
    <row r="63" spans="1:1" ht="12.5" x14ac:dyDescent="0.25">
      <c r="A63" t="str">
        <f ca="1">IFERROR(__xludf.DUMMYFUNCTION("""COMPUTED_VALUE"""),"Cereals")</f>
        <v>Cereals</v>
      </c>
    </row>
    <row r="64" spans="1:1" ht="12.5" x14ac:dyDescent="0.25">
      <c r="A64" t="str">
        <f ca="1">IFERROR(__xludf.DUMMYFUNCTION("""COMPUTED_VALUE"""),"Cherimoya")</f>
        <v>Cherimoya</v>
      </c>
    </row>
    <row r="65" spans="1:1" ht="12.5" x14ac:dyDescent="0.25">
      <c r="A65" t="str">
        <f ca="1">IFERROR(__xludf.DUMMYFUNCTION("""COMPUTED_VALUE"""),"Cherries")</f>
        <v>Cherries</v>
      </c>
    </row>
    <row r="66" spans="1:1" ht="12.5" x14ac:dyDescent="0.25">
      <c r="A66" t="str">
        <f ca="1">IFERROR(__xludf.DUMMYFUNCTION("""COMPUTED_VALUE"""),"Chervil")</f>
        <v>Chervil</v>
      </c>
    </row>
    <row r="67" spans="1:1" ht="12.5" x14ac:dyDescent="0.25">
      <c r="A67" t="str">
        <f ca="1">IFERROR(__xludf.DUMMYFUNCTION("""COMPUTED_VALUE"""),"Chestnuts")</f>
        <v>Chestnuts</v>
      </c>
    </row>
    <row r="68" spans="1:1" ht="12.5" x14ac:dyDescent="0.25">
      <c r="A68" t="str">
        <f ca="1">IFERROR(__xludf.DUMMYFUNCTION("""COMPUTED_VALUE"""),"Chicory roots")</f>
        <v>Chicory roots</v>
      </c>
    </row>
    <row r="69" spans="1:1" ht="12.5" x14ac:dyDescent="0.25">
      <c r="A69" t="str">
        <f ca="1">IFERROR(__xludf.DUMMYFUNCTION("""COMPUTED_VALUE"""),"Chinese cabbage")</f>
        <v>Chinese cabbage</v>
      </c>
    </row>
    <row r="70" spans="1:1" ht="12.5" x14ac:dyDescent="0.25">
      <c r="A70" t="str">
        <f ca="1">IFERROR(__xludf.DUMMYFUNCTION("""COMPUTED_VALUE"""),"Chives")</f>
        <v>Chives</v>
      </c>
    </row>
    <row r="71" spans="1:1" ht="12.5" x14ac:dyDescent="0.25">
      <c r="A71" t="str">
        <f ca="1">IFERROR(__xludf.DUMMYFUNCTION("""COMPUTED_VALUE"""),"Cinnamon")</f>
        <v>Cinnamon</v>
      </c>
    </row>
    <row r="72" spans="1:1" ht="12.5" x14ac:dyDescent="0.25">
      <c r="A72" t="str">
        <f ca="1">IFERROR(__xludf.DUMMYFUNCTION("""COMPUTED_VALUE"""),"Citrus fruit")</f>
        <v>Citrus fruit</v>
      </c>
    </row>
    <row r="73" spans="1:1" ht="12.5" x14ac:dyDescent="0.25">
      <c r="A73" t="str">
        <f ca="1">IFERROR(__xludf.DUMMYFUNCTION("""COMPUTED_VALUE"""),"Cloves")</f>
        <v>Cloves</v>
      </c>
    </row>
    <row r="74" spans="1:1" ht="12.5" x14ac:dyDescent="0.25">
      <c r="A74" t="str">
        <f ca="1">IFERROR(__xludf.DUMMYFUNCTION("""COMPUTED_VALUE"""),"Cocoa")</f>
        <v>Cocoa</v>
      </c>
    </row>
    <row r="75" spans="1:1" ht="12.5" x14ac:dyDescent="0.25">
      <c r="A75" t="str">
        <f ca="1">IFERROR(__xludf.DUMMYFUNCTION("""COMPUTED_VALUE"""),"Coconuts")</f>
        <v>Coconuts</v>
      </c>
    </row>
    <row r="76" spans="1:1" ht="12.5" x14ac:dyDescent="0.25">
      <c r="A76" t="str">
        <f ca="1">IFERROR(__xludf.DUMMYFUNCTION("""COMPUTED_VALUE"""),"Coffee")</f>
        <v>Coffee</v>
      </c>
    </row>
    <row r="77" spans="1:1" ht="12.5" x14ac:dyDescent="0.25">
      <c r="A77" t="str">
        <f ca="1">IFERROR(__xludf.DUMMYFUNCTION("""COMPUTED_VALUE"""),"Coriander seed")</f>
        <v>Coriander seed</v>
      </c>
    </row>
    <row r="78" spans="1:1" ht="12.5" x14ac:dyDescent="0.25">
      <c r="A78" t="str">
        <f ca="1">IFERROR(__xludf.DUMMYFUNCTION("""COMPUTED_VALUE"""),"Cotton seed")</f>
        <v>Cotton seed</v>
      </c>
    </row>
    <row r="79" spans="1:1" ht="12.5" x14ac:dyDescent="0.25">
      <c r="A79" t="str">
        <f ca="1">IFERROR(__xludf.DUMMYFUNCTION("""COMPUTED_VALUE"""),"Courgettes")</f>
        <v>Courgettes</v>
      </c>
    </row>
    <row r="80" spans="1:1" ht="12.5" x14ac:dyDescent="0.25">
      <c r="A80" t="str">
        <f ca="1">IFERROR(__xludf.DUMMYFUNCTION("""COMPUTED_VALUE"""),"Cranberries")</f>
        <v>Cranberries</v>
      </c>
    </row>
    <row r="81" spans="1:1" ht="12.5" x14ac:dyDescent="0.25">
      <c r="A81" t="str">
        <f ca="1">IFERROR(__xludf.DUMMYFUNCTION("""COMPUTED_VALUE"""),"Cress")</f>
        <v>Cress</v>
      </c>
    </row>
    <row r="82" spans="1:1" ht="12.5" x14ac:dyDescent="0.25">
      <c r="A82" t="str">
        <f ca="1">IFERROR(__xludf.DUMMYFUNCTION("""COMPUTED_VALUE"""),"Crops exclusively used for animal feed")</f>
        <v>Crops exclusively used for animal feed</v>
      </c>
    </row>
    <row r="83" spans="1:1" ht="12.5" x14ac:dyDescent="0.25">
      <c r="A83" t="str">
        <f ca="1">IFERROR(__xludf.DUMMYFUNCTION("""COMPUTED_VALUE"""),"Cucumbers")</f>
        <v>Cucumbers</v>
      </c>
    </row>
    <row r="84" spans="1:1" ht="12.5" x14ac:dyDescent="0.25">
      <c r="A84" t="str">
        <f ca="1">IFERROR(__xludf.DUMMYFUNCTION("""COMPUTED_VALUE"""),"Cucurbits, edible peel")</f>
        <v>Cucurbits, edible peel</v>
      </c>
    </row>
    <row r="85" spans="1:1" ht="12.5" x14ac:dyDescent="0.25">
      <c r="A85" t="str">
        <f ca="1">IFERROR(__xludf.DUMMYFUNCTION("""COMPUTED_VALUE"""),"Cucurbits, inedible peel")</f>
        <v>Cucurbits, inedible peel</v>
      </c>
    </row>
    <row r="86" spans="1:1" ht="12.5" x14ac:dyDescent="0.25">
      <c r="A86" t="str">
        <f ca="1">IFERROR(__xludf.DUMMYFUNCTION("""COMPUTED_VALUE"""),"Cultivated fungi")</f>
        <v>Cultivated fungi</v>
      </c>
    </row>
    <row r="87" spans="1:1" ht="12.5" x14ac:dyDescent="0.25">
      <c r="A87" t="str">
        <f ca="1">IFERROR(__xludf.DUMMYFUNCTION("""COMPUTED_VALUE"""),"Cumin seed")</f>
        <v>Cumin seed</v>
      </c>
    </row>
    <row r="88" spans="1:1" ht="12.5" x14ac:dyDescent="0.25">
      <c r="A88" t="str">
        <f ca="1">IFERROR(__xludf.DUMMYFUNCTION("""COMPUTED_VALUE"""),"Currants (red, black and white)")</f>
        <v>Currants (red, black and white)</v>
      </c>
    </row>
    <row r="89" spans="1:1" ht="12.5" x14ac:dyDescent="0.25">
      <c r="A89" t="str">
        <f ca="1">IFERROR(__xludf.DUMMYFUNCTION("""COMPUTED_VALUE"""),"Dairy products Cattle")</f>
        <v>Dairy products Cattle</v>
      </c>
    </row>
    <row r="90" spans="1:1" ht="12.5" x14ac:dyDescent="0.25">
      <c r="A90" t="str">
        <f ca="1">IFERROR(__xludf.DUMMYFUNCTION("""COMPUTED_VALUE"""),"Dairy products Goat")</f>
        <v>Dairy products Goat</v>
      </c>
    </row>
    <row r="91" spans="1:1" ht="12.5" x14ac:dyDescent="0.25">
      <c r="A91" t="str">
        <f ca="1">IFERROR(__xludf.DUMMYFUNCTION("""COMPUTED_VALUE"""),"Dairy products Horse")</f>
        <v>Dairy products Horse</v>
      </c>
    </row>
    <row r="92" spans="1:1" ht="12.5" x14ac:dyDescent="0.25">
      <c r="A92" t="str">
        <f ca="1">IFERROR(__xludf.DUMMYFUNCTION("""COMPUTED_VALUE"""),"Dairy products Others")</f>
        <v>Dairy products Others</v>
      </c>
    </row>
    <row r="93" spans="1:1" ht="12.5" x14ac:dyDescent="0.25">
      <c r="A93" t="str">
        <f ca="1">IFERROR(__xludf.DUMMYFUNCTION("""COMPUTED_VALUE"""),"Dairy products Sheep")</f>
        <v>Dairy products Sheep</v>
      </c>
    </row>
    <row r="94" spans="1:1" ht="12.5" x14ac:dyDescent="0.25">
      <c r="A94" t="str">
        <f ca="1">IFERROR(__xludf.DUMMYFUNCTION("""COMPUTED_VALUE"""),"Dates")</f>
        <v>Dates</v>
      </c>
    </row>
    <row r="95" spans="1:1" ht="12.5" x14ac:dyDescent="0.25">
      <c r="A95" t="str">
        <f ca="1">IFERROR(__xludf.DUMMYFUNCTION("""COMPUTED_VALUE"""),"Dewberries")</f>
        <v>Dewberries</v>
      </c>
    </row>
    <row r="96" spans="1:1" ht="12.5" x14ac:dyDescent="0.25">
      <c r="A96" t="str">
        <f ca="1">IFERROR(__xludf.DUMMYFUNCTION("""COMPUTED_VALUE"""),"Dill seed")</f>
        <v>Dill seed</v>
      </c>
    </row>
    <row r="97" spans="1:1" ht="12.5" x14ac:dyDescent="0.25">
      <c r="A97" t="str">
        <f ca="1">IFERROR(__xludf.DUMMYFUNCTION("""COMPUTED_VALUE"""),"Durian")</f>
        <v>Durian</v>
      </c>
    </row>
    <row r="98" spans="1:1" ht="12.5" x14ac:dyDescent="0.25">
      <c r="A98" t="str">
        <f ca="1">IFERROR(__xludf.DUMMYFUNCTION("""COMPUTED_VALUE"""),"Eggs Chicken")</f>
        <v>Eggs Chicken</v>
      </c>
    </row>
    <row r="99" spans="1:1" ht="12.5" x14ac:dyDescent="0.25">
      <c r="A99" t="str">
        <f ca="1">IFERROR(__xludf.DUMMYFUNCTION("""COMPUTED_VALUE"""),"Eggs Duck")</f>
        <v>Eggs Duck</v>
      </c>
    </row>
    <row r="100" spans="1:1" ht="12.5" x14ac:dyDescent="0.25">
      <c r="A100" t="str">
        <f ca="1">IFERROR(__xludf.DUMMYFUNCTION("""COMPUTED_VALUE"""),"Eggs Goose")</f>
        <v>Eggs Goose</v>
      </c>
    </row>
    <row r="101" spans="1:1" ht="12.5" x14ac:dyDescent="0.25">
      <c r="A101" t="str">
        <f ca="1">IFERROR(__xludf.DUMMYFUNCTION("""COMPUTED_VALUE"""),"Eggs Others")</f>
        <v>Eggs Others</v>
      </c>
    </row>
    <row r="102" spans="1:1" ht="12.5" x14ac:dyDescent="0.25">
      <c r="A102" t="str">
        <f ca="1">IFERROR(__xludf.DUMMYFUNCTION("""COMPUTED_VALUE"""),"Eggs Quail")</f>
        <v>Eggs Quail</v>
      </c>
    </row>
    <row r="103" spans="1:1" ht="12.5" x14ac:dyDescent="0.25">
      <c r="A103" t="str">
        <f ca="1">IFERROR(__xludf.DUMMYFUNCTION("""COMPUTED_VALUE"""),"Elderberries")</f>
        <v>Elderberries</v>
      </c>
    </row>
    <row r="104" spans="1:1" ht="12.5" x14ac:dyDescent="0.25">
      <c r="A104" t="str">
        <f ca="1">IFERROR(__xludf.DUMMYFUNCTION("""COMPUTED_VALUE"""),"Fennel")</f>
        <v>Fennel</v>
      </c>
    </row>
    <row r="105" spans="1:1" ht="12.5" x14ac:dyDescent="0.25">
      <c r="A105" t="str">
        <f ca="1">IFERROR(__xludf.DUMMYFUNCTION("""COMPUTED_VALUE"""),"Fennel seed")</f>
        <v>Fennel seed</v>
      </c>
    </row>
    <row r="106" spans="1:1" ht="12.5" x14ac:dyDescent="0.25">
      <c r="A106" t="str">
        <f ca="1">IFERROR(__xludf.DUMMYFUNCTION("""COMPUTED_VALUE"""),"Fenugreek")</f>
        <v>Fenugreek</v>
      </c>
    </row>
    <row r="107" spans="1:1" ht="12.5" x14ac:dyDescent="0.25">
      <c r="A107" t="str">
        <f ca="1">IFERROR(__xludf.DUMMYFUNCTION("""COMPUTED_VALUE"""),"Figs")</f>
        <v>Figs</v>
      </c>
    </row>
    <row r="108" spans="1:1" ht="12.5" x14ac:dyDescent="0.25">
      <c r="A108" t="str">
        <f ca="1">IFERROR(__xludf.DUMMYFUNCTION("""COMPUTED_VALUE"""),"Fish, fish products, shell fish, molluscs and other marine and freshwater food products")</f>
        <v>Fish, fish products, shell fish, molluscs and other marine and freshwater food products</v>
      </c>
    </row>
    <row r="109" spans="1:1" ht="12.5" x14ac:dyDescent="0.25">
      <c r="A109" t="str">
        <f ca="1">IFERROR(__xludf.DUMMYFUNCTION("""COMPUTED_VALUE"""),"Flowering brassica")</f>
        <v>Flowering brassica</v>
      </c>
    </row>
    <row r="110" spans="1:1" ht="12.5" x14ac:dyDescent="0.25">
      <c r="A110" t="str">
        <f ca="1">IFERROR(__xludf.DUMMYFUNCTION("""COMPUTED_VALUE"""),"Follow-on formulae")</f>
        <v>Follow-on formulae</v>
      </c>
    </row>
    <row r="111" spans="1:1" ht="12.5" x14ac:dyDescent="0.25">
      <c r="A111" t="str">
        <f ca="1">IFERROR(__xludf.DUMMYFUNCTION("""COMPUTED_VALUE"""),"Fresh Herbs")</f>
        <v>Fresh Herbs</v>
      </c>
    </row>
    <row r="112" spans="1:1" ht="12.5" x14ac:dyDescent="0.25">
      <c r="A112" t="str">
        <f ca="1">IFERROR(__xludf.DUMMYFUNCTION("""COMPUTED_VALUE"""),"Fruit Fresh Or Frozen")</f>
        <v>Fruit Fresh Or Frozen</v>
      </c>
    </row>
    <row r="113" spans="1:1" ht="12.5" x14ac:dyDescent="0.25">
      <c r="A113" t="str">
        <f ca="1">IFERROR(__xludf.DUMMYFUNCTION("""COMPUTED_VALUE"""),"Fruiting vegetables")</f>
        <v>Fruiting vegetables</v>
      </c>
    </row>
    <row r="114" spans="1:1" ht="12.5" x14ac:dyDescent="0.25">
      <c r="A114" t="str">
        <f ca="1">IFERROR(__xludf.DUMMYFUNCTION("""COMPUTED_VALUE"""),"Fungi")</f>
        <v>Fungi</v>
      </c>
    </row>
    <row r="115" spans="1:1" ht="12.5" x14ac:dyDescent="0.25">
      <c r="A115" t="str">
        <f ca="1">IFERROR(__xludf.DUMMYFUNCTION("""COMPUTED_VALUE"""),"Garlic")</f>
        <v>Garlic</v>
      </c>
    </row>
    <row r="116" spans="1:1" ht="12.5" x14ac:dyDescent="0.25">
      <c r="A116" t="str">
        <f ca="1">IFERROR(__xludf.DUMMYFUNCTION("""COMPUTED_VALUE"""),"Gherkins")</f>
        <v>Gherkins</v>
      </c>
    </row>
    <row r="117" spans="1:1" ht="12.5" x14ac:dyDescent="0.25">
      <c r="A117" t="str">
        <f ca="1">IFERROR(__xludf.DUMMYFUNCTION("""COMPUTED_VALUE"""),"Ginger")</f>
        <v>Ginger</v>
      </c>
    </row>
    <row r="118" spans="1:1" ht="12.5" x14ac:dyDescent="0.25">
      <c r="A118" t="str">
        <f ca="1">IFERROR(__xludf.DUMMYFUNCTION("""COMPUTED_VALUE"""),"Ginseng root")</f>
        <v>Ginseng root</v>
      </c>
    </row>
    <row r="119" spans="1:1" ht="12.5" x14ac:dyDescent="0.25">
      <c r="A119" t="str">
        <f ca="1">IFERROR(__xludf.DUMMYFUNCTION("""COMPUTED_VALUE"""),"Globe artichokes")</f>
        <v>Globe artichokes</v>
      </c>
    </row>
    <row r="120" spans="1:1" ht="12.5" x14ac:dyDescent="0.25">
      <c r="A120" t="str">
        <f ca="1">IFERROR(__xludf.DUMMYFUNCTION("""COMPUTED_VALUE"""),"Goat")</f>
        <v>Goat</v>
      </c>
    </row>
    <row r="121" spans="1:1" ht="12.5" x14ac:dyDescent="0.25">
      <c r="A121" t="str">
        <f ca="1">IFERROR(__xludf.DUMMYFUNCTION("""COMPUTED_VALUE"""),"Goat Edible offal")</f>
        <v>Goat Edible offal</v>
      </c>
    </row>
    <row r="122" spans="1:1" ht="12.5" x14ac:dyDescent="0.25">
      <c r="A122" t="str">
        <f ca="1">IFERROR(__xludf.DUMMYFUNCTION("""COMPUTED_VALUE"""),"Goat Fat")</f>
        <v>Goat Fat</v>
      </c>
    </row>
    <row r="123" spans="1:1" ht="12.5" x14ac:dyDescent="0.25">
      <c r="A123" t="str">
        <f ca="1">IFERROR(__xludf.DUMMYFUNCTION("""COMPUTED_VALUE"""),"Goat Kidney")</f>
        <v>Goat Kidney</v>
      </c>
    </row>
    <row r="124" spans="1:1" ht="12.5" x14ac:dyDescent="0.25">
      <c r="A124" t="str">
        <f ca="1">IFERROR(__xludf.DUMMYFUNCTION("""COMPUTED_VALUE"""),"Goat Liver")</f>
        <v>Goat Liver</v>
      </c>
    </row>
    <row r="125" spans="1:1" ht="12.5" x14ac:dyDescent="0.25">
      <c r="A125" t="str">
        <f ca="1">IFERROR(__xludf.DUMMYFUNCTION("""COMPUTED_VALUE"""),"Goat Meat")</f>
        <v>Goat Meat</v>
      </c>
    </row>
    <row r="126" spans="1:1" ht="12.5" x14ac:dyDescent="0.25">
      <c r="A126" t="str">
        <f ca="1">IFERROR(__xludf.DUMMYFUNCTION("""COMPUTED_VALUE"""),"Goat Others")</f>
        <v>Goat Others</v>
      </c>
    </row>
    <row r="127" spans="1:1" ht="12.5" x14ac:dyDescent="0.25">
      <c r="A127" t="str">
        <f ca="1">IFERROR(__xludf.DUMMYFUNCTION("""COMPUTED_VALUE"""),"Gold of pleasure")</f>
        <v>Gold of pleasure</v>
      </c>
    </row>
    <row r="128" spans="1:1" ht="12.5" x14ac:dyDescent="0.25">
      <c r="A128" t="str">
        <f ca="1">IFERROR(__xludf.DUMMYFUNCTION("""COMPUTED_VALUE"""),"Gooseberries")</f>
        <v>Gooseberries</v>
      </c>
    </row>
    <row r="129" spans="1:1" ht="12.5" x14ac:dyDescent="0.25">
      <c r="A129" t="str">
        <f ca="1">IFERROR(__xludf.DUMMYFUNCTION("""COMPUTED_VALUE"""),"Grapefruit")</f>
        <v>Grapefruit</v>
      </c>
    </row>
    <row r="130" spans="1:1" ht="12.5" x14ac:dyDescent="0.25">
      <c r="A130" t="str">
        <f ca="1">IFERROR(__xludf.DUMMYFUNCTION("""COMPUTED_VALUE"""),"Guava")</f>
        <v>Guava</v>
      </c>
    </row>
    <row r="131" spans="1:1" ht="12.5" x14ac:dyDescent="0.25">
      <c r="A131" t="str">
        <f ca="1">IFERROR(__xludf.DUMMYFUNCTION("""COMPUTED_VALUE"""),"Hazelnuts")</f>
        <v>Hazelnuts</v>
      </c>
    </row>
    <row r="132" spans="1:1" ht="12.5" x14ac:dyDescent="0.25">
      <c r="A132" t="str">
        <f ca="1">IFERROR(__xludf.DUMMYFUNCTION("""COMPUTED_VALUE"""),"Head brassica")</f>
        <v>Head brassica</v>
      </c>
    </row>
    <row r="133" spans="1:1" ht="12.5" x14ac:dyDescent="0.25">
      <c r="A133" t="str">
        <f ca="1">IFERROR(__xludf.DUMMYFUNCTION("""COMPUTED_VALUE"""),"Head cabbage")</f>
        <v>Head cabbage</v>
      </c>
    </row>
    <row r="134" spans="1:1" ht="12.5" x14ac:dyDescent="0.25">
      <c r="A134" t="str">
        <f ca="1">IFERROR(__xludf.DUMMYFUNCTION("""COMPUTED_VALUE"""),"Hempseed")</f>
        <v>Hempseed</v>
      </c>
    </row>
    <row r="135" spans="1:1" ht="12.5" x14ac:dyDescent="0.25">
      <c r="A135" t="str">
        <f ca="1">IFERROR(__xludf.DUMMYFUNCTION("""COMPUTED_VALUE"""),"Herbal infusions (flowers)")</f>
        <v>Herbal infusions (flowers)</v>
      </c>
    </row>
    <row r="136" spans="1:1" ht="12.5" x14ac:dyDescent="0.25">
      <c r="A136" t="str">
        <f ca="1">IFERROR(__xludf.DUMMYFUNCTION("""COMPUTED_VALUE"""),"Herbal infusions (leaves)")</f>
        <v>Herbal infusions (leaves)</v>
      </c>
    </row>
    <row r="137" spans="1:1" ht="12.5" x14ac:dyDescent="0.25">
      <c r="A137" t="str">
        <f ca="1">IFERROR(__xludf.DUMMYFUNCTION("""COMPUTED_VALUE"""),"Herbal infusions (roots)")</f>
        <v>Herbal infusions (roots)</v>
      </c>
    </row>
    <row r="138" spans="1:1" ht="12.5" x14ac:dyDescent="0.25">
      <c r="A138" t="str">
        <f ca="1">IFERROR(__xludf.DUMMYFUNCTION("""COMPUTED_VALUE"""),"Herbal infusions, dried")</f>
        <v>Herbal infusions, dried</v>
      </c>
    </row>
    <row r="139" spans="1:1" ht="12.5" x14ac:dyDescent="0.25">
      <c r="A139" t="str">
        <f ca="1">IFERROR(__xludf.DUMMYFUNCTION("""COMPUTED_VALUE"""),"Honey")</f>
        <v>Honey</v>
      </c>
    </row>
    <row r="140" spans="1:1" ht="12.5" x14ac:dyDescent="0.25">
      <c r="A140" t="str">
        <f ca="1">IFERROR(__xludf.DUMMYFUNCTION("""COMPUTED_VALUE"""),"Hops, dried, including hop pellets unconcentrated")</f>
        <v>Hops, dried, including hop pellets unconcentrated</v>
      </c>
    </row>
    <row r="141" spans="1:1" ht="12.5" x14ac:dyDescent="0.25">
      <c r="A141" t="str">
        <f ca="1">IFERROR(__xludf.DUMMYFUNCTION("""COMPUTED_VALUE"""),"Horseradish")</f>
        <v>Horseradish</v>
      </c>
    </row>
    <row r="142" spans="1:1" ht="12.5" x14ac:dyDescent="0.25">
      <c r="A142" t="str">
        <f ca="1">IFERROR(__xludf.DUMMYFUNCTION("""COMPUTED_VALUE"""),"Horseradish as spice")</f>
        <v>Horseradish as spice</v>
      </c>
    </row>
    <row r="143" spans="1:1" ht="12.5" x14ac:dyDescent="0.25">
      <c r="A143" t="str">
        <f ca="1">IFERROR(__xludf.DUMMYFUNCTION("""COMPUTED_VALUE"""),"Horses, asses, mules or hinnies")</f>
        <v>Horses, asses, mules or hinnies</v>
      </c>
    </row>
    <row r="144" spans="1:1" ht="12.5" x14ac:dyDescent="0.25">
      <c r="A144" t="str">
        <f ca="1">IFERROR(__xludf.DUMMYFUNCTION("""COMPUTED_VALUE"""),"Horses, asses, mules or hinnies Edible offal")</f>
        <v>Horses, asses, mules or hinnies Edible offal</v>
      </c>
    </row>
    <row r="145" spans="1:1" ht="12.5" x14ac:dyDescent="0.25">
      <c r="A145" t="str">
        <f ca="1">IFERROR(__xludf.DUMMYFUNCTION("""COMPUTED_VALUE"""),"Horses, asses, mules or hinnies Fat")</f>
        <v>Horses, asses, mules or hinnies Fat</v>
      </c>
    </row>
    <row r="146" spans="1:1" ht="12.5" x14ac:dyDescent="0.25">
      <c r="A146" t="str">
        <f ca="1">IFERROR(__xludf.DUMMYFUNCTION("""COMPUTED_VALUE"""),"Horses, asses, mules or hinnies Kidney")</f>
        <v>Horses, asses, mules or hinnies Kidney</v>
      </c>
    </row>
    <row r="147" spans="1:1" ht="12.5" x14ac:dyDescent="0.25">
      <c r="A147" t="str">
        <f ca="1">IFERROR(__xludf.DUMMYFUNCTION("""COMPUTED_VALUE"""),"Horses, asses, mules or hinnies Liver")</f>
        <v>Horses, asses, mules or hinnies Liver</v>
      </c>
    </row>
    <row r="148" spans="1:1" ht="12.5" x14ac:dyDescent="0.25">
      <c r="A148" t="str">
        <f ca="1">IFERROR(__xludf.DUMMYFUNCTION("""COMPUTED_VALUE"""),"Horses, asses, mules or hinnies Meat")</f>
        <v>Horses, asses, mules or hinnies Meat</v>
      </c>
    </row>
    <row r="149" spans="1:1" ht="12.5" x14ac:dyDescent="0.25">
      <c r="A149" t="str">
        <f ca="1">IFERROR(__xludf.DUMMYFUNCTION("""COMPUTED_VALUE"""),"Horses, asses, mules or hinnies Others")</f>
        <v>Horses, asses, mules or hinnies Others</v>
      </c>
    </row>
    <row r="150" spans="1:1" ht="12.5" x14ac:dyDescent="0.25">
      <c r="A150" t="str">
        <f ca="1">IFERROR(__xludf.DUMMYFUNCTION("""COMPUTED_VALUE"""),"Hybiscus flowers")</f>
        <v>Hybiscus flowers</v>
      </c>
    </row>
    <row r="151" spans="1:1" ht="12.5" x14ac:dyDescent="0.25">
      <c r="A151" t="str">
        <f ca="1">IFERROR(__xludf.DUMMYFUNCTION("""COMPUTED_VALUE"""),"Infant formulae")</f>
        <v>Infant formulae</v>
      </c>
    </row>
    <row r="152" spans="1:1" ht="12.5" x14ac:dyDescent="0.25">
      <c r="A152" t="str">
        <f ca="1">IFERROR(__xludf.DUMMYFUNCTION("""COMPUTED_VALUE"""),"Infant formulae- follow-on formulae")</f>
        <v>Infant formulae- follow-on formulae</v>
      </c>
    </row>
    <row r="153" spans="1:1" ht="12.5" x14ac:dyDescent="0.25">
      <c r="A153" t="str">
        <f ca="1">IFERROR(__xludf.DUMMYFUNCTION("""COMPUTED_VALUE"""),"Jambolan (java plum)")</f>
        <v>Jambolan (java plum)</v>
      </c>
    </row>
    <row r="154" spans="1:1" ht="12.5" x14ac:dyDescent="0.25">
      <c r="A154" t="str">
        <f ca="1">IFERROR(__xludf.DUMMYFUNCTION("""COMPUTED_VALUE"""),"Jasmine flowers")</f>
        <v>Jasmine flowers</v>
      </c>
    </row>
    <row r="155" spans="1:1" ht="12.5" x14ac:dyDescent="0.25">
      <c r="A155" t="str">
        <f ca="1">IFERROR(__xludf.DUMMYFUNCTION("""COMPUTED_VALUE"""),"Jerusalem artichokes")</f>
        <v>Jerusalem artichokes</v>
      </c>
    </row>
    <row r="156" spans="1:1" ht="12.5" x14ac:dyDescent="0.25">
      <c r="A156" t="str">
        <f ca="1">IFERROR(__xludf.DUMMYFUNCTION("""COMPUTED_VALUE"""),"Juniper berries")</f>
        <v>Juniper berries</v>
      </c>
    </row>
    <row r="157" spans="1:1" ht="12.5" x14ac:dyDescent="0.25">
      <c r="A157" t="str">
        <f ca="1">IFERROR(__xludf.DUMMYFUNCTION("""COMPUTED_VALUE"""),"Kale")</f>
        <v>Kale</v>
      </c>
    </row>
    <row r="158" spans="1:1" ht="12.5" x14ac:dyDescent="0.25">
      <c r="A158" t="str">
        <f ca="1">IFERROR(__xludf.DUMMYFUNCTION("""COMPUTED_VALUE"""),"Kapok")</f>
        <v>Kapok</v>
      </c>
    </row>
    <row r="159" spans="1:1" ht="12.5" x14ac:dyDescent="0.25">
      <c r="A159" t="str">
        <f ca="1">IFERROR(__xludf.DUMMYFUNCTION("""COMPUTED_VALUE"""),"Kiwi")</f>
        <v>Kiwi</v>
      </c>
    </row>
    <row r="160" spans="1:1" ht="12.5" x14ac:dyDescent="0.25">
      <c r="A160" t="str">
        <f ca="1">IFERROR(__xludf.DUMMYFUNCTION("""COMPUTED_VALUE"""),"Kohlrabi")</f>
        <v>Kohlrabi</v>
      </c>
    </row>
    <row r="161" spans="1:1" ht="12.5" x14ac:dyDescent="0.25">
      <c r="A161" t="str">
        <f ca="1">IFERROR(__xludf.DUMMYFUNCTION("""COMPUTED_VALUE"""),"Kumquats")</f>
        <v>Kumquats</v>
      </c>
    </row>
    <row r="162" spans="1:1" ht="12.5" x14ac:dyDescent="0.25">
      <c r="A162" t="str">
        <f ca="1">IFERROR(__xludf.DUMMYFUNCTION("""COMPUTED_VALUE"""),"Lamb's lettuce")</f>
        <v>Lamb's lettuce</v>
      </c>
    </row>
    <row r="163" spans="1:1" ht="12.5" x14ac:dyDescent="0.25">
      <c r="A163" t="str">
        <f ca="1">IFERROR(__xludf.DUMMYFUNCTION("""COMPUTED_VALUE"""),"Land cress")</f>
        <v>Land cress</v>
      </c>
    </row>
    <row r="164" spans="1:1" ht="12.5" x14ac:dyDescent="0.25">
      <c r="A164" t="str">
        <f ca="1">IFERROR(__xludf.DUMMYFUNCTION("""COMPUTED_VALUE"""),"Leaf vegetables and fresh herbs")</f>
        <v>Leaf vegetables and fresh herbs</v>
      </c>
    </row>
    <row r="165" spans="1:1" ht="12.5" x14ac:dyDescent="0.25">
      <c r="A165" t="str">
        <f ca="1">IFERROR(__xludf.DUMMYFUNCTION("""COMPUTED_VALUE"""),"Leafy brassica")</f>
        <v>Leafy brassica</v>
      </c>
    </row>
    <row r="166" spans="1:1" ht="12.5" x14ac:dyDescent="0.25">
      <c r="A166" t="str">
        <f ca="1">IFERROR(__xludf.DUMMYFUNCTION("""COMPUTED_VALUE"""),"Leaves and sprouts of Brassica spp")</f>
        <v>Leaves and sprouts of Brassica spp</v>
      </c>
    </row>
    <row r="167" spans="1:1" ht="12.5" x14ac:dyDescent="0.25">
      <c r="A167" t="str">
        <f ca="1">IFERROR(__xludf.DUMMYFUNCTION("""COMPUTED_VALUE"""),"Leek")</f>
        <v>Leek</v>
      </c>
    </row>
    <row r="168" spans="1:1" ht="12.5" x14ac:dyDescent="0.25">
      <c r="A168" t="str">
        <f ca="1">IFERROR(__xludf.DUMMYFUNCTION("""COMPUTED_VALUE"""),"Legume vegetables, fresh")</f>
        <v>Legume vegetables, fresh</v>
      </c>
    </row>
    <row r="169" spans="1:1" ht="12.5" x14ac:dyDescent="0.25">
      <c r="A169" t="str">
        <f ca="1">IFERROR(__xludf.DUMMYFUNCTION("""COMPUTED_VALUE"""),"Lemons")</f>
        <v>Lemons</v>
      </c>
    </row>
    <row r="170" spans="1:1" ht="12.5" x14ac:dyDescent="0.25">
      <c r="A170" t="str">
        <f ca="1">IFERROR(__xludf.DUMMYFUNCTION("""COMPUTED_VALUE"""),"Lentils (dry)")</f>
        <v>Lentils (dry)</v>
      </c>
    </row>
    <row r="171" spans="1:1" ht="12.5" x14ac:dyDescent="0.25">
      <c r="A171" t="str">
        <f ca="1">IFERROR(__xludf.DUMMYFUNCTION("""COMPUTED_VALUE"""),"Lentils (fresh)")</f>
        <v>Lentils (fresh)</v>
      </c>
    </row>
    <row r="172" spans="1:1" ht="12.5" x14ac:dyDescent="0.25">
      <c r="A172" t="str">
        <f ca="1">IFERROR(__xludf.DUMMYFUNCTION("""COMPUTED_VALUE"""),"Lettuce")</f>
        <v>Lettuce</v>
      </c>
    </row>
    <row r="173" spans="1:1" ht="12.5" x14ac:dyDescent="0.25">
      <c r="A173" t="str">
        <f ca="1">IFERROR(__xludf.DUMMYFUNCTION("""COMPUTED_VALUE"""),"Lettuce and other salad plants, including Brassica")</f>
        <v>Lettuce and other salad plants, including Brassica</v>
      </c>
    </row>
    <row r="174" spans="1:1" ht="12.5" x14ac:dyDescent="0.25">
      <c r="A174" t="str">
        <f ca="1">IFERROR(__xludf.DUMMYFUNCTION("""COMPUTED_VALUE"""),"Lime (linden)")</f>
        <v>Lime (linden)</v>
      </c>
    </row>
    <row r="175" spans="1:1" ht="12.5" x14ac:dyDescent="0.25">
      <c r="A175" t="str">
        <f ca="1">IFERROR(__xludf.DUMMYFUNCTION("""COMPUTED_VALUE"""),"Limes")</f>
        <v>Limes</v>
      </c>
    </row>
    <row r="176" spans="1:1" ht="12.5" x14ac:dyDescent="0.25">
      <c r="A176" t="str">
        <f ca="1">IFERROR(__xludf.DUMMYFUNCTION("""COMPUTED_VALUE"""),"Linseed")</f>
        <v>Linseed</v>
      </c>
    </row>
    <row r="177" spans="1:1" ht="12.5" x14ac:dyDescent="0.25">
      <c r="A177" t="str">
        <f ca="1">IFERROR(__xludf.DUMMYFUNCTION("""COMPUTED_VALUE"""),"Liquorice")</f>
        <v>Liquorice</v>
      </c>
    </row>
    <row r="178" spans="1:1" ht="12.5" x14ac:dyDescent="0.25">
      <c r="A178" t="str">
        <f ca="1">IFERROR(__xludf.DUMMYFUNCTION("""COMPUTED_VALUE"""),"Loquat")</f>
        <v>Loquat</v>
      </c>
    </row>
    <row r="179" spans="1:1" ht="12.5" x14ac:dyDescent="0.25">
      <c r="A179" t="str">
        <f ca="1">IFERROR(__xludf.DUMMYFUNCTION("""COMPUTED_VALUE"""),"Lupins (dry)")</f>
        <v>Lupins (dry)</v>
      </c>
    </row>
    <row r="180" spans="1:1" ht="12.5" x14ac:dyDescent="0.25">
      <c r="A180" t="str">
        <f ca="1">IFERROR(__xludf.DUMMYFUNCTION("""COMPUTED_VALUE"""),"Lychee (Litchi)")</f>
        <v>Lychee (Litchi)</v>
      </c>
    </row>
    <row r="181" spans="1:1" ht="12.5" x14ac:dyDescent="0.25">
      <c r="A181" t="str">
        <f ca="1">IFERROR(__xludf.DUMMYFUNCTION("""COMPUTED_VALUE"""),"Macadamia")</f>
        <v>Macadamia</v>
      </c>
    </row>
    <row r="182" spans="1:1" ht="12.5" x14ac:dyDescent="0.25">
      <c r="A182" t="str">
        <f ca="1">IFERROR(__xludf.DUMMYFUNCTION("""COMPUTED_VALUE"""),"Mace")</f>
        <v>Mace</v>
      </c>
    </row>
    <row r="183" spans="1:1" ht="12.5" x14ac:dyDescent="0.25">
      <c r="A183" t="str">
        <f ca="1">IFERROR(__xludf.DUMMYFUNCTION("""COMPUTED_VALUE"""),"Maize")</f>
        <v>Maize</v>
      </c>
    </row>
    <row r="184" spans="1:1" ht="12.5" x14ac:dyDescent="0.25">
      <c r="A184" t="str">
        <f ca="1">IFERROR(__xludf.DUMMYFUNCTION("""COMPUTED_VALUE"""),"Mandarins")</f>
        <v>Mandarins</v>
      </c>
    </row>
    <row r="185" spans="1:1" ht="12.5" x14ac:dyDescent="0.25">
      <c r="A185" t="str">
        <f ca="1">IFERROR(__xludf.DUMMYFUNCTION("""COMPUTED_VALUE"""),"Mangoes")</f>
        <v>Mangoes</v>
      </c>
    </row>
    <row r="186" spans="1:1" ht="12.5" x14ac:dyDescent="0.25">
      <c r="A186" t="str">
        <f ca="1">IFERROR(__xludf.DUMMYFUNCTION("""COMPUTED_VALUE"""),"Maté")</f>
        <v>Maté</v>
      </c>
    </row>
    <row r="187" spans="1:1" ht="12.5" x14ac:dyDescent="0.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x14ac:dyDescent="0.25">
      <c r="A188" t="str">
        <f ca="1">IFERROR(__xludf.DUMMYFUNCTION("""COMPUTED_VALUE"""),"Medlar")</f>
        <v>Medlar</v>
      </c>
    </row>
    <row r="189" spans="1:1" ht="12.5" x14ac:dyDescent="0.25">
      <c r="A189" t="str">
        <f ca="1">IFERROR(__xludf.DUMMYFUNCTION("""COMPUTED_VALUE"""),"Melons")</f>
        <v>Melons</v>
      </c>
    </row>
    <row r="190" spans="1:1" ht="12.5" x14ac:dyDescent="0.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x14ac:dyDescent="0.25">
      <c r="A191" t="str">
        <f ca="1">IFERROR(__xludf.DUMMYFUNCTION("""COMPUTED_VALUE"""),"Millet")</f>
        <v>Millet</v>
      </c>
    </row>
    <row r="192" spans="1:1" ht="12.5" x14ac:dyDescent="0.25">
      <c r="A192" t="str">
        <f ca="1">IFERROR(__xludf.DUMMYFUNCTION("""COMPUTED_VALUE"""),"Miscellaneous fruit")</f>
        <v>Miscellaneous fruit</v>
      </c>
    </row>
    <row r="193" spans="1:1" ht="12.5" x14ac:dyDescent="0.25">
      <c r="A193" t="str">
        <f ca="1">IFERROR(__xludf.DUMMYFUNCTION("""COMPUTED_VALUE"""),"Miscellaneous fruits with edible peel")</f>
        <v>Miscellaneous fruits with edible peel</v>
      </c>
    </row>
    <row r="194" spans="1:1" ht="12.5" x14ac:dyDescent="0.25">
      <c r="A194" t="str">
        <f ca="1">IFERROR(__xludf.DUMMYFUNCTION("""COMPUTED_VALUE"""),"Miscellaneous fruits with inedible peel, large")</f>
        <v>Miscellaneous fruits with inedible peel, large</v>
      </c>
    </row>
    <row r="195" spans="1:1" ht="12.5" x14ac:dyDescent="0.25">
      <c r="A195" t="str">
        <f ca="1">IFERROR(__xludf.DUMMYFUNCTION("""COMPUTED_VALUE"""),"Miscellaneous fruits with inedible peel, small")</f>
        <v>Miscellaneous fruits with inedible peel, small</v>
      </c>
    </row>
    <row r="196" spans="1:1" ht="12.5" x14ac:dyDescent="0.25">
      <c r="A196" t="str">
        <f ca="1">IFERROR(__xludf.DUMMYFUNCTION("""COMPUTED_VALUE"""),"Mulberries")</f>
        <v>Mulberries</v>
      </c>
    </row>
    <row r="197" spans="1:1" ht="12.5" x14ac:dyDescent="0.25">
      <c r="A197" t="str">
        <f ca="1">IFERROR(__xludf.DUMMYFUNCTION("""COMPUTED_VALUE"""),"Mustard seed")</f>
        <v>Mustard seed</v>
      </c>
    </row>
    <row r="198" spans="1:1" ht="12.5" x14ac:dyDescent="0.25">
      <c r="A198" t="str">
        <f ca="1">IFERROR(__xludf.DUMMYFUNCTION("""COMPUTED_VALUE"""),"Not in list")</f>
        <v>Not in list</v>
      </c>
    </row>
    <row r="199" spans="1:1" ht="12.5" x14ac:dyDescent="0.25">
      <c r="A199" t="str">
        <f ca="1">IFERROR(__xludf.DUMMYFUNCTION("""COMPUTED_VALUE"""),"Nutmeg")</f>
        <v>Nutmeg</v>
      </c>
    </row>
    <row r="200" spans="1:1" ht="12.5" x14ac:dyDescent="0.25">
      <c r="A200" t="str">
        <f ca="1">IFERROR(__xludf.DUMMYFUNCTION("""COMPUTED_VALUE"""),"Oats")</f>
        <v>Oats</v>
      </c>
    </row>
    <row r="201" spans="1:1" ht="12.5" x14ac:dyDescent="0.25">
      <c r="A201" t="str">
        <f ca="1">IFERROR(__xludf.DUMMYFUNCTION("""COMPUTED_VALUE"""),"Oilfruits")</f>
        <v>Oilfruits</v>
      </c>
    </row>
    <row r="202" spans="1:1" ht="12.5" x14ac:dyDescent="0.25">
      <c r="A202" t="str">
        <f ca="1">IFERROR(__xludf.DUMMYFUNCTION("""COMPUTED_VALUE"""),"Oilseeds")</f>
        <v>Oilseeds</v>
      </c>
    </row>
    <row r="203" spans="1:1" ht="12.5" x14ac:dyDescent="0.25">
      <c r="A203" t="str">
        <f ca="1">IFERROR(__xludf.DUMMYFUNCTION("""COMPUTED_VALUE"""),"Oilseeds and Oilfruits")</f>
        <v>Oilseeds and Oilfruits</v>
      </c>
    </row>
    <row r="204" spans="1:1" ht="12.5" x14ac:dyDescent="0.25">
      <c r="A204" t="str">
        <f ca="1">IFERROR(__xludf.DUMMYFUNCTION("""COMPUTED_VALUE"""),"Okra, ladys fingers")</f>
        <v>Okra, ladys fingers</v>
      </c>
    </row>
    <row r="205" spans="1:1" ht="12.5" x14ac:dyDescent="0.25">
      <c r="A205" t="str">
        <f ca="1">IFERROR(__xludf.DUMMYFUNCTION("""COMPUTED_VALUE"""),"Olives for oil production")</f>
        <v>Olives for oil production</v>
      </c>
    </row>
    <row r="206" spans="1:1" ht="12.5" x14ac:dyDescent="0.25">
      <c r="A206" t="str">
        <f ca="1">IFERROR(__xludf.DUMMYFUNCTION("""COMPUTED_VALUE"""),"Onions")</f>
        <v>Onions</v>
      </c>
    </row>
    <row r="207" spans="1:1" ht="12.5" x14ac:dyDescent="0.25">
      <c r="A207" t="str">
        <f ca="1">IFERROR(__xludf.DUMMYFUNCTION("""COMPUTED_VALUE"""),"Oranges")</f>
        <v>Oranges</v>
      </c>
    </row>
    <row r="208" spans="1:1" ht="12.5" x14ac:dyDescent="0.25">
      <c r="A208" t="str">
        <f ca="1">IFERROR(__xludf.DUMMYFUNCTION("""COMPUTED_VALUE"""),"Other")</f>
        <v>Other</v>
      </c>
    </row>
    <row r="209" spans="1:1" ht="12.5" x14ac:dyDescent="0.25">
      <c r="A209" t="str">
        <f ca="1">IFERROR(__xludf.DUMMYFUNCTION("""COMPUTED_VALUE"""),"Other bulb vegetables")</f>
        <v>Other bulb vegetables</v>
      </c>
    </row>
    <row r="210" spans="1:1" ht="12.5" x14ac:dyDescent="0.25">
      <c r="A210" t="str">
        <f ca="1">IFERROR(__xludf.DUMMYFUNCTION("""COMPUTED_VALUE"""),"Other cane fruits")</f>
        <v>Other cane fruits</v>
      </c>
    </row>
    <row r="211" spans="1:1" ht="12.5" x14ac:dyDescent="0.25">
      <c r="A211" t="str">
        <f ca="1">IFERROR(__xludf.DUMMYFUNCTION("""COMPUTED_VALUE"""),"Other cereals")</f>
        <v>Other cereals</v>
      </c>
    </row>
    <row r="212" spans="1:1" ht="12.5" x14ac:dyDescent="0.25">
      <c r="A212" t="str">
        <f ca="1">IFERROR(__xludf.DUMMYFUNCTION("""COMPUTED_VALUE"""),"Other citrus fruits")</f>
        <v>Other citrus fruits</v>
      </c>
    </row>
    <row r="213" spans="1:1" ht="12.5" x14ac:dyDescent="0.25">
      <c r="A213" t="str">
        <f ca="1">IFERROR(__xludf.DUMMYFUNCTION("""COMPUTED_VALUE"""),"Other cucurbits, edible peel")</f>
        <v>Other cucurbits, edible peel</v>
      </c>
    </row>
    <row r="214" spans="1:1" ht="12.5" x14ac:dyDescent="0.25">
      <c r="A214" t="str">
        <f ca="1">IFERROR(__xludf.DUMMYFUNCTION("""COMPUTED_VALUE"""),"Other cucurbits, inedible peel")</f>
        <v>Other cucurbits, inedible peel</v>
      </c>
    </row>
    <row r="215" spans="1:1" ht="12.5" x14ac:dyDescent="0.25">
      <c r="A215" t="str">
        <f ca="1">IFERROR(__xludf.DUMMYFUNCTION("""COMPUTED_VALUE"""),"Other farm animals")</f>
        <v>Other farm animals</v>
      </c>
    </row>
    <row r="216" spans="1:1" ht="12.5" x14ac:dyDescent="0.25">
      <c r="A216" t="str">
        <f ca="1">IFERROR(__xludf.DUMMYFUNCTION("""COMPUTED_VALUE"""),"Other farm animals Edible offal")</f>
        <v>Other farm animals Edible offal</v>
      </c>
    </row>
    <row r="217" spans="1:1" ht="12.5" x14ac:dyDescent="0.25">
      <c r="A217" t="str">
        <f ca="1">IFERROR(__xludf.DUMMYFUNCTION("""COMPUTED_VALUE"""),"Other farm animals Fat")</f>
        <v>Other farm animals Fat</v>
      </c>
    </row>
    <row r="218" spans="1:1" ht="12.5" x14ac:dyDescent="0.25">
      <c r="A218" t="str">
        <f ca="1">IFERROR(__xludf.DUMMYFUNCTION("""COMPUTED_VALUE"""),"Other farm animals Kidney")</f>
        <v>Other farm animals Kidney</v>
      </c>
    </row>
    <row r="219" spans="1:1" ht="12.5" x14ac:dyDescent="0.25">
      <c r="A219" t="str">
        <f ca="1">IFERROR(__xludf.DUMMYFUNCTION("""COMPUTED_VALUE"""),"Other farm animals Liver")</f>
        <v>Other farm animals Liver</v>
      </c>
    </row>
    <row r="220" spans="1:1" ht="12.5" x14ac:dyDescent="0.25">
      <c r="A220" t="str">
        <f ca="1">IFERROR(__xludf.DUMMYFUNCTION("""COMPUTED_VALUE"""),"Other farm animals Meat")</f>
        <v>Other farm animals Meat</v>
      </c>
    </row>
    <row r="221" spans="1:1" ht="12.5" x14ac:dyDescent="0.25">
      <c r="A221" t="str">
        <f ca="1">IFERROR(__xludf.DUMMYFUNCTION("""COMPUTED_VALUE"""),"Other farm animals Others")</f>
        <v>Other farm animals Others</v>
      </c>
    </row>
    <row r="222" spans="1:1" ht="12.5" x14ac:dyDescent="0.25">
      <c r="A222" t="str">
        <f ca="1">IFERROR(__xludf.DUMMYFUNCTION("""COMPUTED_VALUE"""),"Other flowering brassica")</f>
        <v>Other flowering brassica</v>
      </c>
    </row>
    <row r="223" spans="1:1" ht="12.5" x14ac:dyDescent="0.25">
      <c r="A223" t="str">
        <f ca="1">IFERROR(__xludf.DUMMYFUNCTION("""COMPUTED_VALUE"""),"Other fruiting vegetables")</f>
        <v>Other fruiting vegetables</v>
      </c>
    </row>
    <row r="224" spans="1:1" ht="12.5" x14ac:dyDescent="0.25">
      <c r="A224" t="str">
        <f ca="1">IFERROR(__xludf.DUMMYFUNCTION("""COMPUTED_VALUE"""),"Other fungi")</f>
        <v>Other fungi</v>
      </c>
    </row>
    <row r="225" spans="1:1" ht="12.5" x14ac:dyDescent="0.25">
      <c r="A225" t="str">
        <f ca="1">IFERROR(__xludf.DUMMYFUNCTION("""COMPUTED_VALUE"""),"Other head brassica")</f>
        <v>Other head brassica</v>
      </c>
    </row>
    <row r="226" spans="1:1" ht="12.5" x14ac:dyDescent="0.25">
      <c r="A226" t="str">
        <f ca="1">IFERROR(__xludf.DUMMYFUNCTION("""COMPUTED_VALUE"""),"Other herbal infusions")</f>
        <v>Other herbal infusions</v>
      </c>
    </row>
    <row r="227" spans="1:1" ht="12.5" x14ac:dyDescent="0.25">
      <c r="A227" t="str">
        <f ca="1">IFERROR(__xludf.DUMMYFUNCTION("""COMPUTED_VALUE"""),"Other herbal infusions: Flowers")</f>
        <v>Other herbal infusions: Flowers</v>
      </c>
    </row>
    <row r="228" spans="1:1" ht="12.5" x14ac:dyDescent="0.25">
      <c r="A228" t="str">
        <f ca="1">IFERROR(__xludf.DUMMYFUNCTION("""COMPUTED_VALUE"""),"Other herbal infusions: Leaves")</f>
        <v>Other herbal infusions: Leaves</v>
      </c>
    </row>
    <row r="229" spans="1:1" ht="12.5" x14ac:dyDescent="0.25">
      <c r="A229" t="str">
        <f ca="1">IFERROR(__xludf.DUMMYFUNCTION("""COMPUTED_VALUE"""),"Other herbal infusions: Roots")</f>
        <v>Other herbal infusions: Roots</v>
      </c>
    </row>
    <row r="230" spans="1:1" ht="12.5" x14ac:dyDescent="0.25">
      <c r="A230" t="str">
        <f ca="1">IFERROR(__xludf.DUMMYFUNCTION("""COMPUTED_VALUE"""),"Other herbs")</f>
        <v>Other herbs</v>
      </c>
    </row>
    <row r="231" spans="1:1" ht="12.5" x14ac:dyDescent="0.25">
      <c r="A231" t="str">
        <f ca="1">IFERROR(__xludf.DUMMYFUNCTION("""COMPUTED_VALUE"""),"Other kind of lettuce and other salad plants, including Brassicacea")</f>
        <v>Other kind of lettuce and other salad plants, including Brassicacea</v>
      </c>
    </row>
    <row r="232" spans="1:1" ht="12.5" x14ac:dyDescent="0.25">
      <c r="A232" t="str">
        <f ca="1">IFERROR(__xludf.DUMMYFUNCTION("""COMPUTED_VALUE"""),"Other kind of root and tuber vegetables except sugar beet")</f>
        <v>Other kind of root and tuber vegetables except sugar beet</v>
      </c>
    </row>
    <row r="233" spans="1:1" ht="12.5" x14ac:dyDescent="0.25">
      <c r="A233" t="str">
        <f ca="1">IFERROR(__xludf.DUMMYFUNCTION("""COMPUTED_VALUE"""),"Other kind of small fruit and berries")</f>
        <v>Other kind of small fruit and berries</v>
      </c>
    </row>
    <row r="234" spans="1:1" ht="12.5" x14ac:dyDescent="0.25">
      <c r="A234" t="str">
        <f ca="1">IFERROR(__xludf.DUMMYFUNCTION("""COMPUTED_VALUE"""),"Other leafy brassica")</f>
        <v>Other leafy brassica</v>
      </c>
    </row>
    <row r="235" spans="1:1" ht="12.5" x14ac:dyDescent="0.25">
      <c r="A235" t="str">
        <f ca="1">IFERROR(__xludf.DUMMYFUNCTION("""COMPUTED_VALUE"""),"Other legume vegetables, fresh")</f>
        <v>Other legume vegetables, fresh</v>
      </c>
    </row>
    <row r="236" spans="1:1" ht="12.5" x14ac:dyDescent="0.25">
      <c r="A236" t="str">
        <f ca="1">IFERROR(__xludf.DUMMYFUNCTION("""COMPUTED_VALUE"""),"Other miscellaneous fruits with edible peel")</f>
        <v>Other miscellaneous fruits with edible peel</v>
      </c>
    </row>
    <row r="237" spans="1:1" ht="12.5" x14ac:dyDescent="0.25">
      <c r="A237" t="str">
        <f ca="1">IFERROR(__xludf.DUMMYFUNCTION("""COMPUTED_VALUE"""),"Other miscellaneous large fruits with inedible peel")</f>
        <v>Other miscellaneous large fruits with inedible peel</v>
      </c>
    </row>
    <row r="238" spans="1:1" ht="12.5" x14ac:dyDescent="0.25">
      <c r="A238" t="str">
        <f ca="1">IFERROR(__xludf.DUMMYFUNCTION("""COMPUTED_VALUE"""),"Other miscellaneous small fruits with inedible peel")</f>
        <v>Other miscellaneous small fruits with inedible peel</v>
      </c>
    </row>
    <row r="239" spans="1:1" ht="12.5" x14ac:dyDescent="0.25">
      <c r="A239" t="str">
        <f ca="1">IFERROR(__xludf.DUMMYFUNCTION("""COMPUTED_VALUE"""),"Other oilfruits")</f>
        <v>Other oilfruits</v>
      </c>
    </row>
    <row r="240" spans="1:1" ht="12.5" x14ac:dyDescent="0.25">
      <c r="A240" t="str">
        <f ca="1">IFERROR(__xludf.DUMMYFUNCTION("""COMPUTED_VALUE"""),"Other oilseeds")</f>
        <v>Other oilseeds</v>
      </c>
    </row>
    <row r="241" spans="1:1" ht="12.5" x14ac:dyDescent="0.25">
      <c r="A241" t="str">
        <f ca="1">IFERROR(__xludf.DUMMYFUNCTION("""COMPUTED_VALUE"""),"Other pome fruits")</f>
        <v>Other pome fruits</v>
      </c>
    </row>
    <row r="242" spans="1:1" ht="12.5" x14ac:dyDescent="0.25">
      <c r="A242" t="str">
        <f ca="1">IFERROR(__xludf.DUMMYFUNCTION("""COMPUTED_VALUE"""),"Other pulses, dry")</f>
        <v>Other pulses, dry</v>
      </c>
    </row>
    <row r="243" spans="1:1" ht="12.5" x14ac:dyDescent="0.25">
      <c r="A243" t="str">
        <f ca="1">IFERROR(__xludf.DUMMYFUNCTION("""COMPUTED_VALUE"""),"Other root and tuber vegetables except sugar beet")</f>
        <v>Other root and tuber vegetables except sugar beet</v>
      </c>
    </row>
    <row r="244" spans="1:1" ht="12.5" x14ac:dyDescent="0.25">
      <c r="A244" t="str">
        <f ca="1">IFERROR(__xludf.DUMMYFUNCTION("""COMPUTED_VALUE"""),"Other small fruit and berries")</f>
        <v>Other small fruit and berries</v>
      </c>
    </row>
    <row r="245" spans="1:1" ht="12.5" x14ac:dyDescent="0.25">
      <c r="A245" t="str">
        <f ca="1">IFERROR(__xludf.DUMMYFUNCTION("""COMPUTED_VALUE"""),"Other solanacea")</f>
        <v>Other solanacea</v>
      </c>
    </row>
    <row r="246" spans="1:1" ht="12.5" x14ac:dyDescent="0.25">
      <c r="A246" t="str">
        <f ca="1">IFERROR(__xludf.DUMMYFUNCTION("""COMPUTED_VALUE"""),"Other spices: Aril")</f>
        <v>Other spices: Aril</v>
      </c>
    </row>
    <row r="247" spans="1:1" ht="12.5" x14ac:dyDescent="0.25">
      <c r="A247" t="str">
        <f ca="1">IFERROR(__xludf.DUMMYFUNCTION("""COMPUTED_VALUE"""),"Other spices: Bark")</f>
        <v>Other spices: Bark</v>
      </c>
    </row>
    <row r="248" spans="1:1" ht="12.5" x14ac:dyDescent="0.25">
      <c r="A248" t="str">
        <f ca="1">IFERROR(__xludf.DUMMYFUNCTION("""COMPUTED_VALUE"""),"Other spices: Buds")</f>
        <v>Other spices: Buds</v>
      </c>
    </row>
    <row r="249" spans="1:1" ht="12.5" x14ac:dyDescent="0.25">
      <c r="A249" t="str">
        <f ca="1">IFERROR(__xludf.DUMMYFUNCTION("""COMPUTED_VALUE"""),"Other spices: Flower stigma")</f>
        <v>Other spices: Flower stigma</v>
      </c>
    </row>
    <row r="250" spans="1:1" ht="12.5" x14ac:dyDescent="0.25">
      <c r="A250" t="str">
        <f ca="1">IFERROR(__xludf.DUMMYFUNCTION("""COMPUTED_VALUE"""),"Other spices: Fruits and Berries")</f>
        <v>Other spices: Fruits and Berries</v>
      </c>
    </row>
    <row r="251" spans="1:1" ht="12.5" x14ac:dyDescent="0.25">
      <c r="A251" t="str">
        <f ca="1">IFERROR(__xludf.DUMMYFUNCTION("""COMPUTED_VALUE"""),"Other spices: Root or Rhizome")</f>
        <v>Other spices: Root or Rhizome</v>
      </c>
    </row>
    <row r="252" spans="1:1" ht="12.5" x14ac:dyDescent="0.25">
      <c r="A252" t="str">
        <f ca="1">IFERROR(__xludf.DUMMYFUNCTION("""COMPUTED_VALUE"""),"Other spices: Seeds")</f>
        <v>Other spices: Seeds</v>
      </c>
    </row>
    <row r="253" spans="1:1" ht="12.5" x14ac:dyDescent="0.25">
      <c r="A253" t="str">
        <f ca="1">IFERROR(__xludf.DUMMYFUNCTION("""COMPUTED_VALUE"""),"Other spinach and similar (leaves)")</f>
        <v>Other spinach and similar (leaves)</v>
      </c>
    </row>
    <row r="254" spans="1:1" ht="12.5" x14ac:dyDescent="0.25">
      <c r="A254" t="str">
        <f ca="1">IFERROR(__xludf.DUMMYFUNCTION("""COMPUTED_VALUE"""),"Other stem vegetables, fresh")</f>
        <v>Other stem vegetables, fresh</v>
      </c>
    </row>
    <row r="255" spans="1:1" ht="12.5" x14ac:dyDescent="0.25">
      <c r="A255" t="str">
        <f ca="1">IFERROR(__xludf.DUMMYFUNCTION("""COMPUTED_VALUE"""),"Other stone fruits")</f>
        <v>Other stone fruits</v>
      </c>
    </row>
    <row r="256" spans="1:1" ht="12.5" x14ac:dyDescent="0.25">
      <c r="A256" t="str">
        <f ca="1">IFERROR(__xludf.DUMMYFUNCTION("""COMPUTED_VALUE"""),"Other sugar plants")</f>
        <v>Other sugar plants</v>
      </c>
    </row>
    <row r="257" spans="1:1" ht="12.5" x14ac:dyDescent="0.25">
      <c r="A257" t="str">
        <f ca="1">IFERROR(__xludf.DUMMYFUNCTION("""COMPUTED_VALUE"""),"Other terrestrial animal products")</f>
        <v>Other terrestrial animal products</v>
      </c>
    </row>
    <row r="258" spans="1:1" ht="12.5" x14ac:dyDescent="0.25">
      <c r="A258" t="str">
        <f ca="1">IFERROR(__xludf.DUMMYFUNCTION("""COMPUTED_VALUE"""),"Other tree nuts, shelled or unshelled")</f>
        <v>Other tree nuts, shelled or unshelled</v>
      </c>
    </row>
    <row r="259" spans="1:1" ht="12.5" x14ac:dyDescent="0.25">
      <c r="A259" t="str">
        <f ca="1">IFERROR(__xludf.DUMMYFUNCTION("""COMPUTED_VALUE"""),"Other tropical roots and tuber vegetables")</f>
        <v>Other tropical roots and tuber vegetables</v>
      </c>
    </row>
    <row r="260" spans="1:1" ht="12.5" x14ac:dyDescent="0.25">
      <c r="A260" t="str">
        <f ca="1">IFERROR(__xludf.DUMMYFUNCTION("""COMPUTED_VALUE"""),"Palm hearts")</f>
        <v>Palm hearts</v>
      </c>
    </row>
    <row r="261" spans="1:1" ht="12.5" x14ac:dyDescent="0.25">
      <c r="A261" t="str">
        <f ca="1">IFERROR(__xludf.DUMMYFUNCTION("""COMPUTED_VALUE"""),"Palm nuts (palmoil kernels)")</f>
        <v>Palm nuts (palmoil kernels)</v>
      </c>
    </row>
    <row r="262" spans="1:1" ht="12.5" x14ac:dyDescent="0.25">
      <c r="A262" t="str">
        <f ca="1">IFERROR(__xludf.DUMMYFUNCTION("""COMPUTED_VALUE"""),"Palmfruit")</f>
        <v>Palmfruit</v>
      </c>
    </row>
    <row r="263" spans="1:1" ht="12.5" x14ac:dyDescent="0.25">
      <c r="A263" t="str">
        <f ca="1">IFERROR(__xludf.DUMMYFUNCTION("""COMPUTED_VALUE"""),"Papaya")</f>
        <v>Papaya</v>
      </c>
    </row>
    <row r="264" spans="1:1" ht="12.5" x14ac:dyDescent="0.25">
      <c r="A264" t="str">
        <f ca="1">IFERROR(__xludf.DUMMYFUNCTION("""COMPUTED_VALUE"""),"Parsley")</f>
        <v>Parsley</v>
      </c>
    </row>
    <row r="265" spans="1:1" ht="12.5" x14ac:dyDescent="0.25">
      <c r="A265" t="str">
        <f ca="1">IFERROR(__xludf.DUMMYFUNCTION("""COMPUTED_VALUE"""),"Parsley root")</f>
        <v>Parsley root</v>
      </c>
    </row>
    <row r="266" spans="1:1" ht="12.5" x14ac:dyDescent="0.25">
      <c r="A266" t="str">
        <f ca="1">IFERROR(__xludf.DUMMYFUNCTION("""COMPUTED_VALUE"""),"Parsnips")</f>
        <v>Parsnips</v>
      </c>
    </row>
    <row r="267" spans="1:1" ht="12.5" x14ac:dyDescent="0.25">
      <c r="A267" t="str">
        <f ca="1">IFERROR(__xludf.DUMMYFUNCTION("""COMPUTED_VALUE"""),"Passion fruit")</f>
        <v>Passion fruit</v>
      </c>
    </row>
    <row r="268" spans="1:1" ht="12.5" x14ac:dyDescent="0.25">
      <c r="A268" t="str">
        <f ca="1">IFERROR(__xludf.DUMMYFUNCTION("""COMPUTED_VALUE"""),"Peaches")</f>
        <v>Peaches</v>
      </c>
    </row>
    <row r="269" spans="1:1" ht="12.5" x14ac:dyDescent="0.25">
      <c r="A269" t="str">
        <f ca="1">IFERROR(__xludf.DUMMYFUNCTION("""COMPUTED_VALUE"""),"Peanuts")</f>
        <v>Peanuts</v>
      </c>
    </row>
    <row r="270" spans="1:1" ht="12.5" x14ac:dyDescent="0.25">
      <c r="A270" t="str">
        <f ca="1">IFERROR(__xludf.DUMMYFUNCTION("""COMPUTED_VALUE"""),"Pears")</f>
        <v>Pears</v>
      </c>
    </row>
    <row r="271" spans="1:1" ht="12.5" x14ac:dyDescent="0.25">
      <c r="A271" t="str">
        <f ca="1">IFERROR(__xludf.DUMMYFUNCTION("""COMPUTED_VALUE"""),"Peas (dry)")</f>
        <v>Peas (dry)</v>
      </c>
    </row>
    <row r="272" spans="1:1" ht="12.5" x14ac:dyDescent="0.25">
      <c r="A272" t="str">
        <f ca="1">IFERROR(__xludf.DUMMYFUNCTION("""COMPUTED_VALUE"""),"Peas (with pods)")</f>
        <v>Peas (with pods)</v>
      </c>
    </row>
    <row r="273" spans="1:1" ht="12.5" x14ac:dyDescent="0.25">
      <c r="A273" t="str">
        <f ca="1">IFERROR(__xludf.DUMMYFUNCTION("""COMPUTED_VALUE"""),"Peas (without pods)")</f>
        <v>Peas (without pods)</v>
      </c>
    </row>
    <row r="274" spans="1:1" ht="12.5" x14ac:dyDescent="0.25">
      <c r="A274" t="str">
        <f ca="1">IFERROR(__xludf.DUMMYFUNCTION("""COMPUTED_VALUE"""),"Pecans")</f>
        <v>Pecans</v>
      </c>
    </row>
    <row r="275" spans="1:1" ht="12.5" x14ac:dyDescent="0.25">
      <c r="A275" t="str">
        <f ca="1">IFERROR(__xludf.DUMMYFUNCTION("""COMPUTED_VALUE"""),"Pepper, black and white")</f>
        <v>Pepper, black and white</v>
      </c>
    </row>
    <row r="276" spans="1:1" ht="12.5" x14ac:dyDescent="0.25">
      <c r="A276" t="str">
        <f ca="1">IFERROR(__xludf.DUMMYFUNCTION("""COMPUTED_VALUE"""),"Peppers")</f>
        <v>Peppers</v>
      </c>
    </row>
    <row r="277" spans="1:1" ht="12.5" x14ac:dyDescent="0.25">
      <c r="A277" t="str">
        <f ca="1">IFERROR(__xludf.DUMMYFUNCTION("""COMPUTED_VALUE"""),"Persimmon")</f>
        <v>Persimmon</v>
      </c>
    </row>
    <row r="278" spans="1:1" ht="12.5" x14ac:dyDescent="0.25">
      <c r="A278" t="str">
        <f ca="1">IFERROR(__xludf.DUMMYFUNCTION("""COMPUTED_VALUE"""),"Pine nuts")</f>
        <v>Pine nuts</v>
      </c>
    </row>
    <row r="279" spans="1:1" ht="12.5" x14ac:dyDescent="0.25">
      <c r="A279" t="str">
        <f ca="1">IFERROR(__xludf.DUMMYFUNCTION("""COMPUTED_VALUE"""),"Pineapples")</f>
        <v>Pineapples</v>
      </c>
    </row>
    <row r="280" spans="1:1" ht="12.5" x14ac:dyDescent="0.25">
      <c r="A280" t="str">
        <f ca="1">IFERROR(__xludf.DUMMYFUNCTION("""COMPUTED_VALUE"""),"Pistachios")</f>
        <v>Pistachios</v>
      </c>
    </row>
    <row r="281" spans="1:1" ht="12.5" x14ac:dyDescent="0.25">
      <c r="A281" t="str">
        <f ca="1">IFERROR(__xludf.DUMMYFUNCTION("""COMPUTED_VALUE"""),"Plums")</f>
        <v>Plums</v>
      </c>
    </row>
    <row r="282" spans="1:1" ht="12.5" x14ac:dyDescent="0.25">
      <c r="A282" t="str">
        <f ca="1">IFERROR(__xludf.DUMMYFUNCTION("""COMPUTED_VALUE"""),"Pome fruit")</f>
        <v>Pome fruit</v>
      </c>
    </row>
    <row r="283" spans="1:1" ht="12.5" x14ac:dyDescent="0.25">
      <c r="A283" t="str">
        <f ca="1">IFERROR(__xludf.DUMMYFUNCTION("""COMPUTED_VALUE"""),"Pomegranate")</f>
        <v>Pomegranate</v>
      </c>
    </row>
    <row r="284" spans="1:1" ht="12.5" x14ac:dyDescent="0.25">
      <c r="A284" t="str">
        <f ca="1">IFERROR(__xludf.DUMMYFUNCTION("""COMPUTED_VALUE"""),"Poppy seed")</f>
        <v>Poppy seed</v>
      </c>
    </row>
    <row r="285" spans="1:1" ht="12.5" x14ac:dyDescent="0.25">
      <c r="A285" t="str">
        <f ca="1">IFERROR(__xludf.DUMMYFUNCTION("""COMPUTED_VALUE"""),"Potatoes")</f>
        <v>Potatoes</v>
      </c>
    </row>
    <row r="286" spans="1:1" ht="12.5" x14ac:dyDescent="0.25">
      <c r="A286" t="str">
        <f ca="1">IFERROR(__xludf.DUMMYFUNCTION("""COMPUTED_VALUE"""),"Poultry — chicken, geese, duck, turkey and Guinea fowl — ostrich, pigeon")</f>
        <v>Poultry — chicken, geese, duck, turkey and Guinea fowl — ostrich, pigeon</v>
      </c>
    </row>
    <row r="287" spans="1:1" ht="12.5" x14ac:dyDescent="0.25">
      <c r="A287" t="str">
        <f ca="1">IFERROR(__xludf.DUMMYFUNCTION("""COMPUTED_VALUE"""),"Poultry — chicken, geese, duck, turkey and Guinea fowl — ostrich, pigeon Edible offal")</f>
        <v>Poultry — chicken, geese, duck, turkey and Guinea fowl — ostrich, pigeon Edible offal</v>
      </c>
    </row>
    <row r="288" spans="1:1" ht="12.5" x14ac:dyDescent="0.25">
      <c r="A288" t="str">
        <f ca="1">IFERROR(__xludf.DUMMYFUNCTION("""COMPUTED_VALUE"""),"Poultry — chicken, geese, duck, turkey and Guinea fowl — ostrich, pigeon Fat")</f>
        <v>Poultry — chicken, geese, duck, turkey and Guinea fowl — ostrich, pigeon Fat</v>
      </c>
    </row>
    <row r="289" spans="1:1" ht="12.5" x14ac:dyDescent="0.25">
      <c r="A289" t="str">
        <f ca="1">IFERROR(__xludf.DUMMYFUNCTION("""COMPUTED_VALUE"""),"Poultry — chicken, geese, duck, turkey and Guinea fowl — ostrich, pigeon Kidney")</f>
        <v>Poultry — chicken, geese, duck, turkey and Guinea fowl — ostrich, pigeon Kidney</v>
      </c>
    </row>
    <row r="290" spans="1:1" ht="12.5" x14ac:dyDescent="0.25">
      <c r="A290" t="str">
        <f ca="1">IFERROR(__xludf.DUMMYFUNCTION("""COMPUTED_VALUE"""),"Poultry — chicken, geese, duck, turkey and Guinea fowl — ostrich, pigeon Liver")</f>
        <v>Poultry — chicken, geese, duck, turkey and Guinea fowl — ostrich, pigeon Liver</v>
      </c>
    </row>
    <row r="291" spans="1:1" ht="12.5" x14ac:dyDescent="0.25">
      <c r="A291" t="str">
        <f ca="1">IFERROR(__xludf.DUMMYFUNCTION("""COMPUTED_VALUE"""),"Poultry — chicken, geese, duck, turkey and Guinea fowl — ostrich, pigeon Meat")</f>
        <v>Poultry — chicken, geese, duck, turkey and Guinea fowl — ostrich, pigeon Meat</v>
      </c>
    </row>
    <row r="292" spans="1:1" ht="12.5" x14ac:dyDescent="0.25">
      <c r="A292" t="str">
        <f ca="1">IFERROR(__xludf.DUMMYFUNCTION("""COMPUTED_VALUE"""),"Poultry — chicken, geese, duck, turkey and Guinea fowl — ostrich, pigeon Others")</f>
        <v>Poultry — chicken, geese, duck, turkey and Guinea fowl — ostrich, pigeon Others</v>
      </c>
    </row>
    <row r="293" spans="1:1" ht="12.5" x14ac:dyDescent="0.25">
      <c r="A293" t="str">
        <f ca="1">IFERROR(__xludf.DUMMYFUNCTION("""COMPUTED_VALUE"""),"Prickly pear (cactus fruit)")</f>
        <v>Prickly pear (cactus fruit)</v>
      </c>
    </row>
    <row r="294" spans="1:1" ht="12.5" x14ac:dyDescent="0.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x14ac:dyDescent="0.25">
      <c r="A295" t="str">
        <f ca="1">IFERROR(__xludf.DUMMYFUNCTION("""COMPUTED_VALUE"""),"Pulses, Dry")</f>
        <v>Pulses, Dry</v>
      </c>
    </row>
    <row r="296" spans="1:1" ht="12.5" x14ac:dyDescent="0.25">
      <c r="A296" t="str">
        <f ca="1">IFERROR(__xludf.DUMMYFUNCTION("""COMPUTED_VALUE"""),"Pumpkin seeds")</f>
        <v>Pumpkin seeds</v>
      </c>
    </row>
    <row r="297" spans="1:1" ht="12.5" x14ac:dyDescent="0.25">
      <c r="A297" t="str">
        <f ca="1">IFERROR(__xludf.DUMMYFUNCTION("""COMPUTED_VALUE"""),"Pumpkins")</f>
        <v>Pumpkins</v>
      </c>
    </row>
    <row r="298" spans="1:1" ht="12.5" x14ac:dyDescent="0.25">
      <c r="A298" t="str">
        <f ca="1">IFERROR(__xludf.DUMMYFUNCTION("""COMPUTED_VALUE"""),"Purslane")</f>
        <v>Purslane</v>
      </c>
    </row>
    <row r="299" spans="1:1" ht="12.5" x14ac:dyDescent="0.25">
      <c r="A299" t="str">
        <f ca="1">IFERROR(__xludf.DUMMYFUNCTION("""COMPUTED_VALUE"""),"Quinces")</f>
        <v>Quinces</v>
      </c>
    </row>
    <row r="300" spans="1:1" ht="12.5" x14ac:dyDescent="0.25">
      <c r="A300" t="str">
        <f ca="1">IFERROR(__xludf.DUMMYFUNCTION("""COMPUTED_VALUE"""),"Radishes")</f>
        <v>Radishes</v>
      </c>
    </row>
    <row r="301" spans="1:1" ht="12.5" x14ac:dyDescent="0.25">
      <c r="A301" t="str">
        <f ca="1">IFERROR(__xludf.DUMMYFUNCTION("""COMPUTED_VALUE"""),"Rape seed")</f>
        <v>Rape seed</v>
      </c>
    </row>
    <row r="302" spans="1:1" ht="12.5" x14ac:dyDescent="0.25">
      <c r="A302" t="str">
        <f ca="1">IFERROR(__xludf.DUMMYFUNCTION("""COMPUTED_VALUE"""),"Raspberries")</f>
        <v>Raspberries</v>
      </c>
    </row>
    <row r="303" spans="1:1" ht="12.5" x14ac:dyDescent="0.25">
      <c r="A303" t="str">
        <f ca="1">IFERROR(__xludf.DUMMYFUNCTION("""COMPUTED_VALUE"""),"Red mustard")</f>
        <v>Red mustard</v>
      </c>
    </row>
    <row r="304" spans="1:1" ht="12.5" x14ac:dyDescent="0.25">
      <c r="A304" t="str">
        <f ca="1">IFERROR(__xludf.DUMMYFUNCTION("""COMPUTED_VALUE"""),"Rhubarb")</f>
        <v>Rhubarb</v>
      </c>
    </row>
    <row r="305" spans="1:1" ht="12.5" x14ac:dyDescent="0.25">
      <c r="A305" t="str">
        <f ca="1">IFERROR(__xludf.DUMMYFUNCTION("""COMPUTED_VALUE"""),"Rice")</f>
        <v>Rice</v>
      </c>
    </row>
    <row r="306" spans="1:1" ht="12.5" x14ac:dyDescent="0.25">
      <c r="A306" t="str">
        <f ca="1">IFERROR(__xludf.DUMMYFUNCTION("""COMPUTED_VALUE"""),"Rocket, Rucola")</f>
        <v>Rocket, Rucola</v>
      </c>
    </row>
    <row r="307" spans="1:1" ht="12.5" x14ac:dyDescent="0.25">
      <c r="A307" t="str">
        <f ca="1">IFERROR(__xludf.DUMMYFUNCTION("""COMPUTED_VALUE"""),"Rooibos leaves")</f>
        <v>Rooibos leaves</v>
      </c>
    </row>
    <row r="308" spans="1:1" ht="12.5" x14ac:dyDescent="0.25">
      <c r="A308" t="str">
        <f ca="1">IFERROR(__xludf.DUMMYFUNCTION("""COMPUTED_VALUE"""),"Root and Tuber vegetables")</f>
        <v>Root and Tuber vegetables</v>
      </c>
    </row>
    <row r="309" spans="1:1" ht="12.5" x14ac:dyDescent="0.25">
      <c r="A309" t="str">
        <f ca="1">IFERROR(__xludf.DUMMYFUNCTION("""COMPUTED_VALUE"""),"Rose hips")</f>
        <v>Rose hips</v>
      </c>
    </row>
    <row r="310" spans="1:1" ht="12.5" x14ac:dyDescent="0.25">
      <c r="A310" t="str">
        <f ca="1">IFERROR(__xludf.DUMMYFUNCTION("""COMPUTED_VALUE"""),"Rose petals")</f>
        <v>Rose petals</v>
      </c>
    </row>
    <row r="311" spans="1:1" ht="12.5" x14ac:dyDescent="0.25">
      <c r="A311" t="str">
        <f ca="1">IFERROR(__xludf.DUMMYFUNCTION("""COMPUTED_VALUE"""),"Rosemary")</f>
        <v>Rosemary</v>
      </c>
    </row>
    <row r="312" spans="1:1" ht="12.5" x14ac:dyDescent="0.25">
      <c r="A312" t="str">
        <f ca="1">IFERROR(__xludf.DUMMYFUNCTION("""COMPUTED_VALUE"""),"Rye")</f>
        <v>Rye</v>
      </c>
    </row>
    <row r="313" spans="1:1" ht="12.5" x14ac:dyDescent="0.25">
      <c r="A313" t="str">
        <f ca="1">IFERROR(__xludf.DUMMYFUNCTION("""COMPUTED_VALUE"""),"Safflower")</f>
        <v>Safflower</v>
      </c>
    </row>
    <row r="314" spans="1:1" ht="12.5" x14ac:dyDescent="0.25">
      <c r="A314" t="str">
        <f ca="1">IFERROR(__xludf.DUMMYFUNCTION("""COMPUTED_VALUE"""),"Saffron")</f>
        <v>Saffron</v>
      </c>
    </row>
    <row r="315" spans="1:1" ht="12.5" x14ac:dyDescent="0.25">
      <c r="A315" t="str">
        <f ca="1">IFERROR(__xludf.DUMMYFUNCTION("""COMPUTED_VALUE"""),"Sage")</f>
        <v>Sage</v>
      </c>
    </row>
    <row r="316" spans="1:1" ht="12.5" x14ac:dyDescent="0.25">
      <c r="A316" t="str">
        <f ca="1">IFERROR(__xludf.DUMMYFUNCTION("""COMPUTED_VALUE"""),"Salsify")</f>
        <v>Salsify</v>
      </c>
    </row>
    <row r="317" spans="1:1" ht="12.5" x14ac:dyDescent="0.25">
      <c r="A317" t="str">
        <f ca="1">IFERROR(__xludf.DUMMYFUNCTION("""COMPUTED_VALUE"""),"Scarole (broad-leaf endive)")</f>
        <v>Scarole (broad-leaf endive)</v>
      </c>
    </row>
    <row r="318" spans="1:1" ht="12.5" x14ac:dyDescent="0.25">
      <c r="A318" t="str">
        <f ca="1">IFERROR(__xludf.DUMMYFUNCTION("""COMPUTED_VALUE"""),"Sea weeds")</f>
        <v>Sea weeds</v>
      </c>
    </row>
    <row r="319" spans="1:1" ht="12.5" x14ac:dyDescent="0.25">
      <c r="A319" t="str">
        <f ca="1">IFERROR(__xludf.DUMMYFUNCTION("""COMPUTED_VALUE"""),"Sesame seed")</f>
        <v>Sesame seed</v>
      </c>
    </row>
    <row r="320" spans="1:1" ht="12.5" x14ac:dyDescent="0.25">
      <c r="A320" t="str">
        <f ca="1">IFERROR(__xludf.DUMMYFUNCTION("""COMPUTED_VALUE"""),"Shallots")</f>
        <v>Shallots</v>
      </c>
    </row>
    <row r="321" spans="1:1" ht="12.5" x14ac:dyDescent="0.25">
      <c r="A321" t="str">
        <f ca="1">IFERROR(__xludf.DUMMYFUNCTION("""COMPUTED_VALUE"""),"Sheep")</f>
        <v>Sheep</v>
      </c>
    </row>
    <row r="322" spans="1:1" ht="12.5" x14ac:dyDescent="0.25">
      <c r="A322" t="str">
        <f ca="1">IFERROR(__xludf.DUMMYFUNCTION("""COMPUTED_VALUE"""),"Sheep Edible offal")</f>
        <v>Sheep Edible offal</v>
      </c>
    </row>
    <row r="323" spans="1:1" ht="12.5" x14ac:dyDescent="0.25">
      <c r="A323" t="str">
        <f ca="1">IFERROR(__xludf.DUMMYFUNCTION("""COMPUTED_VALUE"""),"Sheep Fat")</f>
        <v>Sheep Fat</v>
      </c>
    </row>
    <row r="324" spans="1:1" ht="12.5" x14ac:dyDescent="0.25">
      <c r="A324" t="str">
        <f ca="1">IFERROR(__xludf.DUMMYFUNCTION("""COMPUTED_VALUE"""),"Sheep Kidney")</f>
        <v>Sheep Kidney</v>
      </c>
    </row>
    <row r="325" spans="1:1" ht="12.5" x14ac:dyDescent="0.25">
      <c r="A325" t="str">
        <f ca="1">IFERROR(__xludf.DUMMYFUNCTION("""COMPUTED_VALUE"""),"Sheep Liver")</f>
        <v>Sheep Liver</v>
      </c>
    </row>
    <row r="326" spans="1:1" ht="12.5" x14ac:dyDescent="0.25">
      <c r="A326" t="str">
        <f ca="1">IFERROR(__xludf.DUMMYFUNCTION("""COMPUTED_VALUE"""),"Sheep Meat")</f>
        <v>Sheep Meat</v>
      </c>
    </row>
    <row r="327" spans="1:1" ht="12.5" x14ac:dyDescent="0.25">
      <c r="A327" t="str">
        <f ca="1">IFERROR(__xludf.DUMMYFUNCTION("""COMPUTED_VALUE"""),"Sheep Others")</f>
        <v>Sheep Others</v>
      </c>
    </row>
    <row r="328" spans="1:1" ht="12.5" x14ac:dyDescent="0.25">
      <c r="A328" t="str">
        <f ca="1">IFERROR(__xludf.DUMMYFUNCTION("""COMPUTED_VALUE"""),"Snails")</f>
        <v>Snails</v>
      </c>
    </row>
    <row r="329" spans="1:1" ht="12.5" x14ac:dyDescent="0.25">
      <c r="A329" t="str">
        <f ca="1">IFERROR(__xludf.DUMMYFUNCTION("""COMPUTED_VALUE"""),"Solanacea")</f>
        <v>Solanacea</v>
      </c>
    </row>
    <row r="330" spans="1:1" ht="12.5" x14ac:dyDescent="0.25">
      <c r="A330" t="str">
        <f ca="1">IFERROR(__xludf.DUMMYFUNCTION("""COMPUTED_VALUE"""),"Sorghum")</f>
        <v>Sorghum</v>
      </c>
    </row>
    <row r="331" spans="1:1" ht="12.5" x14ac:dyDescent="0.25">
      <c r="A331" t="str">
        <f ca="1">IFERROR(__xludf.DUMMYFUNCTION("""COMPUTED_VALUE"""),"Soursop (guanabana)")</f>
        <v>Soursop (guanabana)</v>
      </c>
    </row>
    <row r="332" spans="1:1" ht="12.5" x14ac:dyDescent="0.25">
      <c r="A332" t="str">
        <f ca="1">IFERROR(__xludf.DUMMYFUNCTION("""COMPUTED_VALUE"""),"Soya bean")</f>
        <v>Soya bean</v>
      </c>
    </row>
    <row r="333" spans="1:1" ht="12.5" x14ac:dyDescent="0.25">
      <c r="A333" t="str">
        <f ca="1">IFERROR(__xludf.DUMMYFUNCTION("""COMPUTED_VALUE"""),"Spices")</f>
        <v>Spices</v>
      </c>
    </row>
    <row r="334" spans="1:1" ht="12.5" x14ac:dyDescent="0.25">
      <c r="A334" t="str">
        <f ca="1">IFERROR(__xludf.DUMMYFUNCTION("""COMPUTED_VALUE"""),"Spices (aril)")</f>
        <v>Spices (aril)</v>
      </c>
    </row>
    <row r="335" spans="1:1" ht="12.5" x14ac:dyDescent="0.25">
      <c r="A335" t="str">
        <f ca="1">IFERROR(__xludf.DUMMYFUNCTION("""COMPUTED_VALUE"""),"Spices (bark)")</f>
        <v>Spices (bark)</v>
      </c>
    </row>
    <row r="336" spans="1:1" ht="12.5" x14ac:dyDescent="0.25">
      <c r="A336" t="str">
        <f ca="1">IFERROR(__xludf.DUMMYFUNCTION("""COMPUTED_VALUE"""),"Spices (buds)")</f>
        <v>Spices (buds)</v>
      </c>
    </row>
    <row r="337" spans="1:1" ht="12.5" x14ac:dyDescent="0.25">
      <c r="A337" t="str">
        <f ca="1">IFERROR(__xludf.DUMMYFUNCTION("""COMPUTED_VALUE"""),"Spices (flower stigma)")</f>
        <v>Spices (flower stigma)</v>
      </c>
    </row>
    <row r="338" spans="1:1" ht="12.5" x14ac:dyDescent="0.25">
      <c r="A338" t="str">
        <f ca="1">IFERROR(__xludf.DUMMYFUNCTION("""COMPUTED_VALUE"""),"spices (fruits and berries)")</f>
        <v>spices (fruits and berries)</v>
      </c>
    </row>
    <row r="339" spans="1:1" ht="12.5" x14ac:dyDescent="0.25">
      <c r="A339" t="str">
        <f ca="1">IFERROR(__xludf.DUMMYFUNCTION("""COMPUTED_VALUE"""),"Spices (roots and rhizome)")</f>
        <v>Spices (roots and rhizome)</v>
      </c>
    </row>
    <row r="340" spans="1:1" ht="12.5" x14ac:dyDescent="0.25">
      <c r="A340" t="str">
        <f ca="1">IFERROR(__xludf.DUMMYFUNCTION("""COMPUTED_VALUE"""),"Spices (seeds)")</f>
        <v>Spices (seeds)</v>
      </c>
    </row>
    <row r="341" spans="1:1" ht="12.5" x14ac:dyDescent="0.25">
      <c r="A341" t="str">
        <f ca="1">IFERROR(__xludf.DUMMYFUNCTION("""COMPUTED_VALUE"""),"Spinach")</f>
        <v>Spinach</v>
      </c>
    </row>
    <row r="342" spans="1:1" ht="12.5" x14ac:dyDescent="0.25">
      <c r="A342" t="str">
        <f ca="1">IFERROR(__xludf.DUMMYFUNCTION("""COMPUTED_VALUE"""),"Spinach and similar (leaves)")</f>
        <v>Spinach and similar (leaves)</v>
      </c>
    </row>
    <row r="343" spans="1:1" ht="12.5" x14ac:dyDescent="0.25">
      <c r="A343" t="str">
        <f ca="1">IFERROR(__xludf.DUMMYFUNCTION("""COMPUTED_VALUE"""),"Spring onions")</f>
        <v>Spring onions</v>
      </c>
    </row>
    <row r="344" spans="1:1" ht="12.5" x14ac:dyDescent="0.25">
      <c r="A344" t="str">
        <f ca="1">IFERROR(__xludf.DUMMYFUNCTION("""COMPUTED_VALUE"""),"Star apple")</f>
        <v>Star apple</v>
      </c>
    </row>
    <row r="345" spans="1:1" ht="12.5" x14ac:dyDescent="0.25">
      <c r="A345" t="str">
        <f ca="1">IFERROR(__xludf.DUMMYFUNCTION("""COMPUTED_VALUE"""),"Stem vegetables, fresh")</f>
        <v>Stem vegetables, fresh</v>
      </c>
    </row>
    <row r="346" spans="1:1" ht="12.5" x14ac:dyDescent="0.25">
      <c r="A346" t="str">
        <f ca="1">IFERROR(__xludf.DUMMYFUNCTION("""COMPUTED_VALUE"""),"Stone fruit")</f>
        <v>Stone fruit</v>
      </c>
    </row>
    <row r="347" spans="1:1" ht="12.5" x14ac:dyDescent="0.25">
      <c r="A347" t="str">
        <f ca="1">IFERROR(__xludf.DUMMYFUNCTION("""COMPUTED_VALUE"""),"Strawberries")</f>
        <v>Strawberries</v>
      </c>
    </row>
    <row r="348" spans="1:1" ht="12.5" x14ac:dyDescent="0.25">
      <c r="A348" t="str">
        <f ca="1">IFERROR(__xludf.DUMMYFUNCTION("""COMPUTED_VALUE"""),"Strawberry leaves")</f>
        <v>Strawberry leaves</v>
      </c>
    </row>
    <row r="349" spans="1:1" ht="12.5" x14ac:dyDescent="0.25">
      <c r="A349" t="str">
        <f ca="1">IFERROR(__xludf.DUMMYFUNCTION("""COMPUTED_VALUE"""),"Sugar beet")</f>
        <v>Sugar beet</v>
      </c>
    </row>
    <row r="350" spans="1:1" ht="12.5" x14ac:dyDescent="0.25">
      <c r="A350" t="str">
        <f ca="1">IFERROR(__xludf.DUMMYFUNCTION("""COMPUTED_VALUE"""),"Sugar cane")</f>
        <v>Sugar cane</v>
      </c>
    </row>
    <row r="351" spans="1:1" ht="12.5" x14ac:dyDescent="0.25">
      <c r="A351" t="str">
        <f ca="1">IFERROR(__xludf.DUMMYFUNCTION("""COMPUTED_VALUE"""),"Sugar Plants")</f>
        <v>Sugar Plants</v>
      </c>
    </row>
    <row r="352" spans="1:1" ht="12.5" x14ac:dyDescent="0.25">
      <c r="A352" t="str">
        <f ca="1">IFERROR(__xludf.DUMMYFUNCTION("""COMPUTED_VALUE"""),"Sunflower seed")</f>
        <v>Sunflower seed</v>
      </c>
    </row>
    <row r="353" spans="1:1" ht="12.5" x14ac:dyDescent="0.25">
      <c r="A353" t="str">
        <f ca="1">IFERROR(__xludf.DUMMYFUNCTION("""COMPUTED_VALUE"""),"Swedes")</f>
        <v>Swedes</v>
      </c>
    </row>
    <row r="354" spans="1:1" ht="12.5" x14ac:dyDescent="0.25">
      <c r="A354" t="str">
        <f ca="1">IFERROR(__xludf.DUMMYFUNCTION("""COMPUTED_VALUE"""),"Sweet corn")</f>
        <v>Sweet corn</v>
      </c>
    </row>
    <row r="355" spans="1:1" ht="12.5" x14ac:dyDescent="0.25">
      <c r="A355" t="str">
        <f ca="1">IFERROR(__xludf.DUMMYFUNCTION("""COMPUTED_VALUE"""),"Sweet potatoes")</f>
        <v>Sweet potatoes</v>
      </c>
    </row>
    <row r="356" spans="1:1" ht="12.5" x14ac:dyDescent="0.25">
      <c r="A356" t="str">
        <f ca="1">IFERROR(__xludf.DUMMYFUNCTION("""COMPUTED_VALUE"""),"Swine")</f>
        <v>Swine</v>
      </c>
    </row>
    <row r="357" spans="1:1" ht="12.5" x14ac:dyDescent="0.25">
      <c r="A357" t="str">
        <f ca="1">IFERROR(__xludf.DUMMYFUNCTION("""COMPUTED_VALUE"""),"Swine Edible offal")</f>
        <v>Swine Edible offal</v>
      </c>
    </row>
    <row r="358" spans="1:1" ht="12.5" x14ac:dyDescent="0.25">
      <c r="A358" t="str">
        <f ca="1">IFERROR(__xludf.DUMMYFUNCTION("""COMPUTED_VALUE"""),"Swine Fat free of lean meat")</f>
        <v>Swine Fat free of lean meat</v>
      </c>
    </row>
    <row r="359" spans="1:1" ht="12.5" x14ac:dyDescent="0.25">
      <c r="A359" t="str">
        <f ca="1">IFERROR(__xludf.DUMMYFUNCTION("""COMPUTED_VALUE"""),"Swine Kidney")</f>
        <v>Swine Kidney</v>
      </c>
    </row>
    <row r="360" spans="1:1" ht="12.5" x14ac:dyDescent="0.25">
      <c r="A360" t="str">
        <f ca="1">IFERROR(__xludf.DUMMYFUNCTION("""COMPUTED_VALUE"""),"Swine Liver")</f>
        <v>Swine Liver</v>
      </c>
    </row>
    <row r="361" spans="1:1" ht="12.5" x14ac:dyDescent="0.25">
      <c r="A361" t="str">
        <f ca="1">IFERROR(__xludf.DUMMYFUNCTION("""COMPUTED_VALUE"""),"Swine Meat")</f>
        <v>Swine Meat</v>
      </c>
    </row>
    <row r="362" spans="1:1" ht="12.5" x14ac:dyDescent="0.25">
      <c r="A362" t="str">
        <f ca="1">IFERROR(__xludf.DUMMYFUNCTION("""COMPUTED_VALUE"""),"Swine Others")</f>
        <v>Swine Others</v>
      </c>
    </row>
    <row r="363" spans="1:1" ht="12.5" x14ac:dyDescent="0.25">
      <c r="A363" t="str">
        <f ca="1">IFERROR(__xludf.DUMMYFUNCTION("""COMPUTED_VALUE"""),"Table and Wine grapes")</f>
        <v>Table and Wine grapes</v>
      </c>
    </row>
    <row r="364" spans="1:1" ht="12.5" x14ac:dyDescent="0.25">
      <c r="A364" t="str">
        <f ca="1">IFERROR(__xludf.DUMMYFUNCTION("""COMPUTED_VALUE"""),"Table grapes")</f>
        <v>Table grapes</v>
      </c>
    </row>
    <row r="365" spans="1:1" ht="12.5" x14ac:dyDescent="0.25">
      <c r="A365" t="str">
        <f ca="1">IFERROR(__xludf.DUMMYFUNCTION("""COMPUTED_VALUE"""),"Table olives")</f>
        <v>Table olives</v>
      </c>
    </row>
    <row r="366" spans="1:1" ht="12.5" x14ac:dyDescent="0.25">
      <c r="A366" t="str">
        <f ca="1">IFERROR(__xludf.DUMMYFUNCTION("""COMPUTED_VALUE"""),"Tamarind")</f>
        <v>Tamarind</v>
      </c>
    </row>
    <row r="367" spans="1:1" ht="12.5" x14ac:dyDescent="0.25">
      <c r="A367" t="str">
        <f ca="1">IFERROR(__xludf.DUMMYFUNCTION("""COMPUTED_VALUE"""),"Tarragon")</f>
        <v>Tarragon</v>
      </c>
    </row>
    <row r="368" spans="1:1" ht="12.5" x14ac:dyDescent="0.25">
      <c r="A368" t="str">
        <f ca="1">IFERROR(__xludf.DUMMYFUNCTION("""COMPUTED_VALUE"""),"Tea")</f>
        <v>Tea</v>
      </c>
    </row>
    <row r="369" spans="1:1" ht="12.5" x14ac:dyDescent="0.25">
      <c r="A369" t="str">
        <f ca="1">IFERROR(__xludf.DUMMYFUNCTION("""COMPUTED_VALUE"""),"Tea, Coffee, Herbal infusions and Cocoa")</f>
        <v>Tea, Coffee, Herbal infusions and Cocoa</v>
      </c>
    </row>
    <row r="370" spans="1:1" ht="12.5" x14ac:dyDescent="0.25">
      <c r="A370" t="str">
        <f ca="1">IFERROR(__xludf.DUMMYFUNCTION("""COMPUTED_VALUE"""),"Thyme")</f>
        <v>Thyme</v>
      </c>
    </row>
    <row r="371" spans="1:1" ht="12.5" x14ac:dyDescent="0.25">
      <c r="A371" t="str">
        <f ca="1">IFERROR(__xludf.DUMMYFUNCTION("""COMPUTED_VALUE"""),"Tomatoes")</f>
        <v>Tomatoes</v>
      </c>
    </row>
    <row r="372" spans="1:1" ht="12.5" x14ac:dyDescent="0.25">
      <c r="A372" t="str">
        <f ca="1">IFERROR(__xludf.DUMMYFUNCTION("""COMPUTED_VALUE"""),"Tree nuts, shelled or unshelled")</f>
        <v>Tree nuts, shelled or unshelled</v>
      </c>
    </row>
    <row r="373" spans="1:1" ht="12.5" x14ac:dyDescent="0.25">
      <c r="A373" t="str">
        <f ca="1">IFERROR(__xludf.DUMMYFUNCTION("""COMPUTED_VALUE"""),"Tropical root and tuber vegetables")</f>
        <v>Tropical root and tuber vegetables</v>
      </c>
    </row>
    <row r="374" spans="1:1" ht="12.5" x14ac:dyDescent="0.25">
      <c r="A374" t="str">
        <f ca="1">IFERROR(__xludf.DUMMYFUNCTION("""COMPUTED_VALUE"""),"Turmeric (Curcuma)")</f>
        <v>Turmeric (Curcuma)</v>
      </c>
    </row>
    <row r="375" spans="1:1" ht="12.5" x14ac:dyDescent="0.25">
      <c r="A375" t="str">
        <f ca="1">IFERROR(__xludf.DUMMYFUNCTION("""COMPUTED_VALUE"""),"Turnips")</f>
        <v>Turnips</v>
      </c>
    </row>
    <row r="376" spans="1:1" ht="12.5" x14ac:dyDescent="0.25">
      <c r="A376" t="str">
        <f ca="1">IFERROR(__xludf.DUMMYFUNCTION("""COMPUTED_VALUE"""),"Valerian root")</f>
        <v>Valerian root</v>
      </c>
    </row>
    <row r="377" spans="1:1" ht="12.5" x14ac:dyDescent="0.25">
      <c r="A377" t="str">
        <f ca="1">IFERROR(__xludf.DUMMYFUNCTION("""COMPUTED_VALUE"""),"Vanilla pods")</f>
        <v>Vanilla pods</v>
      </c>
    </row>
    <row r="378" spans="1:1" ht="12.5" x14ac:dyDescent="0.25">
      <c r="A378" t="str">
        <f ca="1">IFERROR(__xludf.DUMMYFUNCTION("""COMPUTED_VALUE"""),"Vegetables Fresh or Frozen")</f>
        <v>Vegetables Fresh or Frozen</v>
      </c>
    </row>
    <row r="379" spans="1:1" ht="12.5" x14ac:dyDescent="0.25">
      <c r="A379" t="str">
        <f ca="1">IFERROR(__xludf.DUMMYFUNCTION("""COMPUTED_VALUE"""),"Vine leaves (grape leaves)")</f>
        <v>Vine leaves (grape leaves)</v>
      </c>
    </row>
    <row r="380" spans="1:1" ht="12.5" x14ac:dyDescent="0.25">
      <c r="A380" t="str">
        <f ca="1">IFERROR(__xludf.DUMMYFUNCTION("""COMPUTED_VALUE"""),"Walnuts")</f>
        <v>Walnuts</v>
      </c>
    </row>
    <row r="381" spans="1:1" ht="12.5" x14ac:dyDescent="0.25">
      <c r="A381" t="str">
        <f ca="1">IFERROR(__xludf.DUMMYFUNCTION("""COMPUTED_VALUE"""),"Water")</f>
        <v>Water</v>
      </c>
    </row>
    <row r="382" spans="1:1" ht="12.5" x14ac:dyDescent="0.25">
      <c r="A382" t="str">
        <f ca="1">IFERROR(__xludf.DUMMYFUNCTION("""COMPUTED_VALUE"""),"Water cress")</f>
        <v>Water cress</v>
      </c>
    </row>
    <row r="383" spans="1:1" ht="12.5" x14ac:dyDescent="0.25">
      <c r="A383" t="str">
        <f ca="1">IFERROR(__xludf.DUMMYFUNCTION("""COMPUTED_VALUE"""),"Watermelons")</f>
        <v>Watermelons</v>
      </c>
    </row>
    <row r="384" spans="1:1" ht="12.5" x14ac:dyDescent="0.25">
      <c r="A384" t="str">
        <f ca="1">IFERROR(__xludf.DUMMYFUNCTION("""COMPUTED_VALUE"""),"Wheat")</f>
        <v>Wheat</v>
      </c>
    </row>
    <row r="385" spans="1:1" ht="12.5" x14ac:dyDescent="0.25">
      <c r="A385" t="str">
        <f ca="1">IFERROR(__xludf.DUMMYFUNCTION("""COMPUTED_VALUE"""),"Wild fungi")</f>
        <v>Wild fungi</v>
      </c>
    </row>
    <row r="386" spans="1:1" ht="12.5" x14ac:dyDescent="0.25">
      <c r="A386" t="str">
        <f ca="1">IFERROR(__xludf.DUMMYFUNCTION("""COMPUTED_VALUE"""),"Wine grapes")</f>
        <v>Wine grapes</v>
      </c>
    </row>
    <row r="387" spans="1:1" ht="12.5" x14ac:dyDescent="0.25">
      <c r="A387" t="str">
        <f ca="1">IFERROR(__xludf.DUMMYFUNCTION("""COMPUTED_VALUE"""),"Witloof")</f>
        <v>Witloof</v>
      </c>
    </row>
    <row r="388" spans="1:1" ht="12.5" x14ac:dyDescent="0.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x14ac:dyDescent="0.25"/>
  <sheetData>
    <row r="1" spans="1:39" ht="15.75" customHeight="1" x14ac:dyDescent="0.3">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x14ac:dyDescent="0.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x14ac:dyDescent="0.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x14ac:dyDescent="0.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x14ac:dyDescent="0.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x14ac:dyDescent="0.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x14ac:dyDescent="0.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x14ac:dyDescent="0.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x14ac:dyDescent="0.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x14ac:dyDescent="0.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x14ac:dyDescent="0.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x14ac:dyDescent="0.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x14ac:dyDescent="0.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x14ac:dyDescent="0.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x14ac:dyDescent="0.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x14ac:dyDescent="0.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x14ac:dyDescent="0.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x14ac:dyDescent="0.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x14ac:dyDescent="0.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x14ac:dyDescent="0.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x14ac:dyDescent="0.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x14ac:dyDescent="0.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x14ac:dyDescent="0.25">
      <c r="M23" t="str">
        <f ca="1">IFERROR(__xludf.DUMMYFUNCTION("""COMPUTED_VALUE"""),"PROCESSING CENTER-SLAUGHTER: Flaking")</f>
        <v>PROCESSING CENTER-SLAUGHTER: Flaking</v>
      </c>
      <c r="N23" t="str">
        <f ca="1">IFERROR(__xludf.DUMMYFUNCTION("""COMPUTED_VALUE"""),"Sub-Class_Process model_44")</f>
        <v>Sub-Class_Process model_44</v>
      </c>
    </row>
    <row r="24" spans="13:14" ht="12.5" x14ac:dyDescent="0.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x14ac:dyDescent="0.25">
      <c r="M25" t="str">
        <f ca="1">IFERROR(__xludf.DUMMYFUNCTION("""COMPUTED_VALUE"""),"PROCESSING CENTER-SLAUGHTER: Heating")</f>
        <v>PROCESSING CENTER-SLAUGHTER: Heating</v>
      </c>
      <c r="N25" t="str">
        <f ca="1">IFERROR(__xludf.DUMMYFUNCTION("""COMPUTED_VALUE"""),"Sub-Class_Process model_45")</f>
        <v>Sub-Class_Process model_45</v>
      </c>
    </row>
    <row r="26" spans="13:14" ht="12.5" x14ac:dyDescent="0.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x14ac:dyDescent="0.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x14ac:dyDescent="0.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x14ac:dyDescent="0.25">
      <c r="M29" t="str">
        <f ca="1">IFERROR(__xludf.DUMMYFUNCTION("""COMPUTED_VALUE"""),"PROCESSING CENTER-SLAUGHTER: Juicing")</f>
        <v>PROCESSING CENTER-SLAUGHTER: Juicing</v>
      </c>
      <c r="N29" t="str">
        <f ca="1">IFERROR(__xludf.DUMMYFUNCTION("""COMPUTED_VALUE"""),"Sub-Class_Process model_8")</f>
        <v>Sub-Class_Process model_8</v>
      </c>
    </row>
    <row r="30" spans="13:14" ht="12.5" x14ac:dyDescent="0.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x14ac:dyDescent="0.25">
      <c r="M31" t="str">
        <f ca="1">IFERROR(__xludf.DUMMYFUNCTION("""COMPUTED_VALUE"""),"PROCESSING CENTER-SLAUGHTER: Milling")</f>
        <v>PROCESSING CENTER-SLAUGHTER: Milling</v>
      </c>
      <c r="N31" t="str">
        <f ca="1">IFERROR(__xludf.DUMMYFUNCTION("""COMPUTED_VALUE"""),"Sub-Class_Process model_15")</f>
        <v>Sub-Class_Process model_15</v>
      </c>
    </row>
    <row r="32" spans="13:14" ht="12.5" x14ac:dyDescent="0.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x14ac:dyDescent="0.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x14ac:dyDescent="0.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x14ac:dyDescent="0.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x14ac:dyDescent="0.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x14ac:dyDescent="0.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x14ac:dyDescent="0.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x14ac:dyDescent="0.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x14ac:dyDescent="0.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x14ac:dyDescent="0.25">
      <c r="M41" t="str">
        <f ca="1">IFERROR(__xludf.DUMMYFUNCTION("""COMPUTED_VALUE"""),"PROCESSING CENTER-SLAUGHTER: Other")</f>
        <v>PROCESSING CENTER-SLAUGHTER: Other</v>
      </c>
      <c r="N41" t="str">
        <f ca="1">IFERROR(__xludf.DUMMYFUNCTION("""COMPUTED_VALUE"""),"Sub-Class_Process model_60")</f>
        <v>Sub-Class_Process model_60</v>
      </c>
    </row>
    <row r="42" spans="13:14" ht="12.5" x14ac:dyDescent="0.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x14ac:dyDescent="0.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x14ac:dyDescent="0.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x14ac:dyDescent="0.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x14ac:dyDescent="0.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x14ac:dyDescent="0.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x14ac:dyDescent="0.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x14ac:dyDescent="0.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x14ac:dyDescent="0.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x14ac:dyDescent="0.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x14ac:dyDescent="0.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x14ac:dyDescent="0.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x14ac:dyDescent="0.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x14ac:dyDescent="0.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x14ac:dyDescent="0.25">
      <c r="M56" t="str">
        <f ca="1">IFERROR(__xludf.DUMMYFUNCTION("""COMPUTED_VALUE"""),"PROCESSING CENTER-SLAUGHTER: Smoking")</f>
        <v>PROCESSING CENTER-SLAUGHTER: Smoking</v>
      </c>
      <c r="N56" t="str">
        <f ca="1">IFERROR(__xludf.DUMMYFUNCTION("""COMPUTED_VALUE"""),"Sub-Class_Process model_40")</f>
        <v>Sub-Class_Process model_40</v>
      </c>
    </row>
    <row r="57" spans="13:14" ht="12.5" x14ac:dyDescent="0.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x14ac:dyDescent="0.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x14ac:dyDescent="0.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x14ac:dyDescent="0.25">
      <c r="M60" t="str">
        <f ca="1">IFERROR(__xludf.DUMMYFUNCTION("""COMPUTED_VALUE"""),"PROCESSING CENTER-SLAUGHTER: Unknown")</f>
        <v>PROCESSING CENTER-SLAUGHTER: Unknown</v>
      </c>
      <c r="N60" t="str">
        <f ca="1">IFERROR(__xludf.DUMMYFUNCTION("""COMPUTED_VALUE"""),"Sub-Class_Process model_57")</f>
        <v>Sub-Class_Process model_57</v>
      </c>
    </row>
    <row r="61" spans="13:14" ht="12.5" x14ac:dyDescent="0.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x14ac:dyDescent="0.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x14ac:dyDescent="0.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x14ac:dyDescent="0.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x14ac:dyDescent="0.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x14ac:dyDescent="0.25">
      <c r="M66" t="str">
        <f ca="1">IFERROR(__xludf.DUMMYFUNCTION("""COMPUTED_VALUE"""),"RETAIL")</f>
        <v>RETAIL</v>
      </c>
      <c r="N66" t="str">
        <f ca="1">IFERROR(__xludf.DUMMYFUNCTION("""COMPUTED_VALUE"""),"Sub-Class_Process model_73")</f>
        <v>Sub-Class_Process model_73</v>
      </c>
    </row>
    <row r="67" spans="13:15" ht="12.5" x14ac:dyDescent="0.25">
      <c r="M67" t="str">
        <f ca="1">IFERROR(__xludf.DUMMYFUNCTION("""COMPUTED_VALUE"""),"STORAGE")</f>
        <v>STORAGE</v>
      </c>
      <c r="N67" t="str">
        <f ca="1">IFERROR(__xludf.DUMMYFUNCTION("""COMPUTED_VALUE"""),"Sub-Class_Process model_61")</f>
        <v>Sub-Class_Process model_61</v>
      </c>
    </row>
    <row r="68" spans="13:15" ht="12.5" x14ac:dyDescent="0.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x14ac:dyDescent="0.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x14ac:dyDescent="0.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x14ac:dyDescent="0.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x14ac:dyDescent="0.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x14ac:dyDescent="0.25">
      <c r="M73" t="str">
        <f ca="1">IFERROR(__xludf.DUMMYFUNCTION("""COMPUTED_VALUE"""),"TRANSPORT-DISTRIBUTION")</f>
        <v>TRANSPORT-DISTRIBUTION</v>
      </c>
      <c r="N73" t="str">
        <f ca="1">IFERROR(__xludf.DUMMYFUNCTION("""COMPUTED_VALUE"""),"Sub-Class_Process model_67")</f>
        <v>Sub-Class_Process model_67</v>
      </c>
    </row>
    <row r="74" spans="13:15" ht="12.5" x14ac:dyDescent="0.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x14ac:dyDescent="0.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x14ac:dyDescent="0.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x14ac:dyDescent="0.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x14ac:dyDescent="0.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x14ac:dyDescent="0.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x14ac:dyDescent="0.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x14ac:dyDescent="0.25">
      <c r="A4" t="str">
        <f ca="1">IFERROR(__xludf.DUMMYFUNCTION("""COMPUTED_VALUE"""),"Other")</f>
        <v>Other</v>
      </c>
      <c r="B4" t="str">
        <f ca="1">IFERROR(__xludf.DUMMYFUNCTION("""COMPUTED_VALUE"""),"Type of exposure_3")</f>
        <v>Type of exposure_3</v>
      </c>
    </row>
    <row r="5" spans="1:3" ht="12.5" x14ac:dyDescent="0.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x14ac:dyDescent="0.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x14ac:dyDescent="0.25">
      <c r="A2" t="str">
        <f ca="1">IFERROR(__xludf.DUMMYFUNCTION("""COMPUTED_VALUE"""),"Maximum likelihood estimation (MLE)")</f>
        <v>Maximum likelihood estimation (MLE)</v>
      </c>
      <c r="B2" t="str">
        <f ca="1">IFERROR(__xludf.DUMMYFUNCTION("""COMPUTED_VALUE"""),"Fitting procedure_1")</f>
        <v>Fitting procedure_1</v>
      </c>
    </row>
    <row r="3" spans="1:3" ht="12.5" x14ac:dyDescent="0.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x14ac:dyDescent="0.25"/>
  <cols>
    <col min="1" max="1" width="36.1796875" customWidth="1"/>
  </cols>
  <sheetData>
    <row r="1" spans="1:3" ht="15.75" customHeight="1" x14ac:dyDescent="0.3">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x14ac:dyDescent="0.25">
      <c r="A2" t="str">
        <f ca="1">IFERROR(__xludf.DUMMYFUNCTION("""COMPUTED_VALUE"""),"Arbitrary Fraction")</f>
        <v>Arbitrary Fraction</v>
      </c>
      <c r="B2" t="str">
        <f ca="1">IFERROR(__xludf.DUMMYFUNCTION("""COMPUTED_VALUE"""),"Parameter unit category_6")</f>
        <v>Parameter unit category_6</v>
      </c>
    </row>
    <row r="3" spans="1:3" ht="12.5" x14ac:dyDescent="0.25">
      <c r="A3" t="str">
        <f ca="1">IFERROR(__xludf.DUMMYFUNCTION("""COMPUTED_VALUE"""),"Dimensionless Quantity")</f>
        <v>Dimensionless Quantity</v>
      </c>
      <c r="B3" t="str">
        <f ca="1">IFERROR(__xludf.DUMMYFUNCTION("""COMPUTED_VALUE"""),"Parameter unit category_22")</f>
        <v>Parameter unit category_22</v>
      </c>
    </row>
    <row r="4" spans="1:3" ht="12.5" x14ac:dyDescent="0.25">
      <c r="A4" t="str">
        <f ca="1">IFERROR(__xludf.DUMMYFUNCTION("""COMPUTED_VALUE"""),"Energy Content")</f>
        <v>Energy Content</v>
      </c>
      <c r="B4" t="str">
        <f ca="1">IFERROR(__xludf.DUMMYFUNCTION("""COMPUTED_VALUE"""),"Parameter unit category_7")</f>
        <v>Parameter unit category_7</v>
      </c>
    </row>
    <row r="5" spans="1:3" ht="12.5" x14ac:dyDescent="0.25">
      <c r="A5" t="str">
        <f ca="1">IFERROR(__xludf.DUMMYFUNCTION("""COMPUTED_VALUE"""),"Energy Content Rate")</f>
        <v>Energy Content Rate</v>
      </c>
      <c r="B5" t="str">
        <f ca="1">IFERROR(__xludf.DUMMYFUNCTION("""COMPUTED_VALUE"""),"Parameter unit category_8")</f>
        <v>Parameter unit category_8</v>
      </c>
    </row>
    <row r="6" spans="1:3" ht="12.5" x14ac:dyDescent="0.25">
      <c r="A6" t="str">
        <f ca="1">IFERROR(__xludf.DUMMYFUNCTION("""COMPUTED_VALUE"""),"Length")</f>
        <v>Length</v>
      </c>
      <c r="B6" t="str">
        <f ca="1">IFERROR(__xludf.DUMMYFUNCTION("""COMPUTED_VALUE"""),"Parameter unit category_12")</f>
        <v>Parameter unit category_12</v>
      </c>
    </row>
    <row r="7" spans="1:3" ht="12.5" x14ac:dyDescent="0.25">
      <c r="A7" t="str">
        <f ca="1">IFERROR(__xludf.DUMMYFUNCTION("""COMPUTED_VALUE"""),"Mass")</f>
        <v>Mass</v>
      </c>
      <c r="B7" t="str">
        <f ca="1">IFERROR(__xludf.DUMMYFUNCTION("""COMPUTED_VALUE"""),"Parameter unit category_18")</f>
        <v>Parameter unit category_18</v>
      </c>
    </row>
    <row r="8" spans="1:3" ht="12.5" x14ac:dyDescent="0.25">
      <c r="A8" t="str">
        <f ca="1">IFERROR(__xludf.DUMMYFUNCTION("""COMPUTED_VALUE"""),"Mass Concentration")</f>
        <v>Mass Concentration</v>
      </c>
      <c r="B8" t="str">
        <f ca="1">IFERROR(__xludf.DUMMYFUNCTION("""COMPUTED_VALUE"""),"Parameter unit category_5")</f>
        <v>Parameter unit category_5</v>
      </c>
    </row>
    <row r="9" spans="1:3" ht="12.5" x14ac:dyDescent="0.25">
      <c r="A9" t="str">
        <f ca="1">IFERROR(__xludf.DUMMYFUNCTION("""COMPUTED_VALUE"""),"Mass Ratio")</f>
        <v>Mass Ratio</v>
      </c>
      <c r="B9" t="str">
        <f ca="1">IFERROR(__xludf.DUMMYFUNCTION("""COMPUTED_VALUE"""),"Parameter unit category_4")</f>
        <v>Parameter unit category_4</v>
      </c>
    </row>
    <row r="10" spans="1:3" ht="12.5" x14ac:dyDescent="0.25">
      <c r="A10" t="str">
        <f ca="1">IFERROR(__xludf.DUMMYFUNCTION("""COMPUTED_VALUE"""),"Mole Content")</f>
        <v>Mole Content</v>
      </c>
      <c r="B10" t="str">
        <f ca="1">IFERROR(__xludf.DUMMYFUNCTION("""COMPUTED_VALUE"""),"Parameter unit category_11")</f>
        <v>Parameter unit category_11</v>
      </c>
    </row>
    <row r="11" spans="1:3" ht="12.5" x14ac:dyDescent="0.25">
      <c r="A11" t="str">
        <f ca="1">IFERROR(__xludf.DUMMYFUNCTION("""COMPUTED_VALUE"""),"Number")</f>
        <v>Number</v>
      </c>
      <c r="B11" t="str">
        <f ca="1">IFERROR(__xludf.DUMMYFUNCTION("""COMPUTED_VALUE"""),"Parameter unit category_19")</f>
        <v>Parameter unit category_19</v>
      </c>
    </row>
    <row r="12" spans="1:3" ht="12.5" x14ac:dyDescent="0.25">
      <c r="A12" t="str">
        <f ca="1">IFERROR(__xludf.DUMMYFUNCTION("""COMPUTED_VALUE"""),"Number Aeric (number/area)")</f>
        <v>Number Aeric (number/area)</v>
      </c>
      <c r="B12" t="str">
        <f ca="1">IFERROR(__xludf.DUMMYFUNCTION("""COMPUTED_VALUE"""),"Parameter unit category_3")</f>
        <v>Parameter unit category_3</v>
      </c>
    </row>
    <row r="13" spans="1:3" ht="12.5" x14ac:dyDescent="0.25">
      <c r="A13" t="str">
        <f ca="1">IFERROR(__xludf.DUMMYFUNCTION("""COMPUTED_VALUE"""),"Number Concentration Difference")</f>
        <v>Number Concentration Difference</v>
      </c>
      <c r="B13" t="str">
        <f ca="1">IFERROR(__xludf.DUMMYFUNCTION("""COMPUTED_VALUE"""),"Parameter unit category_17")</f>
        <v>Parameter unit category_17</v>
      </c>
    </row>
    <row r="14" spans="1:3" ht="12.5" x14ac:dyDescent="0.25">
      <c r="A14" t="str">
        <f ca="1">IFERROR(__xludf.DUMMYFUNCTION("""COMPUTED_VALUE"""),"Number Content (count/mass)")</f>
        <v>Number Content (count/mass)</v>
      </c>
      <c r="B14" t="str">
        <f ca="1">IFERROR(__xludf.DUMMYFUNCTION("""COMPUTED_VALUE"""),"Parameter unit category_1")</f>
        <v>Parameter unit category_1</v>
      </c>
    </row>
    <row r="15" spans="1:3" ht="12.5" x14ac:dyDescent="0.25">
      <c r="A15" t="str">
        <f ca="1">IFERROR(__xludf.DUMMYFUNCTION("""COMPUTED_VALUE"""),"Number Content Difference")</f>
        <v>Number Content Difference</v>
      </c>
      <c r="B15" t="str">
        <f ca="1">IFERROR(__xludf.DUMMYFUNCTION("""COMPUTED_VALUE"""),"Parameter unit category_15")</f>
        <v>Parameter unit category_15</v>
      </c>
    </row>
    <row r="16" spans="1:3" ht="12.5" x14ac:dyDescent="0.25">
      <c r="A16" t="str">
        <f ca="1">IFERROR(__xludf.DUMMYFUNCTION("""COMPUTED_VALUE"""),"Number Difference")</f>
        <v>Number Difference</v>
      </c>
      <c r="B16" t="str">
        <f ca="1">IFERROR(__xludf.DUMMYFUNCTION("""COMPUTED_VALUE"""),"Parameter unit category_14")</f>
        <v>Parameter unit category_14</v>
      </c>
    </row>
    <row r="17" spans="1:2" ht="12.5" x14ac:dyDescent="0.25">
      <c r="A17" t="str">
        <f ca="1">IFERROR(__xludf.DUMMYFUNCTION("""COMPUTED_VALUE"""),"Number Fraction")</f>
        <v>Number Fraction</v>
      </c>
      <c r="B17" t="str">
        <f ca="1">IFERROR(__xludf.DUMMYFUNCTION("""COMPUTED_VALUE"""),"Parameter unit category_16")</f>
        <v>Parameter unit category_16</v>
      </c>
    </row>
    <row r="18" spans="1:2" ht="12.5" x14ac:dyDescent="0.25">
      <c r="A18" t="str">
        <f ca="1">IFERROR(__xludf.DUMMYFUNCTION("""COMPUTED_VALUE"""),"Numer Concentration (count/vol)")</f>
        <v>Numer Concentration (count/vol)</v>
      </c>
      <c r="B18" t="str">
        <f ca="1">IFERROR(__xludf.DUMMYFUNCTION("""COMPUTED_VALUE"""),"Parameter unit category_2")</f>
        <v>Parameter unit category_2</v>
      </c>
    </row>
    <row r="19" spans="1:2" ht="12.5" x14ac:dyDescent="0.25">
      <c r="A19" t="str">
        <f ca="1">IFERROR(__xludf.DUMMYFUNCTION("""COMPUTED_VALUE"""),"Other")</f>
        <v>Other</v>
      </c>
      <c r="B19" t="str">
        <f ca="1">IFERROR(__xludf.DUMMYFUNCTION("""COMPUTED_VALUE"""),"Parameter unit category_25")</f>
        <v>Parameter unit category_25</v>
      </c>
    </row>
    <row r="20" spans="1:2" ht="12.5" x14ac:dyDescent="0.25">
      <c r="A20" t="str">
        <f ca="1">IFERROR(__xludf.DUMMYFUNCTION("""COMPUTED_VALUE"""),"Pressure")</f>
        <v>Pressure</v>
      </c>
      <c r="B20" t="str">
        <f ca="1">IFERROR(__xludf.DUMMYFUNCTION("""COMPUTED_VALUE"""),"Parameter unit category_10")</f>
        <v>Parameter unit category_10</v>
      </c>
    </row>
    <row r="21" spans="1:2" ht="12.5" x14ac:dyDescent="0.25">
      <c r="A21" t="str">
        <f ca="1">IFERROR(__xludf.DUMMYFUNCTION("""COMPUTED_VALUE"""),"Temperature")</f>
        <v>Temperature</v>
      </c>
      <c r="B21" t="str">
        <f ca="1">IFERROR(__xludf.DUMMYFUNCTION("""COMPUTED_VALUE"""),"Parameter unit category_13")</f>
        <v>Parameter unit category_13</v>
      </c>
    </row>
    <row r="22" spans="1:2" ht="12.5" x14ac:dyDescent="0.25">
      <c r="A22" t="str">
        <f ca="1">IFERROR(__xludf.DUMMYFUNCTION("""COMPUTED_VALUE"""),"Time")</f>
        <v>Time</v>
      </c>
      <c r="B22" t="str">
        <f ca="1">IFERROR(__xludf.DUMMYFUNCTION("""COMPUTED_VALUE"""),"Parameter unit category_20")</f>
        <v>Parameter unit category_20</v>
      </c>
    </row>
    <row r="23" spans="1:2" ht="12.5" x14ac:dyDescent="0.25">
      <c r="A23" t="str">
        <f ca="1">IFERROR(__xludf.DUMMYFUNCTION("""COMPUTED_VALUE"""),"True/False Value")</f>
        <v>True/False Value</v>
      </c>
      <c r="B23" t="str">
        <f ca="1">IFERROR(__xludf.DUMMYFUNCTION("""COMPUTED_VALUE"""),"Parameter unit category_23")</f>
        <v>Parameter unit category_23</v>
      </c>
    </row>
    <row r="24" spans="1:2" ht="12.5" x14ac:dyDescent="0.25">
      <c r="A24" t="str">
        <f ca="1">IFERROR(__xludf.DUMMYFUNCTION("""COMPUTED_VALUE"""),"Unknown")</f>
        <v>Unknown</v>
      </c>
      <c r="B24" t="str">
        <f ca="1">IFERROR(__xludf.DUMMYFUNCTION("""COMPUTED_VALUE"""),"Parameter unit category_9")</f>
        <v>Parameter unit category_9</v>
      </c>
    </row>
    <row r="25" spans="1:2" ht="12.5" x14ac:dyDescent="0.25">
      <c r="A25" t="str">
        <f ca="1">IFERROR(__xludf.DUMMYFUNCTION("""COMPUTED_VALUE"""),"Volume Concentration")</f>
        <v>Volume Concentration</v>
      </c>
      <c r="B25" t="str">
        <f ca="1">IFERROR(__xludf.DUMMYFUNCTION("""COMPUTED_VALUE"""),"Parameter unit category_24")</f>
        <v>Parameter unit category_24</v>
      </c>
    </row>
    <row r="26" spans="1:2" ht="12.5" x14ac:dyDescent="0.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x14ac:dyDescent="0.25">
      <c r="A2" t="str">
        <f ca="1">IFERROR(__xludf.DUMMYFUNCTION("""COMPUTED_VALUE"""),"Article")</f>
        <v>Article</v>
      </c>
      <c r="B2" t="str">
        <f ca="1">IFERROR(__xludf.DUMMYFUNCTION("""COMPUTED_VALUE"""),"Parameter source_1")</f>
        <v>Parameter source_1</v>
      </c>
    </row>
    <row r="3" spans="1:3" ht="12.5" x14ac:dyDescent="0.25">
      <c r="A3" t="str">
        <f ca="1">IFERROR(__xludf.DUMMYFUNCTION("""COMPUTED_VALUE"""),"Assumption")</f>
        <v>Assumption</v>
      </c>
      <c r="B3" t="str">
        <f ca="1">IFERROR(__xludf.DUMMYFUNCTION("""COMPUTED_VALUE"""),"Parameter source_2")</f>
        <v>Parameter source_2</v>
      </c>
    </row>
    <row r="4" spans="1:3" ht="12.5" x14ac:dyDescent="0.25">
      <c r="A4" t="str">
        <f ca="1">IFERROR(__xludf.DUMMYFUNCTION("""COMPUTED_VALUE"""),"Data")</f>
        <v>Data</v>
      </c>
      <c r="B4" t="str">
        <f ca="1">IFERROR(__xludf.DUMMYFUNCTION("""COMPUTED_VALUE"""),"Parameter source_3")</f>
        <v>Parameter source_3</v>
      </c>
    </row>
    <row r="5" spans="1:3" ht="12.5" x14ac:dyDescent="0.25">
      <c r="A5" t="str">
        <f ca="1">IFERROR(__xludf.DUMMYFUNCTION("""COMPUTED_VALUE"""),"Estimate")</f>
        <v>Estimate</v>
      </c>
      <c r="B5" t="str">
        <f ca="1">IFERROR(__xludf.DUMMYFUNCTION("""COMPUTED_VALUE"""),"Parameter source_4")</f>
        <v>Parameter source_4</v>
      </c>
    </row>
    <row r="6" spans="1:3" ht="12.5" x14ac:dyDescent="0.25">
      <c r="A6" t="str">
        <f ca="1">IFERROR(__xludf.DUMMYFUNCTION("""COMPUTED_VALUE"""),"Expert opinion")</f>
        <v>Expert opinion</v>
      </c>
      <c r="B6" t="str">
        <f ca="1">IFERROR(__xludf.DUMMYFUNCTION("""COMPUTED_VALUE"""),"Parameter source_5")</f>
        <v>Parameter source_5</v>
      </c>
    </row>
    <row r="7" spans="1:3" ht="12.5" x14ac:dyDescent="0.25">
      <c r="A7" t="str">
        <f ca="1">IFERROR(__xludf.DUMMYFUNCTION("""COMPUTED_VALUE"""),"Model result")</f>
        <v>Model result</v>
      </c>
      <c r="B7" t="str">
        <f ca="1">IFERROR(__xludf.DUMMYFUNCTION("""COMPUTED_VALUE"""),"Parameter source_6")</f>
        <v>Parameter source_6</v>
      </c>
    </row>
    <row r="8" spans="1:3" ht="12.5" x14ac:dyDescent="0.25">
      <c r="A8" t="str">
        <f ca="1">IFERROR(__xludf.DUMMYFUNCTION("""COMPUTED_VALUE"""),"Not applicable ")</f>
        <v xml:space="preserve">Not applicable </v>
      </c>
      <c r="B8" t="str">
        <f ca="1">IFERROR(__xludf.DUMMYFUNCTION("""COMPUTED_VALUE"""),"Parameter source_7")</f>
        <v>Parameter source_7</v>
      </c>
    </row>
    <row r="9" spans="1:3" ht="12.5" x14ac:dyDescent="0.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x14ac:dyDescent="0.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x14ac:dyDescent="0.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x14ac:dyDescent="0.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x14ac:dyDescent="0.25">
      <c r="A2" t="str">
        <f ca="1">IFERROR(__xludf.DUMMYFUNCTION("""COMPUTED_VALUE"""),"Animal")</f>
        <v>Animal</v>
      </c>
      <c r="B2" t="str">
        <f ca="1">IFERROR(__xludf.DUMMYFUNCTION("""COMPUTED_VALUE"""),"Parameter subject_1")</f>
        <v>Parameter subject_1</v>
      </c>
    </row>
    <row r="3" spans="1:3" ht="12.5" x14ac:dyDescent="0.25">
      <c r="A3" t="str">
        <f ca="1">IFERROR(__xludf.DUMMYFUNCTION("""COMPUTED_VALUE"""),"Batch of animals")</f>
        <v>Batch of animals</v>
      </c>
      <c r="B3" t="str">
        <f ca="1">IFERROR(__xludf.DUMMYFUNCTION("""COMPUTED_VALUE"""),"Parameter subject_2")</f>
        <v>Parameter subject_2</v>
      </c>
    </row>
    <row r="4" spans="1:3" ht="12.5" x14ac:dyDescent="0.25">
      <c r="A4" t="str">
        <f ca="1">IFERROR(__xludf.DUMMYFUNCTION("""COMPUTED_VALUE"""),"Batch of products")</f>
        <v>Batch of products</v>
      </c>
      <c r="B4" t="str">
        <f ca="1">IFERROR(__xludf.DUMMYFUNCTION("""COMPUTED_VALUE"""),"Parameter subject_4")</f>
        <v>Parameter subject_4</v>
      </c>
    </row>
    <row r="5" spans="1:3" ht="12.5" x14ac:dyDescent="0.25">
      <c r="A5" t="str">
        <f ca="1">IFERROR(__xludf.DUMMYFUNCTION("""COMPUTED_VALUE"""),"Belly")</f>
        <v>Belly</v>
      </c>
    </row>
    <row r="6" spans="1:3" ht="12.5" x14ac:dyDescent="0.25">
      <c r="A6" t="str">
        <f ca="1">IFERROR(__xludf.DUMMYFUNCTION("""COMPUTED_VALUE"""),"Carcass")</f>
        <v>Carcass</v>
      </c>
      <c r="B6" t="str">
        <f ca="1">IFERROR(__xludf.DUMMYFUNCTION("""COMPUTED_VALUE"""),"Parameter subject_5")</f>
        <v>Parameter subject_5</v>
      </c>
    </row>
    <row r="7" spans="1:3" ht="12.5" x14ac:dyDescent="0.25">
      <c r="A7" t="str">
        <f ca="1">IFERROR(__xludf.DUMMYFUNCTION("""COMPUTED_VALUE"""),"Carcass skin")</f>
        <v>Carcass skin</v>
      </c>
      <c r="B7" t="str">
        <f ca="1">IFERROR(__xludf.DUMMYFUNCTION("""COMPUTED_VALUE"""),"Parameter subject_6")</f>
        <v>Parameter subject_6</v>
      </c>
    </row>
    <row r="8" spans="1:3" ht="12.5" x14ac:dyDescent="0.25">
      <c r="A8" t="str">
        <f ca="1">IFERROR(__xludf.DUMMYFUNCTION("""COMPUTED_VALUE"""),"Feces")</f>
        <v>Feces</v>
      </c>
      <c r="B8" t="str">
        <f ca="1">IFERROR(__xludf.DUMMYFUNCTION("""COMPUTED_VALUE"""),"Parameter subject_7")</f>
        <v>Parameter subject_7</v>
      </c>
    </row>
    <row r="9" spans="1:3" ht="12.5" x14ac:dyDescent="0.25">
      <c r="A9" t="str">
        <f ca="1">IFERROR(__xludf.DUMMYFUNCTION("""COMPUTED_VALUE"""),"Other")</f>
        <v>Other</v>
      </c>
      <c r="B9" t="str">
        <f ca="1">IFERROR(__xludf.DUMMYFUNCTION("""COMPUTED_VALUE"""),"Parameter subject_8")</f>
        <v>Parameter subject_8</v>
      </c>
    </row>
    <row r="10" spans="1:3" ht="12.5" x14ac:dyDescent="0.25">
      <c r="A10" t="str">
        <f ca="1">IFERROR(__xludf.DUMMYFUNCTION("""COMPUTED_VALUE"""),"Package")</f>
        <v>Package</v>
      </c>
    </row>
    <row r="11" spans="1:3" ht="12.5" x14ac:dyDescent="0.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x14ac:dyDescent="0.25"/>
  <cols>
    <col min="3" max="3" width="78.7265625" customWidth="1"/>
  </cols>
  <sheetData>
    <row r="1" spans="1:4" ht="14" x14ac:dyDescent="0.3">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x14ac:dyDescent="0.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x14ac:dyDescent="0.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x14ac:dyDescent="0.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x14ac:dyDescent="0.25">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x14ac:dyDescent="0.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x14ac:dyDescent="0.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x14ac:dyDescent="0.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x14ac:dyDescent="0.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x14ac:dyDescent="0.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x14ac:dyDescent="0.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x14ac:dyDescent="0.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x14ac:dyDescent="0.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x14ac:dyDescent="0.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x14ac:dyDescent="0.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x14ac:dyDescent="0.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x14ac:dyDescent="0.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x14ac:dyDescent="0.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x14ac:dyDescent="0.25">
      <c r="A2" t="str">
        <f ca="1">IFERROR(__xludf.DUMMYFUNCTION("""COMPUTED_VALUE"""),"Accredited")</f>
        <v>Accredited</v>
      </c>
      <c r="B2" t="str">
        <f ca="1">IFERROR(__xludf.DUMMYFUNCTION("""COMPUTED_VALUE"""),"L001A")</f>
        <v>L001A</v>
      </c>
    </row>
    <row r="3" spans="1:3" ht="12.5" x14ac:dyDescent="0.25">
      <c r="A3" t="str">
        <f ca="1">IFERROR(__xludf.DUMMYFUNCTION("""COMPUTED_VALUE"""),"None")</f>
        <v>None</v>
      </c>
      <c r="B3" t="str">
        <f ca="1">IFERROR(__xludf.DUMMYFUNCTION("""COMPUTED_VALUE"""),"L003A")</f>
        <v>L003A</v>
      </c>
    </row>
    <row r="4" spans="1:3" ht="12.5" x14ac:dyDescent="0.25">
      <c r="A4" t="str">
        <f ca="1">IFERROR(__xludf.DUMMYFUNCTION("""COMPUTED_VALUE"""),"Other")</f>
        <v>Other</v>
      </c>
      <c r="B4" t="str">
        <f ca="1">IFERROR(__xludf.DUMMYFUNCTION("""COMPUTED_VALUE"""),"Other")</f>
        <v>Other</v>
      </c>
    </row>
    <row r="5" spans="1:3" ht="12.5" x14ac:dyDescent="0.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x14ac:dyDescent="0.25">
      <c r="A2" t="str">
        <f ca="1">IFERROR(__xludf.DUMMYFUNCTION("""COMPUTED_VALUE"""),"(Beet) Sugar")</f>
        <v>(Beet) Sugar</v>
      </c>
      <c r="B2" t="str">
        <f ca="1">IFERROR(__xludf.DUMMYFUNCTION("""COMPUTED_VALUE"""),"F04.05")</f>
        <v>F04.05</v>
      </c>
    </row>
    <row r="3" spans="1:3" ht="12.5" x14ac:dyDescent="0.25">
      <c r="A3" t="str">
        <f ca="1">IFERROR(__xludf.DUMMYFUNCTION("""COMPUTED_VALUE"""),"(Beet) sugar; [sucrose]")</f>
        <v>(Beet) sugar; [sucrose]</v>
      </c>
      <c r="B3" t="str">
        <f ca="1">IFERROR(__xludf.DUMMYFUNCTION("""COMPUTED_VALUE"""),"G.4.1.3")</f>
        <v>G.4.1.3</v>
      </c>
    </row>
    <row r="4" spans="1:3" ht="12.5" x14ac:dyDescent="0.25">
      <c r="A4" t="str">
        <f ca="1">IFERROR(__xludf.DUMMYFUNCTION("""COMPUTED_VALUE"""),"(Cane) sugar")</f>
        <v>(Cane) sugar</v>
      </c>
      <c r="B4" t="str">
        <f ca="1">IFERROR(__xludf.DUMMYFUNCTION("""COMPUTED_VALUE"""),"F07.03")</f>
        <v>F07.03</v>
      </c>
    </row>
    <row r="5" spans="1:3" ht="12.5" x14ac:dyDescent="0.25">
      <c r="A5" t="str">
        <f ca="1">IFERROR(__xludf.DUMMYFUNCTION("""COMPUTED_VALUE"""),"(Cane) sugar [sucrose]")</f>
        <v>(Cane) sugar [sucrose]</v>
      </c>
      <c r="B5" t="str">
        <f ca="1">IFERROR(__xludf.DUMMYFUNCTION("""COMPUTED_VALUE"""),"G.7.6.3")</f>
        <v>G.7.6.3</v>
      </c>
    </row>
    <row r="6" spans="1:3" ht="12.5" x14ac:dyDescent="0.25">
      <c r="A6" t="str">
        <f ca="1">IFERROR(__xludf.DUMMYFUNCTION("""COMPUTED_VALUE"""),"(Sugar) beet molasses")</f>
        <v>(Sugar) beet molasses</v>
      </c>
      <c r="B6" t="str">
        <f ca="1">IFERROR(__xludf.DUMMYFUNCTION("""COMPUTED_VALUE"""),"F04.02")</f>
        <v>F04.02</v>
      </c>
    </row>
    <row r="7" spans="1:3" ht="12.5" x14ac:dyDescent="0.25">
      <c r="A7" t="str">
        <f ca="1">IFERROR(__xludf.DUMMYFUNCTION("""COMPUTED_VALUE"""),"(Sugar) beet molasses")</f>
        <v>(Sugar) beet molasses</v>
      </c>
      <c r="B7" t="str">
        <f ca="1">IFERROR(__xludf.DUMMYFUNCTION("""COMPUTED_VALUE"""),"G.4.1.4")</f>
        <v>G.4.1.4</v>
      </c>
    </row>
    <row r="8" spans="1:3" ht="12.5" x14ac:dyDescent="0.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x14ac:dyDescent="0.25">
      <c r="A9" t="str">
        <f ca="1">IFERROR(__xludf.DUMMYFUNCTION("""COMPUTED_VALUE"""),"(Sugar) beet pieces, boiled")</f>
        <v>(Sugar) beet pieces, boiled</v>
      </c>
      <c r="B9" t="str">
        <f ca="1">IFERROR(__xludf.DUMMYFUNCTION("""COMPUTED_VALUE"""),"G.4.1.13")</f>
        <v>G.4.1.13</v>
      </c>
    </row>
    <row r="10" spans="1:3" ht="12.5" x14ac:dyDescent="0.25">
      <c r="A10" t="str">
        <f ca="1">IFERROR(__xludf.DUMMYFUNCTION("""COMPUTED_VALUE"""),"(Sugar) beet pulp")</f>
        <v>(Sugar) beet pulp</v>
      </c>
      <c r="B10" t="str">
        <f ca="1">IFERROR(__xludf.DUMMYFUNCTION("""COMPUTED_VALUE"""),"F04.01")</f>
        <v>F04.01</v>
      </c>
    </row>
    <row r="11" spans="1:3" ht="12.5" x14ac:dyDescent="0.25">
      <c r="A11" t="str">
        <f ca="1">IFERROR(__xludf.DUMMYFUNCTION("""COMPUTED_VALUE"""),"(Sugar) beet pulp, molassed")</f>
        <v>(Sugar) beet pulp, molassed</v>
      </c>
      <c r="B11" t="str">
        <f ca="1">IFERROR(__xludf.DUMMYFUNCTION("""COMPUTED_VALUE"""),"F04.03")</f>
        <v>F04.03</v>
      </c>
    </row>
    <row r="12" spans="1:3" ht="12.5" x14ac:dyDescent="0.25">
      <c r="A12" t="str">
        <f ca="1">IFERROR(__xludf.DUMMYFUNCTION("""COMPUTED_VALUE"""),"(Sugar) beet vinasse")</f>
        <v>(Sugar) beet vinasse</v>
      </c>
      <c r="B12" t="str">
        <f ca="1">IFERROR(__xludf.DUMMYFUNCTION("""COMPUTED_VALUE"""),"F04.04")</f>
        <v>F04.04</v>
      </c>
    </row>
    <row r="13" spans="1:3" ht="12.5" x14ac:dyDescent="0.25">
      <c r="A13" t="str">
        <f ca="1">IFERROR(__xludf.DUMMYFUNCTION("""COMPUTED_VALUE"""),"(Sugar) cane molasses")</f>
        <v>(Sugar) cane molasses</v>
      </c>
      <c r="B13" t="str">
        <f ca="1">IFERROR(__xludf.DUMMYFUNCTION("""COMPUTED_VALUE"""),"F07.01")</f>
        <v>F07.01</v>
      </c>
    </row>
    <row r="14" spans="1:3" ht="12.5" x14ac:dyDescent="0.25">
      <c r="A14" t="str">
        <f ca="1">IFERROR(__xludf.DUMMYFUNCTION("""COMPUTED_VALUE"""),"(Sugar) cane molasses")</f>
        <v>(Sugar) cane molasses</v>
      </c>
      <c r="B14" t="str">
        <f ca="1">IFERROR(__xludf.DUMMYFUNCTION("""COMPUTED_VALUE"""),"G.7.6")</f>
        <v>G.7.6</v>
      </c>
    </row>
    <row r="15" spans="1:3" ht="12.5" x14ac:dyDescent="0.25">
      <c r="A15" t="str">
        <f ca="1">IFERROR(__xludf.DUMMYFUNCTION("""COMPUTED_VALUE"""),"(Sugar) cane Molasses, partially desugared")</f>
        <v>(Sugar) cane Molasses, partially desugared</v>
      </c>
      <c r="B15" t="str">
        <f ca="1">IFERROR(__xludf.DUMMYFUNCTION("""COMPUTED_VALUE"""),"G.7.6.2")</f>
        <v>G.7.6.2</v>
      </c>
    </row>
    <row r="16" spans="1:3" ht="12.5" x14ac:dyDescent="0.25">
      <c r="A16" t="str">
        <f ca="1">IFERROR(__xludf.DUMMYFUNCTION("""COMPUTED_VALUE"""),"(Sugar) cane vinasse")</f>
        <v>(Sugar) cane vinasse</v>
      </c>
      <c r="B16" t="str">
        <f ca="1">IFERROR(__xludf.DUMMYFUNCTION("""COMPUTED_VALUE"""),"F07.02")</f>
        <v>F07.02</v>
      </c>
    </row>
    <row r="17" spans="1:2" ht="12.5" x14ac:dyDescent="0.25">
      <c r="A17" t="str">
        <f ca="1">IFERROR(__xludf.DUMMYFUNCTION("""COMPUTED_VALUE"""),"Abalone (Haliotis spp.)")</f>
        <v>Abalone (Haliotis spp.)</v>
      </c>
      <c r="B17" t="str">
        <f ca="1">IFERROR(__xludf.DUMMYFUNCTION("""COMPUTED_VALUE"""),"A.01.000931")</f>
        <v>A.01.000931</v>
      </c>
    </row>
    <row r="18" spans="1:2" ht="12.5" x14ac:dyDescent="0.25">
      <c r="A18" t="str">
        <f ca="1">IFERROR(__xludf.DUMMYFUNCTION("""COMPUTED_VALUE"""),"Acesulfame K")</f>
        <v>Acesulfame K</v>
      </c>
      <c r="B18" t="str">
        <f ca="1">IFERROR(__xludf.DUMMYFUNCTION("""COMPUTED_VALUE"""),"A.01.001292")</f>
        <v>A.01.001292</v>
      </c>
    </row>
    <row r="19" spans="1:2" ht="12.5" x14ac:dyDescent="0.25">
      <c r="A19" t="str">
        <f ca="1">IFERROR(__xludf.DUMMYFUNCTION("""COMPUTED_VALUE"""),"Acetic acid 3% (W/v) (Food Simulant B)")</f>
        <v>Acetic acid 3% (W/v) (Food Simulant B)</v>
      </c>
      <c r="B19" t="str">
        <f ca="1">IFERROR(__xludf.DUMMYFUNCTION("""COMPUTED_VALUE"""),"A0BAF")</f>
        <v>A0BAF</v>
      </c>
    </row>
    <row r="20" spans="1:2" ht="12.5" x14ac:dyDescent="0.25">
      <c r="A20" t="str">
        <f ca="1">IFERROR(__xludf.DUMMYFUNCTION("""COMPUTED_VALUE"""),"Acidophilus milk")</f>
        <v>Acidophilus milk</v>
      </c>
      <c r="B20" t="str">
        <f ca="1">IFERROR(__xludf.DUMMYFUNCTION("""COMPUTED_VALUE"""),"A.01.001039")</f>
        <v>A.01.001039</v>
      </c>
    </row>
    <row r="21" spans="1:2" ht="12.5" x14ac:dyDescent="0.25">
      <c r="A21" t="str">
        <f ca="1">IFERROR(__xludf.DUMMYFUNCTION("""COMPUTED_VALUE"""),"Acipenseriformes (sturgeons) (Chondrostei)")</f>
        <v>Acipenseriformes (sturgeons) (Chondrostei)</v>
      </c>
      <c r="B21" t="str">
        <f ca="1">IFERROR(__xludf.DUMMYFUNCTION("""COMPUTED_VALUE"""),"A.01.000909")</f>
        <v>A.01.000909</v>
      </c>
    </row>
    <row r="22" spans="1:2" ht="12.5" x14ac:dyDescent="0.25">
      <c r="A22" t="str">
        <f ca="1">IFERROR(__xludf.DUMMYFUNCTION("""COMPUTED_VALUE"""),"Acorn")</f>
        <v>Acorn</v>
      </c>
      <c r="B22" t="str">
        <f ca="1">IFERROR(__xludf.DUMMYFUNCTION("""COMPUTED_VALUE"""),"G.5.1")</f>
        <v>G.5.1</v>
      </c>
    </row>
    <row r="23" spans="1:2" ht="12.5" x14ac:dyDescent="0.25">
      <c r="A23" t="str">
        <f ca="1">IFERROR(__xludf.DUMMYFUNCTION("""COMPUTED_VALUE"""),"Acorn, dehulled")</f>
        <v>Acorn, dehulled</v>
      </c>
      <c r="B23" t="str">
        <f ca="1">IFERROR(__xludf.DUMMYFUNCTION("""COMPUTED_VALUE"""),"G.5.1.2")</f>
        <v>G.5.1.2</v>
      </c>
    </row>
    <row r="24" spans="1:2" ht="12.5" x14ac:dyDescent="0.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x14ac:dyDescent="0.25">
      <c r="A25" t="str">
        <f ca="1">IFERROR(__xludf.DUMMYFUNCTION("""COMPUTED_VALUE"""),"Ajowan (Carum ajowan)")</f>
        <v>Ajowan (Carum ajowan)</v>
      </c>
      <c r="B25" t="str">
        <f ca="1">IFERROR(__xludf.DUMMYFUNCTION("""COMPUTED_VALUE"""),"A.01.001596")</f>
        <v>A.01.001596</v>
      </c>
    </row>
    <row r="26" spans="1:2" ht="12.5" x14ac:dyDescent="0.25">
      <c r="A26" t="str">
        <f ca="1">IFERROR(__xludf.DUMMYFUNCTION("""COMPUTED_VALUE"""),"Albumen")</f>
        <v>Albumen</v>
      </c>
      <c r="B26" t="str">
        <f ca="1">IFERROR(__xludf.DUMMYFUNCTION("""COMPUTED_VALUE"""),"G.9.15.2")</f>
        <v>G.9.15.2</v>
      </c>
    </row>
    <row r="27" spans="1:2" ht="12.5" x14ac:dyDescent="0.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x14ac:dyDescent="0.25">
      <c r="A28" t="str">
        <f ca="1">IFERROR(__xludf.DUMMYFUNCTION("""COMPUTED_VALUE"""),"Alcoholic beverages")</f>
        <v>Alcoholic beverages</v>
      </c>
      <c r="B28" t="str">
        <f ca="1">IFERROR(__xludf.DUMMYFUNCTION("""COMPUTED_VALUE"""),"C09")</f>
        <v>C09</v>
      </c>
    </row>
    <row r="29" spans="1:2" ht="12.5" x14ac:dyDescent="0.25">
      <c r="A29" t="str">
        <f ca="1">IFERROR(__xludf.DUMMYFUNCTION("""COMPUTED_VALUE"""),"Alcoholic beverages")</f>
        <v>Alcoholic beverages</v>
      </c>
      <c r="B29" t="str">
        <f ca="1">IFERROR(__xludf.DUMMYFUNCTION("""COMPUTED_VALUE"""),"A.01.001534")</f>
        <v>A.01.001534</v>
      </c>
    </row>
    <row r="30" spans="1:2" ht="12.5" x14ac:dyDescent="0.25">
      <c r="A30" t="str">
        <f ca="1">IFERROR(__xludf.DUMMYFUNCTION("""COMPUTED_VALUE"""),"Alcoholic mixed drinks")</f>
        <v>Alcoholic mixed drinks</v>
      </c>
      <c r="B30" t="str">
        <f ca="1">IFERROR(__xludf.DUMMYFUNCTION("""COMPUTED_VALUE"""),"A.01.001569")</f>
        <v>A.01.001569</v>
      </c>
    </row>
    <row r="31" spans="1:2" ht="12.5" x14ac:dyDescent="0.25">
      <c r="A31" t="str">
        <f ca="1">IFERROR(__xludf.DUMMYFUNCTION("""COMPUTED_VALUE"""),"Alcoholic sauce")</f>
        <v>Alcoholic sauce</v>
      </c>
      <c r="B31" t="str">
        <f ca="1">IFERROR(__xludf.DUMMYFUNCTION("""COMPUTED_VALUE"""),"A.01.001691")</f>
        <v>A.01.001691</v>
      </c>
    </row>
    <row r="32" spans="1:2" ht="12.5" x14ac:dyDescent="0.25">
      <c r="A32" t="str">
        <f ca="1">IFERROR(__xludf.DUMMYFUNCTION("""COMPUTED_VALUE"""),"Alcoholic sweet sauce")</f>
        <v>Alcoholic sweet sauce</v>
      </c>
      <c r="B32" t="str">
        <f ca="1">IFERROR(__xludf.DUMMYFUNCTION("""COMPUTED_VALUE"""),"A.01.001332")</f>
        <v>A.01.001332</v>
      </c>
    </row>
    <row r="33" spans="1:2" ht="12.5" x14ac:dyDescent="0.25">
      <c r="A33" t="str">
        <f ca="1">IFERROR(__xludf.DUMMYFUNCTION("""COMPUTED_VALUE"""),"Alcopop")</f>
        <v>Alcopop</v>
      </c>
      <c r="B33" t="str">
        <f ca="1">IFERROR(__xludf.DUMMYFUNCTION("""COMPUTED_VALUE"""),"A.01.001572")</f>
        <v>A.01.001572</v>
      </c>
    </row>
    <row r="34" spans="1:2" ht="12.5" x14ac:dyDescent="0.25">
      <c r="A34" t="str">
        <f ca="1">IFERROR(__xludf.DUMMYFUNCTION("""COMPUTED_VALUE"""),"Alfalfa spouts, fresh (Medicago sativa)")</f>
        <v>Alfalfa spouts, fresh (Medicago sativa)</v>
      </c>
      <c r="B34" t="str">
        <f ca="1">IFERROR(__xludf.DUMMYFUNCTION("""COMPUTED_VALUE"""),"A.01.000381")</f>
        <v>A.01.000381</v>
      </c>
    </row>
    <row r="35" spans="1:2" ht="12.5" x14ac:dyDescent="0.25">
      <c r="A35" t="str">
        <f ca="1">IFERROR(__xludf.DUMMYFUNCTION("""COMPUTED_VALUE"""),"Algae")</f>
        <v>Algae</v>
      </c>
      <c r="B35" t="str">
        <f ca="1">IFERROR(__xludf.DUMMYFUNCTION("""COMPUTED_VALUE"""),"G.7.1")</f>
        <v>G.7.1</v>
      </c>
    </row>
    <row r="36" spans="1:2" ht="12.5" x14ac:dyDescent="0.25">
      <c r="A36" t="str">
        <f ca="1">IFERROR(__xludf.DUMMYFUNCTION("""COMPUTED_VALUE"""),"Algae as food")</f>
        <v>Algae as food</v>
      </c>
      <c r="B36" t="str">
        <f ca="1">IFERROR(__xludf.DUMMYFUNCTION("""COMPUTED_VALUE"""),"C14A_1")</f>
        <v>C14A_1</v>
      </c>
    </row>
    <row r="37" spans="1:2" ht="12.5" x14ac:dyDescent="0.25">
      <c r="A37" t="str">
        <f ca="1">IFERROR(__xludf.DUMMYFUNCTION("""COMPUTED_VALUE"""),"Algae based supplements")</f>
        <v>Algae based supplements</v>
      </c>
      <c r="B37" t="str">
        <f ca="1">IFERROR(__xludf.DUMMYFUNCTION("""COMPUTED_VALUE"""),"C14B_2")</f>
        <v>C14B_2</v>
      </c>
    </row>
    <row r="38" spans="1:2" ht="12.5" x14ac:dyDescent="0.25">
      <c r="A38" t="str">
        <f ca="1">IFERROR(__xludf.DUMMYFUNCTION("""COMPUTED_VALUE"""),"Algae extract; [Algae fraction]")</f>
        <v>Algae extract; [Algae fraction]</v>
      </c>
      <c r="B38" t="str">
        <f ca="1">IFERROR(__xludf.DUMMYFUNCTION("""COMPUTED_VALUE"""),"G.7.1.5")</f>
        <v>G.7.1.5</v>
      </c>
    </row>
    <row r="39" spans="1:2" ht="12.5" x14ac:dyDescent="0.25">
      <c r="A39" t="str">
        <f ca="1">IFERROR(__xludf.DUMMYFUNCTION("""COMPUTED_VALUE"""),"Algae formula (e.g. Spirulina, Chlorella)")</f>
        <v>Algae formula (e.g. Spirulina, Chlorella)</v>
      </c>
      <c r="B39" t="str">
        <f ca="1">IFERROR(__xludf.DUMMYFUNCTION("""COMPUTED_VALUE"""),"A.01.001763")</f>
        <v>A.01.001763</v>
      </c>
    </row>
    <row r="40" spans="1:2" ht="12.5" x14ac:dyDescent="0.25">
      <c r="A40" t="str">
        <f ca="1">IFERROR(__xludf.DUMMYFUNCTION("""COMPUTED_VALUE"""),"Algae meal")</f>
        <v>Algae meal</v>
      </c>
      <c r="B40" t="str">
        <f ca="1">IFERROR(__xludf.DUMMYFUNCTION("""COMPUTED_VALUE"""),"G.7.1.3")</f>
        <v>G.7.1.3</v>
      </c>
    </row>
    <row r="41" spans="1:2" ht="12.5" x14ac:dyDescent="0.25">
      <c r="A41" t="str">
        <f ca="1">IFERROR(__xludf.DUMMYFUNCTION("""COMPUTED_VALUE"""),"Algal oil")</f>
        <v>Algal oil</v>
      </c>
      <c r="B41" t="str">
        <f ca="1">IFERROR(__xludf.DUMMYFUNCTION("""COMPUTED_VALUE"""),"G.7.1.4")</f>
        <v>G.7.1.4</v>
      </c>
    </row>
    <row r="42" spans="1:2" ht="12.5" x14ac:dyDescent="0.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x14ac:dyDescent="0.25">
      <c r="A43" t="str">
        <f ca="1">IFERROR(__xludf.DUMMYFUNCTION("""COMPUTED_VALUE"""),"Allspice (Pimenta dioica)")</f>
        <v>Allspice (Pimenta dioica)</v>
      </c>
      <c r="B43" t="str">
        <f ca="1">IFERROR(__xludf.DUMMYFUNCTION("""COMPUTED_VALUE"""),"A.01.001597")</f>
        <v>A.01.001597</v>
      </c>
    </row>
    <row r="44" spans="1:2" ht="12.5" x14ac:dyDescent="0.25">
      <c r="A44" t="str">
        <f ca="1">IFERROR(__xludf.DUMMYFUNCTION("""COMPUTED_VALUE"""),"Almond")</f>
        <v>Almond</v>
      </c>
      <c r="B44" t="str">
        <f ca="1">IFERROR(__xludf.DUMMYFUNCTION("""COMPUTED_VALUE"""),"G.5.2")</f>
        <v>G.5.2</v>
      </c>
    </row>
    <row r="45" spans="1:2" ht="12.5" x14ac:dyDescent="0.25">
      <c r="A45" t="str">
        <f ca="1">IFERROR(__xludf.DUMMYFUNCTION("""COMPUTED_VALUE"""),"Almond drink")</f>
        <v>Almond drink</v>
      </c>
      <c r="B45" t="str">
        <f ca="1">IFERROR(__xludf.DUMMYFUNCTION("""COMPUTED_VALUE"""),"A.01.001241")</f>
        <v>A.01.001241</v>
      </c>
    </row>
    <row r="46" spans="1:2" ht="12.5" x14ac:dyDescent="0.25">
      <c r="A46" t="str">
        <f ca="1">IFERROR(__xludf.DUMMYFUNCTION("""COMPUTED_VALUE"""),"Almond essence")</f>
        <v>Almond essence</v>
      </c>
      <c r="B46" t="str">
        <f ca="1">IFERROR(__xludf.DUMMYFUNCTION("""COMPUTED_VALUE"""),"A.01.001696")</f>
        <v>A.01.001696</v>
      </c>
    </row>
    <row r="47" spans="1:2" ht="12.5" x14ac:dyDescent="0.25">
      <c r="A47" t="str">
        <f ca="1">IFERROR(__xludf.DUMMYFUNCTION("""COMPUTED_VALUE"""),"Almond Hulls")</f>
        <v>Almond Hulls</v>
      </c>
      <c r="B47" t="str">
        <f ca="1">IFERROR(__xludf.DUMMYFUNCTION("""COMPUTED_VALUE"""),"G.5.2.2")</f>
        <v>G.5.2.2</v>
      </c>
    </row>
    <row r="48" spans="1:2" ht="12.5" x14ac:dyDescent="0.25">
      <c r="A48" t="str">
        <f ca="1">IFERROR(__xludf.DUMMYFUNCTION("""COMPUTED_VALUE"""),"Almond oil")</f>
        <v>Almond oil</v>
      </c>
      <c r="B48" t="str">
        <f ca="1">IFERROR(__xludf.DUMMYFUNCTION("""COMPUTED_VALUE"""),"A.01.001368")</f>
        <v>A.01.001368</v>
      </c>
    </row>
    <row r="49" spans="1:2" ht="12.5" x14ac:dyDescent="0.25">
      <c r="A49" t="str">
        <f ca="1">IFERROR(__xludf.DUMMYFUNCTION("""COMPUTED_VALUE"""),"Almond, bitter (Prunus amygalus amara)")</f>
        <v>Almond, bitter (Prunus amygalus amara)</v>
      </c>
      <c r="B49" t="str">
        <f ca="1">IFERROR(__xludf.DUMMYFUNCTION("""COMPUTED_VALUE"""),"A.01.000515")</f>
        <v>A.01.000515</v>
      </c>
    </row>
    <row r="50" spans="1:2" ht="12.5" x14ac:dyDescent="0.25">
      <c r="A50" t="str">
        <f ca="1">IFERROR(__xludf.DUMMYFUNCTION("""COMPUTED_VALUE"""),"Almond, sweet (Prunus amygalus dulcis)")</f>
        <v>Almond, sweet (Prunus amygalus dulcis)</v>
      </c>
      <c r="B50" t="str">
        <f ca="1">IFERROR(__xludf.DUMMYFUNCTION("""COMPUTED_VALUE"""),"A.01.000514")</f>
        <v>A.01.000514</v>
      </c>
    </row>
    <row r="51" spans="1:2" ht="12.5" x14ac:dyDescent="0.25">
      <c r="A51" t="str">
        <f ca="1">IFERROR(__xludf.DUMMYFUNCTION("""COMPUTED_VALUE"""),"Amaranth flour")</f>
        <v>Amaranth flour</v>
      </c>
      <c r="B51" t="str">
        <f ca="1">IFERROR(__xludf.DUMMYFUNCTION("""COMPUTED_VALUE"""),"A.01.000091")</f>
        <v>A.01.000091</v>
      </c>
    </row>
    <row r="52" spans="1:2" ht="12.5" x14ac:dyDescent="0.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x14ac:dyDescent="0.25">
      <c r="A53" t="str">
        <f ca="1">IFERROR(__xludf.DUMMYFUNCTION("""COMPUTED_VALUE"""),"Ammonium acetate")</f>
        <v>Ammonium acetate</v>
      </c>
      <c r="B53" t="str">
        <f ca="1">IFERROR(__xludf.DUMMYFUNCTION("""COMPUTED_VALUE"""),"G.11.8.5")</f>
        <v>G.11.8.5</v>
      </c>
    </row>
    <row r="54" spans="1:2" ht="12.5" x14ac:dyDescent="0.25">
      <c r="A54" t="str">
        <f ca="1">IFERROR(__xludf.DUMMYFUNCTION("""COMPUTED_VALUE"""),"Ammonium acetate in aqueuous solution")</f>
        <v>Ammonium acetate in aqueuous solution</v>
      </c>
      <c r="B54" t="str">
        <f ca="1">IFERROR(__xludf.DUMMYFUNCTION("""COMPUTED_VALUE"""),"F13.06")</f>
        <v>F13.06</v>
      </c>
    </row>
    <row r="55" spans="1:2" ht="12.5" x14ac:dyDescent="0.25">
      <c r="A55" t="str">
        <f ca="1">IFERROR(__xludf.DUMMYFUNCTION("""COMPUTED_VALUE"""),"Ammonium lactate")</f>
        <v>Ammonium lactate</v>
      </c>
      <c r="B55" t="str">
        <f ca="1">IFERROR(__xludf.DUMMYFUNCTION("""COMPUTED_VALUE"""),"G.11.8.4")</f>
        <v>G.11.8.4</v>
      </c>
    </row>
    <row r="56" spans="1:2" ht="12.5" x14ac:dyDescent="0.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x14ac:dyDescent="0.25">
      <c r="A57" t="str">
        <f ca="1">IFERROR(__xludf.DUMMYFUNCTION("""COMPUTED_VALUE"""),"Ammonium salts of organic acids")</f>
        <v>Ammonium salts of organic acids</v>
      </c>
      <c r="B57" t="str">
        <f ca="1">IFERROR(__xludf.DUMMYFUNCTION("""COMPUTED_VALUE"""),"G.11.8.3")</f>
        <v>G.11.8.3</v>
      </c>
    </row>
    <row r="58" spans="1:2" ht="12.5" x14ac:dyDescent="0.25">
      <c r="A58" t="str">
        <f ca="1">IFERROR(__xludf.DUMMYFUNCTION("""COMPUTED_VALUE"""),"Ammonium sulfate in aqueous solution")</f>
        <v>Ammonium sulfate in aqueous solution</v>
      </c>
      <c r="B58" t="str">
        <f ca="1">IFERROR(__xludf.DUMMYFUNCTION("""COMPUTED_VALUE"""),"F13.07")</f>
        <v>F13.07</v>
      </c>
    </row>
    <row r="59" spans="1:2" ht="12.5" x14ac:dyDescent="0.25">
      <c r="A59" t="str">
        <f ca="1">IFERROR(__xludf.DUMMYFUNCTION("""COMPUTED_VALUE"""),"Ammonium sulphate")</f>
        <v>Ammonium sulphate</v>
      </c>
      <c r="B59" t="str">
        <f ca="1">IFERROR(__xludf.DUMMYFUNCTION("""COMPUTED_VALUE"""),"G.11.8")</f>
        <v>G.11.8</v>
      </c>
    </row>
    <row r="60" spans="1:2" ht="12.5" x14ac:dyDescent="0.25">
      <c r="A60" t="str">
        <f ca="1">IFERROR(__xludf.DUMMYFUNCTION("""COMPUTED_VALUE"""),"Ammonium sulphate solution")</f>
        <v>Ammonium sulphate solution</v>
      </c>
      <c r="B60" t="str">
        <f ca="1">IFERROR(__xludf.DUMMYFUNCTION("""COMPUTED_VALUE"""),"G.11.8.2")</f>
        <v>G.11.8.2</v>
      </c>
    </row>
    <row r="61" spans="1:2" ht="12.5" x14ac:dyDescent="0.25">
      <c r="A61" t="str">
        <f ca="1">IFERROR(__xludf.DUMMYFUNCTION("""COMPUTED_VALUE"""),"Amphibians, reptiles, snails, insects")</f>
        <v>Amphibians, reptiles, snails, insects</v>
      </c>
      <c r="B61" t="str">
        <f ca="1">IFERROR(__xludf.DUMMYFUNCTION("""COMPUTED_VALUE"""),"A.01.000942")</f>
        <v>A.01.000942</v>
      </c>
    </row>
    <row r="62" spans="1:2" ht="12.5" x14ac:dyDescent="0.25">
      <c r="A62" t="str">
        <f ca="1">IFERROR(__xludf.DUMMYFUNCTION("""COMPUTED_VALUE"""),"Anchovy (Engraulis)")</f>
        <v>Anchovy (Engraulis)</v>
      </c>
      <c r="B62" t="str">
        <f ca="1">IFERROR(__xludf.DUMMYFUNCTION("""COMPUTED_VALUE"""),"A.01.000881")</f>
        <v>A.01.000881</v>
      </c>
    </row>
    <row r="63" spans="1:2" ht="12.5" x14ac:dyDescent="0.25">
      <c r="A63" t="str">
        <f ca="1">IFERROR(__xludf.DUMMYFUNCTION("""COMPUTED_VALUE"""),"Animal and vegetable fats and oils")</f>
        <v>Animal and vegetable fats and oils</v>
      </c>
      <c r="B63" t="str">
        <f ca="1">IFERROR(__xludf.DUMMYFUNCTION("""COMPUTED_VALUE"""),"A.01.001346")</f>
        <v>A.01.001346</v>
      </c>
    </row>
    <row r="64" spans="1:2" ht="12.5" x14ac:dyDescent="0.25">
      <c r="A64" t="str">
        <f ca="1">IFERROR(__xludf.DUMMYFUNCTION("""COMPUTED_VALUE"""),"Animal by-products")</f>
        <v>Animal by-products</v>
      </c>
      <c r="B64" t="str">
        <f ca="1">IFERROR(__xludf.DUMMYFUNCTION("""COMPUTED_VALUE"""),"G.9.1")</f>
        <v>G.9.1</v>
      </c>
    </row>
    <row r="65" spans="1:2" ht="12.5" x14ac:dyDescent="0.25">
      <c r="A65" t="str">
        <f ca="1">IFERROR(__xludf.DUMMYFUNCTION("""COMPUTED_VALUE"""),"Animal fat")</f>
        <v>Animal fat</v>
      </c>
      <c r="B65" t="str">
        <f ca="1">IFERROR(__xludf.DUMMYFUNCTION("""COMPUTED_VALUE"""),"A.01.001347")</f>
        <v>A.01.001347</v>
      </c>
    </row>
    <row r="66" spans="1:2" ht="12.5" x14ac:dyDescent="0.25">
      <c r="A66" t="str">
        <f ca="1">IFERROR(__xludf.DUMMYFUNCTION("""COMPUTED_VALUE"""),"Animal fat (Feed)")</f>
        <v>Animal fat (Feed)</v>
      </c>
      <c r="B66" t="str">
        <f ca="1">IFERROR(__xludf.DUMMYFUNCTION("""COMPUTED_VALUE"""),"G.9.2")</f>
        <v>G.9.2</v>
      </c>
    </row>
    <row r="67" spans="1:2" ht="12.5" x14ac:dyDescent="0.25">
      <c r="A67" t="str">
        <f ca="1">IFERROR(__xludf.DUMMYFUNCTION("""COMPUTED_VALUE"""),"Animal fat (Feed) (Deprecated)")</f>
        <v>Animal fat (Feed) (Deprecated)</v>
      </c>
      <c r="B67" t="str">
        <f ca="1">IFERROR(__xludf.DUMMYFUNCTION("""COMPUTED_VALUE"""),"F09.08")</f>
        <v>F09.08</v>
      </c>
    </row>
    <row r="68" spans="1:2" ht="12.5" x14ac:dyDescent="0.25">
      <c r="A68" t="str">
        <f ca="1">IFERROR(__xludf.DUMMYFUNCTION("""COMPUTED_VALUE"""),"Animal fat, including milk fat and egg fat")</f>
        <v>Animal fat, including milk fat and egg fat</v>
      </c>
      <c r="B68" t="str">
        <f ca="1">IFERROR(__xludf.DUMMYFUNCTION("""COMPUTED_VALUE"""),"C16_D")</f>
        <v>C16_D</v>
      </c>
    </row>
    <row r="69" spans="1:2" ht="12.5" x14ac:dyDescent="0.25">
      <c r="A69" t="str">
        <f ca="1">IFERROR(__xludf.DUMMYFUNCTION("""COMPUTED_VALUE"""),"Animal fats and oils")</f>
        <v>Animal fats and oils</v>
      </c>
      <c r="B69" t="str">
        <f ca="1">IFERROR(__xludf.DUMMYFUNCTION("""COMPUTED_VALUE"""),"C03_1")</f>
        <v>C03_1</v>
      </c>
    </row>
    <row r="70" spans="1:2" ht="12.5" x14ac:dyDescent="0.25">
      <c r="A70" t="str">
        <f ca="1">IFERROR(__xludf.DUMMYFUNCTION("""COMPUTED_VALUE"""),"Anise pepper (Japan pepper) (Zanthooxylum piperitum)")</f>
        <v>Anise pepper (Japan pepper) (Zanthooxylum piperitum)</v>
      </c>
      <c r="B70" t="str">
        <f ca="1">IFERROR(__xludf.DUMMYFUNCTION("""COMPUTED_VALUE"""),"A.01.001598")</f>
        <v>A.01.001598</v>
      </c>
    </row>
    <row r="71" spans="1:2" ht="12.5" x14ac:dyDescent="0.25">
      <c r="A71" t="str">
        <f ca="1">IFERROR(__xludf.DUMMYFUNCTION("""COMPUTED_VALUE"""),"Anise seed")</f>
        <v>Anise seed</v>
      </c>
      <c r="B71" t="str">
        <f ca="1">IFERROR(__xludf.DUMMYFUNCTION("""COMPUTED_VALUE"""),"G.5.3")</f>
        <v>G.5.3</v>
      </c>
    </row>
    <row r="72" spans="1:2" ht="12.5" x14ac:dyDescent="0.25">
      <c r="A72" t="str">
        <f ca="1">IFERROR(__xludf.DUMMYFUNCTION("""COMPUTED_VALUE"""),"Anise seed (Pimpinella anisum)")</f>
        <v>Anise seed (Pimpinella anisum)</v>
      </c>
      <c r="B72" t="str">
        <f ca="1">IFERROR(__xludf.DUMMYFUNCTION("""COMPUTED_VALUE"""),"A.01.001599")</f>
        <v>A.01.001599</v>
      </c>
    </row>
    <row r="73" spans="1:2" ht="12.5" x14ac:dyDescent="0.25">
      <c r="A73" t="str">
        <f ca="1">IFERROR(__xludf.DUMMYFUNCTION("""COMPUTED_VALUE"""),"Annatto (Bixa orellana)")</f>
        <v>Annatto (Bixa orellana)</v>
      </c>
      <c r="B73" t="str">
        <f ca="1">IFERROR(__xludf.DUMMYFUNCTION("""COMPUTED_VALUE"""),"A.01.001600")</f>
        <v>A.01.001600</v>
      </c>
    </row>
    <row r="74" spans="1:2" ht="12.5" x14ac:dyDescent="0.25">
      <c r="A74" t="str">
        <f ca="1">IFERROR(__xludf.DUMMYFUNCTION("""COMPUTED_VALUE"""),"Anona (cherimoya) (Annona cherimola)")</f>
        <v>Anona (cherimoya) (Annona cherimola)</v>
      </c>
      <c r="B74" t="str">
        <f ca="1">IFERROR(__xludf.DUMMYFUNCTION("""COMPUTED_VALUE"""),"A.01.000636")</f>
        <v>A.01.000636</v>
      </c>
    </row>
    <row r="75" spans="1:2" ht="12.5" x14ac:dyDescent="0.25">
      <c r="A75" t="str">
        <f ca="1">IFERROR(__xludf.DUMMYFUNCTION("""COMPUTED_VALUE"""),"Apiculture by-products")</f>
        <v>Apiculture by-products</v>
      </c>
      <c r="B75" t="str">
        <f ca="1">IFERROR(__xludf.DUMMYFUNCTION("""COMPUTED_VALUE"""),"G.9.3")</f>
        <v>G.9.3</v>
      </c>
    </row>
    <row r="76" spans="1:2" ht="12.5" x14ac:dyDescent="0.25">
      <c r="A76" t="str">
        <f ca="1">IFERROR(__xludf.DUMMYFUNCTION("""COMPUTED_VALUE"""),"Apple (Malus domesticus)")</f>
        <v>Apple (Malus domesticus)</v>
      </c>
      <c r="B76" t="str">
        <f ca="1">IFERROR(__xludf.DUMMYFUNCTION("""COMPUTED_VALUE"""),"A.01.000553")</f>
        <v>A.01.000553</v>
      </c>
    </row>
    <row r="77" spans="1:2" ht="12.5" x14ac:dyDescent="0.25">
      <c r="A77" t="str">
        <f ca="1">IFERROR(__xludf.DUMMYFUNCTION("""COMPUTED_VALUE"""),"Apple chutney")</f>
        <v>Apple chutney</v>
      </c>
      <c r="B77" t="str">
        <f ca="1">IFERROR(__xludf.DUMMYFUNCTION("""COMPUTED_VALUE"""),"A.01.001674")</f>
        <v>A.01.001674</v>
      </c>
    </row>
    <row r="78" spans="1:2" ht="12.5" x14ac:dyDescent="0.25">
      <c r="A78" t="str">
        <f ca="1">IFERROR(__xludf.DUMMYFUNCTION("""COMPUTED_VALUE"""),"Apple molasses")</f>
        <v>Apple molasses</v>
      </c>
      <c r="B78" t="str">
        <f ca="1">IFERROR(__xludf.DUMMYFUNCTION("""COMPUTED_VALUE"""),"G.5.4.3")</f>
        <v>G.5.4.3</v>
      </c>
    </row>
    <row r="79" spans="1:2" ht="12.5" x14ac:dyDescent="0.25">
      <c r="A79" t="str">
        <f ca="1">IFERROR(__xludf.DUMMYFUNCTION("""COMPUTED_VALUE"""),"Apple pulp, dried; [Apple pomace, dried]")</f>
        <v>Apple pulp, dried; [Apple pomace, dried]</v>
      </c>
      <c r="B79" t="str">
        <f ca="1">IFERROR(__xludf.DUMMYFUNCTION("""COMPUTED_VALUE"""),"G.5.4")</f>
        <v>G.5.4</v>
      </c>
    </row>
    <row r="80" spans="1:2" ht="12.5" x14ac:dyDescent="0.25">
      <c r="A80" t="str">
        <f ca="1">IFERROR(__xludf.DUMMYFUNCTION("""COMPUTED_VALUE"""),"Apple pulp, pressed; [Apple pomace, pressed]")</f>
        <v>Apple pulp, pressed; [Apple pomace, pressed]</v>
      </c>
      <c r="B80" t="str">
        <f ca="1">IFERROR(__xludf.DUMMYFUNCTION("""COMPUTED_VALUE"""),"G.5.4.2")</f>
        <v>G.5.4.2</v>
      </c>
    </row>
    <row r="81" spans="1:2" ht="12.5" x14ac:dyDescent="0.25">
      <c r="A81" t="str">
        <f ca="1">IFERROR(__xludf.DUMMYFUNCTION("""COMPUTED_VALUE"""),"Apple strudel")</f>
        <v>Apple strudel</v>
      </c>
      <c r="B81" t="str">
        <f ca="1">IFERROR(__xludf.DUMMYFUNCTION("""COMPUTED_VALUE"""),"A.01.000291")</f>
        <v>A.01.000291</v>
      </c>
    </row>
    <row r="82" spans="1:2" ht="12.5" x14ac:dyDescent="0.25">
      <c r="A82" t="str">
        <f ca="1">IFERROR(__xludf.DUMMYFUNCTION("""COMPUTED_VALUE"""),"Apple/carrot juice")</f>
        <v>Apple/carrot juice</v>
      </c>
      <c r="B82" t="str">
        <f ca="1">IFERROR(__xludf.DUMMYFUNCTION("""COMPUTED_VALUE"""),"A.01.001468")</f>
        <v>A.01.001468</v>
      </c>
    </row>
    <row r="83" spans="1:2" ht="12.5" x14ac:dyDescent="0.25">
      <c r="A83" t="str">
        <f ca="1">IFERROR(__xludf.DUMMYFUNCTION("""COMPUTED_VALUE"""),"Apricots (Prunus armeniaca)")</f>
        <v>Apricots (Prunus armeniaca)</v>
      </c>
      <c r="B83" t="str">
        <f ca="1">IFERROR(__xludf.DUMMYFUNCTION("""COMPUTED_VALUE"""),"A.01.000563")</f>
        <v>A.01.000563</v>
      </c>
    </row>
    <row r="84" spans="1:2" ht="12.5" x14ac:dyDescent="0.25">
      <c r="A84" t="str">
        <f ca="1">IFERROR(__xludf.DUMMYFUNCTION("""COMPUTED_VALUE"""),"Aquaculture (excluding fish) / Complementary feed")</f>
        <v>Aquaculture (excluding fish) / Complementary feed</v>
      </c>
      <c r="B84" t="str">
        <f ca="1">IFERROR(__xludf.DUMMYFUNCTION("""COMPUTED_VALUE"""),"G.14.2.26")</f>
        <v>G.14.2.26</v>
      </c>
    </row>
    <row r="85" spans="1:2" ht="12.5" x14ac:dyDescent="0.25">
      <c r="A85" t="str">
        <f ca="1">IFERROR(__xludf.DUMMYFUNCTION("""COMPUTED_VALUE"""),"Aquaculture (excluding fish) / Complete feed")</f>
        <v>Aquaculture (excluding fish) / Complete feed</v>
      </c>
      <c r="B85" t="str">
        <f ca="1">IFERROR(__xludf.DUMMYFUNCTION("""COMPUTED_VALUE"""),"G.14.1.26")</f>
        <v>G.14.1.26</v>
      </c>
    </row>
    <row r="86" spans="1:2" ht="12.5" x14ac:dyDescent="0.25">
      <c r="A86" t="str">
        <f ca="1">IFERROR(__xludf.DUMMYFUNCTION("""COMPUTED_VALUE"""),"Aquatic invertebrates")</f>
        <v>Aquatic invertebrates</v>
      </c>
      <c r="B86" t="str">
        <f ca="1">IFERROR(__xludf.DUMMYFUNCTION("""COMPUTED_VALUE"""),"G.10.1")</f>
        <v>G.10.1</v>
      </c>
    </row>
    <row r="87" spans="1:2" ht="12.5" x14ac:dyDescent="0.25">
      <c r="A87" t="str">
        <f ca="1">IFERROR(__xludf.DUMMYFUNCTION("""COMPUTED_VALUE"""),"Arles")</f>
        <v>Arles</v>
      </c>
      <c r="B87" t="str">
        <f ca="1">IFERROR(__xludf.DUMMYFUNCTION("""COMPUTED_VALUE"""),"A.01.000846")</f>
        <v>A.01.000846</v>
      </c>
    </row>
    <row r="88" spans="1:2" ht="12.5" x14ac:dyDescent="0.25">
      <c r="A88" t="str">
        <f ca="1">IFERROR(__xludf.DUMMYFUNCTION("""COMPUTED_VALUE"""),"Arrowroot (Maranta arundinacea)")</f>
        <v>Arrowroot (Maranta arundinacea)</v>
      </c>
      <c r="B88" t="str">
        <f ca="1">IFERROR(__xludf.DUMMYFUNCTION("""COMPUTED_VALUE"""),"A.01.000319")</f>
        <v>A.01.000319</v>
      </c>
    </row>
    <row r="89" spans="1:2" ht="12.5" x14ac:dyDescent="0.25">
      <c r="A89" t="str">
        <f ca="1">IFERROR(__xludf.DUMMYFUNCTION("""COMPUTED_VALUE"""),"Asparagus (Asparagus officinalis)")</f>
        <v>Asparagus (Asparagus officinalis)</v>
      </c>
      <c r="B89" t="str">
        <f ca="1">IFERROR(__xludf.DUMMYFUNCTION("""COMPUTED_VALUE"""),"A.01.000386")</f>
        <v>A.01.000386</v>
      </c>
    </row>
    <row r="90" spans="1:2" ht="12.5" x14ac:dyDescent="0.25">
      <c r="A90" t="str">
        <f ca="1">IFERROR(__xludf.DUMMYFUNCTION("""COMPUTED_VALUE"""),"Aspartam")</f>
        <v>Aspartam</v>
      </c>
      <c r="B90" t="str">
        <f ca="1">IFERROR(__xludf.DUMMYFUNCTION("""COMPUTED_VALUE"""),"A.01.001291")</f>
        <v>A.01.001291</v>
      </c>
    </row>
    <row r="91" spans="1:2" ht="12.5" x14ac:dyDescent="0.25">
      <c r="A91" t="str">
        <f ca="1">IFERROR(__xludf.DUMMYFUNCTION("""COMPUTED_VALUE"""),"Ass milk")</f>
        <v>Ass milk</v>
      </c>
      <c r="B91" t="str">
        <f ca="1">IFERROR(__xludf.DUMMYFUNCTION("""COMPUTED_VALUE"""),"A.01.000960")</f>
        <v>A.01.000960</v>
      </c>
    </row>
    <row r="92" spans="1:2" ht="12.5" x14ac:dyDescent="0.25">
      <c r="A92" t="str">
        <f ca="1">IFERROR(__xludf.DUMMYFUNCTION("""COMPUTED_VALUE"""),"Attapulgite")</f>
        <v>Attapulgite</v>
      </c>
      <c r="B92" t="str">
        <f ca="1">IFERROR(__xludf.DUMMYFUNCTION("""COMPUTED_VALUE"""),"G.11.7")</f>
        <v>G.11.7</v>
      </c>
    </row>
    <row r="93" spans="1:2" ht="12.5" x14ac:dyDescent="0.25">
      <c r="A93" t="str">
        <f ca="1">IFERROR(__xludf.DUMMYFUNCTION("""COMPUTED_VALUE"""),"Aubergines (egg plants) (Solanum melongena)")</f>
        <v>Aubergines (egg plants) (Solanum melongena)</v>
      </c>
      <c r="B93" t="str">
        <f ca="1">IFERROR(__xludf.DUMMYFUNCTION("""COMPUTED_VALUE"""),"A.01.000341")</f>
        <v>A.01.000341</v>
      </c>
    </row>
    <row r="94" spans="1:2" ht="12.5" x14ac:dyDescent="0.25">
      <c r="A94" t="str">
        <f ca="1">IFERROR(__xludf.DUMMYFUNCTION("""COMPUTED_VALUE"""),"Avocados (Persea americana)")</f>
        <v>Avocados (Persea americana)</v>
      </c>
      <c r="B94" t="str">
        <f ca="1">IFERROR(__xludf.DUMMYFUNCTION("""COMPUTED_VALUE"""),"A.01.000625")</f>
        <v>A.01.000625</v>
      </c>
    </row>
    <row r="95" spans="1:2" ht="12.5" x14ac:dyDescent="0.25">
      <c r="A95" t="str">
        <f ca="1">IFERROR(__xludf.DUMMYFUNCTION("""COMPUTED_VALUE"""),"Azarole (mediteranean medlar) (Crataegus azarolus)")</f>
        <v>Azarole (mediteranean medlar) (Crataegus azarolus)</v>
      </c>
      <c r="B95" t="str">
        <f ca="1">IFERROR(__xludf.DUMMYFUNCTION("""COMPUTED_VALUE"""),"A.01.000589")</f>
        <v>A.01.000589</v>
      </c>
    </row>
    <row r="96" spans="1:2" ht="12.5" x14ac:dyDescent="0.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x14ac:dyDescent="0.25">
      <c r="A97" t="str">
        <f ca="1">IFERROR(__xludf.DUMMYFUNCTION("""COMPUTED_VALUE"""),"Babassu expeller")</f>
        <v>Babassu expeller</v>
      </c>
      <c r="B97" t="str">
        <f ca="1">IFERROR(__xludf.DUMMYFUNCTION("""COMPUTED_VALUE"""),"G.2.1")</f>
        <v>G.2.1</v>
      </c>
    </row>
    <row r="98" spans="1:2" ht="12.5" x14ac:dyDescent="0.25">
      <c r="A98" t="str">
        <f ca="1">IFERROR(__xludf.DUMMYFUNCTION("""COMPUTED_VALUE"""),"Babel (Barbus)")</f>
        <v>Babel (Barbus)</v>
      </c>
      <c r="B98" t="str">
        <f ca="1">IFERROR(__xludf.DUMMYFUNCTION("""COMPUTED_VALUE"""),"A.01.000902")</f>
        <v>A.01.000902</v>
      </c>
    </row>
    <row r="99" spans="1:2" ht="12.5" x14ac:dyDescent="0.25">
      <c r="A99" t="str">
        <f ca="1">IFERROR(__xludf.DUMMYFUNCTION("""COMPUTED_VALUE"""),"Bacon")</f>
        <v>Bacon</v>
      </c>
      <c r="B99" t="str">
        <f ca="1">IFERROR(__xludf.DUMMYFUNCTION("""COMPUTED_VALUE"""),"A.01.000802")</f>
        <v>A.01.000802</v>
      </c>
    </row>
    <row r="100" spans="1:2" ht="12.5" x14ac:dyDescent="0.25">
      <c r="A100" t="str">
        <f ca="1">IFERROR(__xludf.DUMMYFUNCTION("""COMPUTED_VALUE"""),"Bacterial protein from Corynebacterium glutamicum")</f>
        <v>Bacterial protein from Corynebacterium glutamicum</v>
      </c>
      <c r="B100" t="str">
        <f ca="1">IFERROR(__xludf.DUMMYFUNCTION("""COMPUTED_VALUE"""),"G.12.1.4")</f>
        <v>G.12.1.4</v>
      </c>
    </row>
    <row r="101" spans="1:2" ht="12.5" x14ac:dyDescent="0.25">
      <c r="A101" t="str">
        <f ca="1">IFERROR(__xludf.DUMMYFUNCTION("""COMPUTED_VALUE"""),"Bacterial protein from Escherichia coli")</f>
        <v>Bacterial protein from Escherichia coli</v>
      </c>
      <c r="B101" t="str">
        <f ca="1">IFERROR(__xludf.DUMMYFUNCTION("""COMPUTED_VALUE"""),"G.12.1.3")</f>
        <v>G.12.1.3</v>
      </c>
    </row>
    <row r="102" spans="1:2" ht="12.5" x14ac:dyDescent="0.25">
      <c r="A102" t="str">
        <f ca="1">IFERROR(__xludf.DUMMYFUNCTION("""COMPUTED_VALUE"""),"Bakery and pasta products and byproducts")</f>
        <v>Bakery and pasta products and byproducts</v>
      </c>
      <c r="B102" t="str">
        <f ca="1">IFERROR(__xludf.DUMMYFUNCTION("""COMPUTED_VALUE"""),"F12.01")</f>
        <v>F12.01</v>
      </c>
    </row>
    <row r="103" spans="1:2" ht="12.5" x14ac:dyDescent="0.25">
      <c r="A103" t="str">
        <f ca="1">IFERROR(__xludf.DUMMYFUNCTION("""COMPUTED_VALUE"""),"Baking ingredients")</f>
        <v>Baking ingredients</v>
      </c>
      <c r="B103" t="str">
        <f ca="1">IFERROR(__xludf.DUMMYFUNCTION("""COMPUTED_VALUE"""),"A.01.001704")</f>
        <v>A.01.001704</v>
      </c>
    </row>
    <row r="104" spans="1:2" ht="12.5" x14ac:dyDescent="0.25">
      <c r="A104" t="str">
        <f ca="1">IFERROR(__xludf.DUMMYFUNCTION("""COMPUTED_VALUE"""),"Baking powder")</f>
        <v>Baking powder</v>
      </c>
      <c r="B104" t="str">
        <f ca="1">IFERROR(__xludf.DUMMYFUNCTION("""COMPUTED_VALUE"""),"A.01.001707")</f>
        <v>A.01.001707</v>
      </c>
    </row>
    <row r="105" spans="1:2" ht="12.5" x14ac:dyDescent="0.25">
      <c r="A105" t="str">
        <f ca="1">IFERROR(__xludf.DUMMYFUNCTION("""COMPUTED_VALUE"""),"Baklava")</f>
        <v>Baklava</v>
      </c>
      <c r="B105" t="str">
        <f ca="1">IFERROR(__xludf.DUMMYFUNCTION("""COMPUTED_VALUE"""),"A.01.000301")</f>
        <v>A.01.000301</v>
      </c>
    </row>
    <row r="106" spans="1:2" ht="12.5" x14ac:dyDescent="0.25">
      <c r="A106" t="str">
        <f ca="1">IFERROR(__xludf.DUMMYFUNCTION("""COMPUTED_VALUE"""),"Bamboo shoots (Bambusa vulgaris)")</f>
        <v>Bamboo shoots (Bambusa vulgaris)</v>
      </c>
      <c r="B106" t="str">
        <f ca="1">IFERROR(__xludf.DUMMYFUNCTION("""COMPUTED_VALUE"""),"A.01.000393")</f>
        <v>A.01.000393</v>
      </c>
    </row>
    <row r="107" spans="1:2" ht="12.5" x14ac:dyDescent="0.25">
      <c r="A107" t="str">
        <f ca="1">IFERROR(__xludf.DUMMYFUNCTION("""COMPUTED_VALUE"""),"Bananas (Musa × paradisica)")</f>
        <v>Bananas (Musa × paradisica)</v>
      </c>
      <c r="B107" t="str">
        <f ca="1">IFERROR(__xludf.DUMMYFUNCTION("""COMPUTED_VALUE"""),"A.01.000626")</f>
        <v>A.01.000626</v>
      </c>
    </row>
    <row r="108" spans="1:2" ht="12.5" x14ac:dyDescent="0.25">
      <c r="A108" t="str">
        <f ca="1">IFERROR(__xludf.DUMMYFUNCTION("""COMPUTED_VALUE"""),"Barbecue sauce")</f>
        <v>Barbecue sauce</v>
      </c>
      <c r="B108" t="str">
        <f ca="1">IFERROR(__xludf.DUMMYFUNCTION("""COMPUTED_VALUE"""),"A.01.001656")</f>
        <v>A.01.001656</v>
      </c>
    </row>
    <row r="109" spans="1:2" ht="12.5" x14ac:dyDescent="0.25">
      <c r="A109" t="str">
        <f ca="1">IFERROR(__xludf.DUMMYFUNCTION("""COMPUTED_VALUE"""),"Barks")</f>
        <v>Barks</v>
      </c>
      <c r="B109" t="str">
        <f ca="1">IFERROR(__xludf.DUMMYFUNCTION("""COMPUTED_VALUE"""),"G.7.3")</f>
        <v>G.7.3</v>
      </c>
    </row>
    <row r="110" spans="1:2" ht="12.5" x14ac:dyDescent="0.25">
      <c r="A110" t="str">
        <f ca="1">IFERROR(__xludf.DUMMYFUNCTION("""COMPUTED_VALUE"""),"Barley")</f>
        <v>Barley</v>
      </c>
      <c r="B110" t="str">
        <f ca="1">IFERROR(__xludf.DUMMYFUNCTION("""COMPUTED_VALUE"""),"F01.05")</f>
        <v>F01.05</v>
      </c>
    </row>
    <row r="111" spans="1:2" ht="12.5" x14ac:dyDescent="0.25">
      <c r="A111" t="str">
        <f ca="1">IFERROR(__xludf.DUMMYFUNCTION("""COMPUTED_VALUE"""),"Barley")</f>
        <v>Barley</v>
      </c>
      <c r="B111" t="str">
        <f ca="1">IFERROR(__xludf.DUMMYFUNCTION("""COMPUTED_VALUE"""),"G.1.1")</f>
        <v>G.1.1</v>
      </c>
    </row>
    <row r="112" spans="1:2" ht="12.5" x14ac:dyDescent="0.25">
      <c r="A112" t="str">
        <f ca="1">IFERROR(__xludf.DUMMYFUNCTION("""COMPUTED_VALUE"""),"Barley bran")</f>
        <v>Barley bran</v>
      </c>
      <c r="B112" t="str">
        <f ca="1">IFERROR(__xludf.DUMMYFUNCTION("""COMPUTED_VALUE"""),"G.1.1.11")</f>
        <v>G.1.1.11</v>
      </c>
    </row>
    <row r="113" spans="1:2" ht="12.5" x14ac:dyDescent="0.25">
      <c r="A113" t="str">
        <f ca="1">IFERROR(__xludf.DUMMYFUNCTION("""COMPUTED_VALUE"""),"Barley coffee")</f>
        <v>Barley coffee</v>
      </c>
      <c r="B113" t="str">
        <f ca="1">IFERROR(__xludf.DUMMYFUNCTION("""COMPUTED_VALUE"""),"A.01.000436")</f>
        <v>A.01.000436</v>
      </c>
    </row>
    <row r="114" spans="1:2" ht="12.5" x14ac:dyDescent="0.25">
      <c r="A114" t="str">
        <f ca="1">IFERROR(__xludf.DUMMYFUNCTION("""COMPUTED_VALUE"""),"Barley distillers solids, wet")</f>
        <v>Barley distillers solids, wet</v>
      </c>
      <c r="B114" t="str">
        <f ca="1">IFERROR(__xludf.DUMMYFUNCTION("""COMPUTED_VALUE"""),"G.1.1.16")</f>
        <v>G.1.1.16</v>
      </c>
    </row>
    <row r="115" spans="1:2" ht="12.5" x14ac:dyDescent="0.25">
      <c r="A115" t="str">
        <f ca="1">IFERROR(__xludf.DUMMYFUNCTION("""COMPUTED_VALUE"""),"Barley distillers solubles, wet")</f>
        <v>Barley distillers solubles, wet</v>
      </c>
      <c r="B115" t="str">
        <f ca="1">IFERROR(__xludf.DUMMYFUNCTION("""COMPUTED_VALUE"""),"G.1.1.17")</f>
        <v>G.1.1.17</v>
      </c>
    </row>
    <row r="116" spans="1:2" ht="12.5" x14ac:dyDescent="0.25">
      <c r="A116" t="str">
        <f ca="1">IFERROR(__xludf.DUMMYFUNCTION("""COMPUTED_VALUE"""),"Barley fibre")</f>
        <v>Barley fibre</v>
      </c>
      <c r="B116" t="str">
        <f ca="1">IFERROR(__xludf.DUMMYFUNCTION("""COMPUTED_VALUE"""),"G.1.1.5")</f>
        <v>G.1.1.5</v>
      </c>
    </row>
    <row r="117" spans="1:2" ht="12.5" x14ac:dyDescent="0.25">
      <c r="A117" t="str">
        <f ca="1">IFERROR(__xludf.DUMMYFUNCTION("""COMPUTED_VALUE"""),"Barley flakes")</f>
        <v>Barley flakes</v>
      </c>
      <c r="B117" t="str">
        <f ca="1">IFERROR(__xludf.DUMMYFUNCTION("""COMPUTED_VALUE"""),"A.01.000186")</f>
        <v>A.01.000186</v>
      </c>
    </row>
    <row r="118" spans="1:2" ht="12.5" x14ac:dyDescent="0.25">
      <c r="A118" t="str">
        <f ca="1">IFERROR(__xludf.DUMMYFUNCTION("""COMPUTED_VALUE"""),"Barley flakes (Feed)")</f>
        <v>Barley flakes (Feed)</v>
      </c>
      <c r="B118" t="str">
        <f ca="1">IFERROR(__xludf.DUMMYFUNCTION("""COMPUTED_VALUE"""),"G.1.1.4")</f>
        <v>G.1.1.4</v>
      </c>
    </row>
    <row r="119" spans="1:2" ht="12.5" x14ac:dyDescent="0.25">
      <c r="A119" t="str">
        <f ca="1">IFERROR(__xludf.DUMMYFUNCTION("""COMPUTED_VALUE"""),"Barley flour")</f>
        <v>Barley flour</v>
      </c>
      <c r="B119" t="str">
        <f ca="1">IFERROR(__xludf.DUMMYFUNCTION("""COMPUTED_VALUE"""),"A.01.000092")</f>
        <v>A.01.000092</v>
      </c>
    </row>
    <row r="120" spans="1:2" ht="12.5" x14ac:dyDescent="0.25">
      <c r="A120" t="str">
        <f ca="1">IFERROR(__xludf.DUMMYFUNCTION("""COMPUTED_VALUE"""),"Barley grain")</f>
        <v>Barley grain</v>
      </c>
      <c r="B120" t="str">
        <f ca="1">IFERROR(__xludf.DUMMYFUNCTION("""COMPUTED_VALUE"""),"A.01.000019")</f>
        <v>A.01.000019</v>
      </c>
    </row>
    <row r="121" spans="1:2" ht="12.5" x14ac:dyDescent="0.25">
      <c r="A121" t="str">
        <f ca="1">IFERROR(__xludf.DUMMYFUNCTION("""COMPUTED_VALUE"""),"Barley grain (Crop)")</f>
        <v>Barley grain (Crop)</v>
      </c>
      <c r="B121" t="str">
        <f ca="1">IFERROR(__xludf.DUMMYFUNCTION("""COMPUTED_VALUE"""),"A.01.000004")</f>
        <v>A.01.000004</v>
      </c>
    </row>
    <row r="122" spans="1:2" ht="12.5" x14ac:dyDescent="0.25">
      <c r="A122" t="str">
        <f ca="1">IFERROR(__xludf.DUMMYFUNCTION("""COMPUTED_VALUE"""),"Barley grain, whole")</f>
        <v>Barley grain, whole</v>
      </c>
      <c r="B122" t="str">
        <f ca="1">IFERROR(__xludf.DUMMYFUNCTION("""COMPUTED_VALUE"""),"A.01.000020")</f>
        <v>A.01.000020</v>
      </c>
    </row>
    <row r="123" spans="1:2" ht="12.5" x14ac:dyDescent="0.25">
      <c r="A123" t="str">
        <f ca="1">IFERROR(__xludf.DUMMYFUNCTION("""COMPUTED_VALUE"""),"Barley grits")</f>
        <v>Barley grits</v>
      </c>
      <c r="B123" t="str">
        <f ca="1">IFERROR(__xludf.DUMMYFUNCTION("""COMPUTED_VALUE"""),"A.01.000241")</f>
        <v>A.01.000241</v>
      </c>
    </row>
    <row r="124" spans="1:2" ht="12.5" x14ac:dyDescent="0.25">
      <c r="A124" t="str">
        <f ca="1">IFERROR(__xludf.DUMMYFUNCTION("""COMPUTED_VALUE"""),"Barley hulls")</f>
        <v>Barley hulls</v>
      </c>
      <c r="B124" t="str">
        <f ca="1">IFERROR(__xludf.DUMMYFUNCTION("""COMPUTED_VALUE"""),"G.1.1.6")</f>
        <v>G.1.1.6</v>
      </c>
    </row>
    <row r="125" spans="1:2" ht="12.5" x14ac:dyDescent="0.25">
      <c r="A125" t="str">
        <f ca="1">IFERROR(__xludf.DUMMYFUNCTION("""COMPUTED_VALUE"""),"Barley malt syrup")</f>
        <v>Barley malt syrup</v>
      </c>
      <c r="B125" t="str">
        <f ca="1">IFERROR(__xludf.DUMMYFUNCTION("""COMPUTED_VALUE"""),"A.01.001336")</f>
        <v>A.01.001336</v>
      </c>
    </row>
    <row r="126" spans="1:2" ht="12.5" x14ac:dyDescent="0.25">
      <c r="A126" t="str">
        <f ca="1">IFERROR(__xludf.DUMMYFUNCTION("""COMPUTED_VALUE"""),"Barley middlings")</f>
        <v>Barley middlings</v>
      </c>
      <c r="B126" t="str">
        <f ca="1">IFERROR(__xludf.DUMMYFUNCTION("""COMPUTED_VALUE"""),"F01.06")</f>
        <v>F01.06</v>
      </c>
    </row>
    <row r="127" spans="1:2" ht="12.5" x14ac:dyDescent="0.25">
      <c r="A127" t="str">
        <f ca="1">IFERROR(__xludf.DUMMYFUNCTION("""COMPUTED_VALUE"""),"Barley middlings")</f>
        <v>Barley middlings</v>
      </c>
      <c r="B127" t="str">
        <f ca="1">IFERROR(__xludf.DUMMYFUNCTION("""COMPUTED_VALUE"""),"G.1.1.7")</f>
        <v>G.1.1.7</v>
      </c>
    </row>
    <row r="128" spans="1:2" ht="12.5" x14ac:dyDescent="0.25">
      <c r="A128" t="str">
        <f ca="1">IFERROR(__xludf.DUMMYFUNCTION("""COMPUTED_VALUE"""),"Barley porridge")</f>
        <v>Barley porridge</v>
      </c>
      <c r="B128" t="str">
        <f ca="1">IFERROR(__xludf.DUMMYFUNCTION("""COMPUTED_VALUE"""),"A.01.000251")</f>
        <v>A.01.000251</v>
      </c>
    </row>
    <row r="129" spans="1:2" ht="12.5" x14ac:dyDescent="0.25">
      <c r="A129" t="str">
        <f ca="1">IFERROR(__xludf.DUMMYFUNCTION("""COMPUTED_VALUE"""),"Barley protein")</f>
        <v>Barley protein</v>
      </c>
      <c r="B129" t="str">
        <f ca="1">IFERROR(__xludf.DUMMYFUNCTION("""COMPUTED_VALUE"""),"F01.07")</f>
        <v>F01.07</v>
      </c>
    </row>
    <row r="130" spans="1:2" ht="12.5" x14ac:dyDescent="0.25">
      <c r="A130" t="str">
        <f ca="1">IFERROR(__xludf.DUMMYFUNCTION("""COMPUTED_VALUE"""),"Barley protein")</f>
        <v>Barley protein</v>
      </c>
      <c r="B130" t="str">
        <f ca="1">IFERROR(__xludf.DUMMYFUNCTION("""COMPUTED_VALUE"""),"G.1.1.8")</f>
        <v>G.1.1.8</v>
      </c>
    </row>
    <row r="131" spans="1:2" ht="12.5" x14ac:dyDescent="0.25">
      <c r="A131" t="str">
        <f ca="1">IFERROR(__xludf.DUMMYFUNCTION("""COMPUTED_VALUE"""),"Barley protein feed")</f>
        <v>Barley protein feed</v>
      </c>
      <c r="B131" t="str">
        <f ca="1">IFERROR(__xludf.DUMMYFUNCTION("""COMPUTED_VALUE"""),"G.1.1.9")</f>
        <v>G.1.1.9</v>
      </c>
    </row>
    <row r="132" spans="1:2" ht="12.5" x14ac:dyDescent="0.25">
      <c r="A132" t="str">
        <f ca="1">IFERROR(__xludf.DUMMYFUNCTION("""COMPUTED_VALUE"""),"Barley solubles")</f>
        <v>Barley solubles</v>
      </c>
      <c r="B132" t="str">
        <f ca="1">IFERROR(__xludf.DUMMYFUNCTION("""COMPUTED_VALUE"""),"G.1.1.10")</f>
        <v>G.1.1.10</v>
      </c>
    </row>
    <row r="133" spans="1:2" ht="12.5" x14ac:dyDescent="0.25">
      <c r="A133" t="str">
        <f ca="1">IFERROR(__xludf.DUMMYFUNCTION("""COMPUTED_VALUE"""),"Barley sugar")</f>
        <v>Barley sugar</v>
      </c>
      <c r="B133" t="str">
        <f ca="1">IFERROR(__xludf.DUMMYFUNCTION("""COMPUTED_VALUE"""),"A.01.001271")</f>
        <v>A.01.001271</v>
      </c>
    </row>
    <row r="134" spans="1:2" ht="12.5" x14ac:dyDescent="0.25">
      <c r="A134" t="str">
        <f ca="1">IFERROR(__xludf.DUMMYFUNCTION("""COMPUTED_VALUE"""),"Barley, pearled")</f>
        <v>Barley, pearled</v>
      </c>
      <c r="B134" t="str">
        <f ca="1">IFERROR(__xludf.DUMMYFUNCTION("""COMPUTED_VALUE"""),"A.01.000021")</f>
        <v>A.01.000021</v>
      </c>
    </row>
    <row r="135" spans="1:2" ht="12.5" x14ac:dyDescent="0.25">
      <c r="A135" t="str">
        <f ca="1">IFERROR(__xludf.DUMMYFUNCTION("""COMPUTED_VALUE"""),"Barley, puffed")</f>
        <v>Barley, puffed</v>
      </c>
      <c r="B135" t="str">
        <f ca="1">IFERROR(__xludf.DUMMYFUNCTION("""COMPUTED_VALUE"""),"G.1.1.2")</f>
        <v>G.1.1.2</v>
      </c>
    </row>
    <row r="136" spans="1:2" ht="12.5" x14ac:dyDescent="0.25">
      <c r="A136" t="str">
        <f ca="1">IFERROR(__xludf.DUMMYFUNCTION("""COMPUTED_VALUE"""),"Barley, roasted")</f>
        <v>Barley, roasted</v>
      </c>
      <c r="B136" t="str">
        <f ca="1">IFERROR(__xludf.DUMMYFUNCTION("""COMPUTED_VALUE"""),"G.1.1.3")</f>
        <v>G.1.1.3</v>
      </c>
    </row>
    <row r="137" spans="1:2" ht="12.5" x14ac:dyDescent="0.25">
      <c r="A137" t="str">
        <f ca="1">IFERROR(__xludf.DUMMYFUNCTION("""COMPUTED_VALUE"""),"Basil, herb (Ocimum basilicum)")</f>
        <v>Basil, herb (Ocimum basilicum)</v>
      </c>
      <c r="B137" t="str">
        <f ca="1">IFERROR(__xludf.DUMMYFUNCTION("""COMPUTED_VALUE"""),"A.01.001590")</f>
        <v>A.01.001590</v>
      </c>
    </row>
    <row r="138" spans="1:2" ht="12.5" x14ac:dyDescent="0.25">
      <c r="A138" t="str">
        <f ca="1">IFERROR(__xludf.DUMMYFUNCTION("""COMPUTED_VALUE"""),"Bass (Marone)")</f>
        <v>Bass (Marone)</v>
      </c>
      <c r="B138" t="str">
        <f ca="1">IFERROR(__xludf.DUMMYFUNCTION("""COMPUTED_VALUE"""),"A.01.000888")</f>
        <v>A.01.000888</v>
      </c>
    </row>
    <row r="139" spans="1:2" ht="12.5" x14ac:dyDescent="0.25">
      <c r="A139" t="str">
        <f ca="1">IFERROR(__xludf.DUMMYFUNCTION("""COMPUTED_VALUE"""),"Bay leaves (laurel) (Laurus nobilis)")</f>
        <v>Bay leaves (laurel) (Laurus nobilis)</v>
      </c>
      <c r="B139" t="str">
        <f ca="1">IFERROR(__xludf.DUMMYFUNCTION("""COMPUTED_VALUE"""),"A.01.001591")</f>
        <v>A.01.001591</v>
      </c>
    </row>
    <row r="140" spans="1:2" ht="12.5" x14ac:dyDescent="0.25">
      <c r="A140" t="str">
        <f ca="1">IFERROR(__xludf.DUMMYFUNCTION("""COMPUTED_VALUE"""),"Bean protein concentrate")</f>
        <v>Bean protein concentrate</v>
      </c>
      <c r="B140" t="str">
        <f ca="1">IFERROR(__xludf.DUMMYFUNCTION("""COMPUTED_VALUE"""),"G.3.1.2")</f>
        <v>G.3.1.2</v>
      </c>
    </row>
    <row r="141" spans="1:2" ht="12.5" x14ac:dyDescent="0.25">
      <c r="A141" t="str">
        <f ca="1">IFERROR(__xludf.DUMMYFUNCTION("""COMPUTED_VALUE"""),"Beans (Phaseolus vulgaris)")</f>
        <v>Beans (Phaseolus vulgaris)</v>
      </c>
      <c r="B141" t="str">
        <f ca="1">IFERROR(__xludf.DUMMYFUNCTION("""COMPUTED_VALUE"""),"A.01.000492")</f>
        <v>A.01.000492</v>
      </c>
    </row>
    <row r="142" spans="1:2" ht="12.5" x14ac:dyDescent="0.25">
      <c r="A142" t="str">
        <f ca="1">IFERROR(__xludf.DUMMYFUNCTION("""COMPUTED_VALUE"""),"Beans and meat meal")</f>
        <v>Beans and meat meal</v>
      </c>
      <c r="B142" t="str">
        <f ca="1">IFERROR(__xludf.DUMMYFUNCTION("""COMPUTED_VALUE"""),"A.01.001826")</f>
        <v>A.01.001826</v>
      </c>
    </row>
    <row r="143" spans="1:2" ht="12.5" x14ac:dyDescent="0.25">
      <c r="A143" t="str">
        <f ca="1">IFERROR(__xludf.DUMMYFUNCTION("""COMPUTED_VALUE"""),"Beans and vegetables meal")</f>
        <v>Beans and vegetables meal</v>
      </c>
      <c r="B143" t="str">
        <f ca="1">IFERROR(__xludf.DUMMYFUNCTION("""COMPUTED_VALUE"""),"A.01.001827")</f>
        <v>A.01.001827</v>
      </c>
    </row>
    <row r="144" spans="1:2" ht="12.5" x14ac:dyDescent="0.25">
      <c r="A144" t="str">
        <f ca="1">IFERROR(__xludf.DUMMYFUNCTION("""COMPUTED_VALUE"""),"Beans-based meals")</f>
        <v>Beans-based meals</v>
      </c>
      <c r="B144" t="str">
        <f ca="1">IFERROR(__xludf.DUMMYFUNCTION("""COMPUTED_VALUE"""),"A.01.001825")</f>
        <v>A.01.001825</v>
      </c>
    </row>
    <row r="145" spans="1:2" ht="12.5" x14ac:dyDescent="0.25">
      <c r="A145" t="str">
        <f ca="1">IFERROR(__xludf.DUMMYFUNCTION("""COMPUTED_VALUE"""),"Beans, green, with pods")</f>
        <v>Beans, green, with pods</v>
      </c>
      <c r="B145" t="str">
        <f ca="1">IFERROR(__xludf.DUMMYFUNCTION("""COMPUTED_VALUE"""),"A.01.001901")</f>
        <v>A.01.001901</v>
      </c>
    </row>
    <row r="146" spans="1:2" ht="12.5" x14ac:dyDescent="0.25">
      <c r="A146" t="str">
        <f ca="1">IFERROR(__xludf.DUMMYFUNCTION("""COMPUTED_VALUE"""),"Beans, green, without pods (Phaseolus vulgaris)")</f>
        <v>Beans, green, without pods (Phaseolus vulgaris)</v>
      </c>
      <c r="B146" t="str">
        <f ca="1">IFERROR(__xludf.DUMMYFUNCTION("""COMPUTED_VALUE"""),"A.01.000488")</f>
        <v>A.01.000488</v>
      </c>
    </row>
    <row r="147" spans="1:2" ht="12.5" x14ac:dyDescent="0.25">
      <c r="A147" t="str">
        <f ca="1">IFERROR(__xludf.DUMMYFUNCTION("""COMPUTED_VALUE"""),"Beans, meat, and vegetables meal")</f>
        <v>Beans, meat, and vegetables meal</v>
      </c>
      <c r="B147" t="str">
        <f ca="1">IFERROR(__xludf.DUMMYFUNCTION("""COMPUTED_VALUE"""),"A.01.001828")</f>
        <v>A.01.001828</v>
      </c>
    </row>
    <row r="148" spans="1:2" ht="12.5" x14ac:dyDescent="0.25">
      <c r="A148" t="str">
        <f ca="1">IFERROR(__xludf.DUMMYFUNCTION("""COMPUTED_VALUE"""),"Beans, toasted")</f>
        <v>Beans, toasted</v>
      </c>
      <c r="B148" t="str">
        <f ca="1">IFERROR(__xludf.DUMMYFUNCTION("""COMPUTED_VALUE"""),"F03.07")</f>
        <v>F03.07</v>
      </c>
    </row>
    <row r="149" spans="1:2" ht="12.5" x14ac:dyDescent="0.25">
      <c r="A149" t="str">
        <f ca="1">IFERROR(__xludf.DUMMYFUNCTION("""COMPUTED_VALUE"""),"Beans, toasted")</f>
        <v>Beans, toasted</v>
      </c>
      <c r="B149" t="str">
        <f ca="1">IFERROR(__xludf.DUMMYFUNCTION("""COMPUTED_VALUE"""),"G.3.1")</f>
        <v>G.3.1</v>
      </c>
    </row>
    <row r="150" spans="1:2" ht="12.5" x14ac:dyDescent="0.25">
      <c r="A150" t="str">
        <f ca="1">IFERROR(__xludf.DUMMYFUNCTION("""COMPUTED_VALUE"""),"Beans, with pods (Phaseolus vulgaris)")</f>
        <v>Beans, with pods (Phaseolus vulgaris)</v>
      </c>
      <c r="B150" t="str">
        <f ca="1">IFERROR(__xludf.DUMMYFUNCTION("""COMPUTED_VALUE"""),"A.01.000383")</f>
        <v>A.01.000383</v>
      </c>
    </row>
    <row r="151" spans="1:2" ht="12.5" x14ac:dyDescent="0.25">
      <c r="A151" t="str">
        <f ca="1">IFERROR(__xludf.DUMMYFUNCTION("""COMPUTED_VALUE"""),"Bearberry (Arctostaphylos spp.)")</f>
        <v>Bearberry (Arctostaphylos spp.)</v>
      </c>
      <c r="B151" t="str">
        <f ca="1">IFERROR(__xludf.DUMMYFUNCTION("""COMPUTED_VALUE"""),"A.01.000596")</f>
        <v>A.01.000596</v>
      </c>
    </row>
    <row r="152" spans="1:2" ht="12.5" x14ac:dyDescent="0.25">
      <c r="A152" t="str">
        <f ca="1">IFERROR(__xludf.DUMMYFUNCTION("""COMPUTED_VALUE"""),"Beef kidney")</f>
        <v>Beef kidney</v>
      </c>
      <c r="B152" t="str">
        <f ca="1">IFERROR(__xludf.DUMMYFUNCTION("""COMPUTED_VALUE"""),"A.01.000775")</f>
        <v>A.01.000775</v>
      </c>
    </row>
    <row r="153" spans="1:2" ht="12.5" x14ac:dyDescent="0.25">
      <c r="A153" t="str">
        <f ca="1">IFERROR(__xludf.DUMMYFUNCTION("""COMPUTED_VALUE"""),"Beef liver")</f>
        <v>Beef liver</v>
      </c>
      <c r="B153" t="str">
        <f ca="1">IFERROR(__xludf.DUMMYFUNCTION("""COMPUTED_VALUE"""),"A.01.000767")</f>
        <v>A.01.000767</v>
      </c>
    </row>
    <row r="154" spans="1:2" ht="12.5" x14ac:dyDescent="0.25">
      <c r="A154" t="str">
        <f ca="1">IFERROR(__xludf.DUMMYFUNCTION("""COMPUTED_VALUE"""),"Beef loaf")</f>
        <v>Beef loaf</v>
      </c>
      <c r="B154" t="str">
        <f ca="1">IFERROR(__xludf.DUMMYFUNCTION("""COMPUTED_VALUE"""),"A.01.000859")</f>
        <v>A.01.000859</v>
      </c>
    </row>
    <row r="155" spans="1:2" ht="12.5" x14ac:dyDescent="0.25">
      <c r="A155" t="str">
        <f ca="1">IFERROR(__xludf.DUMMYFUNCTION("""COMPUTED_VALUE"""),"Beef meat (Bos spp.)")</f>
        <v>Beef meat (Bos spp.)</v>
      </c>
      <c r="B155" t="str">
        <f ca="1">IFERROR(__xludf.DUMMYFUNCTION("""COMPUTED_VALUE"""),"A.01.000729")</f>
        <v>A.01.000729</v>
      </c>
    </row>
    <row r="156" spans="1:2" ht="12.5" x14ac:dyDescent="0.25">
      <c r="A156" t="str">
        <f ca="1">IFERROR(__xludf.DUMMYFUNCTION("""COMPUTED_VALUE"""),"Beef, dried")</f>
        <v>Beef, dried</v>
      </c>
      <c r="B156" t="str">
        <f ca="1">IFERROR(__xludf.DUMMYFUNCTION("""COMPUTED_VALUE"""),"A.01.000798")</f>
        <v>A.01.000798</v>
      </c>
    </row>
    <row r="157" spans="1:2" ht="12.5" x14ac:dyDescent="0.25">
      <c r="A157" t="str">
        <f ca="1">IFERROR(__xludf.DUMMYFUNCTION("""COMPUTED_VALUE"""),"Beer and beer-like beverage")</f>
        <v>Beer and beer-like beverage</v>
      </c>
      <c r="B157" t="str">
        <f ca="1">IFERROR(__xludf.DUMMYFUNCTION("""COMPUTED_VALUE"""),"A.01.001535")</f>
        <v>A.01.001535</v>
      </c>
    </row>
    <row r="158" spans="1:2" ht="12.5" x14ac:dyDescent="0.25">
      <c r="A158" t="str">
        <f ca="1">IFERROR(__xludf.DUMMYFUNCTION("""COMPUTED_VALUE"""),"Beer and substitutes")</f>
        <v>Beer and substitutes</v>
      </c>
      <c r="B158" t="str">
        <f ca="1">IFERROR(__xludf.DUMMYFUNCTION("""COMPUTED_VALUE"""),"C09A")</f>
        <v>C09A</v>
      </c>
    </row>
    <row r="159" spans="1:2" ht="12.5" x14ac:dyDescent="0.25">
      <c r="A159" t="str">
        <f ca="1">IFERROR(__xludf.DUMMYFUNCTION("""COMPUTED_VALUE"""),"Beer for diabetics")</f>
        <v>Beer for diabetics</v>
      </c>
      <c r="B159" t="str">
        <f ca="1">IFERROR(__xludf.DUMMYFUNCTION("""COMPUTED_VALUE"""),"A.01.001783")</f>
        <v>A.01.001783</v>
      </c>
    </row>
    <row r="160" spans="1:2" ht="12.5" x14ac:dyDescent="0.25">
      <c r="A160" t="str">
        <f ca="1">IFERROR(__xludf.DUMMYFUNCTION("""COMPUTED_VALUE"""),"Beer-like beverages (Malt drink)")</f>
        <v>Beer-like beverages (Malt drink)</v>
      </c>
      <c r="B160" t="str">
        <f ca="1">IFERROR(__xludf.DUMMYFUNCTION("""COMPUTED_VALUE"""),"A.01.001540")</f>
        <v>A.01.001540</v>
      </c>
    </row>
    <row r="161" spans="1:2" ht="12.5" x14ac:dyDescent="0.25">
      <c r="A161" t="str">
        <f ca="1">IFERROR(__xludf.DUMMYFUNCTION("""COMPUTED_VALUE"""),"Beer, alcohol-free")</f>
        <v>Beer, alcohol-free</v>
      </c>
      <c r="B161" t="str">
        <f ca="1">IFERROR(__xludf.DUMMYFUNCTION("""COMPUTED_VALUE"""),"A.01.001539")</f>
        <v>A.01.001539</v>
      </c>
    </row>
    <row r="162" spans="1:2" ht="12.5" x14ac:dyDescent="0.25">
      <c r="A162" t="str">
        <f ca="1">IFERROR(__xludf.DUMMYFUNCTION("""COMPUTED_VALUE"""),"Beer, light (reduced alcohol content)")</f>
        <v>Beer, light (reduced alcohol content)</v>
      </c>
      <c r="B162" t="str">
        <f ca="1">IFERROR(__xludf.DUMMYFUNCTION("""COMPUTED_VALUE"""),"A.01.001538")</f>
        <v>A.01.001538</v>
      </c>
    </row>
    <row r="163" spans="1:2" ht="12.5" x14ac:dyDescent="0.25">
      <c r="A163" t="str">
        <f ca="1">IFERROR(__xludf.DUMMYFUNCTION("""COMPUTED_VALUE"""),"Beer, regular")</f>
        <v>Beer, regular</v>
      </c>
      <c r="B163" t="str">
        <f ca="1">IFERROR(__xludf.DUMMYFUNCTION("""COMPUTED_VALUE"""),"A.01.001537")</f>
        <v>A.01.001537</v>
      </c>
    </row>
    <row r="164" spans="1:2" ht="12.5" x14ac:dyDescent="0.25">
      <c r="A164" t="str">
        <f ca="1">IFERROR(__xludf.DUMMYFUNCTION("""COMPUTED_VALUE"""),"Beer, strong")</f>
        <v>Beer, strong</v>
      </c>
      <c r="B164" t="str">
        <f ca="1">IFERROR(__xludf.DUMMYFUNCTION("""COMPUTED_VALUE"""),"A.01.001536")</f>
        <v>A.01.001536</v>
      </c>
    </row>
    <row r="165" spans="1:2" ht="12.5" x14ac:dyDescent="0.25">
      <c r="A165" t="str">
        <f ca="1">IFERROR(__xludf.DUMMYFUNCTION("""COMPUTED_VALUE"""),"Beerwurst")</f>
        <v>Beerwurst</v>
      </c>
      <c r="B165" t="str">
        <f ca="1">IFERROR(__xludf.DUMMYFUNCTION("""COMPUTED_VALUE"""),"A.01.000847")</f>
        <v>A.01.000847</v>
      </c>
    </row>
    <row r="166" spans="1:2" ht="12.5" x14ac:dyDescent="0.25">
      <c r="A166" t="str">
        <f ca="1">IFERROR(__xludf.DUMMYFUNCTION("""COMPUTED_VALUE"""),"Beet leaves")</f>
        <v>Beet leaves</v>
      </c>
      <c r="B166" t="str">
        <f ca="1">IFERROR(__xludf.DUMMYFUNCTION("""COMPUTED_VALUE"""),"G.6.1")</f>
        <v>G.6.1</v>
      </c>
    </row>
    <row r="167" spans="1:2" ht="12.5" x14ac:dyDescent="0.25">
      <c r="A167" t="str">
        <f ca="1">IFERROR(__xludf.DUMMYFUNCTION("""COMPUTED_VALUE"""),"Beet leaves (Beta vulgaris)")</f>
        <v>Beet leaves (Beta vulgaris)</v>
      </c>
      <c r="B167" t="str">
        <f ca="1">IFERROR(__xludf.DUMMYFUNCTION("""COMPUTED_VALUE"""),"A.01.000372")</f>
        <v>A.01.000372</v>
      </c>
    </row>
    <row r="168" spans="1:2" ht="12.5" x14ac:dyDescent="0.25">
      <c r="A168" t="str">
        <f ca="1">IFERROR(__xludf.DUMMYFUNCTION("""COMPUTED_VALUE"""),"Beetroot (Beta vulgaris subsp. vulgaris)")</f>
        <v>Beetroot (Beta vulgaris subsp. vulgaris)</v>
      </c>
      <c r="B168" t="str">
        <f ca="1">IFERROR(__xludf.DUMMYFUNCTION("""COMPUTED_VALUE"""),"A.01.000320")</f>
        <v>A.01.000320</v>
      </c>
    </row>
    <row r="169" spans="1:2" ht="12.5" x14ac:dyDescent="0.25">
      <c r="A169" t="str">
        <f ca="1">IFERROR(__xludf.DUMMYFUNCTION("""COMPUTED_VALUE"""),"Beetroot juice")</f>
        <v>Beetroot juice</v>
      </c>
      <c r="B169" t="str">
        <f ca="1">IFERROR(__xludf.DUMMYFUNCTION("""COMPUTED_VALUE"""),"G.4.2")</f>
        <v>G.4.2</v>
      </c>
    </row>
    <row r="170" spans="1:2" ht="12.5" x14ac:dyDescent="0.25">
      <c r="A170" t="str">
        <f ca="1">IFERROR(__xludf.DUMMYFUNCTION("""COMPUTED_VALUE"""),"Beignets")</f>
        <v>Beignets</v>
      </c>
      <c r="B170" t="str">
        <f ca="1">IFERROR(__xludf.DUMMYFUNCTION("""COMPUTED_VALUE"""),"A.01.000254")</f>
        <v>A.01.000254</v>
      </c>
    </row>
    <row r="171" spans="1:2" ht="12.5" x14ac:dyDescent="0.25">
      <c r="A171" t="str">
        <f ca="1">IFERROR(__xludf.DUMMYFUNCTION("""COMPUTED_VALUE"""),"Berliner-Style, Sausage")</f>
        <v>Berliner-Style, Sausage</v>
      </c>
      <c r="B171" t="str">
        <f ca="1">IFERROR(__xludf.DUMMYFUNCTION("""COMPUTED_VALUE"""),"A.01.000827")</f>
        <v>A.01.000827</v>
      </c>
    </row>
    <row r="172" spans="1:2" ht="12.5" x14ac:dyDescent="0.25">
      <c r="A172" t="str">
        <f ca="1">IFERROR(__xludf.DUMMYFUNCTION("""COMPUTED_VALUE"""),"Berries and small fruits")</f>
        <v>Berries and small fruits</v>
      </c>
      <c r="B172" t="str">
        <f ca="1">IFERROR(__xludf.DUMMYFUNCTION("""COMPUTED_VALUE"""),"C06_1")</f>
        <v>C06_1</v>
      </c>
    </row>
    <row r="173" spans="1:2" ht="12.5" x14ac:dyDescent="0.25">
      <c r="A173" t="str">
        <f ca="1">IFERROR(__xludf.DUMMYFUNCTION("""COMPUTED_VALUE"""),"Berries and small fruits")</f>
        <v>Berries and small fruits</v>
      </c>
      <c r="B173" t="str">
        <f ca="1">IFERROR(__xludf.DUMMYFUNCTION("""COMPUTED_VALUE"""),"A.01.000575")</f>
        <v>A.01.000575</v>
      </c>
    </row>
    <row r="174" spans="1:2" ht="12.5" x14ac:dyDescent="0.25">
      <c r="A174" t="str">
        <f ca="1">IFERROR(__xludf.DUMMYFUNCTION("""COMPUTED_VALUE"""),"Bilberry or whortleberry (Vaccinium spp.)")</f>
        <v>Bilberry or whortleberry (Vaccinium spp.)</v>
      </c>
      <c r="B174" t="str">
        <f ca="1">IFERROR(__xludf.DUMMYFUNCTION("""COMPUTED_VALUE"""),"A.01.000597")</f>
        <v>A.01.000597</v>
      </c>
    </row>
    <row r="175" spans="1:2" ht="12.5" x14ac:dyDescent="0.25">
      <c r="A175" t="str">
        <f ca="1">IFERROR(__xludf.DUMMYFUNCTION("""COMPUTED_VALUE"""),"Biscuit, iced")</f>
        <v>Biscuit, iced</v>
      </c>
      <c r="B175" t="str">
        <f ca="1">IFERROR(__xludf.DUMMYFUNCTION("""COMPUTED_VALUE"""),"A.01.000309")</f>
        <v>A.01.000309</v>
      </c>
    </row>
    <row r="176" spans="1:2" ht="12.5" x14ac:dyDescent="0.25">
      <c r="A176" t="str">
        <f ca="1">IFERROR(__xludf.DUMMYFUNCTION("""COMPUTED_VALUE"""),"Biscuits (cookies)")</f>
        <v>Biscuits (cookies)</v>
      </c>
      <c r="B176" t="str">
        <f ca="1">IFERROR(__xludf.DUMMYFUNCTION("""COMPUTED_VALUE"""),"A.01.000302")</f>
        <v>A.01.000302</v>
      </c>
    </row>
    <row r="177" spans="1:2" ht="12.5" x14ac:dyDescent="0.25">
      <c r="A177" t="str">
        <f ca="1">IFERROR(__xludf.DUMMYFUNCTION("""COMPUTED_VALUE"""),"Biscuits, chocolate filling")</f>
        <v>Biscuits, chocolate filling</v>
      </c>
      <c r="B177" t="str">
        <f ca="1">IFERROR(__xludf.DUMMYFUNCTION("""COMPUTED_VALUE"""),"A.01.000304")</f>
        <v>A.01.000304</v>
      </c>
    </row>
    <row r="178" spans="1:2" ht="12.5" x14ac:dyDescent="0.25">
      <c r="A178" t="str">
        <f ca="1">IFERROR(__xludf.DUMMYFUNCTION("""COMPUTED_VALUE"""),"Biscuits, cream filling")</f>
        <v>Biscuits, cream filling</v>
      </c>
      <c r="B178" t="str">
        <f ca="1">IFERROR(__xludf.DUMMYFUNCTION("""COMPUTED_VALUE"""),"A.01.000305")</f>
        <v>A.01.000305</v>
      </c>
    </row>
    <row r="179" spans="1:2" ht="12.5" x14ac:dyDescent="0.25">
      <c r="A179" t="str">
        <f ca="1">IFERROR(__xludf.DUMMYFUNCTION("""COMPUTED_VALUE"""),"Biscuits, fruit filling")</f>
        <v>Biscuits, fruit filling</v>
      </c>
      <c r="B179" t="str">
        <f ca="1">IFERROR(__xludf.DUMMYFUNCTION("""COMPUTED_VALUE"""),"A.01.000306")</f>
        <v>A.01.000306</v>
      </c>
    </row>
    <row r="180" spans="1:2" ht="12.5" x14ac:dyDescent="0.25">
      <c r="A180" t="str">
        <f ca="1">IFERROR(__xludf.DUMMYFUNCTION("""COMPUTED_VALUE"""),"Biscuits, oat meal")</f>
        <v>Biscuits, oat meal</v>
      </c>
      <c r="B180" t="str">
        <f ca="1">IFERROR(__xludf.DUMMYFUNCTION("""COMPUTED_VALUE"""),"A.01.000312")</f>
        <v>A.01.000312</v>
      </c>
    </row>
    <row r="181" spans="1:2" ht="12.5" x14ac:dyDescent="0.25">
      <c r="A181" t="str">
        <f ca="1">IFERROR(__xludf.DUMMYFUNCTION("""COMPUTED_VALUE"""),"Biscuits, rusks and cookies for children")</f>
        <v>Biscuits, rusks and cookies for children</v>
      </c>
      <c r="B181" t="str">
        <f ca="1">IFERROR(__xludf.DUMMYFUNCTION("""COMPUTED_VALUE"""),"A.01.001731")</f>
        <v>A.01.001731</v>
      </c>
    </row>
    <row r="182" spans="1:2" ht="12.5" x14ac:dyDescent="0.25">
      <c r="A182" t="str">
        <f ca="1">IFERROR(__xludf.DUMMYFUNCTION("""COMPUTED_VALUE"""),"Biscuits, salty")</f>
        <v>Biscuits, salty</v>
      </c>
      <c r="B182" t="str">
        <f ca="1">IFERROR(__xludf.DUMMYFUNCTION("""COMPUTED_VALUE"""),"A.01.000314")</f>
        <v>A.01.000314</v>
      </c>
    </row>
    <row r="183" spans="1:2" ht="12.5" x14ac:dyDescent="0.25">
      <c r="A183" t="str">
        <f ca="1">IFERROR(__xludf.DUMMYFUNCTION("""COMPUTED_VALUE"""),"Biscuits, salty, with cheese")</f>
        <v>Biscuits, salty, with cheese</v>
      </c>
      <c r="B183" t="str">
        <f ca="1">IFERROR(__xludf.DUMMYFUNCTION("""COMPUTED_VALUE"""),"A.01.000315")</f>
        <v>A.01.000315</v>
      </c>
    </row>
    <row r="184" spans="1:2" ht="12.5" x14ac:dyDescent="0.25">
      <c r="A184" t="str">
        <f ca="1">IFERROR(__xludf.DUMMYFUNCTION("""COMPUTED_VALUE"""),"Biscuits, spelt meal")</f>
        <v>Biscuits, spelt meal</v>
      </c>
      <c r="B184" t="str">
        <f ca="1">IFERROR(__xludf.DUMMYFUNCTION("""COMPUTED_VALUE"""),"A.01.000313")</f>
        <v>A.01.000313</v>
      </c>
    </row>
    <row r="185" spans="1:2" ht="12.5" x14ac:dyDescent="0.25">
      <c r="A185" t="str">
        <f ca="1">IFERROR(__xludf.DUMMYFUNCTION("""COMPUTED_VALUE"""),"Biscuits, sweet, plain")</f>
        <v>Biscuits, sweet, plain</v>
      </c>
      <c r="B185" t="str">
        <f ca="1">IFERROR(__xludf.DUMMYFUNCTION("""COMPUTED_VALUE"""),"A.01.000303")</f>
        <v>A.01.000303</v>
      </c>
    </row>
    <row r="186" spans="1:2" ht="12.5" x14ac:dyDescent="0.25">
      <c r="A186" t="str">
        <f ca="1">IFERROR(__xludf.DUMMYFUNCTION("""COMPUTED_VALUE"""),"Biscuits, sweet, wheat wholemeal")</f>
        <v>Biscuits, sweet, wheat wholemeal</v>
      </c>
      <c r="B186" t="str">
        <f ca="1">IFERROR(__xludf.DUMMYFUNCTION("""COMPUTED_VALUE"""),"A.01.000311")</f>
        <v>A.01.000311</v>
      </c>
    </row>
    <row r="187" spans="1:2" ht="12.5" x14ac:dyDescent="0.25">
      <c r="A187" t="str">
        <f ca="1">IFERROR(__xludf.DUMMYFUNCTION("""COMPUTED_VALUE"""),"Biscuits, vanilla filling")</f>
        <v>Biscuits, vanilla filling</v>
      </c>
      <c r="B187" t="str">
        <f ca="1">IFERROR(__xludf.DUMMYFUNCTION("""COMPUTED_VALUE"""),"A.01.000307")</f>
        <v>A.01.000307</v>
      </c>
    </row>
    <row r="188" spans="1:2" ht="12.5" x14ac:dyDescent="0.25">
      <c r="A188" t="str">
        <f ca="1">IFERROR(__xludf.DUMMYFUNCTION("""COMPUTED_VALUE"""),"Bitter chocolate")</f>
        <v>Bitter chocolate</v>
      </c>
      <c r="B188" t="str">
        <f ca="1">IFERROR(__xludf.DUMMYFUNCTION("""COMPUTED_VALUE"""),"A.01.001296")</f>
        <v>A.01.001296</v>
      </c>
    </row>
    <row r="189" spans="1:2" ht="12.5" x14ac:dyDescent="0.25">
      <c r="A189" t="str">
        <f ca="1">IFERROR(__xludf.DUMMYFUNCTION("""COMPUTED_VALUE"""),"Bitter-sweet chocolate")</f>
        <v>Bitter-sweet chocolate</v>
      </c>
      <c r="B189" t="str">
        <f ca="1">IFERROR(__xludf.DUMMYFUNCTION("""COMPUTED_VALUE"""),"A.01.001297")</f>
        <v>A.01.001297</v>
      </c>
    </row>
    <row r="190" spans="1:2" ht="12.5" x14ac:dyDescent="0.25">
      <c r="A190" t="str">
        <f ca="1">IFERROR(__xludf.DUMMYFUNCTION("""COMPUTED_VALUE"""),"Bivalve molluscs")</f>
        <v>Bivalve molluscs</v>
      </c>
      <c r="B190" t="str">
        <f ca="1">IFERROR(__xludf.DUMMYFUNCTION("""COMPUTED_VALUE"""),"C11A_1")</f>
        <v>C11A_1</v>
      </c>
    </row>
    <row r="191" spans="1:2" ht="12.5" x14ac:dyDescent="0.25">
      <c r="A191" t="str">
        <f ca="1">IFERROR(__xludf.DUMMYFUNCTION("""COMPUTED_VALUE"""),"Black caraway seed (Nigella sativa)")</f>
        <v>Black caraway seed (Nigella sativa)</v>
      </c>
      <c r="B191" t="str">
        <f ca="1">IFERROR(__xludf.DUMMYFUNCTION("""COMPUTED_VALUE"""),"A.01.001601")</f>
        <v>A.01.001601</v>
      </c>
    </row>
    <row r="192" spans="1:2" ht="12.5" x14ac:dyDescent="0.25">
      <c r="A192" t="str">
        <f ca="1">IFERROR(__xludf.DUMMYFUNCTION("""COMPUTED_VALUE"""),"Black eye bean (Vigna unguiculata)")</f>
        <v>Black eye bean (Vigna unguiculata)</v>
      </c>
      <c r="B192" t="str">
        <f ca="1">IFERROR(__xludf.DUMMYFUNCTION("""COMPUTED_VALUE"""),"A.01.000502")</f>
        <v>A.01.000502</v>
      </c>
    </row>
    <row r="193" spans="1:2" ht="12.5" x14ac:dyDescent="0.25">
      <c r="A193" t="str">
        <f ca="1">IFERROR(__xludf.DUMMYFUNCTION("""COMPUTED_VALUE"""),"Black gram, Urad (Vigna mungo)")</f>
        <v>Black gram, Urad (Vigna mungo)</v>
      </c>
      <c r="B193" t="str">
        <f ca="1">IFERROR(__xludf.DUMMYFUNCTION("""COMPUTED_VALUE"""),"A.01.000507")</f>
        <v>A.01.000507</v>
      </c>
    </row>
    <row r="194" spans="1:2" ht="12.5" x14ac:dyDescent="0.25">
      <c r="A194" t="str">
        <f ca="1">IFERROR(__xludf.DUMMYFUNCTION("""COMPUTED_VALUE"""),"Black tea, infusion")</f>
        <v>Black tea, infusion</v>
      </c>
      <c r="B194" t="str">
        <f ca="1">IFERROR(__xludf.DUMMYFUNCTION("""COMPUTED_VALUE"""),"A.01.001516")</f>
        <v>A.01.001516</v>
      </c>
    </row>
    <row r="195" spans="1:2" ht="12.5" x14ac:dyDescent="0.25">
      <c r="A195" t="str">
        <f ca="1">IFERROR(__xludf.DUMMYFUNCTION("""COMPUTED_VALUE"""),"Blackberries (Rubus fruticosus)")</f>
        <v>Blackberries (Rubus fruticosus)</v>
      </c>
      <c r="B195" t="str">
        <f ca="1">IFERROR(__xludf.DUMMYFUNCTION("""COMPUTED_VALUE"""),"A.01.000579")</f>
        <v>A.01.000579</v>
      </c>
    </row>
    <row r="196" spans="1:2" ht="12.5" x14ac:dyDescent="0.25">
      <c r="A196" t="str">
        <f ca="1">IFERROR(__xludf.DUMMYFUNCTION("""COMPUTED_VALUE"""),"Blood and tongue sausage")</f>
        <v>Blood and tongue sausage</v>
      </c>
      <c r="B196" t="str">
        <f ca="1">IFERROR(__xludf.DUMMYFUNCTION("""COMPUTED_VALUE"""),"A.01.000824")</f>
        <v>A.01.000824</v>
      </c>
    </row>
    <row r="197" spans="1:2" ht="12.5" x14ac:dyDescent="0.25">
      <c r="A197" t="str">
        <f ca="1">IFERROR(__xludf.DUMMYFUNCTION("""COMPUTED_VALUE"""),"Blood meal")</f>
        <v>Blood meal</v>
      </c>
      <c r="B197" t="str">
        <f ca="1">IFERROR(__xludf.DUMMYFUNCTION("""COMPUTED_VALUE"""),"F09.07")</f>
        <v>F09.07</v>
      </c>
    </row>
    <row r="198" spans="1:2" ht="12.5" x14ac:dyDescent="0.25">
      <c r="A198" t="str">
        <f ca="1">IFERROR(__xludf.DUMMYFUNCTION("""COMPUTED_VALUE"""),"Blood meal")</f>
        <v>Blood meal</v>
      </c>
      <c r="B198" t="str">
        <f ca="1">IFERROR(__xludf.DUMMYFUNCTION("""COMPUTED_VALUE"""),"G.9.7")</f>
        <v>G.9.7</v>
      </c>
    </row>
    <row r="199" spans="1:2" ht="12.5" x14ac:dyDescent="0.25">
      <c r="A199" t="str">
        <f ca="1">IFERROR(__xludf.DUMMYFUNCTION("""COMPUTED_VALUE"""),"Blood products")</f>
        <v>Blood products</v>
      </c>
      <c r="B199" t="str">
        <f ca="1">IFERROR(__xludf.DUMMYFUNCTION("""COMPUTED_VALUE"""),"G.9.8")</f>
        <v>G.9.8</v>
      </c>
    </row>
    <row r="200" spans="1:2" ht="12.5" x14ac:dyDescent="0.25">
      <c r="A200" t="str">
        <f ca="1">IFERROR(__xludf.DUMMYFUNCTION("""COMPUTED_VALUE"""),"Blood sausage")</f>
        <v>Blood sausage</v>
      </c>
      <c r="B200" t="str">
        <f ca="1">IFERROR(__xludf.DUMMYFUNCTION("""COMPUTED_VALUE"""),"A.01.000823")</f>
        <v>A.01.000823</v>
      </c>
    </row>
    <row r="201" spans="1:2" ht="12.5" x14ac:dyDescent="0.25">
      <c r="A201" t="str">
        <f ca="1">IFERROR(__xludf.DUMMYFUNCTION("""COMPUTED_VALUE"""),"Blossoms, dried")</f>
        <v>Blossoms, dried</v>
      </c>
      <c r="B201" t="str">
        <f ca="1">IFERROR(__xludf.DUMMYFUNCTION("""COMPUTED_VALUE"""),"G.7.4")</f>
        <v>G.7.4</v>
      </c>
    </row>
    <row r="202" spans="1:2" ht="12.5" x14ac:dyDescent="0.25">
      <c r="A202" t="str">
        <f ca="1">IFERROR(__xludf.DUMMYFUNCTION("""COMPUTED_VALUE"""),"Blueberries (Vaccinium corymbosum)")</f>
        <v>Blueberries (Vaccinium corymbosum)</v>
      </c>
      <c r="B202" t="str">
        <f ca="1">IFERROR(__xludf.DUMMYFUNCTION("""COMPUTED_VALUE"""),"A.01.000583")</f>
        <v>A.01.000583</v>
      </c>
    </row>
    <row r="203" spans="1:2" ht="12.5" x14ac:dyDescent="0.25">
      <c r="A203" t="str">
        <f ca="1">IFERROR(__xludf.DUMMYFUNCTION("""COMPUTED_VALUE"""),"Boar meat (wild pig) (Sus scrofa)")</f>
        <v>Boar meat (wild pig) (Sus scrofa)</v>
      </c>
      <c r="B203" t="str">
        <f ca="1">IFERROR(__xludf.DUMMYFUNCTION("""COMPUTED_VALUE"""),"A.01.000745")</f>
        <v>A.01.000745</v>
      </c>
    </row>
    <row r="204" spans="1:2" ht="12.5" x14ac:dyDescent="0.25">
      <c r="A204" t="str">
        <f ca="1">IFERROR(__xludf.DUMMYFUNCTION("""COMPUTED_VALUE"""),"Bockwurst")</f>
        <v>Bockwurst</v>
      </c>
      <c r="B204" t="str">
        <f ca="1">IFERROR(__xludf.DUMMYFUNCTION("""COMPUTED_VALUE"""),"A.01.000817")</f>
        <v>A.01.000817</v>
      </c>
    </row>
    <row r="205" spans="1:2" ht="12.5" x14ac:dyDescent="0.25">
      <c r="A205" t="str">
        <f ca="1">IFERROR(__xludf.DUMMYFUNCTION("""COMPUTED_VALUE"""),"Boletus (Boletus (and other) spp.)")</f>
        <v>Boletus (Boletus (and other) spp.)</v>
      </c>
      <c r="B205" t="str">
        <f ca="1">IFERROR(__xludf.DUMMYFUNCTION("""COMPUTED_VALUE"""),"A.01.000461")</f>
        <v>A.01.000461</v>
      </c>
    </row>
    <row r="206" spans="1:2" ht="12.5" x14ac:dyDescent="0.25">
      <c r="A206" t="str">
        <f ca="1">IFERROR(__xludf.DUMMYFUNCTION("""COMPUTED_VALUE"""),"Bologna, sausage")</f>
        <v>Bologna, sausage</v>
      </c>
      <c r="B206" t="str">
        <f ca="1">IFERROR(__xludf.DUMMYFUNCTION("""COMPUTED_VALUE"""),"A.01.000828")</f>
        <v>A.01.000828</v>
      </c>
    </row>
    <row r="207" spans="1:2" ht="12.5" x14ac:dyDescent="0.25">
      <c r="A207" t="str">
        <f ca="1">IFERROR(__xludf.DUMMYFUNCTION("""COMPUTED_VALUE"""),"Bone ash")</f>
        <v>Bone ash</v>
      </c>
      <c r="B207" t="str">
        <f ca="1">IFERROR(__xludf.DUMMYFUNCTION("""COMPUTED_VALUE"""),"G.11.3.23")</f>
        <v>G.11.3.23</v>
      </c>
    </row>
    <row r="208" spans="1:2" ht="12.5" x14ac:dyDescent="0.25">
      <c r="A208" t="str">
        <f ca="1">IFERROR(__xludf.DUMMYFUNCTION("""COMPUTED_VALUE"""),"Bone meal")</f>
        <v>Bone meal</v>
      </c>
      <c r="B208" t="str">
        <f ca="1">IFERROR(__xludf.DUMMYFUNCTION("""COMPUTED_VALUE"""),"F09.03")</f>
        <v>F09.03</v>
      </c>
    </row>
    <row r="209" spans="1:2" ht="12.5" x14ac:dyDescent="0.25">
      <c r="A209" t="str">
        <f ca="1">IFERROR(__xludf.DUMMYFUNCTION("""COMPUTED_VALUE"""),"Bonito (Sarda Sarda)")</f>
        <v>Bonito (Sarda Sarda)</v>
      </c>
      <c r="B209" t="str">
        <f ca="1">IFERROR(__xludf.DUMMYFUNCTION("""COMPUTED_VALUE"""),"A.01.002100")</f>
        <v>A.01.002100</v>
      </c>
    </row>
    <row r="210" spans="1:2" ht="12.5" x14ac:dyDescent="0.25">
      <c r="A210" t="str">
        <f ca="1">IFERROR(__xludf.DUMMYFUNCTION("""COMPUTED_VALUE"""),"Borage (Borago officinalis)")</f>
        <v>Borage (Borago officinalis)</v>
      </c>
      <c r="B210" t="str">
        <f ca="1">IFERROR(__xludf.DUMMYFUNCTION("""COMPUTED_VALUE"""),"A.01.000539")</f>
        <v>A.01.000539</v>
      </c>
    </row>
    <row r="211" spans="1:2" ht="12.5" x14ac:dyDescent="0.25">
      <c r="A211" t="str">
        <f ca="1">IFERROR(__xludf.DUMMYFUNCTION("""COMPUTED_VALUE"""),"Boterhamworst")</f>
        <v>Boterhamworst</v>
      </c>
      <c r="B211" t="str">
        <f ca="1">IFERROR(__xludf.DUMMYFUNCTION("""COMPUTED_VALUE"""),"A.01.000829")</f>
        <v>A.01.000829</v>
      </c>
    </row>
    <row r="212" spans="1:2" ht="12.5" x14ac:dyDescent="0.25">
      <c r="A212" t="str">
        <f ca="1">IFERROR(__xludf.DUMMYFUNCTION("""COMPUTED_VALUE"""),"Bottled water")</f>
        <v>Bottled water</v>
      </c>
      <c r="B212" t="str">
        <f ca="1">IFERROR(__xludf.DUMMYFUNCTION("""COMPUTED_VALUE"""),"C07C")</f>
        <v>C07C</v>
      </c>
    </row>
    <row r="213" spans="1:2" ht="12.5" x14ac:dyDescent="0.25">
      <c r="A213" t="str">
        <f ca="1">IFERROR(__xludf.DUMMYFUNCTION("""COMPUTED_VALUE"""),"Bottled water")</f>
        <v>Bottled water</v>
      </c>
      <c r="B213" t="str">
        <f ca="1">IFERROR(__xludf.DUMMYFUNCTION("""COMPUTED_VALUE"""),"A.01.001576")</f>
        <v>A.01.001576</v>
      </c>
    </row>
    <row r="214" spans="1:2" ht="12.5" x14ac:dyDescent="0.25">
      <c r="A214" t="str">
        <f ca="1">IFERROR(__xludf.DUMMYFUNCTION("""COMPUTED_VALUE"""),"Bouquet garni")</f>
        <v>Bouquet garni</v>
      </c>
      <c r="B214" t="str">
        <f ca="1">IFERROR(__xludf.DUMMYFUNCTION("""COMPUTED_VALUE"""),"A.01.001629")</f>
        <v>A.01.001629</v>
      </c>
    </row>
    <row r="215" spans="1:2" ht="12.5" x14ac:dyDescent="0.25">
      <c r="A215" t="str">
        <f ca="1">IFERROR(__xludf.DUMMYFUNCTION("""COMPUTED_VALUE"""),"Bovine animals, sheep, pig and poultry meat")</f>
        <v>Bovine animals, sheep, pig and poultry meat</v>
      </c>
      <c r="B215" t="str">
        <f ca="1">IFERROR(__xludf.DUMMYFUNCTION("""COMPUTED_VALUE"""),"C10A_2")</f>
        <v>C10A_2</v>
      </c>
    </row>
    <row r="216" spans="1:2" ht="12.5" x14ac:dyDescent="0.25">
      <c r="A216" t="str">
        <f ca="1">IFERROR(__xludf.DUMMYFUNCTION("""COMPUTED_VALUE"""),"Bovine, sheep and goat meat")</f>
        <v>Bovine, sheep and goat meat</v>
      </c>
      <c r="B216" t="str">
        <f ca="1">IFERROR(__xludf.DUMMYFUNCTION("""COMPUTED_VALUE"""),"C10A_2A")</f>
        <v>C10A_2A</v>
      </c>
    </row>
    <row r="217" spans="1:2" ht="12.5" x14ac:dyDescent="0.25">
      <c r="A217" t="str">
        <f ca="1">IFERROR(__xludf.DUMMYFUNCTION("""COMPUTED_VALUE"""),"Boysenberry (Rubus ursinus x idaeus)")</f>
        <v>Boysenberry (Rubus ursinus x idaeus)</v>
      </c>
      <c r="B217" t="str">
        <f ca="1">IFERROR(__xludf.DUMMYFUNCTION("""COMPUTED_VALUE"""),"A.01.000582")</f>
        <v>A.01.000582</v>
      </c>
    </row>
    <row r="218" spans="1:2" ht="12.5" x14ac:dyDescent="0.25">
      <c r="A218" t="str">
        <f ca="1">IFERROR(__xludf.DUMMYFUNCTION("""COMPUTED_VALUE"""),"Brain (veal, lamb, pork)")</f>
        <v>Brain (veal, lamb, pork)</v>
      </c>
      <c r="B218" t="str">
        <f ca="1">IFERROR(__xludf.DUMMYFUNCTION("""COMPUTED_VALUE"""),"A.01.000781")</f>
        <v>A.01.000781</v>
      </c>
    </row>
    <row r="219" spans="1:2" ht="12.5" x14ac:dyDescent="0.25">
      <c r="A219" t="str">
        <f ca="1">IFERROR(__xludf.DUMMYFUNCTION("""COMPUTED_VALUE"""),"Bran and germ")</f>
        <v>Bran and germ</v>
      </c>
      <c r="B219" t="str">
        <f ca="1">IFERROR(__xludf.DUMMYFUNCTION("""COMPUTED_VALUE"""),"C01B_3")</f>
        <v>C01B_3</v>
      </c>
    </row>
    <row r="220" spans="1:2" ht="12.5" x14ac:dyDescent="0.25">
      <c r="A220" t="str">
        <f ca="1">IFERROR(__xludf.DUMMYFUNCTION("""COMPUTED_VALUE"""),"Brandy")</f>
        <v>Brandy</v>
      </c>
      <c r="B220" t="str">
        <f ca="1">IFERROR(__xludf.DUMMYFUNCTION("""COMPUTED_VALUE"""),"A.01.001562")</f>
        <v>A.01.001562</v>
      </c>
    </row>
    <row r="221" spans="1:2" ht="12.5" x14ac:dyDescent="0.25">
      <c r="A221" t="str">
        <f ca="1">IFERROR(__xludf.DUMMYFUNCTION("""COMPUTED_VALUE"""),"Brassica vegetables")</f>
        <v>Brassica vegetables</v>
      </c>
      <c r="B221" t="str">
        <f ca="1">IFERROR(__xludf.DUMMYFUNCTION("""COMPUTED_VALUE"""),"C04B_4")</f>
        <v>C04B_4</v>
      </c>
    </row>
    <row r="222" spans="1:2" ht="12.5" x14ac:dyDescent="0.25">
      <c r="A222" t="str">
        <f ca="1">IFERROR(__xludf.DUMMYFUNCTION("""COMPUTED_VALUE"""),"Brassica vegetables")</f>
        <v>Brassica vegetables</v>
      </c>
      <c r="B222" t="str">
        <f ca="1">IFERROR(__xludf.DUMMYFUNCTION("""COMPUTED_VALUE"""),"A.01.000350")</f>
        <v>A.01.000350</v>
      </c>
    </row>
    <row r="223" spans="1:2" ht="12.5" x14ac:dyDescent="0.25">
      <c r="A223" t="str">
        <f ca="1">IFERROR(__xludf.DUMMYFUNCTION("""COMPUTED_VALUE"""),"Bratwurst")</f>
        <v>Bratwurst</v>
      </c>
      <c r="B223" t="str">
        <f ca="1">IFERROR(__xludf.DUMMYFUNCTION("""COMPUTED_VALUE"""),"A.01.000814")</f>
        <v>A.01.000814</v>
      </c>
    </row>
    <row r="224" spans="1:2" ht="12.5" x14ac:dyDescent="0.25">
      <c r="A224" t="str">
        <f ca="1">IFERROR(__xludf.DUMMYFUNCTION("""COMPUTED_VALUE"""),"Braunschweiger, sausage")</f>
        <v>Braunschweiger, sausage</v>
      </c>
      <c r="B224" t="str">
        <f ca="1">IFERROR(__xludf.DUMMYFUNCTION("""COMPUTED_VALUE"""),"A.01.000830")</f>
        <v>A.01.000830</v>
      </c>
    </row>
    <row r="225" spans="1:2" ht="12.5" x14ac:dyDescent="0.25">
      <c r="A225" t="str">
        <f ca="1">IFERROR(__xludf.DUMMYFUNCTION("""COMPUTED_VALUE"""),"Brazil nuts (Bertholletia excelsa)")</f>
        <v>Brazil nuts (Bertholletia excelsa)</v>
      </c>
      <c r="B225" t="str">
        <f ca="1">IFERROR(__xludf.DUMMYFUNCTION("""COMPUTED_VALUE"""),"A.01.000516")</f>
        <v>A.01.000516</v>
      </c>
    </row>
    <row r="226" spans="1:2" ht="12.5" x14ac:dyDescent="0.25">
      <c r="A226" t="str">
        <f ca="1">IFERROR(__xludf.DUMMYFUNCTION("""COMPUTED_VALUE"""),"Bread and rolls")</f>
        <v>Bread and rolls</v>
      </c>
      <c r="B226" t="str">
        <f ca="1">IFERROR(__xludf.DUMMYFUNCTION("""COMPUTED_VALUE"""),"A.01.000098")</f>
        <v>A.01.000098</v>
      </c>
    </row>
    <row r="227" spans="1:2" ht="12.5" x14ac:dyDescent="0.25">
      <c r="A227" t="str">
        <f ca="1">IFERROR(__xludf.DUMMYFUNCTION("""COMPUTED_VALUE"""),"Bread fruit (jackfruit) (Artocarpus altilis)")</f>
        <v>Bread fruit (jackfruit) (Artocarpus altilis)</v>
      </c>
      <c r="B227" t="str">
        <f ca="1">IFERROR(__xludf.DUMMYFUNCTION("""COMPUTED_VALUE"""),"A.01.000633")</f>
        <v>A.01.000633</v>
      </c>
    </row>
    <row r="228" spans="1:2" ht="12.5" x14ac:dyDescent="0.25">
      <c r="A228" t="str">
        <f ca="1">IFERROR(__xludf.DUMMYFUNCTION("""COMPUTED_VALUE"""),"Bread products")</f>
        <v>Bread products</v>
      </c>
      <c r="B228" t="str">
        <f ca="1">IFERROR(__xludf.DUMMYFUNCTION("""COMPUTED_VALUE"""),"A.01.000164")</f>
        <v>A.01.000164</v>
      </c>
    </row>
    <row r="229" spans="1:2" ht="12.5" x14ac:dyDescent="0.25">
      <c r="A229" t="str">
        <f ca="1">IFERROR(__xludf.DUMMYFUNCTION("""COMPUTED_VALUE"""),"Bread stuffing")</f>
        <v>Bread stuffing</v>
      </c>
      <c r="B229" t="str">
        <f ca="1">IFERROR(__xludf.DUMMYFUNCTION("""COMPUTED_VALUE"""),"A.01.000167")</f>
        <v>A.01.000167</v>
      </c>
    </row>
    <row r="230" spans="1:2" ht="12.5" x14ac:dyDescent="0.25">
      <c r="A230" t="str">
        <f ca="1">IFERROR(__xludf.DUMMYFUNCTION("""COMPUTED_VALUE"""),"Breadcrumbs")</f>
        <v>Breadcrumbs</v>
      </c>
      <c r="B230" t="str">
        <f ca="1">IFERROR(__xludf.DUMMYFUNCTION("""COMPUTED_VALUE"""),"A.01.000165")</f>
        <v>A.01.000165</v>
      </c>
    </row>
    <row r="231" spans="1:2" ht="12.5" x14ac:dyDescent="0.25">
      <c r="A231" t="str">
        <f ca="1">IFERROR(__xludf.DUMMYFUNCTION("""COMPUTED_VALUE"""),"Breakfast cereals")</f>
        <v>Breakfast cereals</v>
      </c>
      <c r="B231" t="str">
        <f ca="1">IFERROR(__xludf.DUMMYFUNCTION("""COMPUTED_VALUE"""),"A.01.000184")</f>
        <v>A.01.000184</v>
      </c>
    </row>
    <row r="232" spans="1:2" ht="12.5" x14ac:dyDescent="0.25">
      <c r="A232" t="str">
        <f ca="1">IFERROR(__xludf.DUMMYFUNCTION("""COMPUTED_VALUE"""),"Breakfast cereals, mixed cereals and fruits")</f>
        <v>Breakfast cereals, mixed cereals and fruits</v>
      </c>
      <c r="B232" t="str">
        <f ca="1">IFERROR(__xludf.DUMMYFUNCTION("""COMPUTED_VALUE"""),"A.01.000234")</f>
        <v>A.01.000234</v>
      </c>
    </row>
    <row r="233" spans="1:2" ht="12.5" x14ac:dyDescent="0.25">
      <c r="A233" t="str">
        <f ca="1">IFERROR(__xludf.DUMMYFUNCTION("""COMPUTED_VALUE"""),"Breakfast cereals, mixed cereals and honey")</f>
        <v>Breakfast cereals, mixed cereals and honey</v>
      </c>
      <c r="B233" t="str">
        <f ca="1">IFERROR(__xludf.DUMMYFUNCTION("""COMPUTED_VALUE"""),"A.01.000235")</f>
        <v>A.01.000235</v>
      </c>
    </row>
    <row r="234" spans="1:2" ht="12.5" x14ac:dyDescent="0.25">
      <c r="A234" t="str">
        <f ca="1">IFERROR(__xludf.DUMMYFUNCTION("""COMPUTED_VALUE"""),"Breakfast cereals, mixed cereals and nuts")</f>
        <v>Breakfast cereals, mixed cereals and nuts</v>
      </c>
      <c r="B234" t="str">
        <f ca="1">IFERROR(__xludf.DUMMYFUNCTION("""COMPUTED_VALUE"""),"A.01.000236")</f>
        <v>A.01.000236</v>
      </c>
    </row>
    <row r="235" spans="1:2" ht="12.5" x14ac:dyDescent="0.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x14ac:dyDescent="0.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x14ac:dyDescent="0.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x14ac:dyDescent="0.25">
      <c r="A238" t="str">
        <f ca="1">IFERROR(__xludf.DUMMYFUNCTION("""COMPUTED_VALUE"""),"Breakfast cereals/muesli for diabetics")</f>
        <v>Breakfast cereals/muesli for diabetics</v>
      </c>
      <c r="B238" t="str">
        <f ca="1">IFERROR(__xludf.DUMMYFUNCTION("""COMPUTED_VALUE"""),"A.01.001773")</f>
        <v>A.01.001773</v>
      </c>
    </row>
    <row r="239" spans="1:2" ht="12.5" x14ac:dyDescent="0.25">
      <c r="A239" t="str">
        <f ca="1">IFERROR(__xludf.DUMMYFUNCTION("""COMPUTED_VALUE"""),"Bream (Charax)")</f>
        <v>Bream (Charax)</v>
      </c>
      <c r="B239" t="str">
        <f ca="1">IFERROR(__xludf.DUMMYFUNCTION("""COMPUTED_VALUE"""),"A.01.000903")</f>
        <v>A.01.000903</v>
      </c>
    </row>
    <row r="240" spans="1:2" ht="12.5" x14ac:dyDescent="0.25">
      <c r="A240" t="str">
        <f ca="1">IFERROR(__xludf.DUMMYFUNCTION("""COMPUTED_VALUE"""),"Breeding pigs / Complementary feed")</f>
        <v>Breeding pigs / Complementary feed</v>
      </c>
      <c r="B240" t="str">
        <f ca="1">IFERROR(__xludf.DUMMYFUNCTION("""COMPUTED_VALUE"""),"G.14.2.7")</f>
        <v>G.14.2.7</v>
      </c>
    </row>
    <row r="241" spans="1:2" ht="12.5" x14ac:dyDescent="0.25">
      <c r="A241" t="str">
        <f ca="1">IFERROR(__xludf.DUMMYFUNCTION("""COMPUTED_VALUE"""),"Breeding pigs / Complete feed")</f>
        <v>Breeding pigs / Complete feed</v>
      </c>
      <c r="B241" t="str">
        <f ca="1">IFERROR(__xludf.DUMMYFUNCTION("""COMPUTED_VALUE"""),"G.14.1.7")</f>
        <v>G.14.1.7</v>
      </c>
    </row>
    <row r="242" spans="1:2" ht="12.5" x14ac:dyDescent="0.25">
      <c r="A242" t="str">
        <f ca="1">IFERROR(__xludf.DUMMYFUNCTION("""COMPUTED_VALUE"""),"Brewers' grains")</f>
        <v>Brewers' grains</v>
      </c>
      <c r="B242" t="str">
        <f ca="1">IFERROR(__xludf.DUMMYFUNCTION("""COMPUTED_VALUE"""),"G.1.12.12")</f>
        <v>G.1.12.12</v>
      </c>
    </row>
    <row r="243" spans="1:2" ht="12.5" x14ac:dyDescent="0.25">
      <c r="A243" t="str">
        <f ca="1">IFERROR(__xludf.DUMMYFUNCTION("""COMPUTED_VALUE"""),"Brewers’ dried grains")</f>
        <v>Brewers’ dried grains</v>
      </c>
      <c r="B243" t="str">
        <f ca="1">IFERROR(__xludf.DUMMYFUNCTION("""COMPUTED_VALUE"""),"F01.44")</f>
        <v>F01.44</v>
      </c>
    </row>
    <row r="244" spans="1:2" ht="12.5" x14ac:dyDescent="0.25">
      <c r="A244" t="str">
        <f ca="1">IFERROR(__xludf.DUMMYFUNCTION("""COMPUTED_VALUE"""),"Brewers’ rice")</f>
        <v>Brewers’ rice</v>
      </c>
      <c r="B244" t="str">
        <f ca="1">IFERROR(__xludf.DUMMYFUNCTION("""COMPUTED_VALUE"""),"G.1.6.16")</f>
        <v>G.1.6.16</v>
      </c>
    </row>
    <row r="245" spans="1:2" ht="12.5" x14ac:dyDescent="0.25">
      <c r="A245" t="str">
        <f ca="1">IFERROR(__xludf.DUMMYFUNCTION("""COMPUTED_VALUE"""),"Brioche")</f>
        <v>Brioche</v>
      </c>
      <c r="B245" t="str">
        <f ca="1">IFERROR(__xludf.DUMMYFUNCTION("""COMPUTED_VALUE"""),"A.01.000295")</f>
        <v>A.01.000295</v>
      </c>
    </row>
    <row r="246" spans="1:2" ht="12.5" x14ac:dyDescent="0.25">
      <c r="A246" t="str">
        <f ca="1">IFERROR(__xludf.DUMMYFUNCTION("""COMPUTED_VALUE"""),"Broad bean (Vicia faba)")</f>
        <v>Broad bean (Vicia faba)</v>
      </c>
      <c r="B246" t="str">
        <f ca="1">IFERROR(__xludf.DUMMYFUNCTION("""COMPUTED_VALUE"""),"A.01.000498")</f>
        <v>A.01.000498</v>
      </c>
    </row>
    <row r="247" spans="1:2" ht="12.5" x14ac:dyDescent="0.25">
      <c r="A247" t="str">
        <f ca="1">IFERROR(__xludf.DUMMYFUNCTION("""COMPUTED_VALUE"""),"Broccoli (Brassica oleracea var. italica)")</f>
        <v>Broccoli (Brassica oleracea var. italica)</v>
      </c>
      <c r="B247" t="str">
        <f ca="1">IFERROR(__xludf.DUMMYFUNCTION("""COMPUTED_VALUE"""),"A.01.000351")</f>
        <v>A.01.000351</v>
      </c>
    </row>
    <row r="248" spans="1:2" ht="12.5" x14ac:dyDescent="0.25">
      <c r="A248" t="str">
        <f ca="1">IFERROR(__xludf.DUMMYFUNCTION("""COMPUTED_VALUE"""),"Broccoli, dried")</f>
        <v>Broccoli, dried</v>
      </c>
      <c r="B248" t="str">
        <f ca="1">IFERROR(__xludf.DUMMYFUNCTION("""COMPUTED_VALUE"""),"G.7.5")</f>
        <v>G.7.5</v>
      </c>
    </row>
    <row r="249" spans="1:2" ht="12.5" x14ac:dyDescent="0.25">
      <c r="A249" t="str">
        <f ca="1">IFERROR(__xludf.DUMMYFUNCTION("""COMPUTED_VALUE"""),"Broken chestnuts")</f>
        <v>Broken chestnuts</v>
      </c>
      <c r="B249" t="str">
        <f ca="1">IFERROR(__xludf.DUMMYFUNCTION("""COMPUTED_VALUE"""),"G.5.12")</f>
        <v>G.5.12</v>
      </c>
    </row>
    <row r="250" spans="1:2" ht="12.5" x14ac:dyDescent="0.25">
      <c r="A250" t="str">
        <f ca="1">IFERROR(__xludf.DUMMYFUNCTION("""COMPUTED_VALUE"""),"Brown rice flour")</f>
        <v>Brown rice flour</v>
      </c>
      <c r="B250" t="str">
        <f ca="1">IFERROR(__xludf.DUMMYFUNCTION("""COMPUTED_VALUE"""),"G.1.6.9")</f>
        <v>G.1.6.9</v>
      </c>
    </row>
    <row r="251" spans="1:2" ht="12.5" x14ac:dyDescent="0.25">
      <c r="A251" t="str">
        <f ca="1">IFERROR(__xludf.DUMMYFUNCTION("""COMPUTED_VALUE"""),"Brown sauce (Gravy, Lyonnais sauce)")</f>
        <v>Brown sauce (Gravy, Lyonnais sauce)</v>
      </c>
      <c r="B251" t="str">
        <f ca="1">IFERROR(__xludf.DUMMYFUNCTION("""COMPUTED_VALUE"""),"A.01.001686")</f>
        <v>A.01.001686</v>
      </c>
    </row>
    <row r="252" spans="1:2" ht="12.5" x14ac:dyDescent="0.25">
      <c r="A252" t="str">
        <f ca="1">IFERROR(__xludf.DUMMYFUNCTION("""COMPUTED_VALUE"""),"Brown sugar")</f>
        <v>Brown sugar</v>
      </c>
      <c r="B252" t="str">
        <f ca="1">IFERROR(__xludf.DUMMYFUNCTION("""COMPUTED_VALUE"""),"A.01.001270")</f>
        <v>A.01.001270</v>
      </c>
    </row>
    <row r="253" spans="1:2" ht="12.5" x14ac:dyDescent="0.25">
      <c r="A253" t="str">
        <f ca="1">IFERROR(__xludf.DUMMYFUNCTION("""COMPUTED_VALUE"""),"Brussels sprouts (Brassica oleracea var. gemmifera)")</f>
        <v>Brussels sprouts (Brassica oleracea var. gemmifera)</v>
      </c>
      <c r="B253" t="str">
        <f ca="1">IFERROR(__xludf.DUMMYFUNCTION("""COMPUTED_VALUE"""),"A.01.000353")</f>
        <v>A.01.000353</v>
      </c>
    </row>
    <row r="254" spans="1:2" ht="12.5" x14ac:dyDescent="0.25">
      <c r="A254" t="str">
        <f ca="1">IFERROR(__xludf.DUMMYFUNCTION("""COMPUTED_VALUE"""),"Buckwheat")</f>
        <v>Buckwheat</v>
      </c>
      <c r="B254" t="str">
        <f ca="1">IFERROR(__xludf.DUMMYFUNCTION("""COMPUTED_VALUE"""),"G.5.6")</f>
        <v>G.5.6</v>
      </c>
    </row>
    <row r="255" spans="1:2" ht="12.5" x14ac:dyDescent="0.25">
      <c r="A255" t="str">
        <f ca="1">IFERROR(__xludf.DUMMYFUNCTION("""COMPUTED_VALUE"""),"Buckwheat bread")</f>
        <v>Buckwheat bread</v>
      </c>
      <c r="B255" t="str">
        <f ca="1">IFERROR(__xludf.DUMMYFUNCTION("""COMPUTED_VALUE"""),"A.01.000155")</f>
        <v>A.01.000155</v>
      </c>
    </row>
    <row r="256" spans="1:2" ht="12.5" x14ac:dyDescent="0.25">
      <c r="A256" t="str">
        <f ca="1">IFERROR(__xludf.DUMMYFUNCTION("""COMPUTED_VALUE"""),"Buckwheat flour")</f>
        <v>Buckwheat flour</v>
      </c>
      <c r="B256" t="str">
        <f ca="1">IFERROR(__xludf.DUMMYFUNCTION("""COMPUTED_VALUE"""),"A.01.000068")</f>
        <v>A.01.000068</v>
      </c>
    </row>
    <row r="257" spans="1:2" ht="12.5" x14ac:dyDescent="0.25">
      <c r="A257" t="str">
        <f ca="1">IFERROR(__xludf.DUMMYFUNCTION("""COMPUTED_VALUE"""),"Buckwheat grain")</f>
        <v>Buckwheat grain</v>
      </c>
      <c r="B257" t="str">
        <f ca="1">IFERROR(__xludf.DUMMYFUNCTION("""COMPUTED_VALUE"""),"A.01.000027")</f>
        <v>A.01.000027</v>
      </c>
    </row>
    <row r="258" spans="1:2" ht="12.5" x14ac:dyDescent="0.25">
      <c r="A258" t="str">
        <f ca="1">IFERROR(__xludf.DUMMYFUNCTION("""COMPUTED_VALUE"""),"Buckwheat grain (Crop)")</f>
        <v>Buckwheat grain (Crop)</v>
      </c>
      <c r="B258" t="str">
        <f ca="1">IFERROR(__xludf.DUMMYFUNCTION("""COMPUTED_VALUE"""),"A.01.000008")</f>
        <v>A.01.000008</v>
      </c>
    </row>
    <row r="259" spans="1:2" ht="12.5" x14ac:dyDescent="0.25">
      <c r="A259" t="str">
        <f ca="1">IFERROR(__xludf.DUMMYFUNCTION("""COMPUTED_VALUE"""),"Buckwheat groats")</f>
        <v>Buckwheat groats</v>
      </c>
      <c r="B259" t="str">
        <f ca="1">IFERROR(__xludf.DUMMYFUNCTION("""COMPUTED_VALUE"""),"A.01.000069")</f>
        <v>A.01.000069</v>
      </c>
    </row>
    <row r="260" spans="1:2" ht="12.5" x14ac:dyDescent="0.25">
      <c r="A260" t="str">
        <f ca="1">IFERROR(__xludf.DUMMYFUNCTION("""COMPUTED_VALUE"""),"Buckwheat hulls and bran")</f>
        <v>Buckwheat hulls and bran</v>
      </c>
      <c r="B260" t="str">
        <f ca="1">IFERROR(__xludf.DUMMYFUNCTION("""COMPUTED_VALUE"""),"G.5.6.2")</f>
        <v>G.5.6.2</v>
      </c>
    </row>
    <row r="261" spans="1:2" ht="12.5" x14ac:dyDescent="0.25">
      <c r="A261" t="str">
        <f ca="1">IFERROR(__xludf.DUMMYFUNCTION("""COMPUTED_VALUE"""),"Buckwheat middlings")</f>
        <v>Buckwheat middlings</v>
      </c>
      <c r="B261" t="str">
        <f ca="1">IFERROR(__xludf.DUMMYFUNCTION("""COMPUTED_VALUE"""),"G.5.6.3")</f>
        <v>G.5.6.3</v>
      </c>
    </row>
    <row r="262" spans="1:2" ht="12.5" x14ac:dyDescent="0.25">
      <c r="A262" t="str">
        <f ca="1">IFERROR(__xludf.DUMMYFUNCTION("""COMPUTED_VALUE"""),"Buckwheat milling products")</f>
        <v>Buckwheat milling products</v>
      </c>
      <c r="B262" t="str">
        <f ca="1">IFERROR(__xludf.DUMMYFUNCTION("""COMPUTED_VALUE"""),"A.01.000067")</f>
        <v>A.01.000067</v>
      </c>
    </row>
    <row r="263" spans="1:2" ht="12.5" x14ac:dyDescent="0.25">
      <c r="A263" t="str">
        <f ca="1">IFERROR(__xludf.DUMMYFUNCTION("""COMPUTED_VALUE"""),"Buckwheat semolina")</f>
        <v>Buckwheat semolina</v>
      </c>
      <c r="B263" t="str">
        <f ca="1">IFERROR(__xludf.DUMMYFUNCTION("""COMPUTED_VALUE"""),"A.01.000070")</f>
        <v>A.01.000070</v>
      </c>
    </row>
    <row r="264" spans="1:2" ht="12.5" x14ac:dyDescent="0.25">
      <c r="A264" t="str">
        <f ca="1">IFERROR(__xludf.DUMMYFUNCTION("""COMPUTED_VALUE"""),"Buffalo milk")</f>
        <v>Buffalo milk</v>
      </c>
      <c r="B264" t="str">
        <f ca="1">IFERROR(__xludf.DUMMYFUNCTION("""COMPUTED_VALUE"""),"A.01.000956")</f>
        <v>A.01.000956</v>
      </c>
    </row>
    <row r="265" spans="1:2" ht="12.5" x14ac:dyDescent="0.25">
      <c r="A265" t="str">
        <f ca="1">IFERROR(__xludf.DUMMYFUNCTION("""COMPUTED_VALUE"""),"Bulb vegetables")</f>
        <v>Bulb vegetables</v>
      </c>
      <c r="B265" t="str">
        <f ca="1">IFERROR(__xludf.DUMMYFUNCTION("""COMPUTED_VALUE"""),"A.01.000331")</f>
        <v>A.01.000331</v>
      </c>
    </row>
    <row r="266" spans="1:2" ht="12.5" x14ac:dyDescent="0.25">
      <c r="A266" t="str">
        <f ca="1">IFERROR(__xludf.DUMMYFUNCTION("""COMPUTED_VALUE"""),"Bulgur wheat")</f>
        <v>Bulgur wheat</v>
      </c>
      <c r="B266" t="str">
        <f ca="1">IFERROR(__xludf.DUMMYFUNCTION("""COMPUTED_VALUE"""),"A.01.000018")</f>
        <v>A.01.000018</v>
      </c>
    </row>
    <row r="267" spans="1:2" ht="12.5" x14ac:dyDescent="0.25">
      <c r="A267" t="str">
        <f ca="1">IFERROR(__xludf.DUMMYFUNCTION("""COMPUTED_VALUE"""),"Bullet tuna (Auxis spp.)")</f>
        <v>Bullet tuna (Auxis spp.)</v>
      </c>
      <c r="B267" t="str">
        <f ca="1">IFERROR(__xludf.DUMMYFUNCTION("""COMPUTED_VALUE"""),"A.01.002101")</f>
        <v>A.01.002101</v>
      </c>
    </row>
    <row r="268" spans="1:2" ht="12.5" x14ac:dyDescent="0.25">
      <c r="A268" t="str">
        <f ca="1">IFERROR(__xludf.DUMMYFUNCTION("""COMPUTED_VALUE"""),"Buns")</f>
        <v>Buns</v>
      </c>
      <c r="B268" t="str">
        <f ca="1">IFERROR(__xludf.DUMMYFUNCTION("""COMPUTED_VALUE"""),"A.01.000255")</f>
        <v>A.01.000255</v>
      </c>
    </row>
    <row r="269" spans="1:2" ht="12.5" x14ac:dyDescent="0.25">
      <c r="A269" t="str">
        <f ca="1">IFERROR(__xludf.DUMMYFUNCTION("""COMPUTED_VALUE"""),"Butter")</f>
        <v>Butter</v>
      </c>
      <c r="B269" t="str">
        <f ca="1">IFERROR(__xludf.DUMMYFUNCTION("""COMPUTED_VALUE"""),"C03_3")</f>
        <v>C03_3</v>
      </c>
    </row>
    <row r="270" spans="1:2" ht="12.5" x14ac:dyDescent="0.25">
      <c r="A270" t="str">
        <f ca="1">IFERROR(__xludf.DUMMYFUNCTION("""COMPUTED_VALUE"""),"Butter")</f>
        <v>Butter</v>
      </c>
      <c r="B270" t="str">
        <f ca="1">IFERROR(__xludf.DUMMYFUNCTION("""COMPUTED_VALUE"""),"A.01.001348")</f>
        <v>A.01.001348</v>
      </c>
    </row>
    <row r="271" spans="1:2" ht="12.5" x14ac:dyDescent="0.25">
      <c r="A271" t="str">
        <f ca="1">IFERROR(__xludf.DUMMYFUNCTION("""COMPUTED_VALUE"""),"Butter and butter products")</f>
        <v>Butter and butter products</v>
      </c>
      <c r="B271" t="str">
        <f ca="1">IFERROR(__xludf.DUMMYFUNCTION("""COMPUTED_VALUE"""),"G.8.1")</f>
        <v>G.8.1</v>
      </c>
    </row>
    <row r="272" spans="1:2" ht="12.5" x14ac:dyDescent="0.25">
      <c r="A272" t="str">
        <f ca="1">IFERROR(__xludf.DUMMYFUNCTION("""COMPUTED_VALUE"""),"Butter biscuits")</f>
        <v>Butter biscuits</v>
      </c>
      <c r="B272" t="str">
        <f ca="1">IFERROR(__xludf.DUMMYFUNCTION("""COMPUTED_VALUE"""),"A.01.000308")</f>
        <v>A.01.000308</v>
      </c>
    </row>
    <row r="273" spans="1:2" ht="12.5" x14ac:dyDescent="0.25">
      <c r="A273" t="str">
        <f ca="1">IFERROR(__xludf.DUMMYFUNCTION("""COMPUTED_VALUE"""),"Butter oil")</f>
        <v>Butter oil</v>
      </c>
      <c r="B273" t="str">
        <f ca="1">IFERROR(__xludf.DUMMYFUNCTION("""COMPUTED_VALUE"""),"A.01.001349")</f>
        <v>A.01.001349</v>
      </c>
    </row>
    <row r="274" spans="1:2" ht="12.5" x14ac:dyDescent="0.25">
      <c r="A274" t="str">
        <f ca="1">IFERROR(__xludf.DUMMYFUNCTION("""COMPUTED_VALUE"""),"Butter sauce")</f>
        <v>Butter sauce</v>
      </c>
      <c r="B274" t="str">
        <f ca="1">IFERROR(__xludf.DUMMYFUNCTION("""COMPUTED_VALUE"""),"A.01.001688")</f>
        <v>A.01.001688</v>
      </c>
    </row>
    <row r="275" spans="1:2" ht="12.5" x14ac:dyDescent="0.25">
      <c r="A275" t="str">
        <f ca="1">IFERROR(__xludf.DUMMYFUNCTION("""COMPUTED_VALUE"""),"Buttermilk")</f>
        <v>Buttermilk</v>
      </c>
      <c r="B275" t="str">
        <f ca="1">IFERROR(__xludf.DUMMYFUNCTION("""COMPUTED_VALUE"""),"A.01.001041")</f>
        <v>A.01.001041</v>
      </c>
    </row>
    <row r="276" spans="1:2" ht="12.5" x14ac:dyDescent="0.25">
      <c r="A276" t="str">
        <f ca="1">IFERROR(__xludf.DUMMYFUNCTION("""COMPUTED_VALUE"""),"Buttermilk / Buttermilk concentrate / Buttermilk powder")</f>
        <v>Buttermilk / Buttermilk concentrate / Buttermilk powder</v>
      </c>
      <c r="B276" t="str">
        <f ca="1">IFERROR(__xludf.DUMMYFUNCTION("""COMPUTED_VALUE"""),"G.8.2")</f>
        <v>G.8.2</v>
      </c>
    </row>
    <row r="277" spans="1:2" ht="12.5" x14ac:dyDescent="0.25">
      <c r="A277" t="str">
        <f ca="1">IFERROR(__xludf.DUMMYFUNCTION("""COMPUTED_VALUE"""),"Buttermilk powder")</f>
        <v>Buttermilk powder</v>
      </c>
      <c r="B277" t="str">
        <f ca="1">IFERROR(__xludf.DUMMYFUNCTION("""COMPUTED_VALUE"""),"F08.02")</f>
        <v>F08.02</v>
      </c>
    </row>
    <row r="278" spans="1:2" ht="12.5" x14ac:dyDescent="0.25">
      <c r="A278" t="str">
        <f ca="1">IFERROR(__xludf.DUMMYFUNCTION("""COMPUTED_VALUE"""),"By-product from soybean preparation")</f>
        <v>By-product from soybean preparation</v>
      </c>
      <c r="B278" t="str">
        <f ca="1">IFERROR(__xludf.DUMMYFUNCTION("""COMPUTED_VALUE"""),"G.2.18.10")</f>
        <v>G.2.18.10</v>
      </c>
    </row>
    <row r="279" spans="1:2" ht="12.5" x14ac:dyDescent="0.25">
      <c r="A279" t="str">
        <f ca="1">IFERROR(__xludf.DUMMYFUNCTION("""COMPUTED_VALUE"""),"By-product of enzyme production with Aspergillus niger")</f>
        <v>By-product of enzyme production with Aspergillus niger</v>
      </c>
      <c r="B279" t="str">
        <f ca="1">IFERROR(__xludf.DUMMYFUNCTION("""COMPUTED_VALUE"""),"G.12.2.6")</f>
        <v>G.12.2.6</v>
      </c>
    </row>
    <row r="280" spans="1:2" ht="12.5" x14ac:dyDescent="0.25">
      <c r="A280" t="str">
        <f ca="1">IFERROR(__xludf.DUMMYFUNCTION("""COMPUTED_VALUE"""),"By-products from aquatic animals")</f>
        <v>By-products from aquatic animals</v>
      </c>
      <c r="B280" t="str">
        <f ca="1">IFERROR(__xludf.DUMMYFUNCTION("""COMPUTED_VALUE"""),"G.10.2")</f>
        <v>G.10.2</v>
      </c>
    </row>
    <row r="281" spans="1:2" ht="12.5" x14ac:dyDescent="0.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x14ac:dyDescent="0.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x14ac:dyDescent="0.25">
      <c r="A283" t="str">
        <f ca="1">IFERROR(__xludf.DUMMYFUNCTION("""COMPUTED_VALUE"""),"By-products from the production of L-glutamic acid")</f>
        <v>By-products from the production of L-glutamic acid</v>
      </c>
      <c r="B283" t="str">
        <f ca="1">IFERROR(__xludf.DUMMYFUNCTION("""COMPUTED_VALUE"""),"G.12.2.2")</f>
        <v>G.12.2.2</v>
      </c>
    </row>
    <row r="284" spans="1:2" ht="12.5" x14ac:dyDescent="0.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x14ac:dyDescent="0.25">
      <c r="A285" t="str">
        <f ca="1">IFERROR(__xludf.DUMMYFUNCTION("""COMPUTED_VALUE"""),"Cabanos")</f>
        <v>Cabanos</v>
      </c>
      <c r="B285" t="str">
        <f ca="1">IFERROR(__xludf.DUMMYFUNCTION("""COMPUTED_VALUE"""),"A.01.000856")</f>
        <v>A.01.000856</v>
      </c>
    </row>
    <row r="286" spans="1:2" ht="12.5" x14ac:dyDescent="0.25">
      <c r="A286" t="str">
        <f ca="1">IFERROR(__xludf.DUMMYFUNCTION("""COMPUTED_VALUE"""),"Cake from batter")</f>
        <v>Cake from batter</v>
      </c>
      <c r="B286" t="str">
        <f ca="1">IFERROR(__xludf.DUMMYFUNCTION("""COMPUTED_VALUE"""),"A.01.000256")</f>
        <v>A.01.000256</v>
      </c>
    </row>
    <row r="287" spans="1:2" ht="12.5" x14ac:dyDescent="0.25">
      <c r="A287" t="str">
        <f ca="1">IFERROR(__xludf.DUMMYFUNCTION("""COMPUTED_VALUE"""),"Cake marbled, with chocolate")</f>
        <v>Cake marbled, with chocolate</v>
      </c>
      <c r="B287" t="str">
        <f ca="1">IFERROR(__xludf.DUMMYFUNCTION("""COMPUTED_VALUE"""),"A.01.000299")</f>
        <v>A.01.000299</v>
      </c>
    </row>
    <row r="288" spans="1:2" ht="12.5" x14ac:dyDescent="0.25">
      <c r="A288" t="str">
        <f ca="1">IFERROR(__xludf.DUMMYFUNCTION("""COMPUTED_VALUE"""),"Calabrese salami")</f>
        <v>Calabrese salami</v>
      </c>
      <c r="B288" t="str">
        <f ca="1">IFERROR(__xludf.DUMMYFUNCTION("""COMPUTED_VALUE"""),"A.01.000848")</f>
        <v>A.01.000848</v>
      </c>
    </row>
    <row r="289" spans="1:2" ht="12.5" x14ac:dyDescent="0.25">
      <c r="A289" t="str">
        <f ca="1">IFERROR(__xludf.DUMMYFUNCTION("""COMPUTED_VALUE"""),"Calcareous marine algae (Maerl)")</f>
        <v>Calcareous marine algae (Maerl)</v>
      </c>
      <c r="B289" t="str">
        <f ca="1">IFERROR(__xludf.DUMMYFUNCTION("""COMPUTED_VALUE"""),"F11.03")</f>
        <v>F11.03</v>
      </c>
    </row>
    <row r="290" spans="1:2" ht="12.5" x14ac:dyDescent="0.25">
      <c r="A290" t="str">
        <f ca="1">IFERROR(__xludf.DUMMYFUNCTION("""COMPUTED_VALUE"""),"Calcareous marine shells")</f>
        <v>Calcareous marine shells</v>
      </c>
      <c r="B290" t="str">
        <f ca="1">IFERROR(__xludf.DUMMYFUNCTION("""COMPUTED_VALUE"""),"G.11.1.2")</f>
        <v>G.11.1.2</v>
      </c>
    </row>
    <row r="291" spans="1:2" ht="12.5" x14ac:dyDescent="0.25">
      <c r="A291" t="str">
        <f ca="1">IFERROR(__xludf.DUMMYFUNCTION("""COMPUTED_VALUE"""),"Calcium and magnesium carbonate")</f>
        <v>Calcium and magnesium carbonate</v>
      </c>
      <c r="B291" t="str">
        <f ca="1">IFERROR(__xludf.DUMMYFUNCTION("""COMPUTED_VALUE"""),"F11.02")</f>
        <v>F11.02</v>
      </c>
    </row>
    <row r="292" spans="1:2" ht="12.5" x14ac:dyDescent="0.25">
      <c r="A292" t="str">
        <f ca="1">IFERROR(__xludf.DUMMYFUNCTION("""COMPUTED_VALUE"""),"Calcium and magnesium carbonate")</f>
        <v>Calcium and magnesium carbonate</v>
      </c>
      <c r="B292" t="str">
        <f ca="1">IFERROR(__xludf.DUMMYFUNCTION("""COMPUTED_VALUE"""),"G.11.1.3")</f>
        <v>G.11.1.3</v>
      </c>
    </row>
    <row r="293" spans="1:2" ht="12.5" x14ac:dyDescent="0.25">
      <c r="A293" t="str">
        <f ca="1">IFERROR(__xludf.DUMMYFUNCTION("""COMPUTED_VALUE"""),"Calcium carbonate")</f>
        <v>Calcium carbonate</v>
      </c>
      <c r="B293" t="str">
        <f ca="1">IFERROR(__xludf.DUMMYFUNCTION("""COMPUTED_VALUE"""),"F11.01")</f>
        <v>F11.01</v>
      </c>
    </row>
    <row r="294" spans="1:2" ht="12.5" x14ac:dyDescent="0.25">
      <c r="A294" t="str">
        <f ca="1">IFERROR(__xludf.DUMMYFUNCTION("""COMPUTED_VALUE"""),"Calcium carbonate; [Limestone]")</f>
        <v>Calcium carbonate; [Limestone]</v>
      </c>
      <c r="B294" t="str">
        <f ca="1">IFERROR(__xludf.DUMMYFUNCTION("""COMPUTED_VALUE"""),"G.11.1")</f>
        <v>G.11.1</v>
      </c>
    </row>
    <row r="295" spans="1:2" ht="12.5" x14ac:dyDescent="0.25">
      <c r="A295" t="str">
        <f ca="1">IFERROR(__xludf.DUMMYFUNCTION("""COMPUTED_VALUE"""),"Calcium chloride")</f>
        <v>Calcium chloride</v>
      </c>
      <c r="B295" t="str">
        <f ca="1">IFERROR(__xludf.DUMMYFUNCTION("""COMPUTED_VALUE"""),"G.11.1.6")</f>
        <v>G.11.1.6</v>
      </c>
    </row>
    <row r="296" spans="1:2" ht="12.5" x14ac:dyDescent="0.25">
      <c r="A296" t="str">
        <f ca="1">IFERROR(__xludf.DUMMYFUNCTION("""COMPUTED_VALUE"""),"Calcium gluconate")</f>
        <v>Calcium gluconate</v>
      </c>
      <c r="B296" t="str">
        <f ca="1">IFERROR(__xludf.DUMMYFUNCTION("""COMPUTED_VALUE"""),"G.11.1.13")</f>
        <v>G.11.1.13</v>
      </c>
    </row>
    <row r="297" spans="1:2" ht="12.5" x14ac:dyDescent="0.25">
      <c r="A297" t="str">
        <f ca="1">IFERROR(__xludf.DUMMYFUNCTION("""COMPUTED_VALUE"""),"Calcium hydroxide")</f>
        <v>Calcium hydroxide</v>
      </c>
      <c r="B297" t="str">
        <f ca="1">IFERROR(__xludf.DUMMYFUNCTION("""COMPUTED_VALUE"""),"G.11.1.7")</f>
        <v>G.11.1.7</v>
      </c>
    </row>
    <row r="298" spans="1:2" ht="12.5" x14ac:dyDescent="0.25">
      <c r="A298" t="str">
        <f ca="1">IFERROR(__xludf.DUMMYFUNCTION("""COMPUTED_VALUE"""),"Calcium oxide")</f>
        <v>Calcium oxide</v>
      </c>
      <c r="B298" t="str">
        <f ca="1">IFERROR(__xludf.DUMMYFUNCTION("""COMPUTED_VALUE"""),"G.11.1.12")</f>
        <v>G.11.1.12</v>
      </c>
    </row>
    <row r="299" spans="1:2" ht="12.5" x14ac:dyDescent="0.25">
      <c r="A299" t="str">
        <f ca="1">IFERROR(__xludf.DUMMYFUNCTION("""COMPUTED_VALUE"""),"Calcium pidolate")</f>
        <v>Calcium pidolate</v>
      </c>
      <c r="B299" t="str">
        <f ca="1">IFERROR(__xludf.DUMMYFUNCTION("""COMPUTED_VALUE"""),"G.11.1.16")</f>
        <v>G.11.1.16</v>
      </c>
    </row>
    <row r="300" spans="1:2" ht="12.5" x14ac:dyDescent="0.25">
      <c r="A300" t="str">
        <f ca="1">IFERROR(__xludf.DUMMYFUNCTION("""COMPUTED_VALUE"""),"Calcium salts of organic acids")</f>
        <v>Calcium salts of organic acids</v>
      </c>
      <c r="B300" t="str">
        <f ca="1">IFERROR(__xludf.DUMMYFUNCTION("""COMPUTED_VALUE"""),"G.11.1.11")</f>
        <v>G.11.1.11</v>
      </c>
    </row>
    <row r="301" spans="1:2" ht="12.5" x14ac:dyDescent="0.25">
      <c r="A301" t="str">
        <f ca="1">IFERROR(__xludf.DUMMYFUNCTION("""COMPUTED_VALUE"""),"Calcium sodium phosphate")</f>
        <v>Calcium sodium phosphate</v>
      </c>
      <c r="B301" t="str">
        <f ca="1">IFERROR(__xludf.DUMMYFUNCTION("""COMPUTED_VALUE"""),"G.11.3.16")</f>
        <v>G.11.3.16</v>
      </c>
    </row>
    <row r="302" spans="1:2" ht="12.5" x14ac:dyDescent="0.25">
      <c r="A302" t="str">
        <f ca="1">IFERROR(__xludf.DUMMYFUNCTION("""COMPUTED_VALUE"""),"Calcium Sulphate / Carbonate")</f>
        <v>Calcium Sulphate / Carbonate</v>
      </c>
      <c r="B302" t="str">
        <f ca="1">IFERROR(__xludf.DUMMYFUNCTION("""COMPUTED_VALUE"""),"G.11.1.15")</f>
        <v>G.11.1.15</v>
      </c>
    </row>
    <row r="303" spans="1:2" ht="12.5" x14ac:dyDescent="0.25">
      <c r="A303" t="str">
        <f ca="1">IFERROR(__xludf.DUMMYFUNCTION("""COMPUTED_VALUE"""),"Calcium sulphate anhydrous")</f>
        <v>Calcium sulphate anhydrous</v>
      </c>
      <c r="B303" t="str">
        <f ca="1">IFERROR(__xludf.DUMMYFUNCTION("""COMPUTED_VALUE"""),"G.11.1.8")</f>
        <v>G.11.1.8</v>
      </c>
    </row>
    <row r="304" spans="1:2" ht="12.5" x14ac:dyDescent="0.25">
      <c r="A304" t="str">
        <f ca="1">IFERROR(__xludf.DUMMYFUNCTION("""COMPUTED_VALUE"""),"Calcium sulphate dihydrate")</f>
        <v>Calcium sulphate dihydrate</v>
      </c>
      <c r="B304" t="str">
        <f ca="1">IFERROR(__xludf.DUMMYFUNCTION("""COMPUTED_VALUE"""),"G.11.1.10")</f>
        <v>G.11.1.10</v>
      </c>
    </row>
    <row r="305" spans="1:2" ht="12.5" x14ac:dyDescent="0.25">
      <c r="A305" t="str">
        <f ca="1">IFERROR(__xludf.DUMMYFUNCTION("""COMPUTED_VALUE"""),"Calcium sulphate hemihydrate")</f>
        <v>Calcium sulphate hemihydrate</v>
      </c>
      <c r="B305" t="str">
        <f ca="1">IFERROR(__xludf.DUMMYFUNCTION("""COMPUTED_VALUE"""),"G.11.1.9")</f>
        <v>G.11.1.9</v>
      </c>
    </row>
    <row r="306" spans="1:2" ht="12.5" x14ac:dyDescent="0.25">
      <c r="A306" t="str">
        <f ca="1">IFERROR(__xludf.DUMMYFUNCTION("""COMPUTED_VALUE"""),"Calcium-magnesium phosphate")</f>
        <v>Calcium-magnesium phosphate</v>
      </c>
      <c r="B306" t="str">
        <f ca="1">IFERROR(__xludf.DUMMYFUNCTION("""COMPUTED_VALUE"""),"F11.11")</f>
        <v>F11.11</v>
      </c>
    </row>
    <row r="307" spans="1:2" ht="12.5" x14ac:dyDescent="0.25">
      <c r="A307" t="str">
        <f ca="1">IFERROR(__xludf.DUMMYFUNCTION("""COMPUTED_VALUE"""),"Calcium-magnesium phosphate")</f>
        <v>Calcium-magnesium phosphate</v>
      </c>
      <c r="B307" t="str">
        <f ca="1">IFERROR(__xludf.DUMMYFUNCTION("""COMPUTED_VALUE"""),"G.11.3.5")</f>
        <v>G.11.3.5</v>
      </c>
    </row>
    <row r="308" spans="1:2" ht="12.5" x14ac:dyDescent="0.25">
      <c r="A308" t="str">
        <f ca="1">IFERROR(__xludf.DUMMYFUNCTION("""COMPUTED_VALUE"""),"Calves (pre-ruminant) / Complementary feed")</f>
        <v>Calves (pre-ruminant) / Complementary feed</v>
      </c>
      <c r="B308" t="str">
        <f ca="1">IFERROR(__xludf.DUMMYFUNCTION("""COMPUTED_VALUE"""),"G.14.2.1")</f>
        <v>G.14.2.1</v>
      </c>
    </row>
    <row r="309" spans="1:2" ht="12.5" x14ac:dyDescent="0.25">
      <c r="A309" t="str">
        <f ca="1">IFERROR(__xludf.DUMMYFUNCTION("""COMPUTED_VALUE"""),"Calves (pre-ruminant) / Complete feed")</f>
        <v>Calves (pre-ruminant) / Complete feed</v>
      </c>
      <c r="B309" t="str">
        <f ca="1">IFERROR(__xludf.DUMMYFUNCTION("""COMPUTED_VALUE"""),"G.14.1.1")</f>
        <v>G.14.1.1</v>
      </c>
    </row>
    <row r="310" spans="1:2" ht="12.5" x14ac:dyDescent="0.25">
      <c r="A310" t="str">
        <f ca="1">IFERROR(__xludf.DUMMYFUNCTION("""COMPUTED_VALUE"""),"Camel milk")</f>
        <v>Camel milk</v>
      </c>
      <c r="B310" t="str">
        <f ca="1">IFERROR(__xludf.DUMMYFUNCTION("""COMPUTED_VALUE"""),"A.01.000961")</f>
        <v>A.01.000961</v>
      </c>
    </row>
    <row r="311" spans="1:2" ht="12.5" x14ac:dyDescent="0.25">
      <c r="A311" t="str">
        <f ca="1">IFERROR(__xludf.DUMMYFUNCTION("""COMPUTED_VALUE"""),"Camelina meal")</f>
        <v>Camelina meal</v>
      </c>
      <c r="B311" t="str">
        <f ca="1">IFERROR(__xludf.DUMMYFUNCTION("""COMPUTED_VALUE"""),"G.2.2.3")</f>
        <v>G.2.2.3</v>
      </c>
    </row>
    <row r="312" spans="1:2" ht="12.5" x14ac:dyDescent="0.25">
      <c r="A312" t="str">
        <f ca="1">IFERROR(__xludf.DUMMYFUNCTION("""COMPUTED_VALUE"""),"Camelina seed")</f>
        <v>Camelina seed</v>
      </c>
      <c r="B312" t="str">
        <f ca="1">IFERROR(__xludf.DUMMYFUNCTION("""COMPUTED_VALUE"""),"G.2.2")</f>
        <v>G.2.2</v>
      </c>
    </row>
    <row r="313" spans="1:2" ht="12.5" x14ac:dyDescent="0.25">
      <c r="A313" t="str">
        <f ca="1">IFERROR(__xludf.DUMMYFUNCTION("""COMPUTED_VALUE"""),"Camelina, expeller")</f>
        <v>Camelina, expeller</v>
      </c>
      <c r="B313" t="str">
        <f ca="1">IFERROR(__xludf.DUMMYFUNCTION("""COMPUTED_VALUE"""),"G.2.2.2")</f>
        <v>G.2.2.2</v>
      </c>
    </row>
    <row r="314" spans="1:2" ht="12.5" x14ac:dyDescent="0.25">
      <c r="A314" t="str">
        <f ca="1">IFERROR(__xludf.DUMMYFUNCTION("""COMPUTED_VALUE"""),"Camomile flowers (Matricaria recutita)")</f>
        <v>Camomile flowers (Matricaria recutita)</v>
      </c>
      <c r="B314" t="str">
        <f ca="1">IFERROR(__xludf.DUMMYFUNCTION("""COMPUTED_VALUE"""),"A.01.000407")</f>
        <v>A.01.000407</v>
      </c>
    </row>
    <row r="315" spans="1:2" ht="12.5" x14ac:dyDescent="0.25">
      <c r="A315" t="str">
        <f ca="1">IFERROR(__xludf.DUMMYFUNCTION("""COMPUTED_VALUE"""),"Canary grass seed")</f>
        <v>Canary grass seed</v>
      </c>
      <c r="B315" t="str">
        <f ca="1">IFERROR(__xludf.DUMMYFUNCTION("""COMPUTED_VALUE"""),"G.5.8")</f>
        <v>G.5.8</v>
      </c>
    </row>
    <row r="316" spans="1:2" ht="12.5" x14ac:dyDescent="0.25">
      <c r="A316" t="str">
        <f ca="1">IFERROR(__xludf.DUMMYFUNCTION("""COMPUTED_VALUE"""),"Candied fruit, Ananas")</f>
        <v>Candied fruit, Ananas</v>
      </c>
      <c r="B316" t="str">
        <f ca="1">IFERROR(__xludf.DUMMYFUNCTION("""COMPUTED_VALUE"""),"A.01.000717")</f>
        <v>A.01.000717</v>
      </c>
    </row>
    <row r="317" spans="1:2" ht="12.5" x14ac:dyDescent="0.25">
      <c r="A317" t="str">
        <f ca="1">IFERROR(__xludf.DUMMYFUNCTION("""COMPUTED_VALUE"""),"Candied fruit, Apple")</f>
        <v>Candied fruit, Apple</v>
      </c>
      <c r="B317" t="str">
        <f ca="1">IFERROR(__xludf.DUMMYFUNCTION("""COMPUTED_VALUE"""),"A.01.000720")</f>
        <v>A.01.000720</v>
      </c>
    </row>
    <row r="318" spans="1:2" ht="12.5" x14ac:dyDescent="0.25">
      <c r="A318" t="str">
        <f ca="1">IFERROR(__xludf.DUMMYFUNCTION("""COMPUTED_VALUE"""),"Candied fruit, Bananas")</f>
        <v>Candied fruit, Bananas</v>
      </c>
      <c r="B318" t="str">
        <f ca="1">IFERROR(__xludf.DUMMYFUNCTION("""COMPUTED_VALUE"""),"A.01.000716")</f>
        <v>A.01.000716</v>
      </c>
    </row>
    <row r="319" spans="1:2" ht="12.5" x14ac:dyDescent="0.25">
      <c r="A319" t="str">
        <f ca="1">IFERROR(__xludf.DUMMYFUNCTION("""COMPUTED_VALUE"""),"Candied fruit, Cheery")</f>
        <v>Candied fruit, Cheery</v>
      </c>
      <c r="B319" t="str">
        <f ca="1">IFERROR(__xludf.DUMMYFUNCTION("""COMPUTED_VALUE"""),"A.01.000715")</f>
        <v>A.01.000715</v>
      </c>
    </row>
    <row r="320" spans="1:2" ht="12.5" x14ac:dyDescent="0.25">
      <c r="A320" t="str">
        <f ca="1">IFERROR(__xludf.DUMMYFUNCTION("""COMPUTED_VALUE"""),"Candied fruit, Grape")</f>
        <v>Candied fruit, Grape</v>
      </c>
      <c r="B320" t="str">
        <f ca="1">IFERROR(__xludf.DUMMYFUNCTION("""COMPUTED_VALUE"""),"A.01.000718")</f>
        <v>A.01.000718</v>
      </c>
    </row>
    <row r="321" spans="1:2" ht="12.5" x14ac:dyDescent="0.25">
      <c r="A321" t="str">
        <f ca="1">IFERROR(__xludf.DUMMYFUNCTION("""COMPUTED_VALUE"""),"Candied fruit, Mixed fruit")</f>
        <v>Candied fruit, Mixed fruit</v>
      </c>
      <c r="B321" t="str">
        <f ca="1">IFERROR(__xludf.DUMMYFUNCTION("""COMPUTED_VALUE"""),"A.01.000721")</f>
        <v>A.01.000721</v>
      </c>
    </row>
    <row r="322" spans="1:2" ht="12.5" x14ac:dyDescent="0.25">
      <c r="A322" t="str">
        <f ca="1">IFERROR(__xludf.DUMMYFUNCTION("""COMPUTED_VALUE"""),"Candied fruit, Orange peel")</f>
        <v>Candied fruit, Orange peel</v>
      </c>
      <c r="B322" t="str">
        <f ca="1">IFERROR(__xludf.DUMMYFUNCTION("""COMPUTED_VALUE"""),"A.01.000722")</f>
        <v>A.01.000722</v>
      </c>
    </row>
    <row r="323" spans="1:2" ht="12.5" x14ac:dyDescent="0.25">
      <c r="A323" t="str">
        <f ca="1">IFERROR(__xludf.DUMMYFUNCTION("""COMPUTED_VALUE"""),"Candied fruit, Pear")</f>
        <v>Candied fruit, Pear</v>
      </c>
      <c r="B323" t="str">
        <f ca="1">IFERROR(__xludf.DUMMYFUNCTION("""COMPUTED_VALUE"""),"A.01.000719")</f>
        <v>A.01.000719</v>
      </c>
    </row>
    <row r="324" spans="1:2" ht="12.5" x14ac:dyDescent="0.25">
      <c r="A324" t="str">
        <f ca="1">IFERROR(__xludf.DUMMYFUNCTION("""COMPUTED_VALUE"""),"Candied fruits")</f>
        <v>Candied fruits</v>
      </c>
      <c r="B324" t="str">
        <f ca="1">IFERROR(__xludf.DUMMYFUNCTION("""COMPUTED_VALUE"""),"A.01.000714")</f>
        <v>A.01.000714</v>
      </c>
    </row>
    <row r="325" spans="1:2" ht="12.5" x14ac:dyDescent="0.25">
      <c r="A325" t="str">
        <f ca="1">IFERROR(__xludf.DUMMYFUNCTION("""COMPUTED_VALUE"""),"Candies, sugar free")</f>
        <v>Candies, sugar free</v>
      </c>
      <c r="B325" t="str">
        <f ca="1">IFERROR(__xludf.DUMMYFUNCTION("""COMPUTED_VALUE"""),"A.01.001312")</f>
        <v>A.01.001312</v>
      </c>
    </row>
    <row r="326" spans="1:2" ht="12.5" x14ac:dyDescent="0.25">
      <c r="A326" t="str">
        <f ca="1">IFERROR(__xludf.DUMMYFUNCTION("""COMPUTED_VALUE"""),"Candies, with sugar")</f>
        <v>Candies, with sugar</v>
      </c>
      <c r="B326" t="str">
        <f ca="1">IFERROR(__xludf.DUMMYFUNCTION("""COMPUTED_VALUE"""),"A.01.001311")</f>
        <v>A.01.001311</v>
      </c>
    </row>
    <row r="327" spans="1:2" ht="12.5" x14ac:dyDescent="0.25">
      <c r="A327" t="str">
        <f ca="1">IFERROR(__xludf.DUMMYFUNCTION("""COMPUTED_VALUE"""),"Cane bagasse")</f>
        <v>Cane bagasse</v>
      </c>
      <c r="B327" t="str">
        <f ca="1">IFERROR(__xludf.DUMMYFUNCTION("""COMPUTED_VALUE"""),"G.7.6.4")</f>
        <v>G.7.6.4</v>
      </c>
    </row>
    <row r="328" spans="1:2" ht="12.5" x14ac:dyDescent="0.25">
      <c r="A328" t="str">
        <f ca="1">IFERROR(__xludf.DUMMYFUNCTION("""COMPUTED_VALUE"""),"Cane sugar")</f>
        <v>Cane sugar</v>
      </c>
      <c r="B328" t="str">
        <f ca="1">IFERROR(__xludf.DUMMYFUNCTION("""COMPUTED_VALUE"""),"A.01.001272")</f>
        <v>A.01.001272</v>
      </c>
    </row>
    <row r="329" spans="1:2" ht="12.5" x14ac:dyDescent="0.25">
      <c r="A329" t="str">
        <f ca="1">IFERROR(__xludf.DUMMYFUNCTION("""COMPUTED_VALUE"""),"Canned fruit, Apple (Malus domesticus)")</f>
        <v>Canned fruit, Apple (Malus domesticus)</v>
      </c>
      <c r="B329" t="str">
        <f ca="1">IFERROR(__xludf.DUMMYFUNCTION("""COMPUTED_VALUE"""),"A.01.000690")</f>
        <v>A.01.000690</v>
      </c>
    </row>
    <row r="330" spans="1:2" ht="12.5" x14ac:dyDescent="0.25">
      <c r="A330" t="str">
        <f ca="1">IFERROR(__xludf.DUMMYFUNCTION("""COMPUTED_VALUE"""),"Canned fruit, Apricot (Prunus armeniaca)")</f>
        <v>Canned fruit, Apricot (Prunus armeniaca)</v>
      </c>
      <c r="B330" t="str">
        <f ca="1">IFERROR(__xludf.DUMMYFUNCTION("""COMPUTED_VALUE"""),"A.01.000692")</f>
        <v>A.01.000692</v>
      </c>
    </row>
    <row r="331" spans="1:2" ht="12.5" x14ac:dyDescent="0.25">
      <c r="A331" t="str">
        <f ca="1">IFERROR(__xludf.DUMMYFUNCTION("""COMPUTED_VALUE"""),"Canned fruit, Cranberry (Vaccinium macrocarpon)")</f>
        <v>Canned fruit, Cranberry (Vaccinium macrocarpon)</v>
      </c>
      <c r="B331" t="str">
        <f ca="1">IFERROR(__xludf.DUMMYFUNCTION("""COMPUTED_VALUE"""),"A.01.000698")</f>
        <v>A.01.000698</v>
      </c>
    </row>
    <row r="332" spans="1:2" ht="12.5" x14ac:dyDescent="0.25">
      <c r="A332" t="str">
        <f ca="1">IFERROR(__xludf.DUMMYFUNCTION("""COMPUTED_VALUE"""),"Canned fruit, Mandarin (Citrus reticulata)")</f>
        <v>Canned fruit, Mandarin (Citrus reticulata)</v>
      </c>
      <c r="B332" t="str">
        <f ca="1">IFERROR(__xludf.DUMMYFUNCTION("""COMPUTED_VALUE"""),"A.01.000689")</f>
        <v>A.01.000689</v>
      </c>
    </row>
    <row r="333" spans="1:2" ht="12.5" x14ac:dyDescent="0.25">
      <c r="A333" t="str">
        <f ca="1">IFERROR(__xludf.DUMMYFUNCTION("""COMPUTED_VALUE"""),"Canned fruit, Mixed fruit")</f>
        <v>Canned fruit, Mixed fruit</v>
      </c>
      <c r="B333" t="str">
        <f ca="1">IFERROR(__xludf.DUMMYFUNCTION("""COMPUTED_VALUE"""),"A.01.000700")</f>
        <v>A.01.000700</v>
      </c>
    </row>
    <row r="334" spans="1:2" ht="12.5" x14ac:dyDescent="0.25">
      <c r="A334" t="str">
        <f ca="1">IFERROR(__xludf.DUMMYFUNCTION("""COMPUTED_VALUE"""),"Canned fruit, Peach (Prunus persica)")</f>
        <v>Canned fruit, Peach (Prunus persica)</v>
      </c>
      <c r="B334" t="str">
        <f ca="1">IFERROR(__xludf.DUMMYFUNCTION("""COMPUTED_VALUE"""),"A.01.000696")</f>
        <v>A.01.000696</v>
      </c>
    </row>
    <row r="335" spans="1:2" ht="12.5" x14ac:dyDescent="0.25">
      <c r="A335" t="str">
        <f ca="1">IFERROR(__xludf.DUMMYFUNCTION("""COMPUTED_VALUE"""),"Canned fruit, Pear (Pyrus communis)")</f>
        <v>Canned fruit, Pear (Pyrus communis)</v>
      </c>
      <c r="B335" t="str">
        <f ca="1">IFERROR(__xludf.DUMMYFUNCTION("""COMPUTED_VALUE"""),"A.01.000691")</f>
        <v>A.01.000691</v>
      </c>
    </row>
    <row r="336" spans="1:2" ht="12.5" x14ac:dyDescent="0.25">
      <c r="A336" t="str">
        <f ca="1">IFERROR(__xludf.DUMMYFUNCTION("""COMPUTED_VALUE"""),"Canned fruit, Pineapple (Ananas comosus)")</f>
        <v>Canned fruit, Pineapple (Ananas comosus)</v>
      </c>
      <c r="B336" t="str">
        <f ca="1">IFERROR(__xludf.DUMMYFUNCTION("""COMPUTED_VALUE"""),"A.01.000699")</f>
        <v>A.01.000699</v>
      </c>
    </row>
    <row r="337" spans="1:2" ht="12.5" x14ac:dyDescent="0.25">
      <c r="A337" t="str">
        <f ca="1">IFERROR(__xludf.DUMMYFUNCTION("""COMPUTED_VALUE"""),"Canned fruit, Plum (Prunus domestica)")</f>
        <v>Canned fruit, Plum (Prunus domestica)</v>
      </c>
      <c r="B337" t="str">
        <f ca="1">IFERROR(__xludf.DUMMYFUNCTION("""COMPUTED_VALUE"""),"A.01.000693")</f>
        <v>A.01.000693</v>
      </c>
    </row>
    <row r="338" spans="1:2" ht="12.5" x14ac:dyDescent="0.25">
      <c r="A338" t="str">
        <f ca="1">IFERROR(__xludf.DUMMYFUNCTION("""COMPUTED_VALUE"""),"Canned fruit, Sour cherry (Prunus cerasus)")</f>
        <v>Canned fruit, Sour cherry (Prunus cerasus)</v>
      </c>
      <c r="B338" t="str">
        <f ca="1">IFERROR(__xludf.DUMMYFUNCTION("""COMPUTED_VALUE"""),"A.01.000695")</f>
        <v>A.01.000695</v>
      </c>
    </row>
    <row r="339" spans="1:2" ht="12.5" x14ac:dyDescent="0.25">
      <c r="A339" t="str">
        <f ca="1">IFERROR(__xludf.DUMMYFUNCTION("""COMPUTED_VALUE"""),"Canned fruit, Sweet cherry (Prunus avium)")</f>
        <v>Canned fruit, Sweet cherry (Prunus avium)</v>
      </c>
      <c r="B339" t="str">
        <f ca="1">IFERROR(__xludf.DUMMYFUNCTION("""COMPUTED_VALUE"""),"A.01.000694")</f>
        <v>A.01.000694</v>
      </c>
    </row>
    <row r="340" spans="1:2" ht="12.5" x14ac:dyDescent="0.25">
      <c r="A340" t="str">
        <f ca="1">IFERROR(__xludf.DUMMYFUNCTION("""COMPUTED_VALUE"""),"Canned fruit, Table grape (Vitis euvitis)")</f>
        <v>Canned fruit, Table grape (Vitis euvitis)</v>
      </c>
      <c r="B340" t="str">
        <f ca="1">IFERROR(__xludf.DUMMYFUNCTION("""COMPUTED_VALUE"""),"A.01.000697")</f>
        <v>A.01.000697</v>
      </c>
    </row>
    <row r="341" spans="1:2" ht="12.5" x14ac:dyDescent="0.25">
      <c r="A341" t="str">
        <f ca="1">IFERROR(__xludf.DUMMYFUNCTION("""COMPUTED_VALUE"""),"Cantharelle (Cantharellus cibarius)")</f>
        <v>Cantharelle (Cantharellus cibarius)</v>
      </c>
      <c r="B341" t="str">
        <f ca="1">IFERROR(__xludf.DUMMYFUNCTION("""COMPUTED_VALUE"""),"A.01.000464")</f>
        <v>A.01.000464</v>
      </c>
    </row>
    <row r="342" spans="1:2" ht="12.5" x14ac:dyDescent="0.25">
      <c r="A342" t="str">
        <f ca="1">IFERROR(__xludf.DUMMYFUNCTION("""COMPUTED_VALUE"""),"Capers (Capparis spinosa)")</f>
        <v>Capers (Capparis spinosa)</v>
      </c>
      <c r="B342" t="str">
        <f ca="1">IFERROR(__xludf.DUMMYFUNCTION("""COMPUTED_VALUE"""),"A.01.001602")</f>
        <v>A.01.001602</v>
      </c>
    </row>
    <row r="343" spans="1:2" ht="12.5" x14ac:dyDescent="0.25">
      <c r="A343" t="str">
        <f ca="1">IFERROR(__xludf.DUMMYFUNCTION("""COMPUTED_VALUE"""),"Carambola (Averrhoa carambola)")</f>
        <v>Carambola (Averrhoa carambola)</v>
      </c>
      <c r="B343" t="str">
        <f ca="1">IFERROR(__xludf.DUMMYFUNCTION("""COMPUTED_VALUE"""),"A.01.000616")</f>
        <v>A.01.000616</v>
      </c>
    </row>
    <row r="344" spans="1:2" ht="12.5" x14ac:dyDescent="0.25">
      <c r="A344" t="str">
        <f ca="1">IFERROR(__xludf.DUMMYFUNCTION("""COMPUTED_VALUE"""),"Caramel, hard")</f>
        <v>Caramel, hard</v>
      </c>
      <c r="B344" t="str">
        <f ca="1">IFERROR(__xludf.DUMMYFUNCTION("""COMPUTED_VALUE"""),"A.01.001314")</f>
        <v>A.01.001314</v>
      </c>
    </row>
    <row r="345" spans="1:2" ht="12.5" x14ac:dyDescent="0.25">
      <c r="A345" t="str">
        <f ca="1">IFERROR(__xludf.DUMMYFUNCTION("""COMPUTED_VALUE"""),"Caramel, soft")</f>
        <v>Caramel, soft</v>
      </c>
      <c r="B345" t="str">
        <f ca="1">IFERROR(__xludf.DUMMYFUNCTION("""COMPUTED_VALUE"""),"A.01.001315")</f>
        <v>A.01.001315</v>
      </c>
    </row>
    <row r="346" spans="1:2" ht="12.5" x14ac:dyDescent="0.25">
      <c r="A346" t="str">
        <f ca="1">IFERROR(__xludf.DUMMYFUNCTION("""COMPUTED_VALUE"""),"Caramelized sugar")</f>
        <v>Caramelized sugar</v>
      </c>
      <c r="B346" t="str">
        <f ca="1">IFERROR(__xludf.DUMMYFUNCTION("""COMPUTED_VALUE"""),"G.13.2")</f>
        <v>G.13.2</v>
      </c>
    </row>
    <row r="347" spans="1:2" ht="12.5" x14ac:dyDescent="0.25">
      <c r="A347" t="str">
        <f ca="1">IFERROR(__xludf.DUMMYFUNCTION("""COMPUTED_VALUE"""),"Caraway (Carum carvi)")</f>
        <v>Caraway (Carum carvi)</v>
      </c>
      <c r="B347" t="str">
        <f ca="1">IFERROR(__xludf.DUMMYFUNCTION("""COMPUTED_VALUE"""),"A.01.001603")</f>
        <v>A.01.001603</v>
      </c>
    </row>
    <row r="348" spans="1:2" ht="12.5" x14ac:dyDescent="0.25">
      <c r="A348" t="str">
        <f ca="1">IFERROR(__xludf.DUMMYFUNCTION("""COMPUTED_VALUE"""),"Caraway seed")</f>
        <v>Caraway seed</v>
      </c>
      <c r="B348" t="str">
        <f ca="1">IFERROR(__xludf.DUMMYFUNCTION("""COMPUTED_VALUE"""),"G.5.9")</f>
        <v>G.5.9</v>
      </c>
    </row>
    <row r="349" spans="1:2" ht="12.5" x14ac:dyDescent="0.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x14ac:dyDescent="0.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x14ac:dyDescent="0.25">
      <c r="A351" t="str">
        <f ca="1">IFERROR(__xludf.DUMMYFUNCTION("""COMPUTED_VALUE"""),"Carbonated mineral water")</f>
        <v>Carbonated mineral water</v>
      </c>
      <c r="B351" t="str">
        <f ca="1">IFERROR(__xludf.DUMMYFUNCTION("""COMPUTED_VALUE"""),"A.01.001578")</f>
        <v>A.01.001578</v>
      </c>
    </row>
    <row r="352" spans="1:2" ht="12.5" x14ac:dyDescent="0.25">
      <c r="A352" t="str">
        <f ca="1">IFERROR(__xludf.DUMMYFUNCTION("""COMPUTED_VALUE"""),"Cardamom (Elettaria cardamomum)")</f>
        <v>Cardamom (Elettaria cardamomum)</v>
      </c>
      <c r="B352" t="str">
        <f ca="1">IFERROR(__xludf.DUMMYFUNCTION("""COMPUTED_VALUE"""),"A.01.001604")</f>
        <v>A.01.001604</v>
      </c>
    </row>
    <row r="353" spans="1:2" ht="12.5" x14ac:dyDescent="0.25">
      <c r="A353" t="str">
        <f ca="1">IFERROR(__xludf.DUMMYFUNCTION("""COMPUTED_VALUE"""),"Cardoons (Cynara cardunculus)")</f>
        <v>Cardoons (Cynara cardunculus)</v>
      </c>
      <c r="B353" t="str">
        <f ca="1">IFERROR(__xludf.DUMMYFUNCTION("""COMPUTED_VALUE"""),"A.01.000387")</f>
        <v>A.01.000387</v>
      </c>
    </row>
    <row r="354" spans="1:2" ht="12.5" x14ac:dyDescent="0.25">
      <c r="A354" t="str">
        <f ca="1">IFERROR(__xludf.DUMMYFUNCTION("""COMPUTED_VALUE"""),"Carissa (Carissa sp.)")</f>
        <v>Carissa (Carissa sp.)</v>
      </c>
      <c r="B354" t="str">
        <f ca="1">IFERROR(__xludf.DUMMYFUNCTION("""COMPUTED_VALUE"""),"A.01.000643")</f>
        <v>A.01.000643</v>
      </c>
    </row>
    <row r="355" spans="1:2" ht="12.5" x14ac:dyDescent="0.25">
      <c r="A355" t="str">
        <f ca="1">IFERROR(__xludf.DUMMYFUNCTION("""COMPUTED_VALUE"""),"Carnitine-based supplement for sports people")</f>
        <v>Carnitine-based supplement for sports people</v>
      </c>
      <c r="B355" t="str">
        <f ca="1">IFERROR(__xludf.DUMMYFUNCTION("""COMPUTED_VALUE"""),"A.01.001770")</f>
        <v>A.01.001770</v>
      </c>
    </row>
    <row r="356" spans="1:2" ht="12.5" x14ac:dyDescent="0.25">
      <c r="A356" t="str">
        <f ca="1">IFERROR(__xludf.DUMMYFUNCTION("""COMPUTED_VALUE"""),"Carob flavouring")</f>
        <v>Carob flavouring</v>
      </c>
      <c r="B356" t="str">
        <f ca="1">IFERROR(__xludf.DUMMYFUNCTION("""COMPUTED_VALUE"""),"A.01.001702")</f>
        <v>A.01.001702</v>
      </c>
    </row>
    <row r="357" spans="1:2" ht="12.5" x14ac:dyDescent="0.25">
      <c r="A357" t="str">
        <f ca="1">IFERROR(__xludf.DUMMYFUNCTION("""COMPUTED_VALUE"""),"Carob fruit (Ceratonia siliqua)")</f>
        <v>Carob fruit (Ceratonia siliqua)</v>
      </c>
      <c r="B357" t="str">
        <f ca="1">IFERROR(__xludf.DUMMYFUNCTION("""COMPUTED_VALUE"""),"A.01.000505")</f>
        <v>A.01.000505</v>
      </c>
    </row>
    <row r="358" spans="1:2" ht="12.5" x14ac:dyDescent="0.25">
      <c r="A358" t="str">
        <f ca="1">IFERROR(__xludf.DUMMYFUNCTION("""COMPUTED_VALUE"""),"Carob germ")</f>
        <v>Carob germ</v>
      </c>
      <c r="B358" t="str">
        <f ca="1">IFERROR(__xludf.DUMMYFUNCTION("""COMPUTED_VALUE"""),"G.3.2.4")</f>
        <v>G.3.2.4</v>
      </c>
    </row>
    <row r="359" spans="1:2" ht="12.5" x14ac:dyDescent="0.25">
      <c r="A359" t="str">
        <f ca="1">IFERROR(__xludf.DUMMYFUNCTION("""COMPUTED_VALUE"""),"Carob germ, expeller")</f>
        <v>Carob germ, expeller</v>
      </c>
      <c r="B359" t="str">
        <f ca="1">IFERROR(__xludf.DUMMYFUNCTION("""COMPUTED_VALUE"""),"G.3.2.5")</f>
        <v>G.3.2.5</v>
      </c>
    </row>
    <row r="360" spans="1:2" ht="12.5" x14ac:dyDescent="0.25">
      <c r="A360" t="str">
        <f ca="1">IFERROR(__xludf.DUMMYFUNCTION("""COMPUTED_VALUE"""),"Carob pods")</f>
        <v>Carob pods</v>
      </c>
      <c r="B360" t="str">
        <f ca="1">IFERROR(__xludf.DUMMYFUNCTION("""COMPUTED_VALUE"""),"F05.01")</f>
        <v>F05.01</v>
      </c>
    </row>
    <row r="361" spans="1:2" ht="12.5" x14ac:dyDescent="0.25">
      <c r="A361" t="str">
        <f ca="1">IFERROR(__xludf.DUMMYFUNCTION("""COMPUTED_VALUE"""),"Carob pods, dried")</f>
        <v>Carob pods, dried</v>
      </c>
      <c r="B361" t="str">
        <f ca="1">IFERROR(__xludf.DUMMYFUNCTION("""COMPUTED_VALUE"""),"G.3.2.2")</f>
        <v>G.3.2.2</v>
      </c>
    </row>
    <row r="362" spans="1:2" ht="12.5" x14ac:dyDescent="0.25">
      <c r="A362" t="str">
        <f ca="1">IFERROR(__xludf.DUMMYFUNCTION("""COMPUTED_VALUE"""),"Carob, dried")</f>
        <v>Carob, dried</v>
      </c>
      <c r="B362" t="str">
        <f ca="1">IFERROR(__xludf.DUMMYFUNCTION("""COMPUTED_VALUE"""),"G.3.2")</f>
        <v>G.3.2</v>
      </c>
    </row>
    <row r="363" spans="1:2" ht="12.5" x14ac:dyDescent="0.25">
      <c r="A363" t="str">
        <f ca="1">IFERROR(__xludf.DUMMYFUNCTION("""COMPUTED_VALUE"""),"Carp (Cyprinus)")</f>
        <v>Carp (Cyprinus)</v>
      </c>
      <c r="B363" t="str">
        <f ca="1">IFERROR(__xludf.DUMMYFUNCTION("""COMPUTED_VALUE"""),"A.01.000901")</f>
        <v>A.01.000901</v>
      </c>
    </row>
    <row r="364" spans="1:2" ht="12.5" x14ac:dyDescent="0.25">
      <c r="A364" t="str">
        <f ca="1">IFERROR(__xludf.DUMMYFUNCTION("""COMPUTED_VALUE"""),"Carrot feed, dried")</f>
        <v>Carrot feed, dried</v>
      </c>
      <c r="B364" t="str">
        <f ca="1">IFERROR(__xludf.DUMMYFUNCTION("""COMPUTED_VALUE"""),"G.4.3.6")</f>
        <v>G.4.3.6</v>
      </c>
    </row>
    <row r="365" spans="1:2" ht="12.5" x14ac:dyDescent="0.25">
      <c r="A365" t="str">
        <f ca="1">IFERROR(__xludf.DUMMYFUNCTION("""COMPUTED_VALUE"""),"Carrot flakes")</f>
        <v>Carrot flakes</v>
      </c>
      <c r="B365" t="str">
        <f ca="1">IFERROR(__xludf.DUMMYFUNCTION("""COMPUTED_VALUE"""),"G.4.3.4")</f>
        <v>G.4.3.4</v>
      </c>
    </row>
    <row r="366" spans="1:2" ht="12.5" x14ac:dyDescent="0.25">
      <c r="A366" t="str">
        <f ca="1">IFERROR(__xludf.DUMMYFUNCTION("""COMPUTED_VALUE"""),"Carrot peelings, steamed")</f>
        <v>Carrot peelings, steamed</v>
      </c>
      <c r="B366" t="str">
        <f ca="1">IFERROR(__xludf.DUMMYFUNCTION("""COMPUTED_VALUE"""),"G.4.3.2")</f>
        <v>G.4.3.2</v>
      </c>
    </row>
    <row r="367" spans="1:2" ht="12.5" x14ac:dyDescent="0.25">
      <c r="A367" t="str">
        <f ca="1">IFERROR(__xludf.DUMMYFUNCTION("""COMPUTED_VALUE"""),"Carrot scrapings")</f>
        <v>Carrot scrapings</v>
      </c>
      <c r="B367" t="str">
        <f ca="1">IFERROR(__xludf.DUMMYFUNCTION("""COMPUTED_VALUE"""),"G.4.3.3")</f>
        <v>G.4.3.3</v>
      </c>
    </row>
    <row r="368" spans="1:2" ht="12.5" x14ac:dyDescent="0.25">
      <c r="A368" t="str">
        <f ca="1">IFERROR(__xludf.DUMMYFUNCTION("""COMPUTED_VALUE"""),"Carrot, dried")</f>
        <v>Carrot, dried</v>
      </c>
      <c r="B368" t="str">
        <f ca="1">IFERROR(__xludf.DUMMYFUNCTION("""COMPUTED_VALUE"""),"G.4.3.5")</f>
        <v>G.4.3.5</v>
      </c>
    </row>
    <row r="369" spans="1:2" ht="12.5" x14ac:dyDescent="0.25">
      <c r="A369" t="str">
        <f ca="1">IFERROR(__xludf.DUMMYFUNCTION("""COMPUTED_VALUE"""),"Carrots")</f>
        <v>Carrots</v>
      </c>
      <c r="B369" t="str">
        <f ca="1">IFERROR(__xludf.DUMMYFUNCTION("""COMPUTED_VALUE"""),"G.4.3")</f>
        <v>G.4.3</v>
      </c>
    </row>
    <row r="370" spans="1:2" ht="12.5" x14ac:dyDescent="0.25">
      <c r="A370" t="str">
        <f ca="1">IFERROR(__xludf.DUMMYFUNCTION("""COMPUTED_VALUE"""),"Carrots (Daucus carota)")</f>
        <v>Carrots (Daucus carota)</v>
      </c>
      <c r="B370" t="str">
        <f ca="1">IFERROR(__xludf.DUMMYFUNCTION("""COMPUTED_VALUE"""),"A.01.000321")</f>
        <v>A.01.000321</v>
      </c>
    </row>
    <row r="371" spans="1:2" ht="12.5" x14ac:dyDescent="0.25">
      <c r="A371" t="str">
        <f ca="1">IFERROR(__xludf.DUMMYFUNCTION("""COMPUTED_VALUE"""),"Casein")</f>
        <v>Casein</v>
      </c>
      <c r="B371" t="str">
        <f ca="1">IFERROR(__xludf.DUMMYFUNCTION("""COMPUTED_VALUE"""),"G.8.3")</f>
        <v>G.8.3</v>
      </c>
    </row>
    <row r="372" spans="1:2" ht="12.5" x14ac:dyDescent="0.25">
      <c r="A372" t="str">
        <f ca="1">IFERROR(__xludf.DUMMYFUNCTION("""COMPUTED_VALUE"""),"Casein powder")</f>
        <v>Casein powder</v>
      </c>
      <c r="B372" t="str">
        <f ca="1">IFERROR(__xludf.DUMMYFUNCTION("""COMPUTED_VALUE"""),"F08.06")</f>
        <v>F08.06</v>
      </c>
    </row>
    <row r="373" spans="1:2" ht="12.5" x14ac:dyDescent="0.25">
      <c r="A373" t="str">
        <f ca="1">IFERROR(__xludf.DUMMYFUNCTION("""COMPUTED_VALUE"""),"Caseinate")</f>
        <v>Caseinate</v>
      </c>
      <c r="B373" t="str">
        <f ca="1">IFERROR(__xludf.DUMMYFUNCTION("""COMPUTED_VALUE"""),"G.8.4")</f>
        <v>G.8.4</v>
      </c>
    </row>
    <row r="374" spans="1:2" ht="12.5" x14ac:dyDescent="0.25">
      <c r="A374" t="str">
        <f ca="1">IFERROR(__xludf.DUMMYFUNCTION("""COMPUTED_VALUE"""),"Cashew nuts (Anacardium occidentale)")</f>
        <v>Cashew nuts (Anacardium occidentale)</v>
      </c>
      <c r="B374" t="str">
        <f ca="1">IFERROR(__xludf.DUMMYFUNCTION("""COMPUTED_VALUE"""),"A.01.000517")</f>
        <v>A.01.000517</v>
      </c>
    </row>
    <row r="375" spans="1:2" ht="12.5" x14ac:dyDescent="0.25">
      <c r="A375" t="str">
        <f ca="1">IFERROR(__xludf.DUMMYFUNCTION("""COMPUTED_VALUE"""),"Cassava root (Manihot esculenta)")</f>
        <v>Cassava root (Manihot esculenta)</v>
      </c>
      <c r="B375" t="str">
        <f ca="1">IFERROR(__xludf.DUMMYFUNCTION("""COMPUTED_VALUE"""),"A.01.000482")</f>
        <v>A.01.000482</v>
      </c>
    </row>
    <row r="376" spans="1:2" ht="12.5" x14ac:dyDescent="0.25">
      <c r="A376" t="str">
        <f ca="1">IFERROR(__xludf.DUMMYFUNCTION("""COMPUTED_VALUE"""),"Castor bean (Ricinus communis)")</f>
        <v>Castor bean (Ricinus communis)</v>
      </c>
      <c r="B376" t="str">
        <f ca="1">IFERROR(__xludf.DUMMYFUNCTION("""COMPUTED_VALUE"""),"A.01.000542")</f>
        <v>A.01.000542</v>
      </c>
    </row>
    <row r="377" spans="1:2" ht="12.5" x14ac:dyDescent="0.25">
      <c r="A377" t="str">
        <f ca="1">IFERROR(__xludf.DUMMYFUNCTION("""COMPUTED_VALUE"""),"Catering reflux [Catering recycling]")</f>
        <v>Catering reflux [Catering recycling]</v>
      </c>
      <c r="B377" t="str">
        <f ca="1">IFERROR(__xludf.DUMMYFUNCTION("""COMPUTED_VALUE"""),"G.9.9")</f>
        <v>G.9.9</v>
      </c>
    </row>
    <row r="378" spans="1:2" ht="12.5" x14ac:dyDescent="0.25">
      <c r="A378" t="str">
        <f ca="1">IFERROR(__xludf.DUMMYFUNCTION("""COMPUTED_VALUE"""),"Cauliflower (Brassica oleracea var. botrytis)")</f>
        <v>Cauliflower (Brassica oleracea var. botrytis)</v>
      </c>
      <c r="B378" t="str">
        <f ca="1">IFERROR(__xludf.DUMMYFUNCTION("""COMPUTED_VALUE"""),"A.01.000352")</f>
        <v>A.01.000352</v>
      </c>
    </row>
    <row r="379" spans="1:2" ht="12.5" x14ac:dyDescent="0.25">
      <c r="A379" t="str">
        <f ca="1">IFERROR(__xludf.DUMMYFUNCTION("""COMPUTED_VALUE"""),"Cayenne pepper (Capsicum frutescens)")</f>
        <v>Cayenne pepper (Capsicum frutescens)</v>
      </c>
      <c r="B379" t="str">
        <f ca="1">IFERROR(__xludf.DUMMYFUNCTION("""COMPUTED_VALUE"""),"A.01.001605")</f>
        <v>A.01.001605</v>
      </c>
    </row>
    <row r="380" spans="1:2" ht="12.5" x14ac:dyDescent="0.25">
      <c r="A380" t="str">
        <f ca="1">IFERROR(__xludf.DUMMYFUNCTION("""COMPUTED_VALUE"""),"Celeriac (Apium graveolens var. rapaceum)")</f>
        <v>Celeriac (Apium graveolens var. rapaceum)</v>
      </c>
      <c r="B380" t="str">
        <f ca="1">IFERROR(__xludf.DUMMYFUNCTION("""COMPUTED_VALUE"""),"A.01.000322")</f>
        <v>A.01.000322</v>
      </c>
    </row>
    <row r="381" spans="1:2" ht="12.5" x14ac:dyDescent="0.25">
      <c r="A381" t="str">
        <f ca="1">IFERROR(__xludf.DUMMYFUNCTION("""COMPUTED_VALUE"""),"Celery (Apium graveolens var. dulce)")</f>
        <v>Celery (Apium graveolens var. dulce)</v>
      </c>
      <c r="B381" t="str">
        <f ca="1">IFERROR(__xludf.DUMMYFUNCTION("""COMPUTED_VALUE"""),"A.01.000388")</f>
        <v>A.01.000388</v>
      </c>
    </row>
    <row r="382" spans="1:2" ht="12.5" x14ac:dyDescent="0.25">
      <c r="A382" t="str">
        <f ca="1">IFERROR(__xludf.DUMMYFUNCTION("""COMPUTED_VALUE"""),"Celery leaves (Apium graveolens var. seccalinum)")</f>
        <v>Celery leaves (Apium graveolens var. seccalinum)</v>
      </c>
      <c r="B382" t="str">
        <f ca="1">IFERROR(__xludf.DUMMYFUNCTION("""COMPUTED_VALUE"""),"A.01.001585")</f>
        <v>A.01.001585</v>
      </c>
    </row>
    <row r="383" spans="1:2" ht="12.5" x14ac:dyDescent="0.25">
      <c r="A383" t="str">
        <f ca="1">IFERROR(__xludf.DUMMYFUNCTION("""COMPUTED_VALUE"""),"Celery seed (Apium graveolens)")</f>
        <v>Celery seed (Apium graveolens)</v>
      </c>
      <c r="B383" t="str">
        <f ca="1">IFERROR(__xludf.DUMMYFUNCTION("""COMPUTED_VALUE"""),"A.01.001606")</f>
        <v>A.01.001606</v>
      </c>
    </row>
    <row r="384" spans="1:2" ht="12.5" x14ac:dyDescent="0.25">
      <c r="A384" t="str">
        <f ca="1">IFERROR(__xludf.DUMMYFUNCTION("""COMPUTED_VALUE"""),"Cephalopods")</f>
        <v>Cephalopods</v>
      </c>
      <c r="B384" t="str">
        <f ca="1">IFERROR(__xludf.DUMMYFUNCTION("""COMPUTED_VALUE"""),"C11A_2")</f>
        <v>C11A_2</v>
      </c>
    </row>
    <row r="385" spans="1:2" ht="12.5" x14ac:dyDescent="0.25">
      <c r="A385" t="str">
        <f ca="1">IFERROR(__xludf.DUMMYFUNCTION("""COMPUTED_VALUE"""),"Cereal bar with added sugar")</f>
        <v>Cereal bar with added sugar</v>
      </c>
      <c r="B385" t="str">
        <f ca="1">IFERROR(__xludf.DUMMYFUNCTION("""COMPUTED_VALUE"""),"A.01.000222")</f>
        <v>A.01.000222</v>
      </c>
    </row>
    <row r="386" spans="1:2" ht="12.5" x14ac:dyDescent="0.25">
      <c r="A386" t="str">
        <f ca="1">IFERROR(__xludf.DUMMYFUNCTION("""COMPUTED_VALUE"""),"Cereal bar with chocolate")</f>
        <v>Cereal bar with chocolate</v>
      </c>
      <c r="B386" t="str">
        <f ca="1">IFERROR(__xludf.DUMMYFUNCTION("""COMPUTED_VALUE"""),"A.01.000223")</f>
        <v>A.01.000223</v>
      </c>
    </row>
    <row r="387" spans="1:2" ht="12.5" x14ac:dyDescent="0.25">
      <c r="A387" t="str">
        <f ca="1">IFERROR(__xludf.DUMMYFUNCTION("""COMPUTED_VALUE"""),"Cereal bar with fruits")</f>
        <v>Cereal bar with fruits</v>
      </c>
      <c r="B387" t="str">
        <f ca="1">IFERROR(__xludf.DUMMYFUNCTION("""COMPUTED_VALUE"""),"A.01.000221")</f>
        <v>A.01.000221</v>
      </c>
    </row>
    <row r="388" spans="1:2" ht="12.5" x14ac:dyDescent="0.25">
      <c r="A388" t="str">
        <f ca="1">IFERROR(__xludf.DUMMYFUNCTION("""COMPUTED_VALUE"""),"Cereal bar, with no added sugar")</f>
        <v>Cereal bar, with no added sugar</v>
      </c>
      <c r="B388" t="str">
        <f ca="1">IFERROR(__xludf.DUMMYFUNCTION("""COMPUTED_VALUE"""),"A.01.000224")</f>
        <v>A.01.000224</v>
      </c>
    </row>
    <row r="389" spans="1:2" ht="12.5" x14ac:dyDescent="0.25">
      <c r="A389" t="str">
        <f ca="1">IFERROR(__xludf.DUMMYFUNCTION("""COMPUTED_VALUE"""),"Cereal bars")</f>
        <v>Cereal bars</v>
      </c>
      <c r="B389" t="str">
        <f ca="1">IFERROR(__xludf.DUMMYFUNCTION("""COMPUTED_VALUE"""),"A.01.000220")</f>
        <v>A.01.000220</v>
      </c>
    </row>
    <row r="390" spans="1:2" ht="12.5" x14ac:dyDescent="0.25">
      <c r="A390" t="str">
        <f ca="1">IFERROR(__xludf.DUMMYFUNCTION("""COMPUTED_VALUE"""),"Cereal flakes")</f>
        <v>Cereal flakes</v>
      </c>
      <c r="B390" t="str">
        <f ca="1">IFERROR(__xludf.DUMMYFUNCTION("""COMPUTED_VALUE"""),"A.01.000185")</f>
        <v>A.01.000185</v>
      </c>
    </row>
    <row r="391" spans="1:2" ht="12.5" x14ac:dyDescent="0.25">
      <c r="A391" t="str">
        <f ca="1">IFERROR(__xludf.DUMMYFUNCTION("""COMPUTED_VALUE"""),"Cereal grains (Not specified type)")</f>
        <v>Cereal grains (Not specified type)</v>
      </c>
      <c r="B391" t="str">
        <f ca="1">IFERROR(__xludf.DUMMYFUNCTION("""COMPUTED_VALUE"""),"C01B_1")</f>
        <v>C01B_1</v>
      </c>
    </row>
    <row r="392" spans="1:2" ht="12.5" x14ac:dyDescent="0.25">
      <c r="A392" t="str">
        <f ca="1">IFERROR(__xludf.DUMMYFUNCTION("""COMPUTED_VALUE"""),"Cereal grains excl. Rice")</f>
        <v>Cereal grains excl. Rice</v>
      </c>
      <c r="B392" t="str">
        <f ca="1">IFERROR(__xludf.DUMMYFUNCTION("""COMPUTED_VALUE"""),"C01B_1A")</f>
        <v>C01B_1A</v>
      </c>
    </row>
    <row r="393" spans="1:2" ht="12.5" x14ac:dyDescent="0.25">
      <c r="A393" t="str">
        <f ca="1">IFERROR(__xludf.DUMMYFUNCTION("""COMPUTED_VALUE"""),"Cereal grains screenings")</f>
        <v>Cereal grains screenings</v>
      </c>
      <c r="B393" t="str">
        <f ca="1">IFERROR(__xludf.DUMMYFUNCTION("""COMPUTED_VALUE"""),"G.1.12.4")</f>
        <v>G.1.12.4</v>
      </c>
    </row>
    <row r="394" spans="1:2" ht="12.5" x14ac:dyDescent="0.25">
      <c r="A394" t="str">
        <f ca="1">IFERROR(__xludf.DUMMYFUNCTION("""COMPUTED_VALUE"""),"Cereal grains, their products and by-products")</f>
        <v>Cereal grains, their products and by-products</v>
      </c>
      <c r="B394" t="str">
        <f ca="1">IFERROR(__xludf.DUMMYFUNCTION("""COMPUTED_VALUE"""),"G.1")</f>
        <v>G.1</v>
      </c>
    </row>
    <row r="395" spans="1:2" ht="12.5" x14ac:dyDescent="0.25">
      <c r="A395" t="str">
        <f ca="1">IFERROR(__xludf.DUMMYFUNCTION("""COMPUTED_VALUE"""),"Cereal grains, their products and by-productss")</f>
        <v>Cereal grains, their products and by-productss</v>
      </c>
      <c r="B395" t="str">
        <f ca="1">IFERROR(__xludf.DUMMYFUNCTION("""COMPUTED_VALUE"""),"F01")</f>
        <v>F01</v>
      </c>
    </row>
    <row r="396" spans="1:2" ht="12.5" x14ac:dyDescent="0.25">
      <c r="A396" t="str">
        <f ca="1">IFERROR(__xludf.DUMMYFUNCTION("""COMPUTED_VALUE"""),"Cereal plants")</f>
        <v>Cereal plants</v>
      </c>
      <c r="B396" t="str">
        <f ca="1">IFERROR(__xludf.DUMMYFUNCTION("""COMPUTED_VALUE"""),"G.6.2")</f>
        <v>G.6.2</v>
      </c>
    </row>
    <row r="397" spans="1:2" ht="12.5" x14ac:dyDescent="0.25">
      <c r="A397" t="str">
        <f ca="1">IFERROR(__xludf.DUMMYFUNCTION("""COMPUTED_VALUE"""),"Cereal products (Not specified type)")</f>
        <v>Cereal products (Not specified type)</v>
      </c>
      <c r="B397" t="str">
        <f ca="1">IFERROR(__xludf.DUMMYFUNCTION("""COMPUTED_VALUE"""),"C01B_2")</f>
        <v>C01B_2</v>
      </c>
    </row>
    <row r="398" spans="1:2" ht="12.5" x14ac:dyDescent="0.25">
      <c r="A398" t="str">
        <f ca="1">IFERROR(__xludf.DUMMYFUNCTION("""COMPUTED_VALUE"""),"Cereal straw, treated")</f>
        <v>Cereal straw, treated</v>
      </c>
      <c r="B398" t="str">
        <f ca="1">IFERROR(__xludf.DUMMYFUNCTION("""COMPUTED_VALUE"""),"G.6.3.2")</f>
        <v>G.6.3.2</v>
      </c>
    </row>
    <row r="399" spans="1:2" ht="12.5" x14ac:dyDescent="0.25">
      <c r="A399" t="str">
        <f ca="1">IFERROR(__xludf.DUMMYFUNCTION("""COMPUTED_VALUE"""),"Cereal-based dishes")</f>
        <v>Cereal-based dishes</v>
      </c>
      <c r="B399" t="str">
        <f ca="1">IFERROR(__xludf.DUMMYFUNCTION("""COMPUTED_VALUE"""),"A.01.001790")</f>
        <v>A.01.001790</v>
      </c>
    </row>
    <row r="400" spans="1:2" ht="12.5" x14ac:dyDescent="0.25">
      <c r="A400" t="str">
        <f ca="1">IFERROR(__xludf.DUMMYFUNCTION("""COMPUTED_VALUE"""),"Cereal-based food for infants and young children")</f>
        <v>Cereal-based food for infants and young children</v>
      </c>
      <c r="B400" t="str">
        <f ca="1">IFERROR(__xludf.DUMMYFUNCTION("""COMPUTED_VALUE"""),"A.01.001728")</f>
        <v>A.01.001728</v>
      </c>
    </row>
    <row r="401" spans="1:2" ht="12.5" x14ac:dyDescent="0.25">
      <c r="A401" t="str">
        <f ca="1">IFERROR(__xludf.DUMMYFUNCTION("""COMPUTED_VALUE"""),"Cereal-based mixed dishes")</f>
        <v>Cereal-based mixed dishes</v>
      </c>
      <c r="B401" t="str">
        <f ca="1">IFERROR(__xludf.DUMMYFUNCTION("""COMPUTED_VALUE"""),"C01A")</f>
        <v>C01A</v>
      </c>
    </row>
    <row r="402" spans="1:2" ht="12.5" x14ac:dyDescent="0.25">
      <c r="A402" t="str">
        <f ca="1">IFERROR(__xludf.DUMMYFUNCTION("""COMPUTED_VALUE"""),"Cereals and cereal products")</f>
        <v>Cereals and cereal products</v>
      </c>
      <c r="B402" t="str">
        <f ca="1">IFERROR(__xludf.DUMMYFUNCTION("""COMPUTED_VALUE"""),"C01")</f>
        <v>C01</v>
      </c>
    </row>
    <row r="403" spans="1:2" ht="12.5" x14ac:dyDescent="0.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x14ac:dyDescent="0.25">
      <c r="A404" t="str">
        <f ca="1">IFERROR(__xludf.DUMMYFUNCTION("""COMPUTED_VALUE"""),"Cereals straw")</f>
        <v>Cereals straw</v>
      </c>
      <c r="B404" t="str">
        <f ca="1">IFERROR(__xludf.DUMMYFUNCTION("""COMPUTED_VALUE"""),"F06.06")</f>
        <v>F06.06</v>
      </c>
    </row>
    <row r="405" spans="1:2" ht="12.5" x14ac:dyDescent="0.25">
      <c r="A405" t="str">
        <f ca="1">IFERROR(__xludf.DUMMYFUNCTION("""COMPUTED_VALUE"""),"Cereals straw")</f>
        <v>Cereals straw</v>
      </c>
      <c r="B405" t="str">
        <f ca="1">IFERROR(__xludf.DUMMYFUNCTION("""COMPUTED_VALUE"""),"G.6.3")</f>
        <v>G.6.3</v>
      </c>
    </row>
    <row r="406" spans="1:2" ht="12.5" x14ac:dyDescent="0.25">
      <c r="A406" t="str">
        <f ca="1">IFERROR(__xludf.DUMMYFUNCTION("""COMPUTED_VALUE"""),"Cereals straw, treated")</f>
        <v>Cereals straw, treated</v>
      </c>
      <c r="B406" t="str">
        <f ca="1">IFERROR(__xludf.DUMMYFUNCTION("""COMPUTED_VALUE"""),"F06.07")</f>
        <v>F06.07</v>
      </c>
    </row>
    <row r="407" spans="1:2" ht="12.5" x14ac:dyDescent="0.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x14ac:dyDescent="0.25">
      <c r="A408" t="str">
        <f ca="1">IFERROR(__xludf.DUMMYFUNCTION("""COMPUTED_VALUE"""),"Chamois meat (Rupicapra rupicapra)")</f>
        <v>Chamois meat (Rupicapra rupicapra)</v>
      </c>
      <c r="B408" t="str">
        <f ca="1">IFERROR(__xludf.DUMMYFUNCTION("""COMPUTED_VALUE"""),"A.01.000749")</f>
        <v>A.01.000749</v>
      </c>
    </row>
    <row r="409" spans="1:2" ht="12.5" x14ac:dyDescent="0.25">
      <c r="A409" t="str">
        <f ca="1">IFERROR(__xludf.DUMMYFUNCTION("""COMPUTED_VALUE"""),"Chapatti flour")</f>
        <v>Chapatti flour</v>
      </c>
      <c r="B409" t="str">
        <f ca="1">IFERROR(__xludf.DUMMYFUNCTION("""COMPUTED_VALUE"""),"A.01.000093")</f>
        <v>A.01.000093</v>
      </c>
    </row>
    <row r="410" spans="1:2" ht="12.5" x14ac:dyDescent="0.25">
      <c r="A410" t="str">
        <f ca="1">IFERROR(__xludf.DUMMYFUNCTION("""COMPUTED_VALUE"""),"Char (Salvelinus)")</f>
        <v>Char (Salvelinus)</v>
      </c>
      <c r="B410" t="str">
        <f ca="1">IFERROR(__xludf.DUMMYFUNCTION("""COMPUTED_VALUE"""),"A.01.000884")</f>
        <v>A.01.000884</v>
      </c>
    </row>
    <row r="411" spans="1:2" ht="12.5" x14ac:dyDescent="0.25">
      <c r="A411" t="str">
        <f ca="1">IFERROR(__xludf.DUMMYFUNCTION("""COMPUTED_VALUE"""),"Chayote (Sechium edule)")</f>
        <v>Chayote (Sechium edule)</v>
      </c>
      <c r="B411" t="str">
        <f ca="1">IFERROR(__xludf.DUMMYFUNCTION("""COMPUTED_VALUE"""),"A.01.000641")</f>
        <v>A.01.000641</v>
      </c>
    </row>
    <row r="412" spans="1:2" ht="12.5" x14ac:dyDescent="0.25">
      <c r="A412" t="str">
        <f ca="1">IFERROR(__xludf.DUMMYFUNCTION("""COMPUTED_VALUE"""),"Cheese")</f>
        <v>Cheese</v>
      </c>
      <c r="B412" t="str">
        <f ca="1">IFERROR(__xludf.DUMMYFUNCTION("""COMPUTED_VALUE"""),"C13C_2")</f>
        <v>C13C_2</v>
      </c>
    </row>
    <row r="413" spans="1:2" ht="12.5" x14ac:dyDescent="0.25">
      <c r="A413" t="str">
        <f ca="1">IFERROR(__xludf.DUMMYFUNCTION("""COMPUTED_VALUE"""),"Cheese")</f>
        <v>Cheese</v>
      </c>
      <c r="B413" t="str">
        <f ca="1">IFERROR(__xludf.DUMMYFUNCTION("""COMPUTED_VALUE"""),"A.01.001053")</f>
        <v>A.01.001053</v>
      </c>
    </row>
    <row r="414" spans="1:2" ht="12.5" x14ac:dyDescent="0.25">
      <c r="A414" t="str">
        <f ca="1">IFERROR(__xludf.DUMMYFUNCTION("""COMPUTED_VALUE"""),"Cheese and cheese products")</f>
        <v>Cheese and cheese products</v>
      </c>
      <c r="B414" t="str">
        <f ca="1">IFERROR(__xludf.DUMMYFUNCTION("""COMPUTED_VALUE"""),"G.8.5")</f>
        <v>G.8.5</v>
      </c>
    </row>
    <row r="415" spans="1:2" ht="12.5" x14ac:dyDescent="0.25">
      <c r="A415" t="str">
        <f ca="1">IFERROR(__xludf.DUMMYFUNCTION("""COMPUTED_VALUE"""),"Cheese and substitutes")</f>
        <v>Cheese and substitutes</v>
      </c>
      <c r="B415" t="str">
        <f ca="1">IFERROR(__xludf.DUMMYFUNCTION("""COMPUTED_VALUE"""),"C13C")</f>
        <v>C13C</v>
      </c>
    </row>
    <row r="416" spans="1:2" ht="12.5" x14ac:dyDescent="0.25">
      <c r="A416" t="str">
        <f ca="1">IFERROR(__xludf.DUMMYFUNCTION("""COMPUTED_VALUE"""),"Cheese cream cake")</f>
        <v>Cheese cream cake</v>
      </c>
      <c r="B416" t="str">
        <f ca="1">IFERROR(__xludf.DUMMYFUNCTION("""COMPUTED_VALUE"""),"A.01.000257")</f>
        <v>A.01.000257</v>
      </c>
    </row>
    <row r="417" spans="1:2" ht="12.5" x14ac:dyDescent="0.25">
      <c r="A417" t="str">
        <f ca="1">IFERROR(__xludf.DUMMYFUNCTION("""COMPUTED_VALUE"""),"Cheese cream sponge cake")</f>
        <v>Cheese cream sponge cake</v>
      </c>
      <c r="B417" t="str">
        <f ca="1">IFERROR(__xludf.DUMMYFUNCTION("""COMPUTED_VALUE"""),"A.01.000258")</f>
        <v>A.01.000258</v>
      </c>
    </row>
    <row r="418" spans="1:2" ht="12.5" x14ac:dyDescent="0.25">
      <c r="A418" t="str">
        <f ca="1">IFERROR(__xludf.DUMMYFUNCTION("""COMPUTED_VALUE"""),"Cheese pastry goods from puff pastry")</f>
        <v>Cheese pastry goods from puff pastry</v>
      </c>
      <c r="B418" t="str">
        <f ca="1">IFERROR(__xludf.DUMMYFUNCTION("""COMPUTED_VALUE"""),"A.01.000293")</f>
        <v>A.01.000293</v>
      </c>
    </row>
    <row r="419" spans="1:2" ht="12.5" x14ac:dyDescent="0.25">
      <c r="A419" t="str">
        <f ca="1">IFERROR(__xludf.DUMMYFUNCTION("""COMPUTED_VALUE"""),"Cheese pie")</f>
        <v>Cheese pie</v>
      </c>
      <c r="B419" t="str">
        <f ca="1">IFERROR(__xludf.DUMMYFUNCTION("""COMPUTED_VALUE"""),"A.01.000275")</f>
        <v>A.01.000275</v>
      </c>
    </row>
    <row r="420" spans="1:2" ht="12.5" x14ac:dyDescent="0.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x14ac:dyDescent="0.25">
      <c r="A421" t="str">
        <f ca="1">IFERROR(__xludf.DUMMYFUNCTION("""COMPUTED_VALUE"""),"Cheese puffs")</f>
        <v>Cheese puffs</v>
      </c>
      <c r="B421" t="str">
        <f ca="1">IFERROR(__xludf.DUMMYFUNCTION("""COMPUTED_VALUE"""),"A.01.001887")</f>
        <v>A.01.001887</v>
      </c>
    </row>
    <row r="422" spans="1:2" ht="12.5" x14ac:dyDescent="0.25">
      <c r="A422" t="str">
        <f ca="1">IFERROR(__xludf.DUMMYFUNCTION("""COMPUTED_VALUE"""),"Cheese substitutes")</f>
        <v>Cheese substitutes</v>
      </c>
      <c r="B422" t="str">
        <f ca="1">IFERROR(__xludf.DUMMYFUNCTION("""COMPUTED_VALUE"""),"C13C_1")</f>
        <v>C13C_1</v>
      </c>
    </row>
    <row r="423" spans="1:2" ht="12.5" x14ac:dyDescent="0.25">
      <c r="A423" t="str">
        <f ca="1">IFERROR(__xludf.DUMMYFUNCTION("""COMPUTED_VALUE"""),"Cheese, Abondance")</f>
        <v>Cheese, Abondance</v>
      </c>
      <c r="B423" t="str">
        <f ca="1">IFERROR(__xludf.DUMMYFUNCTION("""COMPUTED_VALUE"""),"A.01.001065")</f>
        <v>A.01.001065</v>
      </c>
    </row>
    <row r="424" spans="1:2" ht="12.5" x14ac:dyDescent="0.25">
      <c r="A424" t="str">
        <f ca="1">IFERROR(__xludf.DUMMYFUNCTION("""COMPUTED_VALUE"""),"Cheese, Afuega'l Pitu")</f>
        <v>Cheese, Afuega'l Pitu</v>
      </c>
      <c r="B424" t="str">
        <f ca="1">IFERROR(__xludf.DUMMYFUNCTION("""COMPUTED_VALUE"""),"A.01.001066")</f>
        <v>A.01.001066</v>
      </c>
    </row>
    <row r="425" spans="1:2" ht="12.5" x14ac:dyDescent="0.25">
      <c r="A425" t="str">
        <f ca="1">IFERROR(__xludf.DUMMYFUNCTION("""COMPUTED_VALUE"""),"Cheese, Amarelo")</f>
        <v>Cheese, Amarelo</v>
      </c>
      <c r="B425" t="str">
        <f ca="1">IFERROR(__xludf.DUMMYFUNCTION("""COMPUTED_VALUE"""),"A.01.001067")</f>
        <v>A.01.001067</v>
      </c>
    </row>
    <row r="426" spans="1:2" ht="12.5" x14ac:dyDescent="0.25">
      <c r="A426" t="str">
        <f ca="1">IFERROR(__xludf.DUMMYFUNCTION("""COMPUTED_VALUE"""),"Cheese, Appenzeller")</f>
        <v>Cheese, Appenzeller</v>
      </c>
      <c r="B426" t="str">
        <f ca="1">IFERROR(__xludf.DUMMYFUNCTION("""COMPUTED_VALUE"""),"A.01.001068")</f>
        <v>A.01.001068</v>
      </c>
    </row>
    <row r="427" spans="1:2" ht="12.5" x14ac:dyDescent="0.25">
      <c r="A427" t="str">
        <f ca="1">IFERROR(__xludf.DUMMYFUNCTION("""COMPUTED_VALUE"""),"Cheese, Ardrahan")</f>
        <v>Cheese, Ardrahan</v>
      </c>
      <c r="B427" t="str">
        <f ca="1">IFERROR(__xludf.DUMMYFUNCTION("""COMPUTED_VALUE"""),"A.01.001069")</f>
        <v>A.01.001069</v>
      </c>
    </row>
    <row r="428" spans="1:2" ht="12.5" x14ac:dyDescent="0.25">
      <c r="A428" t="str">
        <f ca="1">IFERROR(__xludf.DUMMYFUNCTION("""COMPUTED_VALUE"""),"Cheese, Arzua Ulloa")</f>
        <v>Cheese, Arzua Ulloa</v>
      </c>
      <c r="B428" t="str">
        <f ca="1">IFERROR(__xludf.DUMMYFUNCTION("""COMPUTED_VALUE"""),"A.01.001070")</f>
        <v>A.01.001070</v>
      </c>
    </row>
    <row r="429" spans="1:2" ht="12.5" x14ac:dyDescent="0.25">
      <c r="A429" t="str">
        <f ca="1">IFERROR(__xludf.DUMMYFUNCTION("""COMPUTED_VALUE"""),"Cheese, Asiago")</f>
        <v>Cheese, Asiago</v>
      </c>
      <c r="B429" t="str">
        <f ca="1">IFERROR(__xludf.DUMMYFUNCTION("""COMPUTED_VALUE"""),"A.01.001071")</f>
        <v>A.01.001071</v>
      </c>
    </row>
    <row r="430" spans="1:2" ht="12.5" x14ac:dyDescent="0.25">
      <c r="A430" t="str">
        <f ca="1">IFERROR(__xludf.DUMMYFUNCTION("""COMPUTED_VALUE"""),"Cheese, Baita Friuli")</f>
        <v>Cheese, Baita Friuli</v>
      </c>
      <c r="B430" t="str">
        <f ca="1">IFERROR(__xludf.DUMMYFUNCTION("""COMPUTED_VALUE"""),"A.01.001072")</f>
        <v>A.01.001072</v>
      </c>
    </row>
    <row r="431" spans="1:2" ht="12.5" x14ac:dyDescent="0.25">
      <c r="A431" t="str">
        <f ca="1">IFERROR(__xludf.DUMMYFUNCTION("""COMPUTED_VALUE"""),"Cheese, Banon")</f>
        <v>Cheese, Banon</v>
      </c>
      <c r="B431" t="str">
        <f ca="1">IFERROR(__xludf.DUMMYFUNCTION("""COMPUTED_VALUE"""),"A.01.001073")</f>
        <v>A.01.001073</v>
      </c>
    </row>
    <row r="432" spans="1:2" ht="12.5" x14ac:dyDescent="0.25">
      <c r="A432" t="str">
        <f ca="1">IFERROR(__xludf.DUMMYFUNCTION("""COMPUTED_VALUE"""),"Cheese, Bavarian Blue")</f>
        <v>Cheese, Bavarian Blue</v>
      </c>
      <c r="B432" t="str">
        <f ca="1">IFERROR(__xludf.DUMMYFUNCTION("""COMPUTED_VALUE"""),"A.01.001074")</f>
        <v>A.01.001074</v>
      </c>
    </row>
    <row r="433" spans="1:2" ht="12.5" x14ac:dyDescent="0.25">
      <c r="A433" t="str">
        <f ca="1">IFERROR(__xludf.DUMMYFUNCTION("""COMPUTED_VALUE"""),"Cheese, Beaufort")</f>
        <v>Cheese, Beaufort</v>
      </c>
      <c r="B433" t="str">
        <f ca="1">IFERROR(__xludf.DUMMYFUNCTION("""COMPUTED_VALUE"""),"A.01.001075")</f>
        <v>A.01.001075</v>
      </c>
    </row>
    <row r="434" spans="1:2" ht="12.5" x14ac:dyDescent="0.25">
      <c r="A434" t="str">
        <f ca="1">IFERROR(__xludf.DUMMYFUNCTION("""COMPUTED_VALUE"""),"Cheese, Bica")</f>
        <v>Cheese, Bica</v>
      </c>
      <c r="B434" t="str">
        <f ca="1">IFERROR(__xludf.DUMMYFUNCTION("""COMPUTED_VALUE"""),"A.01.001076")</f>
        <v>A.01.001076</v>
      </c>
    </row>
    <row r="435" spans="1:2" ht="12.5" x14ac:dyDescent="0.25">
      <c r="A435" t="str">
        <f ca="1">IFERROR(__xludf.DUMMYFUNCTION("""COMPUTED_VALUE"""),"Cheese, Bitto della Valtellina")</f>
        <v>Cheese, Bitto della Valtellina</v>
      </c>
      <c r="B435" t="str">
        <f ca="1">IFERROR(__xludf.DUMMYFUNCTION("""COMPUTED_VALUE"""),"A.01.001077")</f>
        <v>A.01.001077</v>
      </c>
    </row>
    <row r="436" spans="1:2" ht="12.5" x14ac:dyDescent="0.25">
      <c r="A436" t="str">
        <f ca="1">IFERROR(__xludf.DUMMYFUNCTION("""COMPUTED_VALUE"""),"Cheese, Bleu d'Auvergne")</f>
        <v>Cheese, Bleu d'Auvergne</v>
      </c>
      <c r="B436" t="str">
        <f ca="1">IFERROR(__xludf.DUMMYFUNCTION("""COMPUTED_VALUE"""),"A.01.001078")</f>
        <v>A.01.001078</v>
      </c>
    </row>
    <row r="437" spans="1:2" ht="12.5" x14ac:dyDescent="0.25">
      <c r="A437" t="str">
        <f ca="1">IFERROR(__xludf.DUMMYFUNCTION("""COMPUTED_VALUE"""),"Cheese, Bleu de Gex")</f>
        <v>Cheese, Bleu de Gex</v>
      </c>
      <c r="B437" t="str">
        <f ca="1">IFERROR(__xludf.DUMMYFUNCTION("""COMPUTED_VALUE"""),"A.01.001079")</f>
        <v>A.01.001079</v>
      </c>
    </row>
    <row r="438" spans="1:2" ht="12.5" x14ac:dyDescent="0.25">
      <c r="A438" t="str">
        <f ca="1">IFERROR(__xludf.DUMMYFUNCTION("""COMPUTED_VALUE"""),"Cheese, Blue Castello")</f>
        <v>Cheese, Blue Castello</v>
      </c>
      <c r="B438" t="str">
        <f ca="1">IFERROR(__xludf.DUMMYFUNCTION("""COMPUTED_VALUE"""),"A.01.001080")</f>
        <v>A.01.001080</v>
      </c>
    </row>
    <row r="439" spans="1:2" ht="12.5" x14ac:dyDescent="0.25">
      <c r="A439" t="str">
        <f ca="1">IFERROR(__xludf.DUMMYFUNCTION("""COMPUTED_VALUE"""),"Cheese, Blue de Graven")</f>
        <v>Cheese, Blue de Graven</v>
      </c>
      <c r="B439" t="str">
        <f ca="1">IFERROR(__xludf.DUMMYFUNCTION("""COMPUTED_VALUE"""),"A.01.001081")</f>
        <v>A.01.001081</v>
      </c>
    </row>
    <row r="440" spans="1:2" ht="12.5" x14ac:dyDescent="0.25">
      <c r="A440" t="str">
        <f ca="1">IFERROR(__xludf.DUMMYFUNCTION("""COMPUTED_VALUE"""),"Cheese, Boilie")</f>
        <v>Cheese, Boilie</v>
      </c>
      <c r="B440" t="str">
        <f ca="1">IFERROR(__xludf.DUMMYFUNCTION("""COMPUTED_VALUE"""),"A.01.001082")</f>
        <v>A.01.001082</v>
      </c>
    </row>
    <row r="441" spans="1:2" ht="12.5" x14ac:dyDescent="0.25">
      <c r="A441" t="str">
        <f ca="1">IFERROR(__xludf.DUMMYFUNCTION("""COMPUTED_VALUE"""),"Cheese, Boursin")</f>
        <v>Cheese, Boursin</v>
      </c>
      <c r="B441" t="str">
        <f ca="1">IFERROR(__xludf.DUMMYFUNCTION("""COMPUTED_VALUE"""),"A.01.001083")</f>
        <v>A.01.001083</v>
      </c>
    </row>
    <row r="442" spans="1:2" ht="12.5" x14ac:dyDescent="0.25">
      <c r="A442" t="str">
        <f ca="1">IFERROR(__xludf.DUMMYFUNCTION("""COMPUTED_VALUE"""),"Cheese, Bra")</f>
        <v>Cheese, Bra</v>
      </c>
      <c r="B442" t="str">
        <f ca="1">IFERROR(__xludf.DUMMYFUNCTION("""COMPUTED_VALUE"""),"A.01.001084")</f>
        <v>A.01.001084</v>
      </c>
    </row>
    <row r="443" spans="1:2" ht="12.5" x14ac:dyDescent="0.25">
      <c r="A443" t="str">
        <f ca="1">IFERROR(__xludf.DUMMYFUNCTION("""COMPUTED_VALUE"""),"Cheese, Brie")</f>
        <v>Cheese, Brie</v>
      </c>
      <c r="B443" t="str">
        <f ca="1">IFERROR(__xludf.DUMMYFUNCTION("""COMPUTED_VALUE"""),"A.01.001085")</f>
        <v>A.01.001085</v>
      </c>
    </row>
    <row r="444" spans="1:2" ht="12.5" x14ac:dyDescent="0.25">
      <c r="A444" t="str">
        <f ca="1">IFERROR(__xludf.DUMMYFUNCTION("""COMPUTED_VALUE"""),"Cheese, Buche de Chevre")</f>
        <v>Cheese, Buche de Chevre</v>
      </c>
      <c r="B444" t="str">
        <f ca="1">IFERROR(__xludf.DUMMYFUNCTION("""COMPUTED_VALUE"""),"A.01.001086")</f>
        <v>A.01.001086</v>
      </c>
    </row>
    <row r="445" spans="1:2" ht="12.5" x14ac:dyDescent="0.25">
      <c r="A445" t="str">
        <f ca="1">IFERROR(__xludf.DUMMYFUNCTION("""COMPUTED_VALUE"""),"Cheese, Bundnerkase")</f>
        <v>Cheese, Bundnerkase</v>
      </c>
      <c r="B445" t="str">
        <f ca="1">IFERROR(__xludf.DUMMYFUNCTION("""COMPUTED_VALUE"""),"A.01.001087")</f>
        <v>A.01.001087</v>
      </c>
    </row>
    <row r="446" spans="1:2" ht="12.5" x14ac:dyDescent="0.25">
      <c r="A446" t="str">
        <f ca="1">IFERROR(__xludf.DUMMYFUNCTION("""COMPUTED_VALUE"""),"Cheese, Burrata")</f>
        <v>Cheese, Burrata</v>
      </c>
      <c r="B446" t="str">
        <f ca="1">IFERROR(__xludf.DUMMYFUNCTION("""COMPUTED_VALUE"""),"A.01.001088")</f>
        <v>A.01.001088</v>
      </c>
    </row>
    <row r="447" spans="1:2" ht="12.5" x14ac:dyDescent="0.25">
      <c r="A447" t="str">
        <f ca="1">IFERROR(__xludf.DUMMYFUNCTION("""COMPUTED_VALUE"""),"Cheese, Butterkase")</f>
        <v>Cheese, Butterkase</v>
      </c>
      <c r="B447" t="str">
        <f ca="1">IFERROR(__xludf.DUMMYFUNCTION("""COMPUTED_VALUE"""),"A.01.001089")</f>
        <v>A.01.001089</v>
      </c>
    </row>
    <row r="448" spans="1:2" ht="12.5" x14ac:dyDescent="0.25">
      <c r="A448" t="str">
        <f ca="1">IFERROR(__xludf.DUMMYFUNCTION("""COMPUTED_VALUE"""),"Cheese, Cabrales")</f>
        <v>Cheese, Cabrales</v>
      </c>
      <c r="B448" t="str">
        <f ca="1">IFERROR(__xludf.DUMMYFUNCTION("""COMPUTED_VALUE"""),"A.01.001090")</f>
        <v>A.01.001090</v>
      </c>
    </row>
    <row r="449" spans="1:2" ht="12.5" x14ac:dyDescent="0.25">
      <c r="A449" t="str">
        <f ca="1">IFERROR(__xludf.DUMMYFUNCTION("""COMPUTED_VALUE"""),"Cheese, Cacio di Fossa")</f>
        <v>Cheese, Cacio di Fossa</v>
      </c>
      <c r="B449" t="str">
        <f ca="1">IFERROR(__xludf.DUMMYFUNCTION("""COMPUTED_VALUE"""),"A.01.001091")</f>
        <v>A.01.001091</v>
      </c>
    </row>
    <row r="450" spans="1:2" ht="12.5" x14ac:dyDescent="0.25">
      <c r="A450" t="str">
        <f ca="1">IFERROR(__xludf.DUMMYFUNCTION("""COMPUTED_VALUE"""),"Cheese, Caciocavallo")</f>
        <v>Cheese, Caciocavallo</v>
      </c>
      <c r="B450" t="str">
        <f ca="1">IFERROR(__xludf.DUMMYFUNCTION("""COMPUTED_VALUE"""),"A.01.001092")</f>
        <v>A.01.001092</v>
      </c>
    </row>
    <row r="451" spans="1:2" ht="12.5" x14ac:dyDescent="0.25">
      <c r="A451" t="str">
        <f ca="1">IFERROR(__xludf.DUMMYFUNCTION("""COMPUTED_VALUE"""),"Cheese, Caerphilly")</f>
        <v>Cheese, Caerphilly</v>
      </c>
      <c r="B451" t="str">
        <f ca="1">IFERROR(__xludf.DUMMYFUNCTION("""COMPUTED_VALUE"""),"A.01.001093")</f>
        <v>A.01.001093</v>
      </c>
    </row>
    <row r="452" spans="1:2" ht="12.5" x14ac:dyDescent="0.25">
      <c r="A452" t="str">
        <f ca="1">IFERROR(__xludf.DUMMYFUNCTION("""COMPUTED_VALUE"""),"Cheese, Camembert")</f>
        <v>Cheese, Camembert</v>
      </c>
      <c r="B452" t="str">
        <f ca="1">IFERROR(__xludf.DUMMYFUNCTION("""COMPUTED_VALUE"""),"A.01.001094")</f>
        <v>A.01.001094</v>
      </c>
    </row>
    <row r="453" spans="1:2" ht="12.5" x14ac:dyDescent="0.25">
      <c r="A453" t="str">
        <f ca="1">IFERROR(__xludf.DUMMYFUNCTION("""COMPUTED_VALUE"""),"Cheese, Canestrato Pugliese")</f>
        <v>Cheese, Canestrato Pugliese</v>
      </c>
      <c r="B453" t="str">
        <f ca="1">IFERROR(__xludf.DUMMYFUNCTION("""COMPUTED_VALUE"""),"A.01.001095")</f>
        <v>A.01.001095</v>
      </c>
    </row>
    <row r="454" spans="1:2" ht="12.5" x14ac:dyDescent="0.25">
      <c r="A454" t="str">
        <f ca="1">IFERROR(__xludf.DUMMYFUNCTION("""COMPUTED_VALUE"""),"Cheese, Cantal")</f>
        <v>Cheese, Cantal</v>
      </c>
      <c r="B454" t="str">
        <f ca="1">IFERROR(__xludf.DUMMYFUNCTION("""COMPUTED_VALUE"""),"A.01.001096")</f>
        <v>A.01.001096</v>
      </c>
    </row>
    <row r="455" spans="1:2" ht="12.5" x14ac:dyDescent="0.25">
      <c r="A455" t="str">
        <f ca="1">IFERROR(__xludf.DUMMYFUNCTION("""COMPUTED_VALUE"""),"Cheese, Capra")</f>
        <v>Cheese, Capra</v>
      </c>
      <c r="B455" t="str">
        <f ca="1">IFERROR(__xludf.DUMMYFUNCTION("""COMPUTED_VALUE"""),"A.01.001097")</f>
        <v>A.01.001097</v>
      </c>
    </row>
    <row r="456" spans="1:2" ht="12.5" x14ac:dyDescent="0.25">
      <c r="A456" t="str">
        <f ca="1">IFERROR(__xludf.DUMMYFUNCTION("""COMPUTED_VALUE"""),"Cheese, Carrigaline")</f>
        <v>Cheese, Carrigaline</v>
      </c>
      <c r="B456" t="str">
        <f ca="1">IFERROR(__xludf.DUMMYFUNCTION("""COMPUTED_VALUE"""),"A.01.001098")</f>
        <v>A.01.001098</v>
      </c>
    </row>
    <row r="457" spans="1:2" ht="12.5" x14ac:dyDescent="0.25">
      <c r="A457" t="str">
        <f ca="1">IFERROR(__xludf.DUMMYFUNCTION("""COMPUTED_VALUE"""),"Cheese, Cashel Blue")</f>
        <v>Cheese, Cashel Blue</v>
      </c>
      <c r="B457" t="str">
        <f ca="1">IFERROR(__xludf.DUMMYFUNCTION("""COMPUTED_VALUE"""),"A.01.001099")</f>
        <v>A.01.001099</v>
      </c>
    </row>
    <row r="458" spans="1:2" ht="12.5" x14ac:dyDescent="0.25">
      <c r="A458" t="str">
        <f ca="1">IFERROR(__xludf.DUMMYFUNCTION("""COMPUTED_VALUE"""),"Cheese, Castelmagno")</f>
        <v>Cheese, Castelmagno</v>
      </c>
      <c r="B458" t="str">
        <f ca="1">IFERROR(__xludf.DUMMYFUNCTION("""COMPUTED_VALUE"""),"A.01.001100")</f>
        <v>A.01.001100</v>
      </c>
    </row>
    <row r="459" spans="1:2" ht="12.5" x14ac:dyDescent="0.25">
      <c r="A459" t="str">
        <f ca="1">IFERROR(__xludf.DUMMYFUNCTION("""COMPUTED_VALUE"""),"Cheese, Chaource")</f>
        <v>Cheese, Chaource</v>
      </c>
      <c r="B459" t="str">
        <f ca="1">IFERROR(__xludf.DUMMYFUNCTION("""COMPUTED_VALUE"""),"A.01.001101")</f>
        <v>A.01.001101</v>
      </c>
    </row>
    <row r="460" spans="1:2" ht="12.5" x14ac:dyDescent="0.25">
      <c r="A460" t="str">
        <f ca="1">IFERROR(__xludf.DUMMYFUNCTION("""COMPUTED_VALUE"""),"Cheese, Cheddar")</f>
        <v>Cheese, Cheddar</v>
      </c>
      <c r="B460" t="str">
        <f ca="1">IFERROR(__xludf.DUMMYFUNCTION("""COMPUTED_VALUE"""),"A.01.001102")</f>
        <v>A.01.001102</v>
      </c>
    </row>
    <row r="461" spans="1:2" ht="12.5" x14ac:dyDescent="0.25">
      <c r="A461" t="str">
        <f ca="1">IFERROR(__xludf.DUMMYFUNCTION("""COMPUTED_VALUE"""),"Cheese, Cheshire")</f>
        <v>Cheese, Cheshire</v>
      </c>
      <c r="B461" t="str">
        <f ca="1">IFERROR(__xludf.DUMMYFUNCTION("""COMPUTED_VALUE"""),"A.01.001103")</f>
        <v>A.01.001103</v>
      </c>
    </row>
    <row r="462" spans="1:2" ht="12.5" x14ac:dyDescent="0.25">
      <c r="A462" t="str">
        <f ca="1">IFERROR(__xludf.DUMMYFUNCTION("""COMPUTED_VALUE"""),"Cheese, Chevres")</f>
        <v>Cheese, Chevres</v>
      </c>
      <c r="B462" t="str">
        <f ca="1">IFERROR(__xludf.DUMMYFUNCTION("""COMPUTED_VALUE"""),"A.01.001104")</f>
        <v>A.01.001104</v>
      </c>
    </row>
    <row r="463" spans="1:2" ht="12.5" x14ac:dyDescent="0.25">
      <c r="A463" t="str">
        <f ca="1">IFERROR(__xludf.DUMMYFUNCTION("""COMPUTED_VALUE"""),"Cheese, Chimay")</f>
        <v>Cheese, Chimay</v>
      </c>
      <c r="B463" t="str">
        <f ca="1">IFERROR(__xludf.DUMMYFUNCTION("""COMPUTED_VALUE"""),"A.01.001105")</f>
        <v>A.01.001105</v>
      </c>
    </row>
    <row r="464" spans="1:2" ht="12.5" x14ac:dyDescent="0.25">
      <c r="A464" t="str">
        <f ca="1">IFERROR(__xludf.DUMMYFUNCTION("""COMPUTED_VALUE"""),"Cheese, Clotted Cream")</f>
        <v>Cheese, Clotted Cream</v>
      </c>
      <c r="B464" t="str">
        <f ca="1">IFERROR(__xludf.DUMMYFUNCTION("""COMPUTED_VALUE"""),"A.01.001106")</f>
        <v>A.01.001106</v>
      </c>
    </row>
    <row r="465" spans="1:2" ht="12.5" x14ac:dyDescent="0.25">
      <c r="A465" t="str">
        <f ca="1">IFERROR(__xludf.DUMMYFUNCTION("""COMPUTED_VALUE"""),"Cheese, Comte")</f>
        <v>Cheese, Comte</v>
      </c>
      <c r="B465" t="str">
        <f ca="1">IFERROR(__xludf.DUMMYFUNCTION("""COMPUTED_VALUE"""),"A.01.001107")</f>
        <v>A.01.001107</v>
      </c>
    </row>
    <row r="466" spans="1:2" ht="12.5" x14ac:dyDescent="0.25">
      <c r="A466" t="str">
        <f ca="1">IFERROR(__xludf.DUMMYFUNCTION("""COMPUTED_VALUE"""),"Cheese, Coolea")</f>
        <v>Cheese, Coolea</v>
      </c>
      <c r="B466" t="str">
        <f ca="1">IFERROR(__xludf.DUMMYFUNCTION("""COMPUTED_VALUE"""),"A.01.001108")</f>
        <v>A.01.001108</v>
      </c>
    </row>
    <row r="467" spans="1:2" ht="12.5" x14ac:dyDescent="0.25">
      <c r="A467" t="str">
        <f ca="1">IFERROR(__xludf.DUMMYFUNCTION("""COMPUTED_VALUE"""),"Cheese, Cornish Yarg")</f>
        <v>Cheese, Cornish Yarg</v>
      </c>
      <c r="B467" t="str">
        <f ca="1">IFERROR(__xludf.DUMMYFUNCTION("""COMPUTED_VALUE"""),"A.01.001109")</f>
        <v>A.01.001109</v>
      </c>
    </row>
    <row r="468" spans="1:2" ht="12.5" x14ac:dyDescent="0.25">
      <c r="A468" t="str">
        <f ca="1">IFERROR(__xludf.DUMMYFUNCTION("""COMPUTED_VALUE"""),"Cheese, Coulommiers")</f>
        <v>Cheese, Coulommiers</v>
      </c>
      <c r="B468" t="str">
        <f ca="1">IFERROR(__xludf.DUMMYFUNCTION("""COMPUTED_VALUE"""),"A.01.001110")</f>
        <v>A.01.001110</v>
      </c>
    </row>
    <row r="469" spans="1:2" ht="12.5" x14ac:dyDescent="0.25">
      <c r="A469" t="str">
        <f ca="1">IFERROR(__xludf.DUMMYFUNCTION("""COMPUTED_VALUE"""),"Cheese, Cream Havarti")</f>
        <v>Cheese, Cream Havarti</v>
      </c>
      <c r="B469" t="str">
        <f ca="1">IFERROR(__xludf.DUMMYFUNCTION("""COMPUTED_VALUE"""),"A.01.001111")</f>
        <v>A.01.001111</v>
      </c>
    </row>
    <row r="470" spans="1:2" ht="12.5" x14ac:dyDescent="0.25">
      <c r="A470" t="str">
        <f ca="1">IFERROR(__xludf.DUMMYFUNCTION("""COMPUTED_VALUE"""),"Cheese, Danbo")</f>
        <v>Cheese, Danbo</v>
      </c>
      <c r="B470" t="str">
        <f ca="1">IFERROR(__xludf.DUMMYFUNCTION("""COMPUTED_VALUE"""),"A.01.001112")</f>
        <v>A.01.001112</v>
      </c>
    </row>
    <row r="471" spans="1:2" ht="12.5" x14ac:dyDescent="0.25">
      <c r="A471" t="str">
        <f ca="1">IFERROR(__xludf.DUMMYFUNCTION("""COMPUTED_VALUE"""),"Cheese, Derby")</f>
        <v>Cheese, Derby</v>
      </c>
      <c r="B471" t="str">
        <f ca="1">IFERROR(__xludf.DUMMYFUNCTION("""COMPUTED_VALUE"""),"A.01.001113")</f>
        <v>A.01.001113</v>
      </c>
    </row>
    <row r="472" spans="1:2" ht="12.5" x14ac:dyDescent="0.25">
      <c r="A472" t="str">
        <f ca="1">IFERROR(__xludf.DUMMYFUNCTION("""COMPUTED_VALUE"""),"Cheese, Double Gloucester")</f>
        <v>Cheese, Double Gloucester</v>
      </c>
      <c r="B472" t="str">
        <f ca="1">IFERROR(__xludf.DUMMYFUNCTION("""COMPUTED_VALUE"""),"A.01.001114")</f>
        <v>A.01.001114</v>
      </c>
    </row>
    <row r="473" spans="1:2" ht="12.5" x14ac:dyDescent="0.25">
      <c r="A473" t="str">
        <f ca="1">IFERROR(__xludf.DUMMYFUNCTION("""COMPUTED_VALUE"""),"Cheese, Doux de Montagne")</f>
        <v>Cheese, Doux de Montagne</v>
      </c>
      <c r="B473" t="str">
        <f ca="1">IFERROR(__xludf.DUMMYFUNCTION("""COMPUTED_VALUE"""),"A.01.001115")</f>
        <v>A.01.001115</v>
      </c>
    </row>
    <row r="474" spans="1:2" ht="12.5" x14ac:dyDescent="0.25">
      <c r="A474" t="str">
        <f ca="1">IFERROR(__xludf.DUMMYFUNCTION("""COMPUTED_VALUE"""),"Cheese, Dunbarra")</f>
        <v>Cheese, Dunbarra</v>
      </c>
      <c r="B474" t="str">
        <f ca="1">IFERROR(__xludf.DUMMYFUNCTION("""COMPUTED_VALUE"""),"A.01.001116")</f>
        <v>A.01.001116</v>
      </c>
    </row>
    <row r="475" spans="1:2" ht="12.5" x14ac:dyDescent="0.25">
      <c r="A475" t="str">
        <f ca="1">IFERROR(__xludf.DUMMYFUNCTION("""COMPUTED_VALUE"""),"Cheese, Edam")</f>
        <v>Cheese, Edam</v>
      </c>
      <c r="B475" t="str">
        <f ca="1">IFERROR(__xludf.DUMMYFUNCTION("""COMPUTED_VALUE"""),"A.01.001117")</f>
        <v>A.01.001117</v>
      </c>
    </row>
    <row r="476" spans="1:2" ht="12.5" x14ac:dyDescent="0.25">
      <c r="A476" t="str">
        <f ca="1">IFERROR(__xludf.DUMMYFUNCTION("""COMPUTED_VALUE"""),"Cheese, Emmental")</f>
        <v>Cheese, Emmental</v>
      </c>
      <c r="B476" t="str">
        <f ca="1">IFERROR(__xludf.DUMMYFUNCTION("""COMPUTED_VALUE"""),"A.01.001118")</f>
        <v>A.01.001118</v>
      </c>
    </row>
    <row r="477" spans="1:2" ht="12.5" x14ac:dyDescent="0.25">
      <c r="A477" t="str">
        <f ca="1">IFERROR(__xludf.DUMMYFUNCTION("""COMPUTED_VALUE"""),"Cheese, Epoisses")</f>
        <v>Cheese, Epoisses</v>
      </c>
      <c r="B477" t="str">
        <f ca="1">IFERROR(__xludf.DUMMYFUNCTION("""COMPUTED_VALUE"""),"A.01.001119")</f>
        <v>A.01.001119</v>
      </c>
    </row>
    <row r="478" spans="1:2" ht="12.5" x14ac:dyDescent="0.25">
      <c r="A478" t="str">
        <f ca="1">IFERROR(__xludf.DUMMYFUNCTION("""COMPUTED_VALUE"""),"Cheese, Esrom")</f>
        <v>Cheese, Esrom</v>
      </c>
      <c r="B478" t="str">
        <f ca="1">IFERROR(__xludf.DUMMYFUNCTION("""COMPUTED_VALUE"""),"A.01.001120")</f>
        <v>A.01.001120</v>
      </c>
    </row>
    <row r="479" spans="1:2" ht="12.5" x14ac:dyDescent="0.25">
      <c r="A479" t="str">
        <f ca="1">IFERROR(__xludf.DUMMYFUNCTION("""COMPUTED_VALUE"""),"Cheese, Evora")</f>
        <v>Cheese, Evora</v>
      </c>
      <c r="B479" t="str">
        <f ca="1">IFERROR(__xludf.DUMMYFUNCTION("""COMPUTED_VALUE"""),"A.01.001121")</f>
        <v>A.01.001121</v>
      </c>
    </row>
    <row r="480" spans="1:2" ht="12.5" x14ac:dyDescent="0.25">
      <c r="A480" t="str">
        <f ca="1">IFERROR(__xludf.DUMMYFUNCTION("""COMPUTED_VALUE"""),"Cheese, Feta")</f>
        <v>Cheese, Feta</v>
      </c>
      <c r="B480" t="str">
        <f ca="1">IFERROR(__xludf.DUMMYFUNCTION("""COMPUTED_VALUE"""),"A.01.001122")</f>
        <v>A.01.001122</v>
      </c>
    </row>
    <row r="481" spans="1:2" ht="12.5" x14ac:dyDescent="0.25">
      <c r="A481" t="str">
        <f ca="1">IFERROR(__xludf.DUMMYFUNCTION("""COMPUTED_VALUE"""),"Cheese, Finlandia Swiss")</f>
        <v>Cheese, Finlandia Swiss</v>
      </c>
      <c r="B481" t="str">
        <f ca="1">IFERROR(__xludf.DUMMYFUNCTION("""COMPUTED_VALUE"""),"A.01.001123")</f>
        <v>A.01.001123</v>
      </c>
    </row>
    <row r="482" spans="1:2" ht="12.5" x14ac:dyDescent="0.25">
      <c r="A482" t="str">
        <f ca="1">IFERROR(__xludf.DUMMYFUNCTION("""COMPUTED_VALUE"""),"Cheese, Fiore Sardo")</f>
        <v>Cheese, Fiore Sardo</v>
      </c>
      <c r="B482" t="str">
        <f ca="1">IFERROR(__xludf.DUMMYFUNCTION("""COMPUTED_VALUE"""),"A.01.001124")</f>
        <v>A.01.001124</v>
      </c>
    </row>
    <row r="483" spans="1:2" ht="12.5" x14ac:dyDescent="0.25">
      <c r="A483" t="str">
        <f ca="1">IFERROR(__xludf.DUMMYFUNCTION("""COMPUTED_VALUE"""),"Cheese, Fleur de Maquis")</f>
        <v>Cheese, Fleur de Maquis</v>
      </c>
      <c r="B483" t="str">
        <f ca="1">IFERROR(__xludf.DUMMYFUNCTION("""COMPUTED_VALUE"""),"A.01.001125")</f>
        <v>A.01.001125</v>
      </c>
    </row>
    <row r="484" spans="1:2" ht="12.5" x14ac:dyDescent="0.25">
      <c r="A484" t="str">
        <f ca="1">IFERROR(__xludf.DUMMYFUNCTION("""COMPUTED_VALUE"""),"Cheese, Fontina")</f>
        <v>Cheese, Fontina</v>
      </c>
      <c r="B484" t="str">
        <f ca="1">IFERROR(__xludf.DUMMYFUNCTION("""COMPUTED_VALUE"""),"A.01.001126")</f>
        <v>A.01.001126</v>
      </c>
    </row>
    <row r="485" spans="1:2" ht="12.5" x14ac:dyDescent="0.25">
      <c r="A485" t="str">
        <f ca="1">IFERROR(__xludf.DUMMYFUNCTION("""COMPUTED_VALUE"""),"Cheese, Formai de Mut")</f>
        <v>Cheese, Formai de Mut</v>
      </c>
      <c r="B485" t="str">
        <f ca="1">IFERROR(__xludf.DUMMYFUNCTION("""COMPUTED_VALUE"""),"A.01.001127")</f>
        <v>A.01.001127</v>
      </c>
    </row>
    <row r="486" spans="1:2" ht="12.5" x14ac:dyDescent="0.25">
      <c r="A486" t="str">
        <f ca="1">IFERROR(__xludf.DUMMYFUNCTION("""COMPUTED_VALUE"""),"Cheese, Fourme d'Ambert")</f>
        <v>Cheese, Fourme d'Ambert</v>
      </c>
      <c r="B486" t="str">
        <f ca="1">IFERROR(__xludf.DUMMYFUNCTION("""COMPUTED_VALUE"""),"A.01.001128")</f>
        <v>A.01.001128</v>
      </c>
    </row>
    <row r="487" spans="1:2" ht="12.5" x14ac:dyDescent="0.25">
      <c r="A487" t="str">
        <f ca="1">IFERROR(__xludf.DUMMYFUNCTION("""COMPUTED_VALUE"""),"Cheese, Gamonedo")</f>
        <v>Cheese, Gamonedo</v>
      </c>
      <c r="B487" t="str">
        <f ca="1">IFERROR(__xludf.DUMMYFUNCTION("""COMPUTED_VALUE"""),"A.01.001129")</f>
        <v>A.01.001129</v>
      </c>
    </row>
    <row r="488" spans="1:2" ht="12.5" x14ac:dyDescent="0.25">
      <c r="A488" t="str">
        <f ca="1">IFERROR(__xludf.DUMMYFUNCTION("""COMPUTED_VALUE"""),"Cheese, Garrotxa")</f>
        <v>Cheese, Garrotxa</v>
      </c>
      <c r="B488" t="str">
        <f ca="1">IFERROR(__xludf.DUMMYFUNCTION("""COMPUTED_VALUE"""),"A.01.001130")</f>
        <v>A.01.001130</v>
      </c>
    </row>
    <row r="489" spans="1:2" ht="12.5" x14ac:dyDescent="0.25">
      <c r="A489" t="str">
        <f ca="1">IFERROR(__xludf.DUMMYFUNCTION("""COMPUTED_VALUE"""),"Cheese, Gjetost")</f>
        <v>Cheese, Gjetost</v>
      </c>
      <c r="B489" t="str">
        <f ca="1">IFERROR(__xludf.DUMMYFUNCTION("""COMPUTED_VALUE"""),"A.01.001131")</f>
        <v>A.01.001131</v>
      </c>
    </row>
    <row r="490" spans="1:2" ht="12.5" x14ac:dyDescent="0.25">
      <c r="A490" t="str">
        <f ca="1">IFERROR(__xludf.DUMMYFUNCTION("""COMPUTED_VALUE"""),"Cheese, Gorgonzola")</f>
        <v>Cheese, Gorgonzola</v>
      </c>
      <c r="B490" t="str">
        <f ca="1">IFERROR(__xludf.DUMMYFUNCTION("""COMPUTED_VALUE"""),"A.01.001132")</f>
        <v>A.01.001132</v>
      </c>
    </row>
    <row r="491" spans="1:2" ht="12.5" x14ac:dyDescent="0.25">
      <c r="A491" t="str">
        <f ca="1">IFERROR(__xludf.DUMMYFUNCTION("""COMPUTED_VALUE"""),"Cheese, Gouda")</f>
        <v>Cheese, Gouda</v>
      </c>
      <c r="B491" t="str">
        <f ca="1">IFERROR(__xludf.DUMMYFUNCTION("""COMPUTED_VALUE"""),"A.01.001133")</f>
        <v>A.01.001133</v>
      </c>
    </row>
    <row r="492" spans="1:2" ht="12.5" x14ac:dyDescent="0.25">
      <c r="A492" t="str">
        <f ca="1">IFERROR(__xludf.DUMMYFUNCTION("""COMPUTED_VALUE"""),"Cheese, Graddost")</f>
        <v>Cheese, Graddost</v>
      </c>
      <c r="B492" t="str">
        <f ca="1">IFERROR(__xludf.DUMMYFUNCTION("""COMPUTED_VALUE"""),"A.01.001134")</f>
        <v>A.01.001134</v>
      </c>
    </row>
    <row r="493" spans="1:2" ht="12.5" x14ac:dyDescent="0.25">
      <c r="A493" t="str">
        <f ca="1">IFERROR(__xludf.DUMMYFUNCTION("""COMPUTED_VALUE"""),"Cheese, Grana Padano")</f>
        <v>Cheese, Grana Padano</v>
      </c>
      <c r="B493" t="str">
        <f ca="1">IFERROR(__xludf.DUMMYFUNCTION("""COMPUTED_VALUE"""),"A.01.001135")</f>
        <v>A.01.001135</v>
      </c>
    </row>
    <row r="494" spans="1:2" ht="12.5" x14ac:dyDescent="0.25">
      <c r="A494" t="str">
        <f ca="1">IFERROR(__xludf.DUMMYFUNCTION("""COMPUTED_VALUE"""),"Cheese, Graviera")</f>
        <v>Cheese, Graviera</v>
      </c>
      <c r="B494" t="str">
        <f ca="1">IFERROR(__xludf.DUMMYFUNCTION("""COMPUTED_VALUE"""),"A.01.001136")</f>
        <v>A.01.001136</v>
      </c>
    </row>
    <row r="495" spans="1:2" ht="12.5" x14ac:dyDescent="0.25">
      <c r="A495" t="str">
        <f ca="1">IFERROR(__xludf.DUMMYFUNCTION("""COMPUTED_VALUE"""),"Cheese, Gruyere")</f>
        <v>Cheese, Gruyere</v>
      </c>
      <c r="B495" t="str">
        <f ca="1">IFERROR(__xludf.DUMMYFUNCTION("""COMPUTED_VALUE"""),"A.01.001137")</f>
        <v>A.01.001137</v>
      </c>
    </row>
    <row r="496" spans="1:2" ht="12.5" x14ac:dyDescent="0.25">
      <c r="A496" t="str">
        <f ca="1">IFERROR(__xludf.DUMMYFUNCTION("""COMPUTED_VALUE"""),"Cheese, Gubbeen")</f>
        <v>Cheese, Gubbeen</v>
      </c>
      <c r="B496" t="str">
        <f ca="1">IFERROR(__xludf.DUMMYFUNCTION("""COMPUTED_VALUE"""),"A.01.001138")</f>
        <v>A.01.001138</v>
      </c>
    </row>
    <row r="497" spans="1:2" ht="12.5" x14ac:dyDescent="0.25">
      <c r="A497" t="str">
        <f ca="1">IFERROR(__xludf.DUMMYFUNCTION("""COMPUTED_VALUE"""),"Cheese, Harzer")</f>
        <v>Cheese, Harzer</v>
      </c>
      <c r="B497" t="str">
        <f ca="1">IFERROR(__xludf.DUMMYFUNCTION("""COMPUTED_VALUE"""),"A.01.001139")</f>
        <v>A.01.001139</v>
      </c>
    </row>
    <row r="498" spans="1:2" ht="12.5" x14ac:dyDescent="0.25">
      <c r="A498" t="str">
        <f ca="1">IFERROR(__xludf.DUMMYFUNCTION("""COMPUTED_VALUE"""),"Cheese, Herrgardost")</f>
        <v>Cheese, Herrgardost</v>
      </c>
      <c r="B498" t="str">
        <f ca="1">IFERROR(__xludf.DUMMYFUNCTION("""COMPUTED_VALUE"""),"A.01.001140")</f>
        <v>A.01.001140</v>
      </c>
    </row>
    <row r="499" spans="1:2" ht="12.5" x14ac:dyDescent="0.25">
      <c r="A499" t="str">
        <f ca="1">IFERROR(__xludf.DUMMYFUNCTION("""COMPUTED_VALUE"""),"Cheese, Hoch Ybrig")</f>
        <v>Cheese, Hoch Ybrig</v>
      </c>
      <c r="B499" t="str">
        <f ca="1">IFERROR(__xludf.DUMMYFUNCTION("""COMPUTED_VALUE"""),"A.01.001141")</f>
        <v>A.01.001141</v>
      </c>
    </row>
    <row r="500" spans="1:2" ht="12.5" x14ac:dyDescent="0.25">
      <c r="A500" t="str">
        <f ca="1">IFERROR(__xludf.DUMMYFUNCTION("""COMPUTED_VALUE"""),"Cheese, Hushallsost")</f>
        <v>Cheese, Hushallsost</v>
      </c>
      <c r="B500" t="str">
        <f ca="1">IFERROR(__xludf.DUMMYFUNCTION("""COMPUTED_VALUE"""),"A.01.001142")</f>
        <v>A.01.001142</v>
      </c>
    </row>
    <row r="501" spans="1:2" ht="12.5" x14ac:dyDescent="0.25">
      <c r="A501" t="str">
        <f ca="1">IFERROR(__xludf.DUMMYFUNCTION("""COMPUTED_VALUE"""),"Cheese, Iberico")</f>
        <v>Cheese, Iberico</v>
      </c>
      <c r="B501" t="str">
        <f ca="1">IFERROR(__xludf.DUMMYFUNCTION("""COMPUTED_VALUE"""),"A.01.001143")</f>
        <v>A.01.001143</v>
      </c>
    </row>
    <row r="502" spans="1:2" ht="12.5" x14ac:dyDescent="0.25">
      <c r="A502" t="str">
        <f ca="1">IFERROR(__xludf.DUMMYFUNCTION("""COMPUTED_VALUE"""),"Cheese, Ibores")</f>
        <v>Cheese, Ibores</v>
      </c>
      <c r="B502" t="str">
        <f ca="1">IFERROR(__xludf.DUMMYFUNCTION("""COMPUTED_VALUE"""),"A.01.001144")</f>
        <v>A.01.001144</v>
      </c>
    </row>
    <row r="503" spans="1:2" ht="12.5" x14ac:dyDescent="0.25">
      <c r="A503" t="str">
        <f ca="1">IFERROR(__xludf.DUMMYFUNCTION("""COMPUTED_VALUE"""),"Cheese, Idiazabal")</f>
        <v>Cheese, Idiazabal</v>
      </c>
      <c r="B503" t="str">
        <f ca="1">IFERROR(__xludf.DUMMYFUNCTION("""COMPUTED_VALUE"""),"A.01.001145")</f>
        <v>A.01.001145</v>
      </c>
    </row>
    <row r="504" spans="1:2" ht="12.5" x14ac:dyDescent="0.25">
      <c r="A504" t="str">
        <f ca="1">IFERROR(__xludf.DUMMYFUNCTION("""COMPUTED_VALUE"""),"Cheese, Jarlsberg")</f>
        <v>Cheese, Jarlsberg</v>
      </c>
      <c r="B504" t="str">
        <f ca="1">IFERROR(__xludf.DUMMYFUNCTION("""COMPUTED_VALUE"""),"A.01.001146")</f>
        <v>A.01.001146</v>
      </c>
    </row>
    <row r="505" spans="1:2" ht="12.5" x14ac:dyDescent="0.25">
      <c r="A505" t="str">
        <f ca="1">IFERROR(__xludf.DUMMYFUNCTION("""COMPUTED_VALUE"""),"Cheese, Juustoleipa")</f>
        <v>Cheese, Juustoleipa</v>
      </c>
      <c r="B505" t="str">
        <f ca="1">IFERROR(__xludf.DUMMYFUNCTION("""COMPUTED_VALUE"""),"A.01.001147")</f>
        <v>A.01.001147</v>
      </c>
    </row>
    <row r="506" spans="1:2" ht="12.5" x14ac:dyDescent="0.25">
      <c r="A506" t="str">
        <f ca="1">IFERROR(__xludf.DUMMYFUNCTION("""COMPUTED_VALUE"""),"Cheese, Kasseri")</f>
        <v>Cheese, Kasseri</v>
      </c>
      <c r="B506" t="str">
        <f ca="1">IFERROR(__xludf.DUMMYFUNCTION("""COMPUTED_VALUE"""),"A.01.001148")</f>
        <v>A.01.001148</v>
      </c>
    </row>
    <row r="507" spans="1:2" ht="12.5" x14ac:dyDescent="0.25">
      <c r="A507" t="str">
        <f ca="1">IFERROR(__xludf.DUMMYFUNCTION("""COMPUTED_VALUE"""),"Cheese, Kefalotyri")</f>
        <v>Cheese, Kefalotyri</v>
      </c>
      <c r="B507" t="str">
        <f ca="1">IFERROR(__xludf.DUMMYFUNCTION("""COMPUTED_VALUE"""),"A.01.001149")</f>
        <v>A.01.001149</v>
      </c>
    </row>
    <row r="508" spans="1:2" ht="12.5" x14ac:dyDescent="0.25">
      <c r="A508" t="str">
        <f ca="1">IFERROR(__xludf.DUMMYFUNCTION("""COMPUTED_VALUE"""),"Cheese, Knockalara")</f>
        <v>Cheese, Knockalara</v>
      </c>
      <c r="B508" t="str">
        <f ca="1">IFERROR(__xludf.DUMMYFUNCTION("""COMPUTED_VALUE"""),"A.01.001150")</f>
        <v>A.01.001150</v>
      </c>
    </row>
    <row r="509" spans="1:2" ht="12.5" x14ac:dyDescent="0.25">
      <c r="A509" t="str">
        <f ca="1">IFERROR(__xludf.DUMMYFUNCTION("""COMPUTED_VALUE"""),"Cheese, Kurpianka")</f>
        <v>Cheese, Kurpianka</v>
      </c>
      <c r="B509" t="str">
        <f ca="1">IFERROR(__xludf.DUMMYFUNCTION("""COMPUTED_VALUE"""),"A.01.001151")</f>
        <v>A.01.001151</v>
      </c>
    </row>
    <row r="510" spans="1:2" ht="12.5" x14ac:dyDescent="0.25">
      <c r="A510" t="str">
        <f ca="1">IFERROR(__xludf.DUMMYFUNCTION("""COMPUTED_VALUE"""),"Cheese, Lancashire")</f>
        <v>Cheese, Lancashire</v>
      </c>
      <c r="B510" t="str">
        <f ca="1">IFERROR(__xludf.DUMMYFUNCTION("""COMPUTED_VALUE"""),"A.01.001152")</f>
        <v>A.01.001152</v>
      </c>
    </row>
    <row r="511" spans="1:2" ht="12.5" x14ac:dyDescent="0.25">
      <c r="A511" t="str">
        <f ca="1">IFERROR(__xludf.DUMMYFUNCTION("""COMPUTED_VALUE"""),"Cheese, Langres")</f>
        <v>Cheese, Langres</v>
      </c>
      <c r="B511" t="str">
        <f ca="1">IFERROR(__xludf.DUMMYFUNCTION("""COMPUTED_VALUE"""),"A.01.001153")</f>
        <v>A.01.001153</v>
      </c>
    </row>
    <row r="512" spans="1:2" ht="12.5" x14ac:dyDescent="0.25">
      <c r="A512" t="str">
        <f ca="1">IFERROR(__xludf.DUMMYFUNCTION("""COMPUTED_VALUE"""),"Cheese, Lappi")</f>
        <v>Cheese, Lappi</v>
      </c>
      <c r="B512" t="str">
        <f ca="1">IFERROR(__xludf.DUMMYFUNCTION("""COMPUTED_VALUE"""),"A.01.001154")</f>
        <v>A.01.001154</v>
      </c>
    </row>
    <row r="513" spans="1:2" ht="12.5" x14ac:dyDescent="0.25">
      <c r="A513" t="str">
        <f ca="1">IFERROR(__xludf.DUMMYFUNCTION("""COMPUTED_VALUE"""),"Cheese, Le Marechal")</f>
        <v>Cheese, Le Marechal</v>
      </c>
      <c r="B513" t="str">
        <f ca="1">IFERROR(__xludf.DUMMYFUNCTION("""COMPUTED_VALUE"""),"A.01.001155")</f>
        <v>A.01.001155</v>
      </c>
    </row>
    <row r="514" spans="1:2" ht="12.5" x14ac:dyDescent="0.25">
      <c r="A514" t="str">
        <f ca="1">IFERROR(__xludf.DUMMYFUNCTION("""COMPUTED_VALUE"""),"Cheese, Leicester")</f>
        <v>Cheese, Leicester</v>
      </c>
      <c r="B514" t="str">
        <f ca="1">IFERROR(__xludf.DUMMYFUNCTION("""COMPUTED_VALUE"""),"A.01.001156")</f>
        <v>A.01.001156</v>
      </c>
    </row>
    <row r="515" spans="1:2" ht="12.5" x14ac:dyDescent="0.25">
      <c r="A515" t="str">
        <f ca="1">IFERROR(__xludf.DUMMYFUNCTION("""COMPUTED_VALUE"""),"Cheese, Leyden")</f>
        <v>Cheese, Leyden</v>
      </c>
      <c r="B515" t="str">
        <f ca="1">IFERROR(__xludf.DUMMYFUNCTION("""COMPUTED_VALUE"""),"A.01.001157")</f>
        <v>A.01.001157</v>
      </c>
    </row>
    <row r="516" spans="1:2" ht="12.5" x14ac:dyDescent="0.25">
      <c r="A516" t="str">
        <f ca="1">IFERROR(__xludf.DUMMYFUNCTION("""COMPUTED_VALUE"""),"Cheese, Limburger")</f>
        <v>Cheese, Limburger</v>
      </c>
      <c r="B516" t="str">
        <f ca="1">IFERROR(__xludf.DUMMYFUNCTION("""COMPUTED_VALUE"""),"A.01.001158")</f>
        <v>A.01.001158</v>
      </c>
    </row>
    <row r="517" spans="1:2" ht="12.5" x14ac:dyDescent="0.25">
      <c r="A517" t="str">
        <f ca="1">IFERROR(__xludf.DUMMYFUNCTION("""COMPUTED_VALUE"""),"Cheese, Lincolnshire Poacher")</f>
        <v>Cheese, Lincolnshire Poacher</v>
      </c>
      <c r="B517" t="str">
        <f ca="1">IFERROR(__xludf.DUMMYFUNCTION("""COMPUTED_VALUE"""),"A.01.001159")</f>
        <v>A.01.001159</v>
      </c>
    </row>
    <row r="518" spans="1:2" ht="12.5" x14ac:dyDescent="0.25">
      <c r="A518" t="str">
        <f ca="1">IFERROR(__xludf.DUMMYFUNCTION("""COMPUTED_VALUE"""),"Cheese, Livarot")</f>
        <v>Cheese, Livarot</v>
      </c>
      <c r="B518" t="str">
        <f ca="1">IFERROR(__xludf.DUMMYFUNCTION("""COMPUTED_VALUE"""),"A.01.001160")</f>
        <v>A.01.001160</v>
      </c>
    </row>
    <row r="519" spans="1:2" ht="12.5" x14ac:dyDescent="0.25">
      <c r="A519" t="str">
        <f ca="1">IFERROR(__xludf.DUMMYFUNCTION("""COMPUTED_VALUE"""),"Cheese, Lubelski")</f>
        <v>Cheese, Lubelski</v>
      </c>
      <c r="B519" t="str">
        <f ca="1">IFERROR(__xludf.DUMMYFUNCTION("""COMPUTED_VALUE"""),"A.01.001161")</f>
        <v>A.01.001161</v>
      </c>
    </row>
    <row r="520" spans="1:2" ht="12.5" x14ac:dyDescent="0.25">
      <c r="A520" t="str">
        <f ca="1">IFERROR(__xludf.DUMMYFUNCTION("""COMPUTED_VALUE"""),"Cheese, Maasdam")</f>
        <v>Cheese, Maasdam</v>
      </c>
      <c r="B520" t="str">
        <f ca="1">IFERROR(__xludf.DUMMYFUNCTION("""COMPUTED_VALUE"""),"A.01.001162")</f>
        <v>A.01.001162</v>
      </c>
    </row>
    <row r="521" spans="1:2" ht="12.5" x14ac:dyDescent="0.25">
      <c r="A521" t="str">
        <f ca="1">IFERROR(__xludf.DUMMYFUNCTION("""COMPUTED_VALUE"""),"Cheese, Mahon")</f>
        <v>Cheese, Mahon</v>
      </c>
      <c r="B521" t="str">
        <f ca="1">IFERROR(__xludf.DUMMYFUNCTION("""COMPUTED_VALUE"""),"A.01.001163")</f>
        <v>A.01.001163</v>
      </c>
    </row>
    <row r="522" spans="1:2" ht="12.5" x14ac:dyDescent="0.25">
      <c r="A522" t="str">
        <f ca="1">IFERROR(__xludf.DUMMYFUNCTION("""COMPUTED_VALUE"""),"Cheese, Majorero")</f>
        <v>Cheese, Majorero</v>
      </c>
      <c r="B522" t="str">
        <f ca="1">IFERROR(__xludf.DUMMYFUNCTION("""COMPUTED_VALUE"""),"A.01.001164")</f>
        <v>A.01.001164</v>
      </c>
    </row>
    <row r="523" spans="1:2" ht="12.5" x14ac:dyDescent="0.25">
      <c r="A523" t="str">
        <f ca="1">IFERROR(__xludf.DUMMYFUNCTION("""COMPUTED_VALUE"""),"Cheese, Manchego")</f>
        <v>Cheese, Manchego</v>
      </c>
      <c r="B523" t="str">
        <f ca="1">IFERROR(__xludf.DUMMYFUNCTION("""COMPUTED_VALUE"""),"A.01.001165")</f>
        <v>A.01.001165</v>
      </c>
    </row>
    <row r="524" spans="1:2" ht="12.5" x14ac:dyDescent="0.25">
      <c r="A524" t="str">
        <f ca="1">IFERROR(__xludf.DUMMYFUNCTION("""COMPUTED_VALUE"""),"Cheese, Mascarpone")</f>
        <v>Cheese, Mascarpone</v>
      </c>
      <c r="B524" t="str">
        <f ca="1">IFERROR(__xludf.DUMMYFUNCTION("""COMPUTED_VALUE"""),"A.01.001166")</f>
        <v>A.01.001166</v>
      </c>
    </row>
    <row r="525" spans="1:2" ht="12.5" x14ac:dyDescent="0.25">
      <c r="A525" t="str">
        <f ca="1">IFERROR(__xludf.DUMMYFUNCTION("""COMPUTED_VALUE"""),"Cheese, Mimolette")</f>
        <v>Cheese, Mimolette</v>
      </c>
      <c r="B525" t="str">
        <f ca="1">IFERROR(__xludf.DUMMYFUNCTION("""COMPUTED_VALUE"""),"A.01.001167")</f>
        <v>A.01.001167</v>
      </c>
    </row>
    <row r="526" spans="1:2" ht="12.5" x14ac:dyDescent="0.25">
      <c r="A526" t="str">
        <f ca="1">IFERROR(__xludf.DUMMYFUNCTION("""COMPUTED_VALUE"""),"Cheese, Mizithra")</f>
        <v>Cheese, Mizithra</v>
      </c>
      <c r="B526" t="str">
        <f ca="1">IFERROR(__xludf.DUMMYFUNCTION("""COMPUTED_VALUE"""),"A.01.001168")</f>
        <v>A.01.001168</v>
      </c>
    </row>
    <row r="527" spans="1:2" ht="12.5" x14ac:dyDescent="0.25">
      <c r="A527" t="str">
        <f ca="1">IFERROR(__xludf.DUMMYFUNCTION("""COMPUTED_VALUE"""),"Cheese, Montasio")</f>
        <v>Cheese, Montasio</v>
      </c>
      <c r="B527" t="str">
        <f ca="1">IFERROR(__xludf.DUMMYFUNCTION("""COMPUTED_VALUE"""),"A.01.001169")</f>
        <v>A.01.001169</v>
      </c>
    </row>
    <row r="528" spans="1:2" ht="12.5" x14ac:dyDescent="0.25">
      <c r="A528" t="str">
        <f ca="1">IFERROR(__xludf.DUMMYFUNCTION("""COMPUTED_VALUE"""),"Cheese, Monte Veronese")</f>
        <v>Cheese, Monte Veronese</v>
      </c>
      <c r="B528" t="str">
        <f ca="1">IFERROR(__xludf.DUMMYFUNCTION("""COMPUTED_VALUE"""),"A.01.001170")</f>
        <v>A.01.001170</v>
      </c>
    </row>
    <row r="529" spans="1:2" ht="12.5" x14ac:dyDescent="0.25">
      <c r="A529" t="str">
        <f ca="1">IFERROR(__xludf.DUMMYFUNCTION("""COMPUTED_VALUE"""),"Cheese, Morbier")</f>
        <v>Cheese, Morbier</v>
      </c>
      <c r="B529" t="str">
        <f ca="1">IFERROR(__xludf.DUMMYFUNCTION("""COMPUTED_VALUE"""),"A.01.001171")</f>
        <v>A.01.001171</v>
      </c>
    </row>
    <row r="530" spans="1:2" ht="12.5" x14ac:dyDescent="0.25">
      <c r="A530" t="str">
        <f ca="1">IFERROR(__xludf.DUMMYFUNCTION("""COMPUTED_VALUE"""),"Cheese, Morski")</f>
        <v>Cheese, Morski</v>
      </c>
      <c r="B530" t="str">
        <f ca="1">IFERROR(__xludf.DUMMYFUNCTION("""COMPUTED_VALUE"""),"A.01.001172")</f>
        <v>A.01.001172</v>
      </c>
    </row>
    <row r="531" spans="1:2" ht="12.5" x14ac:dyDescent="0.25">
      <c r="A531" t="str">
        <f ca="1">IFERROR(__xludf.DUMMYFUNCTION("""COMPUTED_VALUE"""),"Cheese, Mozzarella")</f>
        <v>Cheese, Mozzarella</v>
      </c>
      <c r="B531" t="str">
        <f ca="1">IFERROR(__xludf.DUMMYFUNCTION("""COMPUTED_VALUE"""),"A.01.001173")</f>
        <v>A.01.001173</v>
      </c>
    </row>
    <row r="532" spans="1:2" ht="12.5" x14ac:dyDescent="0.25">
      <c r="A532" t="str">
        <f ca="1">IFERROR(__xludf.DUMMYFUNCTION("""COMPUTED_VALUE"""),"Cheese, Munster")</f>
        <v>Cheese, Munster</v>
      </c>
      <c r="B532" t="str">
        <f ca="1">IFERROR(__xludf.DUMMYFUNCTION("""COMPUTED_VALUE"""),"A.01.001174")</f>
        <v>A.01.001174</v>
      </c>
    </row>
    <row r="533" spans="1:2" ht="12.5" x14ac:dyDescent="0.25">
      <c r="A533" t="str">
        <f ca="1">IFERROR(__xludf.DUMMYFUNCTION("""COMPUTED_VALUE"""),"Cheese, Murcia")</f>
        <v>Cheese, Murcia</v>
      </c>
      <c r="B533" t="str">
        <f ca="1">IFERROR(__xludf.DUMMYFUNCTION("""COMPUTED_VALUE"""),"A.01.001175")</f>
        <v>A.01.001175</v>
      </c>
    </row>
    <row r="534" spans="1:2" ht="12.5" x14ac:dyDescent="0.25">
      <c r="A534" t="str">
        <f ca="1">IFERROR(__xludf.DUMMYFUNCTION("""COMPUTED_VALUE"""),"Cheese, Nagelkaas")</f>
        <v>Cheese, Nagelkaas</v>
      </c>
      <c r="B534" t="str">
        <f ca="1">IFERROR(__xludf.DUMMYFUNCTION("""COMPUTED_VALUE"""),"A.01.001176")</f>
        <v>A.01.001176</v>
      </c>
    </row>
    <row r="535" spans="1:2" ht="12.5" x14ac:dyDescent="0.25">
      <c r="A535" t="str">
        <f ca="1">IFERROR(__xludf.DUMMYFUNCTION("""COMPUTED_VALUE"""),"Cheese, Nisa")</f>
        <v>Cheese, Nisa</v>
      </c>
      <c r="B535" t="str">
        <f ca="1">IFERROR(__xludf.DUMMYFUNCTION("""COMPUTED_VALUE"""),"A.01.001177")</f>
        <v>A.01.001177</v>
      </c>
    </row>
    <row r="536" spans="1:2" ht="12.5" x14ac:dyDescent="0.25">
      <c r="A536" t="str">
        <f ca="1">IFERROR(__xludf.DUMMYFUNCTION("""COMPUTED_VALUE"""),"Cheese, Nokkelost")</f>
        <v>Cheese, Nokkelost</v>
      </c>
      <c r="B536" t="str">
        <f ca="1">IFERROR(__xludf.DUMMYFUNCTION("""COMPUTED_VALUE"""),"A.01.001178")</f>
        <v>A.01.001178</v>
      </c>
    </row>
    <row r="537" spans="1:2" ht="12.5" x14ac:dyDescent="0.25">
      <c r="A537" t="str">
        <f ca="1">IFERROR(__xludf.DUMMYFUNCTION("""COMPUTED_VALUE"""),"Cheese, Oltermanni")</f>
        <v>Cheese, Oltermanni</v>
      </c>
      <c r="B537" t="str">
        <f ca="1">IFERROR(__xludf.DUMMYFUNCTION("""COMPUTED_VALUE"""),"A.01.001179")</f>
        <v>A.01.001179</v>
      </c>
    </row>
    <row r="538" spans="1:2" ht="12.5" x14ac:dyDescent="0.25">
      <c r="A538" t="str">
        <f ca="1">IFERROR(__xludf.DUMMYFUNCTION("""COMPUTED_VALUE"""),"Cheese, Orla")</f>
        <v>Cheese, Orla</v>
      </c>
      <c r="B538" t="str">
        <f ca="1">IFERROR(__xludf.DUMMYFUNCTION("""COMPUTED_VALUE"""),"A.01.001180")</f>
        <v>A.01.001180</v>
      </c>
    </row>
    <row r="539" spans="1:2" ht="12.5" x14ac:dyDescent="0.25">
      <c r="A539" t="str">
        <f ca="1">IFERROR(__xludf.DUMMYFUNCTION("""COMPUTED_VALUE"""),"Cheese, Ossau-Iraty")</f>
        <v>Cheese, Ossau-Iraty</v>
      </c>
      <c r="B539" t="str">
        <f ca="1">IFERROR(__xludf.DUMMYFUNCTION("""COMPUTED_VALUE"""),"A.01.001181")</f>
        <v>A.01.001181</v>
      </c>
    </row>
    <row r="540" spans="1:2" ht="12.5" x14ac:dyDescent="0.25">
      <c r="A540" t="str">
        <f ca="1">IFERROR(__xludf.DUMMYFUNCTION("""COMPUTED_VALUE"""),"Cheese, Parmigiano Reggiano")</f>
        <v>Cheese, Parmigiano Reggiano</v>
      </c>
      <c r="B540" t="str">
        <f ca="1">IFERROR(__xludf.DUMMYFUNCTION("""COMPUTED_VALUE"""),"A.01.001182")</f>
        <v>A.01.001182</v>
      </c>
    </row>
    <row r="541" spans="1:2" ht="12.5" x14ac:dyDescent="0.25">
      <c r="A541" t="str">
        <f ca="1">IFERROR(__xludf.DUMMYFUNCTION("""COMPUTED_VALUE"""),"Cheese, Passendale")</f>
        <v>Cheese, Passendale</v>
      </c>
      <c r="B541" t="str">
        <f ca="1">IFERROR(__xludf.DUMMYFUNCTION("""COMPUTED_VALUE"""),"A.01.001183")</f>
        <v>A.01.001183</v>
      </c>
    </row>
    <row r="542" spans="1:2" ht="12.5" x14ac:dyDescent="0.25">
      <c r="A542" t="str">
        <f ca="1">IFERROR(__xludf.DUMMYFUNCTION("""COMPUTED_VALUE"""),"Cheese, Pecorino Romano")</f>
        <v>Cheese, Pecorino Romano</v>
      </c>
      <c r="B542" t="str">
        <f ca="1">IFERROR(__xludf.DUMMYFUNCTION("""COMPUTED_VALUE"""),"A.01.001184")</f>
        <v>A.01.001184</v>
      </c>
    </row>
    <row r="543" spans="1:2" ht="12.5" x14ac:dyDescent="0.25">
      <c r="A543" t="str">
        <f ca="1">IFERROR(__xludf.DUMMYFUNCTION("""COMPUTED_VALUE"""),"Cheese, Pecorino Toscano")</f>
        <v>Cheese, Pecorino Toscano</v>
      </c>
      <c r="B543" t="str">
        <f ca="1">IFERROR(__xludf.DUMMYFUNCTION("""COMPUTED_VALUE"""),"A.01.001185")</f>
        <v>A.01.001185</v>
      </c>
    </row>
    <row r="544" spans="1:2" ht="12.5" x14ac:dyDescent="0.25">
      <c r="A544" t="str">
        <f ca="1">IFERROR(__xludf.DUMMYFUNCTION("""COMPUTED_VALUE"""),"Cheese, Piacentinu")</f>
        <v>Cheese, Piacentinu</v>
      </c>
      <c r="B544" t="str">
        <f ca="1">IFERROR(__xludf.DUMMYFUNCTION("""COMPUTED_VALUE"""),"A.01.001186")</f>
        <v>A.01.001186</v>
      </c>
    </row>
    <row r="545" spans="1:2" ht="12.5" x14ac:dyDescent="0.25">
      <c r="A545" t="str">
        <f ca="1">IFERROR(__xludf.DUMMYFUNCTION("""COMPUTED_VALUE"""),"Cheese, Picon")</f>
        <v>Cheese, Picon</v>
      </c>
      <c r="B545" t="str">
        <f ca="1">IFERROR(__xludf.DUMMYFUNCTION("""COMPUTED_VALUE"""),"A.01.001187")</f>
        <v>A.01.001187</v>
      </c>
    </row>
    <row r="546" spans="1:2" ht="12.5" x14ac:dyDescent="0.25">
      <c r="A546" t="str">
        <f ca="1">IFERROR(__xludf.DUMMYFUNCTION("""COMPUTED_VALUE"""),"Cheese, Podlaski")</f>
        <v>Cheese, Podlaski</v>
      </c>
      <c r="B546" t="str">
        <f ca="1">IFERROR(__xludf.DUMMYFUNCTION("""COMPUTED_VALUE"""),"A.01.001188")</f>
        <v>A.01.001188</v>
      </c>
    </row>
    <row r="547" spans="1:2" ht="12.5" x14ac:dyDescent="0.25">
      <c r="A547" t="str">
        <f ca="1">IFERROR(__xludf.DUMMYFUNCTION("""COMPUTED_VALUE"""),"Cheese, Pont L'Eveque")</f>
        <v>Cheese, Pont L'Eveque</v>
      </c>
      <c r="B547" t="str">
        <f ca="1">IFERROR(__xludf.DUMMYFUNCTION("""COMPUTED_VALUE"""),"A.01.001189")</f>
        <v>A.01.001189</v>
      </c>
    </row>
    <row r="548" spans="1:2" ht="12.5" x14ac:dyDescent="0.25">
      <c r="A548" t="str">
        <f ca="1">IFERROR(__xludf.DUMMYFUNCTION("""COMPUTED_VALUE"""),"Cheese, Pouligny-Saint-Pierre")</f>
        <v>Cheese, Pouligny-Saint-Pierre</v>
      </c>
      <c r="B548" t="str">
        <f ca="1">IFERROR(__xludf.DUMMYFUNCTION("""COMPUTED_VALUE"""),"A.01.001190")</f>
        <v>A.01.001190</v>
      </c>
    </row>
    <row r="549" spans="1:2" ht="12.5" x14ac:dyDescent="0.25">
      <c r="A549" t="str">
        <f ca="1">IFERROR(__xludf.DUMMYFUNCTION("""COMPUTED_VALUE"""),"Cheese, Prastost")</f>
        <v>Cheese, Prastost</v>
      </c>
      <c r="B549" t="str">
        <f ca="1">IFERROR(__xludf.DUMMYFUNCTION("""COMPUTED_VALUE"""),"A.01.001191")</f>
        <v>A.01.001191</v>
      </c>
    </row>
    <row r="550" spans="1:2" ht="12.5" x14ac:dyDescent="0.25">
      <c r="A550" t="str">
        <f ca="1">IFERROR(__xludf.DUMMYFUNCTION("""COMPUTED_VALUE"""),"Cheese, processed cheese, plain")</f>
        <v>Cheese, processed cheese, plain</v>
      </c>
      <c r="B550" t="str">
        <f ca="1">IFERROR(__xludf.DUMMYFUNCTION("""COMPUTED_VALUE"""),"A.01.001064")</f>
        <v>A.01.001064</v>
      </c>
    </row>
    <row r="551" spans="1:2" ht="12.5" x14ac:dyDescent="0.25">
      <c r="A551" t="str">
        <f ca="1">IFERROR(__xludf.DUMMYFUNCTION("""COMPUTED_VALUE"""),"Cheese, processed spreadable")</f>
        <v>Cheese, processed spreadable</v>
      </c>
      <c r="B551" t="str">
        <f ca="1">IFERROR(__xludf.DUMMYFUNCTION("""COMPUTED_VALUE"""),"A.01.001057")</f>
        <v>A.01.001057</v>
      </c>
    </row>
    <row r="552" spans="1:2" ht="12.5" x14ac:dyDescent="0.25">
      <c r="A552" t="str">
        <f ca="1">IFERROR(__xludf.DUMMYFUNCTION("""COMPUTED_VALUE"""),"Cheese, processed, low fat")</f>
        <v>Cheese, processed, low fat</v>
      </c>
      <c r="B552" t="str">
        <f ca="1">IFERROR(__xludf.DUMMYFUNCTION("""COMPUTED_VALUE"""),"A.01.001063")</f>
        <v>A.01.001063</v>
      </c>
    </row>
    <row r="553" spans="1:2" ht="12.5" x14ac:dyDescent="0.25">
      <c r="A553" t="str">
        <f ca="1">IFERROR(__xludf.DUMMYFUNCTION("""COMPUTED_VALUE"""),"Cheese, processed, sliceable")</f>
        <v>Cheese, processed, sliceable</v>
      </c>
      <c r="B553" t="str">
        <f ca="1">IFERROR(__xludf.DUMMYFUNCTION("""COMPUTED_VALUE"""),"A.01.001056")</f>
        <v>A.01.001056</v>
      </c>
    </row>
    <row r="554" spans="1:2" ht="12.5" x14ac:dyDescent="0.25">
      <c r="A554" t="str">
        <f ca="1">IFERROR(__xludf.DUMMYFUNCTION("""COMPUTED_VALUE"""),"Cheese, processed, with condiments")</f>
        <v>Cheese, processed, with condiments</v>
      </c>
      <c r="B554" t="str">
        <f ca="1">IFERROR(__xludf.DUMMYFUNCTION("""COMPUTED_VALUE"""),"A.01.001058")</f>
        <v>A.01.001058</v>
      </c>
    </row>
    <row r="555" spans="1:2" ht="12.5" x14ac:dyDescent="0.25">
      <c r="A555" t="str">
        <f ca="1">IFERROR(__xludf.DUMMYFUNCTION("""COMPUTED_VALUE"""),"Cheese, processed, with ham")</f>
        <v>Cheese, processed, with ham</v>
      </c>
      <c r="B555" t="str">
        <f ca="1">IFERROR(__xludf.DUMMYFUNCTION("""COMPUTED_VALUE"""),"A.01.001059")</f>
        <v>A.01.001059</v>
      </c>
    </row>
    <row r="556" spans="1:2" ht="12.5" x14ac:dyDescent="0.25">
      <c r="A556" t="str">
        <f ca="1">IFERROR(__xludf.DUMMYFUNCTION("""COMPUTED_VALUE"""),"Cheese, processed, with mushrooms")</f>
        <v>Cheese, processed, with mushrooms</v>
      </c>
      <c r="B556" t="str">
        <f ca="1">IFERROR(__xludf.DUMMYFUNCTION("""COMPUTED_VALUE"""),"A.01.001060")</f>
        <v>A.01.001060</v>
      </c>
    </row>
    <row r="557" spans="1:2" ht="12.5" x14ac:dyDescent="0.25">
      <c r="A557" t="str">
        <f ca="1">IFERROR(__xludf.DUMMYFUNCTION("""COMPUTED_VALUE"""),"Cheese, processed, with pepper herbs")</f>
        <v>Cheese, processed, with pepper herbs</v>
      </c>
      <c r="B557" t="str">
        <f ca="1">IFERROR(__xludf.DUMMYFUNCTION("""COMPUTED_VALUE"""),"A.01.001061")</f>
        <v>A.01.001061</v>
      </c>
    </row>
    <row r="558" spans="1:2" ht="12.5" x14ac:dyDescent="0.25">
      <c r="A558" t="str">
        <f ca="1">IFERROR(__xludf.DUMMYFUNCTION("""COMPUTED_VALUE"""),"Cheese, processed, with walnuts")</f>
        <v>Cheese, processed, with walnuts</v>
      </c>
      <c r="B558" t="str">
        <f ca="1">IFERROR(__xludf.DUMMYFUNCTION("""COMPUTED_VALUE"""),"A.01.001062")</f>
        <v>A.01.001062</v>
      </c>
    </row>
    <row r="559" spans="1:2" ht="12.5" x14ac:dyDescent="0.25">
      <c r="A559" t="str">
        <f ca="1">IFERROR(__xludf.DUMMYFUNCTION("""COMPUTED_VALUE"""),"Cheese, Provolone")</f>
        <v>Cheese, Provolone</v>
      </c>
      <c r="B559" t="str">
        <f ca="1">IFERROR(__xludf.DUMMYFUNCTION("""COMPUTED_VALUE"""),"A.01.001192")</f>
        <v>A.01.001192</v>
      </c>
    </row>
    <row r="560" spans="1:2" ht="12.5" x14ac:dyDescent="0.25">
      <c r="A560" t="str">
        <f ca="1">IFERROR(__xludf.DUMMYFUNCTION("""COMPUTED_VALUE"""),"Cheese, Raclette")</f>
        <v>Cheese, Raclette</v>
      </c>
      <c r="B560" t="str">
        <f ca="1">IFERROR(__xludf.DUMMYFUNCTION("""COMPUTED_VALUE"""),"A.01.001193")</f>
        <v>A.01.001193</v>
      </c>
    </row>
    <row r="561" spans="1:2" ht="12.5" x14ac:dyDescent="0.25">
      <c r="A561" t="str">
        <f ca="1">IFERROR(__xludf.DUMMYFUNCTION("""COMPUTED_VALUE"""),"Cheese, Ragusano")</f>
        <v>Cheese, Ragusano</v>
      </c>
      <c r="B561" t="str">
        <f ca="1">IFERROR(__xludf.DUMMYFUNCTION("""COMPUTED_VALUE"""),"A.01.001194")</f>
        <v>A.01.001194</v>
      </c>
    </row>
    <row r="562" spans="1:2" ht="12.5" x14ac:dyDescent="0.25">
      <c r="A562" t="str">
        <f ca="1">IFERROR(__xludf.DUMMYFUNCTION("""COMPUTED_VALUE"""),"Cheese, Raschera")</f>
        <v>Cheese, Raschera</v>
      </c>
      <c r="B562" t="str">
        <f ca="1">IFERROR(__xludf.DUMMYFUNCTION("""COMPUTED_VALUE"""),"A.01.001195")</f>
        <v>A.01.001195</v>
      </c>
    </row>
    <row r="563" spans="1:2" ht="12.5" x14ac:dyDescent="0.25">
      <c r="A563" t="str">
        <f ca="1">IFERROR(__xludf.DUMMYFUNCTION("""COMPUTED_VALUE"""),"Cheese, Reblochon")</f>
        <v>Cheese, Reblochon</v>
      </c>
      <c r="B563" t="str">
        <f ca="1">IFERROR(__xludf.DUMMYFUNCTION("""COMPUTED_VALUE"""),"A.01.001196")</f>
        <v>A.01.001196</v>
      </c>
    </row>
    <row r="564" spans="1:2" ht="12.5" x14ac:dyDescent="0.25">
      <c r="A564" t="str">
        <f ca="1">IFERROR(__xludf.DUMMYFUNCTION("""COMPUTED_VALUE"""),"Cheese, Ricotta")</f>
        <v>Cheese, Ricotta</v>
      </c>
      <c r="B564" t="str">
        <f ca="1">IFERROR(__xludf.DUMMYFUNCTION("""COMPUTED_VALUE"""),"A.01.001197")</f>
        <v>A.01.001197</v>
      </c>
    </row>
    <row r="565" spans="1:2" ht="12.5" x14ac:dyDescent="0.25">
      <c r="A565" t="str">
        <f ca="1">IFERROR(__xludf.DUMMYFUNCTION("""COMPUTED_VALUE"""),"Cheese, Ricotta Salata")</f>
        <v>Cheese, Ricotta Salata</v>
      </c>
      <c r="B565" t="str">
        <f ca="1">IFERROR(__xludf.DUMMYFUNCTION("""COMPUTED_VALUE"""),"A.01.001198")</f>
        <v>A.01.001198</v>
      </c>
    </row>
    <row r="566" spans="1:2" ht="12.5" x14ac:dyDescent="0.25">
      <c r="A566" t="str">
        <f ca="1">IFERROR(__xludf.DUMMYFUNCTION("""COMPUTED_VALUE"""),"Cheese, Robiola")</f>
        <v>Cheese, Robiola</v>
      </c>
      <c r="B566" t="str">
        <f ca="1">IFERROR(__xludf.DUMMYFUNCTION("""COMPUTED_VALUE"""),"A.01.001199")</f>
        <v>A.01.001199</v>
      </c>
    </row>
    <row r="567" spans="1:2" ht="12.5" x14ac:dyDescent="0.25">
      <c r="A567" t="str">
        <f ca="1">IFERROR(__xludf.DUMMYFUNCTION("""COMPUTED_VALUE"""),"Cheese, Roncal")</f>
        <v>Cheese, Roncal</v>
      </c>
      <c r="B567" t="str">
        <f ca="1">IFERROR(__xludf.DUMMYFUNCTION("""COMPUTED_VALUE"""),"A.01.001200")</f>
        <v>A.01.001200</v>
      </c>
    </row>
    <row r="568" spans="1:2" ht="12.5" x14ac:dyDescent="0.25">
      <c r="A568" t="str">
        <f ca="1">IFERROR(__xludf.DUMMYFUNCTION("""COMPUTED_VALUE"""),"Cheese, Roquefort")</f>
        <v>Cheese, Roquefort</v>
      </c>
      <c r="B568" t="str">
        <f ca="1">IFERROR(__xludf.DUMMYFUNCTION("""COMPUTED_VALUE"""),"A.01.001201")</f>
        <v>A.01.001201</v>
      </c>
    </row>
    <row r="569" spans="1:2" ht="12.5" x14ac:dyDescent="0.25">
      <c r="A569" t="str">
        <f ca="1">IFERROR(__xludf.DUMMYFUNCTION("""COMPUTED_VALUE"""),"Cheese, Saga")</f>
        <v>Cheese, Saga</v>
      </c>
      <c r="B569" t="str">
        <f ca="1">IFERROR(__xludf.DUMMYFUNCTION("""COMPUTED_VALUE"""),"A.01.001202")</f>
        <v>A.01.001202</v>
      </c>
    </row>
    <row r="570" spans="1:2" ht="12.5" x14ac:dyDescent="0.25">
      <c r="A570" t="str">
        <f ca="1">IFERROR(__xludf.DUMMYFUNCTION("""COMPUTED_VALUE"""),"Cheese, Saint Marcellin")</f>
        <v>Cheese, Saint Marcellin</v>
      </c>
      <c r="B570" t="str">
        <f ca="1">IFERROR(__xludf.DUMMYFUNCTION("""COMPUTED_VALUE"""),"A.01.001203")</f>
        <v>A.01.001203</v>
      </c>
    </row>
    <row r="571" spans="1:2" ht="12.5" x14ac:dyDescent="0.25">
      <c r="A571" t="str">
        <f ca="1">IFERROR(__xludf.DUMMYFUNCTION("""COMPUTED_VALUE"""),"Cheese, Saint Nectaire")</f>
        <v>Cheese, Saint Nectaire</v>
      </c>
      <c r="B571" t="str">
        <f ca="1">IFERROR(__xludf.DUMMYFUNCTION("""COMPUTED_VALUE"""),"A.01.001204")</f>
        <v>A.01.001204</v>
      </c>
    </row>
    <row r="572" spans="1:2" ht="12.5" x14ac:dyDescent="0.25">
      <c r="A572" t="str">
        <f ca="1">IFERROR(__xludf.DUMMYFUNCTION("""COMPUTED_VALUE"""),"Cheese, Saint Paulin")</f>
        <v>Cheese, Saint Paulin</v>
      </c>
      <c r="B572" t="str">
        <f ca="1">IFERROR(__xludf.DUMMYFUNCTION("""COMPUTED_VALUE"""),"A.01.001205")</f>
        <v>A.01.001205</v>
      </c>
    </row>
    <row r="573" spans="1:2" ht="12.5" x14ac:dyDescent="0.25">
      <c r="A573" t="str">
        <f ca="1">IFERROR(__xludf.DUMMYFUNCTION("""COMPUTED_VALUE"""),"Cheese, Samsoe")</f>
        <v>Cheese, Samsoe</v>
      </c>
      <c r="B573" t="str">
        <f ca="1">IFERROR(__xludf.DUMMYFUNCTION("""COMPUTED_VALUE"""),"A.01.001206")</f>
        <v>A.01.001206</v>
      </c>
    </row>
    <row r="574" spans="1:2" ht="12.5" x14ac:dyDescent="0.25">
      <c r="A574" t="str">
        <f ca="1">IFERROR(__xludf.DUMMYFUNCTION("""COMPUTED_VALUE"""),"Cheese, San Simon")</f>
        <v>Cheese, San Simon</v>
      </c>
      <c r="B574" t="str">
        <f ca="1">IFERROR(__xludf.DUMMYFUNCTION("""COMPUTED_VALUE"""),"A.01.001207")</f>
        <v>A.01.001207</v>
      </c>
    </row>
    <row r="575" spans="1:2" ht="12.5" x14ac:dyDescent="0.25">
      <c r="A575" t="str">
        <f ca="1">IFERROR(__xludf.DUMMYFUNCTION("""COMPUTED_VALUE"""),"Cheese, Sao Jorge")</f>
        <v>Cheese, Sao Jorge</v>
      </c>
      <c r="B575" t="str">
        <f ca="1">IFERROR(__xludf.DUMMYFUNCTION("""COMPUTED_VALUE"""),"A.01.001208")</f>
        <v>A.01.001208</v>
      </c>
    </row>
    <row r="576" spans="1:2" ht="12.5" x14ac:dyDescent="0.25">
      <c r="A576" t="str">
        <f ca="1">IFERROR(__xludf.DUMMYFUNCTION("""COMPUTED_VALUE"""),"Cheese, Sap Sago")</f>
        <v>Cheese, Sap Sago</v>
      </c>
      <c r="B576" t="str">
        <f ca="1">IFERROR(__xludf.DUMMYFUNCTION("""COMPUTED_VALUE"""),"A.01.001209")</f>
        <v>A.01.001209</v>
      </c>
    </row>
    <row r="577" spans="1:2" ht="12.5" x14ac:dyDescent="0.25">
      <c r="A577" t="str">
        <f ca="1">IFERROR(__xludf.DUMMYFUNCTION("""COMPUTED_VALUE"""),"Cheese, Sbrinz")</f>
        <v>Cheese, Sbrinz</v>
      </c>
      <c r="B577" t="str">
        <f ca="1">IFERROR(__xludf.DUMMYFUNCTION("""COMPUTED_VALUE"""),"A.01.001210")</f>
        <v>A.01.001210</v>
      </c>
    </row>
    <row r="578" spans="1:2" ht="12.5" x14ac:dyDescent="0.25">
      <c r="A578" t="str">
        <f ca="1">IFERROR(__xludf.DUMMYFUNCTION("""COMPUTED_VALUE"""),"Cheese, Scamorza")</f>
        <v>Cheese, Scamorza</v>
      </c>
      <c r="B578" t="str">
        <f ca="1">IFERROR(__xludf.DUMMYFUNCTION("""COMPUTED_VALUE"""),"A.01.001211")</f>
        <v>A.01.001211</v>
      </c>
    </row>
    <row r="579" spans="1:2" ht="12.5" x14ac:dyDescent="0.25">
      <c r="A579" t="str">
        <f ca="1">IFERROR(__xludf.DUMMYFUNCTION("""COMPUTED_VALUE"""),"Cheese, Serpa")</f>
        <v>Cheese, Serpa</v>
      </c>
      <c r="B579" t="str">
        <f ca="1">IFERROR(__xludf.DUMMYFUNCTION("""COMPUTED_VALUE"""),"A.01.001212")</f>
        <v>A.01.001212</v>
      </c>
    </row>
    <row r="580" spans="1:2" ht="12.5" x14ac:dyDescent="0.25">
      <c r="A580" t="str">
        <f ca="1">IFERROR(__xludf.DUMMYFUNCTION("""COMPUTED_VALUE"""),"Cheese, Shropshire Blue")</f>
        <v>Cheese, Shropshire Blue</v>
      </c>
      <c r="B580" t="str">
        <f ca="1">IFERROR(__xludf.DUMMYFUNCTION("""COMPUTED_VALUE"""),"A.01.001213")</f>
        <v>A.01.001213</v>
      </c>
    </row>
    <row r="581" spans="1:2" ht="12.5" x14ac:dyDescent="0.25">
      <c r="A581" t="str">
        <f ca="1">IFERROR(__xludf.DUMMYFUNCTION("""COMPUTED_VALUE"""),"Cheese, Smoked Gouda")</f>
        <v>Cheese, Smoked Gouda</v>
      </c>
      <c r="B581" t="str">
        <f ca="1">IFERROR(__xludf.DUMMYFUNCTION("""COMPUTED_VALUE"""),"A.01.001214")</f>
        <v>A.01.001214</v>
      </c>
    </row>
    <row r="582" spans="1:2" ht="12.5" x14ac:dyDescent="0.25">
      <c r="A582" t="str">
        <f ca="1">IFERROR(__xludf.DUMMYFUNCTION("""COMPUTED_VALUE"""),"Cheese, Stilton")</f>
        <v>Cheese, Stilton</v>
      </c>
      <c r="B582" t="str">
        <f ca="1">IFERROR(__xludf.DUMMYFUNCTION("""COMPUTED_VALUE"""),"A.01.001215")</f>
        <v>A.01.001215</v>
      </c>
    </row>
    <row r="583" spans="1:2" ht="12.5" x14ac:dyDescent="0.25">
      <c r="A583" t="str">
        <f ca="1">IFERROR(__xludf.DUMMYFUNCTION("""COMPUTED_VALUE"""),"Cheese, Taleggio")</f>
        <v>Cheese, Taleggio</v>
      </c>
      <c r="B583" t="str">
        <f ca="1">IFERROR(__xludf.DUMMYFUNCTION("""COMPUTED_VALUE"""),"A.01.001216")</f>
        <v>A.01.001216</v>
      </c>
    </row>
    <row r="584" spans="1:2" ht="12.5" x14ac:dyDescent="0.25">
      <c r="A584" t="str">
        <f ca="1">IFERROR(__xludf.DUMMYFUNCTION("""COMPUTED_VALUE"""),"Cheese, Telemea")</f>
        <v>Cheese, Telemea</v>
      </c>
      <c r="B584" t="str">
        <f ca="1">IFERROR(__xludf.DUMMYFUNCTION("""COMPUTED_VALUE"""),"A.01.001217")</f>
        <v>A.01.001217</v>
      </c>
    </row>
    <row r="585" spans="1:2" ht="12.5" x14ac:dyDescent="0.25">
      <c r="A585" t="str">
        <f ca="1">IFERROR(__xludf.DUMMYFUNCTION("""COMPUTED_VALUE"""),"Cheese, Tete de Moine")</f>
        <v>Cheese, Tete de Moine</v>
      </c>
      <c r="B585" t="str">
        <f ca="1">IFERROR(__xludf.DUMMYFUNCTION("""COMPUTED_VALUE"""),"A.01.001218")</f>
        <v>A.01.001218</v>
      </c>
    </row>
    <row r="586" spans="1:2" ht="12.5" x14ac:dyDescent="0.25">
      <c r="A586" t="str">
        <f ca="1">IFERROR(__xludf.DUMMYFUNCTION("""COMPUTED_VALUE"""),"Cheese, Tetilla")</f>
        <v>Cheese, Tetilla</v>
      </c>
      <c r="B586" t="str">
        <f ca="1">IFERROR(__xludf.DUMMYFUNCTION("""COMPUTED_VALUE"""),"A.01.001219")</f>
        <v>A.01.001219</v>
      </c>
    </row>
    <row r="587" spans="1:2" ht="12.5" x14ac:dyDescent="0.25">
      <c r="A587" t="str">
        <f ca="1">IFERROR(__xludf.DUMMYFUNCTION("""COMPUTED_VALUE"""),"Cheese, Tilsit")</f>
        <v>Cheese, Tilsit</v>
      </c>
      <c r="B587" t="str">
        <f ca="1">IFERROR(__xludf.DUMMYFUNCTION("""COMPUTED_VALUE"""),"A.01.001220")</f>
        <v>A.01.001220</v>
      </c>
    </row>
    <row r="588" spans="1:2" ht="12.5" x14ac:dyDescent="0.25">
      <c r="A588" t="str">
        <f ca="1">IFERROR(__xludf.DUMMYFUNCTION("""COMPUTED_VALUE"""),"Cheese, Toma Piedmontese")</f>
        <v>Cheese, Toma Piedmontese</v>
      </c>
      <c r="B588" t="str">
        <f ca="1">IFERROR(__xludf.DUMMYFUNCTION("""COMPUTED_VALUE"""),"A.01.001221")</f>
        <v>A.01.001221</v>
      </c>
    </row>
    <row r="589" spans="1:2" ht="12.5" x14ac:dyDescent="0.25">
      <c r="A589" t="str">
        <f ca="1">IFERROR(__xludf.DUMMYFUNCTION("""COMPUTED_VALUE"""),"Cheese, Tomme de Savoie")</f>
        <v>Cheese, Tomme de Savoie</v>
      </c>
      <c r="B589" t="str">
        <f ca="1">IFERROR(__xludf.DUMMYFUNCTION("""COMPUTED_VALUE"""),"A.01.001222")</f>
        <v>A.01.001222</v>
      </c>
    </row>
    <row r="590" spans="1:2" ht="12.5" x14ac:dyDescent="0.25">
      <c r="A590" t="str">
        <f ca="1">IFERROR(__xludf.DUMMYFUNCTION("""COMPUTED_VALUE"""),"Cheese, Torta del Casar")</f>
        <v>Cheese, Torta del Casar</v>
      </c>
      <c r="B590" t="str">
        <f ca="1">IFERROR(__xludf.DUMMYFUNCTION("""COMPUTED_VALUE"""),"A.01.001223")</f>
        <v>A.01.001223</v>
      </c>
    </row>
    <row r="591" spans="1:2" ht="12.5" x14ac:dyDescent="0.25">
      <c r="A591" t="str">
        <f ca="1">IFERROR(__xludf.DUMMYFUNCTION("""COMPUTED_VALUE"""),"Cheese, Trappist")</f>
        <v>Cheese, Trappist</v>
      </c>
      <c r="B591" t="str">
        <f ca="1">IFERROR(__xludf.DUMMYFUNCTION("""COMPUTED_VALUE"""),"A.01.001224")</f>
        <v>A.01.001224</v>
      </c>
    </row>
    <row r="592" spans="1:2" ht="12.5" x14ac:dyDescent="0.25">
      <c r="A592" t="str">
        <f ca="1">IFERROR(__xludf.DUMMYFUNCTION("""COMPUTED_VALUE"""),"Cheese, Triple Cremes")</f>
        <v>Cheese, Triple Cremes</v>
      </c>
      <c r="B592" t="str">
        <f ca="1">IFERROR(__xludf.DUMMYFUNCTION("""COMPUTED_VALUE"""),"A.01.001225")</f>
        <v>A.01.001225</v>
      </c>
    </row>
    <row r="593" spans="1:2" ht="12.5" x14ac:dyDescent="0.25">
      <c r="A593" t="str">
        <f ca="1">IFERROR(__xludf.DUMMYFUNCTION("""COMPUTED_VALUE"""),"Cheese, Tronchon")</f>
        <v>Cheese, Tronchon</v>
      </c>
      <c r="B593" t="str">
        <f ca="1">IFERROR(__xludf.DUMMYFUNCTION("""COMPUTED_VALUE"""),"A.01.001226")</f>
        <v>A.01.001226</v>
      </c>
    </row>
    <row r="594" spans="1:2" ht="12.5" x14ac:dyDescent="0.25">
      <c r="A594" t="str">
        <f ca="1">IFERROR(__xludf.DUMMYFUNCTION("""COMPUTED_VALUE"""),"Cheese, Turunmaa")</f>
        <v>Cheese, Turunmaa</v>
      </c>
      <c r="B594" t="str">
        <f ca="1">IFERROR(__xludf.DUMMYFUNCTION("""COMPUTED_VALUE"""),"A.01.001227")</f>
        <v>A.01.001227</v>
      </c>
    </row>
    <row r="595" spans="1:2" ht="12.5" x14ac:dyDescent="0.25">
      <c r="A595" t="str">
        <f ca="1">IFERROR(__xludf.DUMMYFUNCTION("""COMPUTED_VALUE"""),"Cheese, Ubriaco")</f>
        <v>Cheese, Ubriaco</v>
      </c>
      <c r="B595" t="str">
        <f ca="1">IFERROR(__xludf.DUMMYFUNCTION("""COMPUTED_VALUE"""),"A.01.001228")</f>
        <v>A.01.001228</v>
      </c>
    </row>
    <row r="596" spans="1:2" ht="12.5" x14ac:dyDescent="0.25">
      <c r="A596" t="str">
        <f ca="1">IFERROR(__xludf.DUMMYFUNCTION("""COMPUTED_VALUE"""),"Cheese, Urda")</f>
        <v>Cheese, Urda</v>
      </c>
      <c r="B596" t="str">
        <f ca="1">IFERROR(__xludf.DUMMYFUNCTION("""COMPUTED_VALUE"""),"A.01.001229")</f>
        <v>A.01.001229</v>
      </c>
    </row>
    <row r="597" spans="1:2" ht="12.5" x14ac:dyDescent="0.25">
      <c r="A597" t="str">
        <f ca="1">IFERROR(__xludf.DUMMYFUNCTION("""COMPUTED_VALUE"""),"Cheese, Vacherin Fribourgeois")</f>
        <v>Cheese, Vacherin Fribourgeois</v>
      </c>
      <c r="B597" t="str">
        <f ca="1">IFERROR(__xludf.DUMMYFUNCTION("""COMPUTED_VALUE"""),"A.01.001230")</f>
        <v>A.01.001230</v>
      </c>
    </row>
    <row r="598" spans="1:2" ht="12.5" x14ac:dyDescent="0.25">
      <c r="A598" t="str">
        <f ca="1">IFERROR(__xludf.DUMMYFUNCTION("""COMPUTED_VALUE"""),"Cheese, Vacherin Mont d'Or")</f>
        <v>Cheese, Vacherin Mont d'Or</v>
      </c>
      <c r="B598" t="str">
        <f ca="1">IFERROR(__xludf.DUMMYFUNCTION("""COMPUTED_VALUE"""),"A.01.001231")</f>
        <v>A.01.001231</v>
      </c>
    </row>
    <row r="599" spans="1:2" ht="12.5" x14ac:dyDescent="0.25">
      <c r="A599" t="str">
        <f ca="1">IFERROR(__xludf.DUMMYFUNCTION("""COMPUTED_VALUE"""),"Cheese, Valdeon")</f>
        <v>Cheese, Valdeon</v>
      </c>
      <c r="B599" t="str">
        <f ca="1">IFERROR(__xludf.DUMMYFUNCTION("""COMPUTED_VALUE"""),"A.01.001232")</f>
        <v>A.01.001232</v>
      </c>
    </row>
    <row r="600" spans="1:2" ht="12.5" x14ac:dyDescent="0.25">
      <c r="A600" t="str">
        <f ca="1">IFERROR(__xludf.DUMMYFUNCTION("""COMPUTED_VALUE"""),"Cheese, Van Dijk")</f>
        <v>Cheese, Van Dijk</v>
      </c>
      <c r="B600" t="str">
        <f ca="1">IFERROR(__xludf.DUMMYFUNCTION("""COMPUTED_VALUE"""),"A.01.001233")</f>
        <v>A.01.001233</v>
      </c>
    </row>
    <row r="601" spans="1:2" ht="12.5" x14ac:dyDescent="0.25">
      <c r="A601" t="str">
        <f ca="1">IFERROR(__xludf.DUMMYFUNCTION("""COMPUTED_VALUE"""),"Cheese, Vasterbotten")</f>
        <v>Cheese, Vasterbotten</v>
      </c>
      <c r="B601" t="str">
        <f ca="1">IFERROR(__xludf.DUMMYFUNCTION("""COMPUTED_VALUE"""),"A.01.001234")</f>
        <v>A.01.001234</v>
      </c>
    </row>
    <row r="602" spans="1:2" ht="12.5" x14ac:dyDescent="0.25">
      <c r="A602" t="str">
        <f ca="1">IFERROR(__xludf.DUMMYFUNCTION("""COMPUTED_VALUE"""),"Cheese, Vignerons")</f>
        <v>Cheese, Vignerons</v>
      </c>
      <c r="B602" t="str">
        <f ca="1">IFERROR(__xludf.DUMMYFUNCTION("""COMPUTED_VALUE"""),"A.01.001235")</f>
        <v>A.01.001235</v>
      </c>
    </row>
    <row r="603" spans="1:2" ht="12.5" x14ac:dyDescent="0.25">
      <c r="A603" t="str">
        <f ca="1">IFERROR(__xludf.DUMMYFUNCTION("""COMPUTED_VALUE"""),"Cheese, Wensleydale")</f>
        <v>Cheese, Wensleydale</v>
      </c>
      <c r="B603" t="str">
        <f ca="1">IFERROR(__xludf.DUMMYFUNCTION("""COMPUTED_VALUE"""),"A.01.001236")</f>
        <v>A.01.001236</v>
      </c>
    </row>
    <row r="604" spans="1:2" ht="12.5" x14ac:dyDescent="0.25">
      <c r="A604" t="str">
        <f ca="1">IFERROR(__xludf.DUMMYFUNCTION("""COMPUTED_VALUE"""),"Cheese, White Stilton")</f>
        <v>Cheese, White Stilton</v>
      </c>
      <c r="B604" t="str">
        <f ca="1">IFERROR(__xludf.DUMMYFUNCTION("""COMPUTED_VALUE"""),"A.01.001237")</f>
        <v>A.01.001237</v>
      </c>
    </row>
    <row r="605" spans="1:2" ht="12.5" x14ac:dyDescent="0.25">
      <c r="A605" t="str">
        <f ca="1">IFERROR(__xludf.DUMMYFUNCTION("""COMPUTED_VALUE"""),"Cheese, Wynendale")</f>
        <v>Cheese, Wynendale</v>
      </c>
      <c r="B605" t="str">
        <f ca="1">IFERROR(__xludf.DUMMYFUNCTION("""COMPUTED_VALUE"""),"A.01.001238")</f>
        <v>A.01.001238</v>
      </c>
    </row>
    <row r="606" spans="1:2" ht="12.5" x14ac:dyDescent="0.25">
      <c r="A606" t="str">
        <f ca="1">IFERROR(__xludf.DUMMYFUNCTION("""COMPUTED_VALUE"""),"Cheese, Zamorano")</f>
        <v>Cheese, Zamorano</v>
      </c>
      <c r="B606" t="str">
        <f ca="1">IFERROR(__xludf.DUMMYFUNCTION("""COMPUTED_VALUE"""),"A.01.001239")</f>
        <v>A.01.001239</v>
      </c>
    </row>
    <row r="607" spans="1:2" ht="12.5" x14ac:dyDescent="0.25">
      <c r="A607" t="str">
        <f ca="1">IFERROR(__xludf.DUMMYFUNCTION("""COMPUTED_VALUE"""),"Cherimoya (Annona cherimola)")</f>
        <v>Cherimoya (Annona cherimola)</v>
      </c>
      <c r="B607" t="str">
        <f ca="1">IFERROR(__xludf.DUMMYFUNCTION("""COMPUTED_VALUE"""),"A.01.000630")</f>
        <v>A.01.000630</v>
      </c>
    </row>
    <row r="608" spans="1:2" ht="12.5" x14ac:dyDescent="0.25">
      <c r="A608" t="str">
        <f ca="1">IFERROR(__xludf.DUMMYFUNCTION("""COMPUTED_VALUE"""),"Chervil, herb (Anthriscus cerefolium)")</f>
        <v>Chervil, herb (Anthriscus cerefolium)</v>
      </c>
      <c r="B608" t="str">
        <f ca="1">IFERROR(__xludf.DUMMYFUNCTION("""COMPUTED_VALUE"""),"A.01.001582")</f>
        <v>A.01.001582</v>
      </c>
    </row>
    <row r="609" spans="1:2" ht="12.5" x14ac:dyDescent="0.25">
      <c r="A609" t="str">
        <f ca="1">IFERROR(__xludf.DUMMYFUNCTION("""COMPUTED_VALUE"""),"Chestnut purée (Castanea vulgaris)")</f>
        <v>Chestnut purée (Castanea vulgaris)</v>
      </c>
      <c r="B609" t="str">
        <f ca="1">IFERROR(__xludf.DUMMYFUNCTION("""COMPUTED_VALUE"""),"A.01.000450")</f>
        <v>A.01.000450</v>
      </c>
    </row>
    <row r="610" spans="1:2" ht="12.5" x14ac:dyDescent="0.25">
      <c r="A610" t="str">
        <f ca="1">IFERROR(__xludf.DUMMYFUNCTION("""COMPUTED_VALUE"""),"Chestnuts (Castanea sativa)")</f>
        <v>Chestnuts (Castanea sativa)</v>
      </c>
      <c r="B610" t="str">
        <f ca="1">IFERROR(__xludf.DUMMYFUNCTION("""COMPUTED_VALUE"""),"A.01.000518")</f>
        <v>A.01.000518</v>
      </c>
    </row>
    <row r="611" spans="1:2" ht="12.5" x14ac:dyDescent="0.25">
      <c r="A611" t="str">
        <f ca="1">IFERROR(__xludf.DUMMYFUNCTION("""COMPUTED_VALUE"""),"Chewing gum with added sugar")</f>
        <v>Chewing gum with added sugar</v>
      </c>
      <c r="B611" t="str">
        <f ca="1">IFERROR(__xludf.DUMMYFUNCTION("""COMPUTED_VALUE"""),"A.01.001326")</f>
        <v>A.01.001326</v>
      </c>
    </row>
    <row r="612" spans="1:2" ht="12.5" x14ac:dyDescent="0.25">
      <c r="A612" t="str">
        <f ca="1">IFERROR(__xludf.DUMMYFUNCTION("""COMPUTED_VALUE"""),"Chewing gum without added sugar")</f>
        <v>Chewing gum without added sugar</v>
      </c>
      <c r="B612" t="str">
        <f ca="1">IFERROR(__xludf.DUMMYFUNCTION("""COMPUTED_VALUE"""),"A.01.001327")</f>
        <v>A.01.001327</v>
      </c>
    </row>
    <row r="613" spans="1:2" ht="12.5" x14ac:dyDescent="0.25">
      <c r="A613" t="str">
        <f ca="1">IFERROR(__xludf.DUMMYFUNCTION("""COMPUTED_VALUE"""),"Chick pea (Cicer arietinum)")</f>
        <v>Chick pea (Cicer arietinum)</v>
      </c>
      <c r="B613" t="str">
        <f ca="1">IFERROR(__xludf.DUMMYFUNCTION("""COMPUTED_VALUE"""),"A.01.000496")</f>
        <v>A.01.000496</v>
      </c>
    </row>
    <row r="614" spans="1:2" ht="12.5" x14ac:dyDescent="0.25">
      <c r="A614" t="str">
        <f ca="1">IFERROR(__xludf.DUMMYFUNCTION("""COMPUTED_VALUE"""),"Chick pea flour")</f>
        <v>Chick pea flour</v>
      </c>
      <c r="B614" t="str">
        <f ca="1">IFERROR(__xludf.DUMMYFUNCTION("""COMPUTED_VALUE"""),"A.01.000497")</f>
        <v>A.01.000497</v>
      </c>
    </row>
    <row r="615" spans="1:2" ht="12.5" x14ac:dyDescent="0.25">
      <c r="A615" t="str">
        <f ca="1">IFERROR(__xludf.DUMMYFUNCTION("""COMPUTED_VALUE"""),"Chick peas")</f>
        <v>Chick peas</v>
      </c>
      <c r="B615" t="str">
        <f ca="1">IFERROR(__xludf.DUMMYFUNCTION("""COMPUTED_VALUE"""),"F03.01")</f>
        <v>F03.01</v>
      </c>
    </row>
    <row r="616" spans="1:2" ht="12.5" x14ac:dyDescent="0.25">
      <c r="A616" t="str">
        <f ca="1">IFERROR(__xludf.DUMMYFUNCTION("""COMPUTED_VALUE"""),"Chick peas")</f>
        <v>Chick peas</v>
      </c>
      <c r="B616" t="str">
        <f ca="1">IFERROR(__xludf.DUMMYFUNCTION("""COMPUTED_VALUE"""),"G.3.3")</f>
        <v>G.3.3</v>
      </c>
    </row>
    <row r="617" spans="1:2" ht="12.5" x14ac:dyDescent="0.25">
      <c r="A617" t="str">
        <f ca="1">IFERROR(__xludf.DUMMYFUNCTION("""COMPUTED_VALUE"""),"Chickasaw plum (Prunus angustifolia)")</f>
        <v>Chickasaw plum (Prunus angustifolia)</v>
      </c>
      <c r="B617" t="str">
        <f ca="1">IFERROR(__xludf.DUMMYFUNCTION("""COMPUTED_VALUE"""),"A.01.000570")</f>
        <v>A.01.000570</v>
      </c>
    </row>
    <row r="618" spans="1:2" ht="12.5" x14ac:dyDescent="0.25">
      <c r="A618" t="str">
        <f ca="1">IFERROR(__xludf.DUMMYFUNCTION("""COMPUTED_VALUE"""),"Chicken fat")</f>
        <v>Chicken fat</v>
      </c>
      <c r="B618" t="str">
        <f ca="1">IFERROR(__xludf.DUMMYFUNCTION("""COMPUTED_VALUE"""),"A.01.001352")</f>
        <v>A.01.001352</v>
      </c>
    </row>
    <row r="619" spans="1:2" ht="12.5" x14ac:dyDescent="0.25">
      <c r="A619" t="str">
        <f ca="1">IFERROR(__xludf.DUMMYFUNCTION("""COMPUTED_VALUE"""),"Chicken liver")</f>
        <v>Chicken liver</v>
      </c>
      <c r="B619" t="str">
        <f ca="1">IFERROR(__xludf.DUMMYFUNCTION("""COMPUTED_VALUE"""),"A.01.000771")</f>
        <v>A.01.000771</v>
      </c>
    </row>
    <row r="620" spans="1:2" ht="12.5" x14ac:dyDescent="0.25">
      <c r="A620" t="str">
        <f ca="1">IFERROR(__xludf.DUMMYFUNCTION("""COMPUTED_VALUE"""),"Chicken meat (Gallus domesticus)")</f>
        <v>Chicken meat (Gallus domesticus)</v>
      </c>
      <c r="B620" t="str">
        <f ca="1">IFERROR(__xludf.DUMMYFUNCTION("""COMPUTED_VALUE"""),"A.01.000737")</f>
        <v>A.01.000737</v>
      </c>
    </row>
    <row r="621" spans="1:2" ht="12.5" x14ac:dyDescent="0.25">
      <c r="A621" t="str">
        <f ca="1">IFERROR(__xludf.DUMMYFUNCTION("""COMPUTED_VALUE"""),"Chickling vetch")</f>
        <v>Chickling vetch</v>
      </c>
      <c r="B621" t="str">
        <f ca="1">IFERROR(__xludf.DUMMYFUNCTION("""COMPUTED_VALUE"""),"F03.04")</f>
        <v>F03.04</v>
      </c>
    </row>
    <row r="622" spans="1:2" ht="12.5" x14ac:dyDescent="0.25">
      <c r="A622" t="str">
        <f ca="1">IFERROR(__xludf.DUMMYFUNCTION("""COMPUTED_VALUE"""),"Chickling vetch")</f>
        <v>Chickling vetch</v>
      </c>
      <c r="B622" t="str">
        <f ca="1">IFERROR(__xludf.DUMMYFUNCTION("""COMPUTED_VALUE"""),"G.3.13")</f>
        <v>G.3.13</v>
      </c>
    </row>
    <row r="623" spans="1:2" ht="12.5" x14ac:dyDescent="0.25">
      <c r="A623" t="str">
        <f ca="1">IFERROR(__xludf.DUMMYFUNCTION("""COMPUTED_VALUE"""),"Chicory coffee")</f>
        <v>Chicory coffee</v>
      </c>
      <c r="B623" t="str">
        <f ca="1">IFERROR(__xludf.DUMMYFUNCTION("""COMPUTED_VALUE"""),"A.01.000433")</f>
        <v>A.01.000433</v>
      </c>
    </row>
    <row r="624" spans="1:2" ht="12.5" x14ac:dyDescent="0.25">
      <c r="A624" t="str">
        <f ca="1">IFERROR(__xludf.DUMMYFUNCTION("""COMPUTED_VALUE"""),"Chicory inulin")</f>
        <v>Chicory inulin</v>
      </c>
      <c r="B624" t="str">
        <f ca="1">IFERROR(__xludf.DUMMYFUNCTION("""COMPUTED_VALUE"""),"G.4.4.9")</f>
        <v>G.4.4.9</v>
      </c>
    </row>
    <row r="625" spans="1:2" ht="12.5" x14ac:dyDescent="0.25">
      <c r="A625" t="str">
        <f ca="1">IFERROR(__xludf.DUMMYFUNCTION("""COMPUTED_VALUE"""),"Chicory molasses")</f>
        <v>Chicory molasses</v>
      </c>
      <c r="B625" t="str">
        <f ca="1">IFERROR(__xludf.DUMMYFUNCTION("""COMPUTED_VALUE"""),"G.4.4.7")</f>
        <v>G.4.4.7</v>
      </c>
    </row>
    <row r="626" spans="1:2" ht="12.5" x14ac:dyDescent="0.25">
      <c r="A626" t="str">
        <f ca="1">IFERROR(__xludf.DUMMYFUNCTION("""COMPUTED_VALUE"""),"Chicory roots")</f>
        <v>Chicory roots</v>
      </c>
      <c r="B626" t="str">
        <f ca="1">IFERROR(__xludf.DUMMYFUNCTION("""COMPUTED_VALUE"""),"G.4.4")</f>
        <v>G.4.4</v>
      </c>
    </row>
    <row r="627" spans="1:2" ht="12.5" x14ac:dyDescent="0.25">
      <c r="A627" t="str">
        <f ca="1">IFERROR(__xludf.DUMMYFUNCTION("""COMPUTED_VALUE"""),"Chicory roots (Cichorium intybus)")</f>
        <v>Chicory roots (Cichorium intybus)</v>
      </c>
      <c r="B627" t="str">
        <f ca="1">IFERROR(__xludf.DUMMYFUNCTION("""COMPUTED_VALUE"""),"A.01.000398")</f>
        <v>A.01.000398</v>
      </c>
    </row>
    <row r="628" spans="1:2" ht="12.5" x14ac:dyDescent="0.25">
      <c r="A628" t="str">
        <f ca="1">IFERROR(__xludf.DUMMYFUNCTION("""COMPUTED_VALUE"""),"Chicory roots powder")</f>
        <v>Chicory roots powder</v>
      </c>
      <c r="B628" t="str">
        <f ca="1">IFERROR(__xludf.DUMMYFUNCTION("""COMPUTED_VALUE"""),"G.4.4.6")</f>
        <v>G.4.4.6</v>
      </c>
    </row>
    <row r="629" spans="1:2" ht="12.5" x14ac:dyDescent="0.25">
      <c r="A629" t="str">
        <f ca="1">IFERROR(__xludf.DUMMYFUNCTION("""COMPUTED_VALUE"""),"Chicory seed")</f>
        <v>Chicory seed</v>
      </c>
      <c r="B629" t="str">
        <f ca="1">IFERROR(__xludf.DUMMYFUNCTION("""COMPUTED_VALUE"""),"G.4.4.3")</f>
        <v>G.4.4.3</v>
      </c>
    </row>
    <row r="630" spans="1:2" ht="12.5" x14ac:dyDescent="0.25">
      <c r="A630" t="str">
        <f ca="1">IFERROR(__xludf.DUMMYFUNCTION("""COMPUTED_VALUE"""),"Chicory tops and tails")</f>
        <v>Chicory tops and tails</v>
      </c>
      <c r="B630" t="str">
        <f ca="1">IFERROR(__xludf.DUMMYFUNCTION("""COMPUTED_VALUE"""),"G.4.4.2")</f>
        <v>G.4.4.2</v>
      </c>
    </row>
    <row r="631" spans="1:2" ht="12.5" x14ac:dyDescent="0.25">
      <c r="A631" t="str">
        <f ca="1">IFERROR(__xludf.DUMMYFUNCTION("""COMPUTED_VALUE"""),"Chicory vinasses")</f>
        <v>Chicory vinasses</v>
      </c>
      <c r="B631" t="str">
        <f ca="1">IFERROR(__xludf.DUMMYFUNCTION("""COMPUTED_VALUE"""),"G.4.4.8")</f>
        <v>G.4.4.8</v>
      </c>
    </row>
    <row r="632" spans="1:2" ht="12.5" x14ac:dyDescent="0.25">
      <c r="A632" t="str">
        <f ca="1">IFERROR(__xludf.DUMMYFUNCTION("""COMPUTED_VALUE"""),"Chilli pepper (Capsicum frutescens)")</f>
        <v>Chilli pepper (Capsicum frutescens)</v>
      </c>
      <c r="B632" t="str">
        <f ca="1">IFERROR(__xludf.DUMMYFUNCTION("""COMPUTED_VALUE"""),"A.01.000340")</f>
        <v>A.01.000340</v>
      </c>
    </row>
    <row r="633" spans="1:2" ht="12.5" x14ac:dyDescent="0.25">
      <c r="A633" t="str">
        <f ca="1">IFERROR(__xludf.DUMMYFUNCTION("""COMPUTED_VALUE"""),"Chilli pickle")</f>
        <v>Chilli pickle</v>
      </c>
      <c r="B633" t="str">
        <f ca="1">IFERROR(__xludf.DUMMYFUNCTION("""COMPUTED_VALUE"""),"A.01.001679")</f>
        <v>A.01.001679</v>
      </c>
    </row>
    <row r="634" spans="1:2" ht="12.5" x14ac:dyDescent="0.25">
      <c r="A634" t="str">
        <f ca="1">IFERROR(__xludf.DUMMYFUNCTION("""COMPUTED_VALUE"""),"Chilli powder")</f>
        <v>Chilli powder</v>
      </c>
      <c r="B634" t="str">
        <f ca="1">IFERROR(__xludf.DUMMYFUNCTION("""COMPUTED_VALUE"""),"A.01.001595")</f>
        <v>A.01.001595</v>
      </c>
    </row>
    <row r="635" spans="1:2" ht="12.5" x14ac:dyDescent="0.25">
      <c r="A635" t="str">
        <f ca="1">IFERROR(__xludf.DUMMYFUNCTION("""COMPUTED_VALUE"""),"Chinese cabbage (Brassica pekinensis)")</f>
        <v>Chinese cabbage (Brassica pekinensis)</v>
      </c>
      <c r="B635" t="str">
        <f ca="1">IFERROR(__xludf.DUMMYFUNCTION("""COMPUTED_VALUE"""),"A.01.000355")</f>
        <v>A.01.000355</v>
      </c>
    </row>
    <row r="636" spans="1:2" ht="12.5" x14ac:dyDescent="0.25">
      <c r="A636" t="str">
        <f ca="1">IFERROR(__xludf.DUMMYFUNCTION("""COMPUTED_VALUE"""),"Chives, bulb (Allium schoenoprasum)")</f>
        <v>Chives, bulb (Allium schoenoprasum)</v>
      </c>
      <c r="B636" t="str">
        <f ca="1">IFERROR(__xludf.DUMMYFUNCTION("""COMPUTED_VALUE"""),"A.01.000336")</f>
        <v>A.01.000336</v>
      </c>
    </row>
    <row r="637" spans="1:2" ht="12.5" x14ac:dyDescent="0.25">
      <c r="A637" t="str">
        <f ca="1">IFERROR(__xludf.DUMMYFUNCTION("""COMPUTED_VALUE"""),"Chives, herb (Allium schoenoprasum)")</f>
        <v>Chives, herb (Allium schoenoprasum)</v>
      </c>
      <c r="B637" t="str">
        <f ca="1">IFERROR(__xludf.DUMMYFUNCTION("""COMPUTED_VALUE"""),"A.01.001583")</f>
        <v>A.01.001583</v>
      </c>
    </row>
    <row r="638" spans="1:2" ht="12.5" x14ac:dyDescent="0.25">
      <c r="A638" t="str">
        <f ca="1">IFERROR(__xludf.DUMMYFUNCTION("""COMPUTED_VALUE"""),"Chocolate (Cocoa) products")</f>
        <v>Chocolate (Cocoa) products</v>
      </c>
      <c r="B638" t="str">
        <f ca="1">IFERROR(__xludf.DUMMYFUNCTION("""COMPUTED_VALUE"""),"A.01.001295")</f>
        <v>A.01.001295</v>
      </c>
    </row>
    <row r="639" spans="1:2" ht="12.5" x14ac:dyDescent="0.25">
      <c r="A639" t="str">
        <f ca="1">IFERROR(__xludf.DUMMYFUNCTION("""COMPUTED_VALUE"""),"Chocolate and chocolate based products")</f>
        <v>Chocolate and chocolate based products</v>
      </c>
      <c r="B639" t="str">
        <f ca="1">IFERROR(__xludf.DUMMYFUNCTION("""COMPUTED_VALUE"""),"C02_1")</f>
        <v>C02_1</v>
      </c>
    </row>
    <row r="640" spans="1:2" ht="12.5" x14ac:dyDescent="0.25">
      <c r="A640" t="str">
        <f ca="1">IFERROR(__xludf.DUMMYFUNCTION("""COMPUTED_VALUE"""),"Chocolate and chocolate products for diabetics")</f>
        <v>Chocolate and chocolate products for diabetics</v>
      </c>
      <c r="B640" t="str">
        <f ca="1">IFERROR(__xludf.DUMMYFUNCTION("""COMPUTED_VALUE"""),"A.01.001774")</f>
        <v>A.01.001774</v>
      </c>
    </row>
    <row r="641" spans="1:2" ht="12.5" x14ac:dyDescent="0.25">
      <c r="A641" t="str">
        <f ca="1">IFERROR(__xludf.DUMMYFUNCTION("""COMPUTED_VALUE"""),"Chocolate and fruit-flavoured milk")</f>
        <v>Chocolate and fruit-flavoured milk</v>
      </c>
      <c r="B641" t="str">
        <f ca="1">IFERROR(__xludf.DUMMYFUNCTION("""COMPUTED_VALUE"""),"A.01.000966")</f>
        <v>A.01.000966</v>
      </c>
    </row>
    <row r="642" spans="1:2" ht="12.5" x14ac:dyDescent="0.25">
      <c r="A642" t="str">
        <f ca="1">IFERROR(__xludf.DUMMYFUNCTION("""COMPUTED_VALUE"""),"Chocolate bar")</f>
        <v>Chocolate bar</v>
      </c>
      <c r="B642" t="str">
        <f ca="1">IFERROR(__xludf.DUMMYFUNCTION("""COMPUTED_VALUE"""),"A.01.001298")</f>
        <v>A.01.001298</v>
      </c>
    </row>
    <row r="643" spans="1:2" ht="12.5" x14ac:dyDescent="0.25">
      <c r="A643" t="str">
        <f ca="1">IFERROR(__xludf.DUMMYFUNCTION("""COMPUTED_VALUE"""),"Chocolate cake")</f>
        <v>Chocolate cake</v>
      </c>
      <c r="B643" t="str">
        <f ca="1">IFERROR(__xludf.DUMMYFUNCTION("""COMPUTED_VALUE"""),"A.01.000259")</f>
        <v>A.01.000259</v>
      </c>
    </row>
    <row r="644" spans="1:2" ht="12.5" x14ac:dyDescent="0.25">
      <c r="A644" t="str">
        <f ca="1">IFERROR(__xludf.DUMMYFUNCTION("""COMPUTED_VALUE"""),"Chocolate cake with fruits")</f>
        <v>Chocolate cake with fruits</v>
      </c>
      <c r="B644" t="str">
        <f ca="1">IFERROR(__xludf.DUMMYFUNCTION("""COMPUTED_VALUE"""),"A.01.000260")</f>
        <v>A.01.000260</v>
      </c>
    </row>
    <row r="645" spans="1:2" ht="12.5" x14ac:dyDescent="0.25">
      <c r="A645" t="str">
        <f ca="1">IFERROR(__xludf.DUMMYFUNCTION("""COMPUTED_VALUE"""),"Chocolate coated confectionery")</f>
        <v>Chocolate coated confectionery</v>
      </c>
      <c r="B645" t="str">
        <f ca="1">IFERROR(__xludf.DUMMYFUNCTION("""COMPUTED_VALUE"""),"A.01.001301")</f>
        <v>A.01.001301</v>
      </c>
    </row>
    <row r="646" spans="1:2" ht="12.5" x14ac:dyDescent="0.25">
      <c r="A646" t="str">
        <f ca="1">IFERROR(__xludf.DUMMYFUNCTION("""COMPUTED_VALUE"""),"Chocolate liqueur")</f>
        <v>Chocolate liqueur</v>
      </c>
      <c r="B646" t="str">
        <f ca="1">IFERROR(__xludf.DUMMYFUNCTION("""COMPUTED_VALUE"""),"A.01.001555")</f>
        <v>A.01.001555</v>
      </c>
    </row>
    <row r="647" spans="1:2" ht="12.5" x14ac:dyDescent="0.25">
      <c r="A647" t="str">
        <f ca="1">IFERROR(__xludf.DUMMYFUNCTION("""COMPUTED_VALUE"""),"Chocolate milkshake")</f>
        <v>Chocolate milkshake</v>
      </c>
      <c r="B647" t="str">
        <f ca="1">IFERROR(__xludf.DUMMYFUNCTION("""COMPUTED_VALUE"""),"A.01.000969")</f>
        <v>A.01.000969</v>
      </c>
    </row>
    <row r="648" spans="1:2" ht="12.5" x14ac:dyDescent="0.25">
      <c r="A648" t="str">
        <f ca="1">IFERROR(__xludf.DUMMYFUNCTION("""COMPUTED_VALUE"""),"Chocolate sauce")</f>
        <v>Chocolate sauce</v>
      </c>
      <c r="B648" t="str">
        <f ca="1">IFERROR(__xludf.DUMMYFUNCTION("""COMPUTED_VALUE"""),"A.01.001330")</f>
        <v>A.01.001330</v>
      </c>
    </row>
    <row r="649" spans="1:2" ht="12.5" x14ac:dyDescent="0.25">
      <c r="A649" t="str">
        <f ca="1">IFERROR(__xludf.DUMMYFUNCTION("""COMPUTED_VALUE"""),"Chocolate substitutes")</f>
        <v>Chocolate substitutes</v>
      </c>
      <c r="B649" t="str">
        <f ca="1">IFERROR(__xludf.DUMMYFUNCTION("""COMPUTED_VALUE"""),"A.01.001309")</f>
        <v>A.01.001309</v>
      </c>
    </row>
    <row r="650" spans="1:2" ht="12.5" x14ac:dyDescent="0.25">
      <c r="A650" t="str">
        <f ca="1">IFERROR(__xludf.DUMMYFUNCTION("""COMPUTED_VALUE"""),"Chocolate with nuts or fruits")</f>
        <v>Chocolate with nuts or fruits</v>
      </c>
      <c r="B650" t="str">
        <f ca="1">IFERROR(__xludf.DUMMYFUNCTION("""COMPUTED_VALUE"""),"A.01.001300")</f>
        <v>A.01.001300</v>
      </c>
    </row>
    <row r="651" spans="1:2" ht="12.5" x14ac:dyDescent="0.25">
      <c r="A651" t="str">
        <f ca="1">IFERROR(__xludf.DUMMYFUNCTION("""COMPUTED_VALUE"""),"Chocolate, cream")</f>
        <v>Chocolate, cream</v>
      </c>
      <c r="B651" t="str">
        <f ca="1">IFERROR(__xludf.DUMMYFUNCTION("""COMPUTED_VALUE"""),"A.01.001299")</f>
        <v>A.01.001299</v>
      </c>
    </row>
    <row r="652" spans="1:2" ht="12.5" x14ac:dyDescent="0.25">
      <c r="A652" t="str">
        <f ca="1">IFERROR(__xludf.DUMMYFUNCTION("""COMPUTED_VALUE"""),"Chokecherry (Prunus virginiana)")</f>
        <v>Chokecherry (Prunus virginiana)</v>
      </c>
      <c r="B652" t="str">
        <f ca="1">IFERROR(__xludf.DUMMYFUNCTION("""COMPUTED_VALUE"""),"A.01.000574")</f>
        <v>A.01.000574</v>
      </c>
    </row>
    <row r="653" spans="1:2" ht="12.5" x14ac:dyDescent="0.25">
      <c r="A653" t="str">
        <f ca="1">IFERROR(__xludf.DUMMYFUNCTION("""COMPUTED_VALUE"""),"Chondroitin sulphate")</f>
        <v>Chondroitin sulphate</v>
      </c>
      <c r="B653" t="str">
        <f ca="1">IFERROR(__xludf.DUMMYFUNCTION("""COMPUTED_VALUE"""),"G.13.7")</f>
        <v>G.13.7</v>
      </c>
    </row>
    <row r="654" spans="1:2" ht="12.5" x14ac:dyDescent="0.25">
      <c r="A654" t="str">
        <f ca="1">IFERROR(__xludf.DUMMYFUNCTION("""COMPUTED_VALUE"""),"Chorizo")</f>
        <v>Chorizo</v>
      </c>
      <c r="B654" t="str">
        <f ca="1">IFERROR(__xludf.DUMMYFUNCTION("""COMPUTED_VALUE"""),"A.01.000854")</f>
        <v>A.01.000854</v>
      </c>
    </row>
    <row r="655" spans="1:2" ht="12.5" x14ac:dyDescent="0.25">
      <c r="A655" t="str">
        <f ca="1">IFERROR(__xludf.DUMMYFUNCTION("""COMPUTED_VALUE"""),"Chutney and pickles")</f>
        <v>Chutney and pickles</v>
      </c>
      <c r="B655" t="str">
        <f ca="1">IFERROR(__xludf.DUMMYFUNCTION("""COMPUTED_VALUE"""),"A.01.001672")</f>
        <v>A.01.001672</v>
      </c>
    </row>
    <row r="656" spans="1:2" ht="12.5" x14ac:dyDescent="0.25">
      <c r="A656" t="str">
        <f ca="1">IFERROR(__xludf.DUMMYFUNCTION("""COMPUTED_VALUE"""),"Cider")</f>
        <v>Cider</v>
      </c>
      <c r="B656" t="str">
        <f ca="1">IFERROR(__xludf.DUMMYFUNCTION("""COMPUTED_VALUE"""),"A.01.001550")</f>
        <v>A.01.001550</v>
      </c>
    </row>
    <row r="657" spans="1:2" ht="12.5" x14ac:dyDescent="0.25">
      <c r="A657" t="str">
        <f ca="1">IFERROR(__xludf.DUMMYFUNCTION("""COMPUTED_VALUE"""),"Cieddu")</f>
        <v>Cieddu</v>
      </c>
      <c r="B657" t="str">
        <f ca="1">IFERROR(__xludf.DUMMYFUNCTION("""COMPUTED_VALUE"""),"A.01.001043")</f>
        <v>A.01.001043</v>
      </c>
    </row>
    <row r="658" spans="1:2" ht="12.5" x14ac:dyDescent="0.25">
      <c r="A658" t="str">
        <f ca="1">IFERROR(__xludf.DUMMYFUNCTION("""COMPUTED_VALUE"""),"Cinnamon (Cinnamonum verum syn. C. zeylanicum)")</f>
        <v>Cinnamon (Cinnamonum verum syn. C. zeylanicum)</v>
      </c>
      <c r="B658" t="str">
        <f ca="1">IFERROR(__xludf.DUMMYFUNCTION("""COMPUTED_VALUE"""),"A.01.001607")</f>
        <v>A.01.001607</v>
      </c>
    </row>
    <row r="659" spans="1:2" ht="12.5" x14ac:dyDescent="0.25">
      <c r="A659" t="str">
        <f ca="1">IFERROR(__xludf.DUMMYFUNCTION("""COMPUTED_VALUE"""),"Citrus fruits")</f>
        <v>Citrus fruits</v>
      </c>
      <c r="B659" t="str">
        <f ca="1">IFERROR(__xludf.DUMMYFUNCTION("""COMPUTED_VALUE"""),"A.01.000545")</f>
        <v>A.01.000545</v>
      </c>
    </row>
    <row r="660" spans="1:2" ht="12.5" x14ac:dyDescent="0.25">
      <c r="A660" t="str">
        <f ca="1">IFERROR(__xludf.DUMMYFUNCTION("""COMPUTED_VALUE"""),"Citrus pulp")</f>
        <v>Citrus pulp</v>
      </c>
      <c r="B660" t="str">
        <f ca="1">IFERROR(__xludf.DUMMYFUNCTION("""COMPUTED_VALUE"""),"F05.02")</f>
        <v>F05.02</v>
      </c>
    </row>
    <row r="661" spans="1:2" ht="12.5" x14ac:dyDescent="0.25">
      <c r="A661" t="str">
        <f ca="1">IFERROR(__xludf.DUMMYFUNCTION("""COMPUTED_VALUE"""),"Citrus pulp")</f>
        <v>Citrus pulp</v>
      </c>
      <c r="B661" t="str">
        <f ca="1">IFERROR(__xludf.DUMMYFUNCTION("""COMPUTED_VALUE"""),"G.5.13")</f>
        <v>G.5.13</v>
      </c>
    </row>
    <row r="662" spans="1:2" ht="12.5" x14ac:dyDescent="0.25">
      <c r="A662" t="str">
        <f ca="1">IFERROR(__xludf.DUMMYFUNCTION("""COMPUTED_VALUE"""),"Citrus pulp, dried")</f>
        <v>Citrus pulp, dried</v>
      </c>
      <c r="B662" t="str">
        <f ca="1">IFERROR(__xludf.DUMMYFUNCTION("""COMPUTED_VALUE"""),"G.5.13.2")</f>
        <v>G.5.13.2</v>
      </c>
    </row>
    <row r="663" spans="1:2" ht="12.5" x14ac:dyDescent="0.25">
      <c r="A663" t="str">
        <f ca="1">IFERROR(__xludf.DUMMYFUNCTION("""COMPUTED_VALUE"""),"Clam (Mya arenaria)")</f>
        <v>Clam (Mya arenaria)</v>
      </c>
      <c r="B663" t="str">
        <f ca="1">IFERROR(__xludf.DUMMYFUNCTION("""COMPUTED_VALUE"""),"A.01.000932")</f>
        <v>A.01.000932</v>
      </c>
    </row>
    <row r="664" spans="1:2" ht="12.5" x14ac:dyDescent="0.25">
      <c r="A664" t="str">
        <f ca="1">IFERROR(__xludf.DUMMYFUNCTION("""COMPUTED_VALUE"""),"Cloudberry (Rubus chamaemorus)")</f>
        <v>Cloudberry (Rubus chamaemorus)</v>
      </c>
      <c r="B664" t="str">
        <f ca="1">IFERROR(__xludf.DUMMYFUNCTION("""COMPUTED_VALUE"""),"A.01.000591")</f>
        <v>A.01.000591</v>
      </c>
    </row>
    <row r="665" spans="1:2" ht="12.5" x14ac:dyDescent="0.25">
      <c r="A665" t="str">
        <f ca="1">IFERROR(__xludf.DUMMYFUNCTION("""COMPUTED_VALUE"""),"Clover meal")</f>
        <v>Clover meal</v>
      </c>
      <c r="B665" t="str">
        <f ca="1">IFERROR(__xludf.DUMMYFUNCTION("""COMPUTED_VALUE"""),"F06.04")</f>
        <v>F06.04</v>
      </c>
    </row>
    <row r="666" spans="1:2" ht="12.5" x14ac:dyDescent="0.25">
      <c r="A666" t="str">
        <f ca="1">IFERROR(__xludf.DUMMYFUNCTION("""COMPUTED_VALUE"""),"Clover meal")</f>
        <v>Clover meal</v>
      </c>
      <c r="B666" t="str">
        <f ca="1">IFERROR(__xludf.DUMMYFUNCTION("""COMPUTED_VALUE"""),"G.6.4")</f>
        <v>G.6.4</v>
      </c>
    </row>
    <row r="667" spans="1:2" ht="12.5" x14ac:dyDescent="0.25">
      <c r="A667" t="str">
        <f ca="1">IFERROR(__xludf.DUMMYFUNCTION("""COMPUTED_VALUE"""),"Cloves (Syzygium aromaticum)")</f>
        <v>Cloves (Syzygium aromaticum)</v>
      </c>
      <c r="B667" t="str">
        <f ca="1">IFERROR(__xludf.DUMMYFUNCTION("""COMPUTED_VALUE"""),"A.01.001608")</f>
        <v>A.01.001608</v>
      </c>
    </row>
    <row r="668" spans="1:2" ht="12.5" x14ac:dyDescent="0.25">
      <c r="A668" t="str">
        <f ca="1">IFERROR(__xludf.DUMMYFUNCTION("""COMPUTED_VALUE"""),"Cockle (Cardium edule)")</f>
        <v>Cockle (Cardium edule)</v>
      </c>
      <c r="B668" t="str">
        <f ca="1">IFERROR(__xludf.DUMMYFUNCTION("""COMPUTED_VALUE"""),"A.01.000933")</f>
        <v>A.01.000933</v>
      </c>
    </row>
    <row r="669" spans="1:2" ht="12.5" x14ac:dyDescent="0.25">
      <c r="A669" t="str">
        <f ca="1">IFERROR(__xludf.DUMMYFUNCTION("""COMPUTED_VALUE"""),"Cocktail drink")</f>
        <v>Cocktail drink</v>
      </c>
      <c r="B669" t="str">
        <f ca="1">IFERROR(__xludf.DUMMYFUNCTION("""COMPUTED_VALUE"""),"A.01.001570")</f>
        <v>A.01.001570</v>
      </c>
    </row>
    <row r="670" spans="1:2" ht="12.5" x14ac:dyDescent="0.25">
      <c r="A670" t="str">
        <f ca="1">IFERROR(__xludf.DUMMYFUNCTION("""COMPUTED_VALUE"""),"Coco plum (Chrysobalanus icaco)")</f>
        <v>Coco plum (Chrysobalanus icaco)</v>
      </c>
      <c r="B670" t="str">
        <f ca="1">IFERROR(__xludf.DUMMYFUNCTION("""COMPUTED_VALUE"""),"A.01.000638")</f>
        <v>A.01.000638</v>
      </c>
    </row>
    <row r="671" spans="1:2" ht="12.5" x14ac:dyDescent="0.25">
      <c r="A671" t="str">
        <f ca="1">IFERROR(__xludf.DUMMYFUNCTION("""COMPUTED_VALUE"""),"Cocoa (Powder or cocoa bean)")</f>
        <v>Cocoa (Powder or cocoa bean)</v>
      </c>
      <c r="B671" t="str">
        <f ca="1">IFERROR(__xludf.DUMMYFUNCTION("""COMPUTED_VALUE"""),"C08_1C")</f>
        <v>C08_1C</v>
      </c>
    </row>
    <row r="672" spans="1:2" ht="12.5" x14ac:dyDescent="0.25">
      <c r="A672" t="str">
        <f ca="1">IFERROR(__xludf.DUMMYFUNCTION("""COMPUTED_VALUE"""),"Cocoa bean meal, partially decorticated")</f>
        <v>Cocoa bean meal, partially decorticated</v>
      </c>
      <c r="B672" t="str">
        <f ca="1">IFERROR(__xludf.DUMMYFUNCTION("""COMPUTED_VALUE"""),"G.2.3.3")</f>
        <v>G.2.3.3</v>
      </c>
    </row>
    <row r="673" spans="1:2" ht="12.5" x14ac:dyDescent="0.25">
      <c r="A673" t="str">
        <f ca="1">IFERROR(__xludf.DUMMYFUNCTION("""COMPUTED_VALUE"""),"Cocoa bean, partially decorticated, extracted")</f>
        <v>Cocoa bean, partially decorticated, extracted</v>
      </c>
      <c r="B673" t="str">
        <f ca="1">IFERROR(__xludf.DUMMYFUNCTION("""COMPUTED_VALUE"""),"F02.32")</f>
        <v>F02.32</v>
      </c>
    </row>
    <row r="674" spans="1:2" ht="12.5" x14ac:dyDescent="0.25">
      <c r="A674" t="str">
        <f ca="1">IFERROR(__xludf.DUMMYFUNCTION("""COMPUTED_VALUE"""),"Cocoa beans (fermented beans) (Theobroma cacao)")</f>
        <v>Cocoa beans (fermented beans) (Theobroma cacao)</v>
      </c>
      <c r="B674" t="str">
        <f ca="1">IFERROR(__xludf.DUMMYFUNCTION("""COMPUTED_VALUE"""),"A.01.000419")</f>
        <v>A.01.000419</v>
      </c>
    </row>
    <row r="675" spans="1:2" ht="12.5" x14ac:dyDescent="0.25">
      <c r="A675" t="str">
        <f ca="1">IFERROR(__xludf.DUMMYFUNCTION("""COMPUTED_VALUE"""),"Cocoa beans and cocoa products")</f>
        <v>Cocoa beans and cocoa products</v>
      </c>
      <c r="B675" t="str">
        <f ca="1">IFERROR(__xludf.DUMMYFUNCTION("""COMPUTED_VALUE"""),"A.01.000418")</f>
        <v>A.01.000418</v>
      </c>
    </row>
    <row r="676" spans="1:2" ht="12.5" x14ac:dyDescent="0.25">
      <c r="A676" t="str">
        <f ca="1">IFERROR(__xludf.DUMMYFUNCTION("""COMPUTED_VALUE"""),"Cocoa beverage")</f>
        <v>Cocoa beverage</v>
      </c>
      <c r="B676" t="str">
        <f ca="1">IFERROR(__xludf.DUMMYFUNCTION("""COMPUTED_VALUE"""),"A.01.001531")</f>
        <v>A.01.001531</v>
      </c>
    </row>
    <row r="677" spans="1:2" ht="12.5" x14ac:dyDescent="0.25">
      <c r="A677" t="str">
        <f ca="1">IFERROR(__xludf.DUMMYFUNCTION("""COMPUTED_VALUE"""),"Cocoa beverage-preparation, powder")</f>
        <v>Cocoa beverage-preparation, powder</v>
      </c>
      <c r="B677" t="str">
        <f ca="1">IFERROR(__xludf.DUMMYFUNCTION("""COMPUTED_VALUE"""),"A.01.000421")</f>
        <v>A.01.000421</v>
      </c>
    </row>
    <row r="678" spans="1:2" ht="12.5" x14ac:dyDescent="0.25">
      <c r="A678" t="str">
        <f ca="1">IFERROR(__xludf.DUMMYFUNCTION("""COMPUTED_VALUE"""),"Cocoa butter")</f>
        <v>Cocoa butter</v>
      </c>
      <c r="B678" t="str">
        <f ca="1">IFERROR(__xludf.DUMMYFUNCTION("""COMPUTED_VALUE"""),"A.01.001365")</f>
        <v>A.01.001365</v>
      </c>
    </row>
    <row r="679" spans="1:2" ht="12.5" x14ac:dyDescent="0.25">
      <c r="A679" t="str">
        <f ca="1">IFERROR(__xludf.DUMMYFUNCTION("""COMPUTED_VALUE"""),"Cocoa drink")</f>
        <v>Cocoa drink</v>
      </c>
      <c r="B679" t="str">
        <f ca="1">IFERROR(__xludf.DUMMYFUNCTION("""COMPUTED_VALUE"""),"A.01.001533")</f>
        <v>A.01.001533</v>
      </c>
    </row>
    <row r="680" spans="1:2" ht="12.5" x14ac:dyDescent="0.25">
      <c r="A680" t="str">
        <f ca="1">IFERROR(__xludf.DUMMYFUNCTION("""COMPUTED_VALUE"""),"Cocoa hulls")</f>
        <v>Cocoa hulls</v>
      </c>
      <c r="B680" t="str">
        <f ca="1">IFERROR(__xludf.DUMMYFUNCTION("""COMPUTED_VALUE"""),"G.2.3.2")</f>
        <v>G.2.3.2</v>
      </c>
    </row>
    <row r="681" spans="1:2" ht="12.5" x14ac:dyDescent="0.25">
      <c r="A681" t="str">
        <f ca="1">IFERROR(__xludf.DUMMYFUNCTION("""COMPUTED_VALUE"""),"Cocoa husks")</f>
        <v>Cocoa husks</v>
      </c>
      <c r="B681" t="str">
        <f ca="1">IFERROR(__xludf.DUMMYFUNCTION("""COMPUTED_VALUE"""),"F02.33")</f>
        <v>F02.33</v>
      </c>
    </row>
    <row r="682" spans="1:2" ht="12.5" x14ac:dyDescent="0.25">
      <c r="A682" t="str">
        <f ca="1">IFERROR(__xludf.DUMMYFUNCTION("""COMPUTED_VALUE"""),"Cocoa husks")</f>
        <v>Cocoa husks</v>
      </c>
      <c r="B682" t="str">
        <f ca="1">IFERROR(__xludf.DUMMYFUNCTION("""COMPUTED_VALUE"""),"G.2.3")</f>
        <v>G.2.3</v>
      </c>
    </row>
    <row r="683" spans="1:2" ht="12.5" x14ac:dyDescent="0.25">
      <c r="A683" t="str">
        <f ca="1">IFERROR(__xludf.DUMMYFUNCTION("""COMPUTED_VALUE"""),"Cocoa mass")</f>
        <v>Cocoa mass</v>
      </c>
      <c r="B683" t="str">
        <f ca="1">IFERROR(__xludf.DUMMYFUNCTION("""COMPUTED_VALUE"""),"A.01.000422")</f>
        <v>A.01.000422</v>
      </c>
    </row>
    <row r="684" spans="1:2" ht="12.5" x14ac:dyDescent="0.25">
      <c r="A684" t="str">
        <f ca="1">IFERROR(__xludf.DUMMYFUNCTION("""COMPUTED_VALUE"""),"Cocoa powder")</f>
        <v>Cocoa powder</v>
      </c>
      <c r="B684" t="str">
        <f ca="1">IFERROR(__xludf.DUMMYFUNCTION("""COMPUTED_VALUE"""),"A.01.000420")</f>
        <v>A.01.000420</v>
      </c>
    </row>
    <row r="685" spans="1:2" ht="12.5" x14ac:dyDescent="0.25">
      <c r="A685" t="str">
        <f ca="1">IFERROR(__xludf.DUMMYFUNCTION("""COMPUTED_VALUE"""),"Coconut fat")</f>
        <v>Coconut fat</v>
      </c>
      <c r="B685" t="str">
        <f ca="1">IFERROR(__xludf.DUMMYFUNCTION("""COMPUTED_VALUE"""),"A.01.001364")</f>
        <v>A.01.001364</v>
      </c>
    </row>
    <row r="686" spans="1:2" ht="12.5" x14ac:dyDescent="0.25">
      <c r="A686" t="str">
        <f ca="1">IFERROR(__xludf.DUMMYFUNCTION("""COMPUTED_VALUE"""),"Coconut milk (Cocos nucifera)")</f>
        <v>Coconut milk (Cocos nucifera)</v>
      </c>
      <c r="B686" t="str">
        <f ca="1">IFERROR(__xludf.DUMMYFUNCTION("""COMPUTED_VALUE"""),"A.01.000449")</f>
        <v>A.01.000449</v>
      </c>
    </row>
    <row r="687" spans="1:2" ht="12.5" x14ac:dyDescent="0.25">
      <c r="A687" t="str">
        <f ca="1">IFERROR(__xludf.DUMMYFUNCTION("""COMPUTED_VALUE"""),"Coconut oil")</f>
        <v>Coconut oil</v>
      </c>
      <c r="B687" t="str">
        <f ca="1">IFERROR(__xludf.DUMMYFUNCTION("""COMPUTED_VALUE"""),"A.01.001369")</f>
        <v>A.01.001369</v>
      </c>
    </row>
    <row r="688" spans="1:2" ht="12.5" x14ac:dyDescent="0.25">
      <c r="A688" t="str">
        <f ca="1">IFERROR(__xludf.DUMMYFUNCTION("""COMPUTED_VALUE"""),"Coconuts (Cocos nucifera)")</f>
        <v>Coconuts (Cocos nucifera)</v>
      </c>
      <c r="B688" t="str">
        <f ca="1">IFERROR(__xludf.DUMMYFUNCTION("""COMPUTED_VALUE"""),"A.01.000519")</f>
        <v>A.01.000519</v>
      </c>
    </row>
    <row r="689" spans="1:2" ht="12.5" x14ac:dyDescent="0.25">
      <c r="A689" t="str">
        <f ca="1">IFERROR(__xludf.DUMMYFUNCTION("""COMPUTED_VALUE"""),"Cocos cream liqueur")</f>
        <v>Cocos cream liqueur</v>
      </c>
      <c r="B689" t="str">
        <f ca="1">IFERROR(__xludf.DUMMYFUNCTION("""COMPUTED_VALUE"""),"A.01.001558")</f>
        <v>A.01.001558</v>
      </c>
    </row>
    <row r="690" spans="1:2" ht="12.5" x14ac:dyDescent="0.25">
      <c r="A690" t="str">
        <f ca="1">IFERROR(__xludf.DUMMYFUNCTION("""COMPUTED_VALUE"""),"Cod and whiting (Gadus spp.)")</f>
        <v>Cod and whiting (Gadus spp.)</v>
      </c>
      <c r="B690" t="str">
        <f ca="1">IFERROR(__xludf.DUMMYFUNCTION("""COMPUTED_VALUE"""),"A.01.000894")</f>
        <v>A.01.000894</v>
      </c>
    </row>
    <row r="691" spans="1:2" ht="12.5" x14ac:dyDescent="0.25">
      <c r="A691" t="str">
        <f ca="1">IFERROR(__xludf.DUMMYFUNCTION("""COMPUTED_VALUE"""),"Cod liver oil")</f>
        <v>Cod liver oil</v>
      </c>
      <c r="B691" t="str">
        <f ca="1">IFERROR(__xludf.DUMMYFUNCTION("""COMPUTED_VALUE"""),"A.01.001361")</f>
        <v>A.01.001361</v>
      </c>
    </row>
    <row r="692" spans="1:2" ht="12.5" x14ac:dyDescent="0.25">
      <c r="A692" t="str">
        <f ca="1">IFERROR(__xludf.DUMMYFUNCTION("""COMPUTED_VALUE"""),"Coenzyme Q10 supplement")</f>
        <v>Coenzyme Q10 supplement</v>
      </c>
      <c r="B692" t="str">
        <f ca="1">IFERROR(__xludf.DUMMYFUNCTION("""COMPUTED_VALUE"""),"A.01.001760")</f>
        <v>A.01.001760</v>
      </c>
    </row>
    <row r="693" spans="1:2" ht="12.5" x14ac:dyDescent="0.25">
      <c r="A693" t="str">
        <f ca="1">IFERROR(__xludf.DUMMYFUNCTION("""COMPUTED_VALUE"""),"Coffee (Beverage)")</f>
        <v>Coffee (Beverage)</v>
      </c>
      <c r="B693" t="str">
        <f ca="1">IFERROR(__xludf.DUMMYFUNCTION("""COMPUTED_VALUE"""),"A.01.001522")</f>
        <v>A.01.001522</v>
      </c>
    </row>
    <row r="694" spans="1:2" ht="12.5" x14ac:dyDescent="0.25">
      <c r="A694" t="str">
        <f ca="1">IFERROR(__xludf.DUMMYFUNCTION("""COMPUTED_VALUE"""),"Coffee (Powder)")</f>
        <v>Coffee (Powder)</v>
      </c>
      <c r="B694" t="str">
        <f ca="1">IFERROR(__xludf.DUMMYFUNCTION("""COMPUTED_VALUE"""),"C08_1A")</f>
        <v>C08_1A</v>
      </c>
    </row>
    <row r="695" spans="1:2" ht="12.5" x14ac:dyDescent="0.25">
      <c r="A695" t="str">
        <f ca="1">IFERROR(__xludf.DUMMYFUNCTION("""COMPUTED_VALUE"""),"Coffee beans")</f>
        <v>Coffee beans</v>
      </c>
      <c r="B695" t="str">
        <f ca="1">IFERROR(__xludf.DUMMYFUNCTION("""COMPUTED_VALUE"""),"A.01.000424")</f>
        <v>A.01.000424</v>
      </c>
    </row>
    <row r="696" spans="1:2" ht="12.5" x14ac:dyDescent="0.25">
      <c r="A696" t="str">
        <f ca="1">IFERROR(__xludf.DUMMYFUNCTION("""COMPUTED_VALUE"""),"Coffee beans and coffee products (Solid)")</f>
        <v>Coffee beans and coffee products (Solid)</v>
      </c>
      <c r="B696" t="str">
        <f ca="1">IFERROR(__xludf.DUMMYFUNCTION("""COMPUTED_VALUE"""),"A.01.000423")</f>
        <v>A.01.000423</v>
      </c>
    </row>
    <row r="697" spans="1:2" ht="12.5" x14ac:dyDescent="0.25">
      <c r="A697" t="str">
        <f ca="1">IFERROR(__xludf.DUMMYFUNCTION("""COMPUTED_VALUE"""),"Coffee beans, roasted")</f>
        <v>Coffee beans, roasted</v>
      </c>
      <c r="B697" t="str">
        <f ca="1">IFERROR(__xludf.DUMMYFUNCTION("""COMPUTED_VALUE"""),"A.01.000425")</f>
        <v>A.01.000425</v>
      </c>
    </row>
    <row r="698" spans="1:2" ht="12.5" x14ac:dyDescent="0.25">
      <c r="A698" t="str">
        <f ca="1">IFERROR(__xludf.DUMMYFUNCTION("""COMPUTED_VALUE"""),"Coffee beans, roasted and ground")</f>
        <v>Coffee beans, roasted and ground</v>
      </c>
      <c r="B698" t="str">
        <f ca="1">IFERROR(__xludf.DUMMYFUNCTION("""COMPUTED_VALUE"""),"A.01.000427")</f>
        <v>A.01.000427</v>
      </c>
    </row>
    <row r="699" spans="1:2" ht="12.5" x14ac:dyDescent="0.25">
      <c r="A699" t="str">
        <f ca="1">IFERROR(__xludf.DUMMYFUNCTION("""COMPUTED_VALUE"""),"Coffee beans, roasted and ground, decaffeinated")</f>
        <v>Coffee beans, roasted and ground, decaffeinated</v>
      </c>
      <c r="B699" t="str">
        <f ca="1">IFERROR(__xludf.DUMMYFUNCTION("""COMPUTED_VALUE"""),"A.01.000428")</f>
        <v>A.01.000428</v>
      </c>
    </row>
    <row r="700" spans="1:2" ht="12.5" x14ac:dyDescent="0.25">
      <c r="A700" t="str">
        <f ca="1">IFERROR(__xludf.DUMMYFUNCTION("""COMPUTED_VALUE"""),"Coffee beans, roasted, decaffeinated")</f>
        <v>Coffee beans, roasted, decaffeinated</v>
      </c>
      <c r="B700" t="str">
        <f ca="1">IFERROR(__xludf.DUMMYFUNCTION("""COMPUTED_VALUE"""),"A.01.000426")</f>
        <v>A.01.000426</v>
      </c>
    </row>
    <row r="701" spans="1:2" ht="12.5" x14ac:dyDescent="0.25">
      <c r="A701" t="str">
        <f ca="1">IFERROR(__xludf.DUMMYFUNCTION("""COMPUTED_VALUE"""),"Coffee cream")</f>
        <v>Coffee cream</v>
      </c>
      <c r="B701" t="str">
        <f ca="1">IFERROR(__xludf.DUMMYFUNCTION("""COMPUTED_VALUE"""),"A.01.001008")</f>
        <v>A.01.001008</v>
      </c>
    </row>
    <row r="702" spans="1:2" ht="12.5" x14ac:dyDescent="0.25">
      <c r="A702" t="str">
        <f ca="1">IFERROR(__xludf.DUMMYFUNCTION("""COMPUTED_VALUE"""),"Coffee cream 10 % fat")</f>
        <v>Coffee cream 10 % fat</v>
      </c>
      <c r="B702" t="str">
        <f ca="1">IFERROR(__xludf.DUMMYFUNCTION("""COMPUTED_VALUE"""),"A.01.001009")</f>
        <v>A.01.001009</v>
      </c>
    </row>
    <row r="703" spans="1:2" ht="12.5" x14ac:dyDescent="0.25">
      <c r="A703" t="str">
        <f ca="1">IFERROR(__xludf.DUMMYFUNCTION("""COMPUTED_VALUE"""),"Coffee cream 12% fat")</f>
        <v>Coffee cream 12% fat</v>
      </c>
      <c r="B703" t="str">
        <f ca="1">IFERROR(__xludf.DUMMYFUNCTION("""COMPUTED_VALUE"""),"A.01.001010")</f>
        <v>A.01.001010</v>
      </c>
    </row>
    <row r="704" spans="1:2" ht="12.5" x14ac:dyDescent="0.25">
      <c r="A704" t="str">
        <f ca="1">IFERROR(__xludf.DUMMYFUNCTION("""COMPUTED_VALUE"""),"Coffee cream 15% fat")</f>
        <v>Coffee cream 15% fat</v>
      </c>
      <c r="B704" t="str">
        <f ca="1">IFERROR(__xludf.DUMMYFUNCTION("""COMPUTED_VALUE"""),"A.01.001011")</f>
        <v>A.01.001011</v>
      </c>
    </row>
    <row r="705" spans="1:2" ht="12.5" x14ac:dyDescent="0.25">
      <c r="A705" t="str">
        <f ca="1">IFERROR(__xludf.DUMMYFUNCTION("""COMPUTED_VALUE"""),"Coffee cream 20% fat")</f>
        <v>Coffee cream 20% fat</v>
      </c>
      <c r="B705" t="str">
        <f ca="1">IFERROR(__xludf.DUMMYFUNCTION("""COMPUTED_VALUE"""),"A.01.001012")</f>
        <v>A.01.001012</v>
      </c>
    </row>
    <row r="706" spans="1:2" ht="12.5" x14ac:dyDescent="0.25">
      <c r="A706" t="str">
        <f ca="1">IFERROR(__xludf.DUMMYFUNCTION("""COMPUTED_VALUE"""),"Coffee cream 30% fat")</f>
        <v>Coffee cream 30% fat</v>
      </c>
      <c r="B706" t="str">
        <f ca="1">IFERROR(__xludf.DUMMYFUNCTION("""COMPUTED_VALUE"""),"A.01.001013")</f>
        <v>A.01.001013</v>
      </c>
    </row>
    <row r="707" spans="1:2" ht="12.5" x14ac:dyDescent="0.25">
      <c r="A707" t="str">
        <f ca="1">IFERROR(__xludf.DUMMYFUNCTION("""COMPUTED_VALUE"""),"Coffee drink, café américano")</f>
        <v>Coffee drink, café américano</v>
      </c>
      <c r="B707" t="str">
        <f ca="1">IFERROR(__xludf.DUMMYFUNCTION("""COMPUTED_VALUE"""),"A.01.001524")</f>
        <v>A.01.001524</v>
      </c>
    </row>
    <row r="708" spans="1:2" ht="12.5" x14ac:dyDescent="0.25">
      <c r="A708" t="str">
        <f ca="1">IFERROR(__xludf.DUMMYFUNCTION("""COMPUTED_VALUE"""),"Coffee drink, café macchiato")</f>
        <v>Coffee drink, café macchiato</v>
      </c>
      <c r="B708" t="str">
        <f ca="1">IFERROR(__xludf.DUMMYFUNCTION("""COMPUTED_VALUE"""),"A.01.001526")</f>
        <v>A.01.001526</v>
      </c>
    </row>
    <row r="709" spans="1:2" ht="12.5" x14ac:dyDescent="0.25">
      <c r="A709" t="str">
        <f ca="1">IFERROR(__xludf.DUMMYFUNCTION("""COMPUTED_VALUE"""),"Coffee drink, cappuccino")</f>
        <v>Coffee drink, cappuccino</v>
      </c>
      <c r="B709" t="str">
        <f ca="1">IFERROR(__xludf.DUMMYFUNCTION("""COMPUTED_VALUE"""),"A.01.001525")</f>
        <v>A.01.001525</v>
      </c>
    </row>
    <row r="710" spans="1:2" ht="12.5" x14ac:dyDescent="0.25">
      <c r="A710" t="str">
        <f ca="1">IFERROR(__xludf.DUMMYFUNCTION("""COMPUTED_VALUE"""),"Coffee drink, espresso")</f>
        <v>Coffee drink, espresso</v>
      </c>
      <c r="B710" t="str">
        <f ca="1">IFERROR(__xludf.DUMMYFUNCTION("""COMPUTED_VALUE"""),"A.01.001523")</f>
        <v>A.01.001523</v>
      </c>
    </row>
    <row r="711" spans="1:2" ht="12.5" x14ac:dyDescent="0.25">
      <c r="A711" t="str">
        <f ca="1">IFERROR(__xludf.DUMMYFUNCTION("""COMPUTED_VALUE"""),"Coffee imitates (Solid)")</f>
        <v>Coffee imitates (Solid)</v>
      </c>
      <c r="B711" t="str">
        <f ca="1">IFERROR(__xludf.DUMMYFUNCTION("""COMPUTED_VALUE"""),"A.01.000431")</f>
        <v>A.01.000431</v>
      </c>
    </row>
    <row r="712" spans="1:2" ht="12.5" x14ac:dyDescent="0.25">
      <c r="A712" t="str">
        <f ca="1">IFERROR(__xludf.DUMMYFUNCTION("""COMPUTED_VALUE"""),"Coffee imitates beverage")</f>
        <v>Coffee imitates beverage</v>
      </c>
      <c r="B712" t="str">
        <f ca="1">IFERROR(__xludf.DUMMYFUNCTION("""COMPUTED_VALUE"""),"A.01.001530")</f>
        <v>A.01.001530</v>
      </c>
    </row>
    <row r="713" spans="1:2" ht="12.5" x14ac:dyDescent="0.25">
      <c r="A713" t="str">
        <f ca="1">IFERROR(__xludf.DUMMYFUNCTION("""COMPUTED_VALUE"""),"Coffee liqueur")</f>
        <v>Coffee liqueur</v>
      </c>
      <c r="B713" t="str">
        <f ca="1">IFERROR(__xludf.DUMMYFUNCTION("""COMPUTED_VALUE"""),"A.01.001556")</f>
        <v>A.01.001556</v>
      </c>
    </row>
    <row r="714" spans="1:2" ht="12.5" x14ac:dyDescent="0.25">
      <c r="A714" t="str">
        <f ca="1">IFERROR(__xludf.DUMMYFUNCTION("""COMPUTED_VALUE"""),"Coffee skins")</f>
        <v>Coffee skins</v>
      </c>
      <c r="B714" t="str">
        <f ca="1">IFERROR(__xludf.DUMMYFUNCTION("""COMPUTED_VALUE"""),"G.5.15")</f>
        <v>G.5.15</v>
      </c>
    </row>
    <row r="715" spans="1:2" ht="12.5" x14ac:dyDescent="0.25">
      <c r="A715" t="str">
        <f ca="1">IFERROR(__xludf.DUMMYFUNCTION("""COMPUTED_VALUE"""),"Coffee with milk (café latte, café au lait)")</f>
        <v>Coffee with milk (café latte, café au lait)</v>
      </c>
      <c r="B715" t="str">
        <f ca="1">IFERROR(__xludf.DUMMYFUNCTION("""COMPUTED_VALUE"""),"A.01.001528")</f>
        <v>A.01.001528</v>
      </c>
    </row>
    <row r="716" spans="1:2" ht="12.5" x14ac:dyDescent="0.25">
      <c r="A716" t="str">
        <f ca="1">IFERROR(__xludf.DUMMYFUNCTION("""COMPUTED_VALUE"""),"Coffee, tea, cocoa")</f>
        <v>Coffee, tea, cocoa</v>
      </c>
      <c r="B716" t="str">
        <f ca="1">IFERROR(__xludf.DUMMYFUNCTION("""COMPUTED_VALUE"""),"C08")</f>
        <v>C08</v>
      </c>
    </row>
    <row r="717" spans="1:2" ht="12.5" x14ac:dyDescent="0.25">
      <c r="A717" t="str">
        <f ca="1">IFERROR(__xludf.DUMMYFUNCTION("""COMPUTED_VALUE"""),"Coffee, tea, cocoa expressed as liquid")</f>
        <v>Coffee, tea, cocoa expressed as liquid</v>
      </c>
      <c r="B717" t="str">
        <f ca="1">IFERROR(__xludf.DUMMYFUNCTION("""COMPUTED_VALUE"""),"C08_2")</f>
        <v>C08_2</v>
      </c>
    </row>
    <row r="718" spans="1:2" ht="12.5" x14ac:dyDescent="0.25">
      <c r="A718" t="str">
        <f ca="1">IFERROR(__xludf.DUMMYFUNCTION("""COMPUTED_VALUE"""),"Coffee, tea, cocoa powder or dry leaves")</f>
        <v>Coffee, tea, cocoa powder or dry leaves</v>
      </c>
      <c r="B718" t="str">
        <f ca="1">IFERROR(__xludf.DUMMYFUNCTION("""COMPUTED_VALUE"""),"C08_1")</f>
        <v>C08_1</v>
      </c>
    </row>
    <row r="719" spans="1:2" ht="12.5" x14ac:dyDescent="0.25">
      <c r="A719" t="str">
        <f ca="1">IFERROR(__xludf.DUMMYFUNCTION("""COMPUTED_VALUE"""),"Cola beverages, caffeinic")</f>
        <v>Cola beverages, caffeinic</v>
      </c>
      <c r="B719" t="str">
        <f ca="1">IFERROR(__xludf.DUMMYFUNCTION("""COMPUTED_VALUE"""),"A.01.001510")</f>
        <v>A.01.001510</v>
      </c>
    </row>
    <row r="720" spans="1:2" ht="12.5" x14ac:dyDescent="0.25">
      <c r="A720" t="str">
        <f ca="1">IFERROR(__xludf.DUMMYFUNCTION("""COMPUTED_VALUE"""),"Cola beverages, caffeinic, low calorie")</f>
        <v>Cola beverages, caffeinic, low calorie</v>
      </c>
      <c r="B720" t="str">
        <f ca="1">IFERROR(__xludf.DUMMYFUNCTION("""COMPUTED_VALUE"""),"A.01.001512")</f>
        <v>A.01.001512</v>
      </c>
    </row>
    <row r="721" spans="1:2" ht="12.5" x14ac:dyDescent="0.25">
      <c r="A721" t="str">
        <f ca="1">IFERROR(__xludf.DUMMYFUNCTION("""COMPUTED_VALUE"""),"Cola beverages, decaffeinated")</f>
        <v>Cola beverages, decaffeinated</v>
      </c>
      <c r="B721" t="str">
        <f ca="1">IFERROR(__xludf.DUMMYFUNCTION("""COMPUTED_VALUE"""),"A.01.001511")</f>
        <v>A.01.001511</v>
      </c>
    </row>
    <row r="722" spans="1:2" ht="12.5" x14ac:dyDescent="0.25">
      <c r="A722" t="str">
        <f ca="1">IFERROR(__xludf.DUMMYFUNCTION("""COMPUTED_VALUE"""),"Cola beverages, decaffeinated, low calorie")</f>
        <v>Cola beverages, decaffeinated, low calorie</v>
      </c>
      <c r="B722" t="str">
        <f ca="1">IFERROR(__xludf.DUMMYFUNCTION("""COMPUTED_VALUE"""),"A.01.001513")</f>
        <v>A.01.001513</v>
      </c>
    </row>
    <row r="723" spans="1:2" ht="12.5" x14ac:dyDescent="0.25">
      <c r="A723" t="str">
        <f ca="1">IFERROR(__xludf.DUMMYFUNCTION("""COMPUTED_VALUE"""),"Cola Mix")</f>
        <v>Cola Mix</v>
      </c>
      <c r="B723" t="str">
        <f ca="1">IFERROR(__xludf.DUMMYFUNCTION("""COMPUTED_VALUE"""),"A.01.001514")</f>
        <v>A.01.001514</v>
      </c>
    </row>
    <row r="724" spans="1:2" ht="12.5" x14ac:dyDescent="0.25">
      <c r="A724" t="str">
        <f ca="1">IFERROR(__xludf.DUMMYFUNCTION("""COMPUTED_VALUE"""),"Collagen")</f>
        <v>Collagen</v>
      </c>
      <c r="B724" t="str">
        <f ca="1">IFERROR(__xludf.DUMMYFUNCTION("""COMPUTED_VALUE"""),"G.9.10")</f>
        <v>G.9.10</v>
      </c>
    </row>
    <row r="725" spans="1:2" ht="12.5" x14ac:dyDescent="0.25">
      <c r="A725" t="str">
        <f ca="1">IFERROR(__xludf.DUMMYFUNCTION("""COMPUTED_VALUE"""),"Colostrum")</f>
        <v>Colostrum</v>
      </c>
      <c r="B725" t="str">
        <f ca="1">IFERROR(__xludf.DUMMYFUNCTION("""COMPUTED_VALUE"""),"G.8.6")</f>
        <v>G.8.6</v>
      </c>
    </row>
    <row r="726" spans="1:2" ht="12.5" x14ac:dyDescent="0.25">
      <c r="A726" t="str">
        <f ca="1">IFERROR(__xludf.DUMMYFUNCTION("""COMPUTED_VALUE"""),"Comb honey")</f>
        <v>Comb honey</v>
      </c>
      <c r="B726" t="str">
        <f ca="1">IFERROR(__xludf.DUMMYFUNCTION("""COMPUTED_VALUE"""),"A.01.001345")</f>
        <v>A.01.001345</v>
      </c>
    </row>
    <row r="727" spans="1:2" ht="12.5" x14ac:dyDescent="0.25">
      <c r="A727" t="str">
        <f ca="1">IFERROR(__xludf.DUMMYFUNCTION("""COMPUTED_VALUE"""),"Combination of vitamins and minerals supplements")</f>
        <v>Combination of vitamins and minerals supplements</v>
      </c>
      <c r="B727" t="str">
        <f ca="1">IFERROR(__xludf.DUMMYFUNCTION("""COMPUTED_VALUE"""),"A.01.001755")</f>
        <v>A.01.001755</v>
      </c>
    </row>
    <row r="728" spans="1:2" ht="12.5" x14ac:dyDescent="0.25">
      <c r="A728" t="str">
        <f ca="1">IFERROR(__xludf.DUMMYFUNCTION("""COMPUTED_VALUE"""),"Complementary feed (incomplete diet)")</f>
        <v>Complementary feed (incomplete diet)</v>
      </c>
      <c r="B728" t="str">
        <f ca="1">IFERROR(__xludf.DUMMYFUNCTION("""COMPUTED_VALUE"""),"G.14.2")</f>
        <v>G.14.2</v>
      </c>
    </row>
    <row r="729" spans="1:2" ht="12.5" x14ac:dyDescent="0.25">
      <c r="A729" t="str">
        <f ca="1">IFERROR(__xludf.DUMMYFUNCTION("""COMPUTED_VALUE"""),"Complete feed")</f>
        <v>Complete feed</v>
      </c>
      <c r="B729" t="str">
        <f ca="1">IFERROR(__xludf.DUMMYFUNCTION("""COMPUTED_VALUE"""),"G.14.1")</f>
        <v>G.14.1</v>
      </c>
    </row>
    <row r="730" spans="1:2" ht="12.5" x14ac:dyDescent="0.25">
      <c r="A730" t="str">
        <f ca="1">IFERROR(__xludf.DUMMYFUNCTION("""COMPUTED_VALUE"""),"Composite food (including frozen products)")</f>
        <v>Composite food (including frozen products)</v>
      </c>
      <c r="B730" t="str">
        <f ca="1">IFERROR(__xludf.DUMMYFUNCTION("""COMPUTED_VALUE"""),"A.01.001789")</f>
        <v>A.01.001789</v>
      </c>
    </row>
    <row r="731" spans="1:2" ht="12.5" x14ac:dyDescent="0.25">
      <c r="A731" t="str">
        <f ca="1">IFERROR(__xludf.DUMMYFUNCTION("""COMPUTED_VALUE"""),"COMPOUND FEED")</f>
        <v>COMPOUND FEED</v>
      </c>
      <c r="B731" t="str">
        <f ca="1">IFERROR(__xludf.DUMMYFUNCTION("""COMPUTED_VALUE"""),"G.14")</f>
        <v>G.14</v>
      </c>
    </row>
    <row r="732" spans="1:2" ht="12.5" x14ac:dyDescent="0.25">
      <c r="A732" t="str">
        <f ca="1">IFERROR(__xludf.DUMMYFUNCTION("""COMPUTED_VALUE"""),"Compound feedingstuffs")</f>
        <v>Compound feedingstuffs</v>
      </c>
      <c r="B732" t="str">
        <f ca="1">IFERROR(__xludf.DUMMYFUNCTION("""COMPUTED_VALUE"""),"F14")</f>
        <v>F14</v>
      </c>
    </row>
    <row r="733" spans="1:2" ht="12.5" x14ac:dyDescent="0.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x14ac:dyDescent="0.25">
      <c r="A734" t="str">
        <f ca="1">IFERROR(__xludf.DUMMYFUNCTION("""COMPUTED_VALUE"""),"Concentrated Distillers Solubles")</f>
        <v>Concentrated Distillers Solubles</v>
      </c>
      <c r="B734" t="str">
        <f ca="1">IFERROR(__xludf.DUMMYFUNCTION("""COMPUTED_VALUE"""),"G.1.12.8")</f>
        <v>G.1.12.8</v>
      </c>
    </row>
    <row r="735" spans="1:2" ht="12.5" x14ac:dyDescent="0.25">
      <c r="A735" t="str">
        <f ca="1">IFERROR(__xludf.DUMMYFUNCTION("""COMPUTED_VALUE"""),"Concentrated fruit juice")</f>
        <v>Concentrated fruit juice</v>
      </c>
      <c r="B735" t="str">
        <f ca="1">IFERROR(__xludf.DUMMYFUNCTION("""COMPUTED_VALUE"""),"A.01.001418")</f>
        <v>A.01.001418</v>
      </c>
    </row>
    <row r="736" spans="1:2" ht="12.5" x14ac:dyDescent="0.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x14ac:dyDescent="0.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x14ac:dyDescent="0.25">
      <c r="A738" t="str">
        <f ca="1">IFERROR(__xludf.DUMMYFUNCTION("""COMPUTED_VALUE"""),"Concentrated milk")</f>
        <v>Concentrated milk</v>
      </c>
      <c r="B738" t="str">
        <f ca="1">IFERROR(__xludf.DUMMYFUNCTION("""COMPUTED_VALUE"""),"A.01.000973")</f>
        <v>A.01.000973</v>
      </c>
    </row>
    <row r="739" spans="1:2" ht="12.5" x14ac:dyDescent="0.25">
      <c r="A739" t="str">
        <f ca="1">IFERROR(__xludf.DUMMYFUNCTION("""COMPUTED_VALUE"""),"Concise terms (Obsolete use FOODEX1 instead)")</f>
        <v>Concise terms (Obsolete use FOODEX1 instead)</v>
      </c>
      <c r="B739" t="str">
        <f ca="1">IFERROR(__xludf.DUMMYFUNCTION("""COMPUTED_VALUE"""),"C00")</f>
        <v>C00</v>
      </c>
    </row>
    <row r="740" spans="1:2" ht="12.5" x14ac:dyDescent="0.25">
      <c r="A740" t="str">
        <f ca="1">IFERROR(__xludf.DUMMYFUNCTION("""COMPUTED_VALUE"""),"Condensed and evaporated milk and their products")</f>
        <v>Condensed and evaporated milk and their products</v>
      </c>
      <c r="B740" t="str">
        <f ca="1">IFERROR(__xludf.DUMMYFUNCTION("""COMPUTED_VALUE"""),"G.8.14")</f>
        <v>G.8.14</v>
      </c>
    </row>
    <row r="741" spans="1:2" ht="12.5" x14ac:dyDescent="0.25">
      <c r="A741" t="str">
        <f ca="1">IFERROR(__xludf.DUMMYFUNCTION("""COMPUTED_VALUE"""),"Condensed milk")</f>
        <v>Condensed milk</v>
      </c>
      <c r="B741" t="str">
        <f ca="1">IFERROR(__xludf.DUMMYFUNCTION("""COMPUTED_VALUE"""),"A.01.000975")</f>
        <v>A.01.000975</v>
      </c>
    </row>
    <row r="742" spans="1:2" ht="12.5" x14ac:dyDescent="0.25">
      <c r="A742" t="str">
        <f ca="1">IFERROR(__xludf.DUMMYFUNCTION("""COMPUTED_VALUE"""),"Condensed milk 10 % fat")</f>
        <v>Condensed milk 10 % fat</v>
      </c>
      <c r="B742" t="str">
        <f ca="1">IFERROR(__xludf.DUMMYFUNCTION("""COMPUTED_VALUE"""),"A.01.000979")</f>
        <v>A.01.000979</v>
      </c>
    </row>
    <row r="743" spans="1:2" ht="12.5" x14ac:dyDescent="0.25">
      <c r="A743" t="str">
        <f ca="1">IFERROR(__xludf.DUMMYFUNCTION("""COMPUTED_VALUE"""),"Condensed milk 15 % fat")</f>
        <v>Condensed milk 15 % fat</v>
      </c>
      <c r="B743" t="str">
        <f ca="1">IFERROR(__xludf.DUMMYFUNCTION("""COMPUTED_VALUE"""),"A.01.000980")</f>
        <v>A.01.000980</v>
      </c>
    </row>
    <row r="744" spans="1:2" ht="12.5" x14ac:dyDescent="0.25">
      <c r="A744" t="str">
        <f ca="1">IFERROR(__xludf.DUMMYFUNCTION("""COMPUTED_VALUE"""),"Condensed milk 4% fat")</f>
        <v>Condensed milk 4% fat</v>
      </c>
      <c r="B744" t="str">
        <f ca="1">IFERROR(__xludf.DUMMYFUNCTION("""COMPUTED_VALUE"""),"A.01.000977")</f>
        <v>A.01.000977</v>
      </c>
    </row>
    <row r="745" spans="1:2" ht="12.5" x14ac:dyDescent="0.25">
      <c r="A745" t="str">
        <f ca="1">IFERROR(__xludf.DUMMYFUNCTION("""COMPUTED_VALUE"""),"Condensed milk 7.5 % fat")</f>
        <v>Condensed milk 7.5 % fat</v>
      </c>
      <c r="B745" t="str">
        <f ca="1">IFERROR(__xludf.DUMMYFUNCTION("""COMPUTED_VALUE"""),"A.01.000978")</f>
        <v>A.01.000978</v>
      </c>
    </row>
    <row r="746" spans="1:2" ht="12.5" x14ac:dyDescent="0.25">
      <c r="A746" t="str">
        <f ca="1">IFERROR(__xludf.DUMMYFUNCTION("""COMPUTED_VALUE"""),"Condensed milk low fat")</f>
        <v>Condensed milk low fat</v>
      </c>
      <c r="B746" t="str">
        <f ca="1">IFERROR(__xludf.DUMMYFUNCTION("""COMPUTED_VALUE"""),"A.01.000976")</f>
        <v>A.01.000976</v>
      </c>
    </row>
    <row r="747" spans="1:2" ht="12.5" x14ac:dyDescent="0.25">
      <c r="A747" t="str">
        <f ca="1">IFERROR(__xludf.DUMMYFUNCTION("""COMPUTED_VALUE"""),"Condiment")</f>
        <v>Condiment</v>
      </c>
      <c r="B747" t="str">
        <f ca="1">IFERROR(__xludf.DUMMYFUNCTION("""COMPUTED_VALUE"""),"A.01.001649")</f>
        <v>A.01.001649</v>
      </c>
    </row>
    <row r="748" spans="1:2" ht="12.5" x14ac:dyDescent="0.25">
      <c r="A748" t="str">
        <f ca="1">IFERROR(__xludf.DUMMYFUNCTION("""COMPUTED_VALUE"""),"Confectionary for diabetics")</f>
        <v>Confectionary for diabetics</v>
      </c>
      <c r="B748" t="str">
        <f ca="1">IFERROR(__xludf.DUMMYFUNCTION("""COMPUTED_VALUE"""),"A.01.001775")</f>
        <v>A.01.001775</v>
      </c>
    </row>
    <row r="749" spans="1:2" ht="12.5" x14ac:dyDescent="0.25">
      <c r="A749" t="str">
        <f ca="1">IFERROR(__xludf.DUMMYFUNCTION("""COMPUTED_VALUE"""),"Confectionery (non-chocolate)")</f>
        <v>Confectionery (non-chocolate)</v>
      </c>
      <c r="B749" t="str">
        <f ca="1">IFERROR(__xludf.DUMMYFUNCTION("""COMPUTED_VALUE"""),"A.01.001310")</f>
        <v>A.01.001310</v>
      </c>
    </row>
    <row r="750" spans="1:2" ht="12.5" x14ac:dyDescent="0.25">
      <c r="A750" t="str">
        <f ca="1">IFERROR(__xludf.DUMMYFUNCTION("""COMPUTED_VALUE"""),"Confectionery products and byproducts")</f>
        <v>Confectionery products and byproducts</v>
      </c>
      <c r="B750" t="str">
        <f ca="1">IFERROR(__xludf.DUMMYFUNCTION("""COMPUTED_VALUE"""),"F12.02")</f>
        <v>F12.02</v>
      </c>
    </row>
    <row r="751" spans="1:2" ht="12.5" x14ac:dyDescent="0.25">
      <c r="A751" t="str">
        <f ca="1">IFERROR(__xludf.DUMMYFUNCTION("""COMPUTED_VALUE"""),"Cooked salami")</f>
        <v>Cooked salami</v>
      </c>
      <c r="B751" t="str">
        <f ca="1">IFERROR(__xludf.DUMMYFUNCTION("""COMPUTED_VALUE"""),"A.01.000849")</f>
        <v>A.01.000849</v>
      </c>
    </row>
    <row r="752" spans="1:2" ht="12.5" x14ac:dyDescent="0.25">
      <c r="A752" t="str">
        <f ca="1">IFERROR(__xludf.DUMMYFUNCTION("""COMPUTED_VALUE"""),"Cooked sausage")</f>
        <v>Cooked sausage</v>
      </c>
      <c r="B752" t="str">
        <f ca="1">IFERROR(__xludf.DUMMYFUNCTION("""COMPUTED_VALUE"""),"A.01.000822")</f>
        <v>A.01.000822</v>
      </c>
    </row>
    <row r="753" spans="1:2" ht="12.5" x14ac:dyDescent="0.25">
      <c r="A753" t="str">
        <f ca="1">IFERROR(__xludf.DUMMYFUNCTION("""COMPUTED_VALUE"""),"Cooked smoked sausage")</f>
        <v>Cooked smoked sausage</v>
      </c>
      <c r="B753" t="str">
        <f ca="1">IFERROR(__xludf.DUMMYFUNCTION("""COMPUTED_VALUE"""),"A.01.000826")</f>
        <v>A.01.000826</v>
      </c>
    </row>
    <row r="754" spans="1:2" ht="12.5" x14ac:dyDescent="0.25">
      <c r="A754" t="str">
        <f ca="1">IFERROR(__xludf.DUMMYFUNCTION("""COMPUTED_VALUE"""),"Cooking chocolate")</f>
        <v>Cooking chocolate</v>
      </c>
      <c r="B754" t="str">
        <f ca="1">IFERROR(__xludf.DUMMYFUNCTION("""COMPUTED_VALUE"""),"A.01.001306")</f>
        <v>A.01.001306</v>
      </c>
    </row>
    <row r="755" spans="1:2" ht="12.5" x14ac:dyDescent="0.25">
      <c r="A755" t="str">
        <f ca="1">IFERROR(__xludf.DUMMYFUNCTION("""COMPUTED_VALUE"""),"Cooking chocolate, white")</f>
        <v>Cooking chocolate, white</v>
      </c>
      <c r="B755" t="str">
        <f ca="1">IFERROR(__xludf.DUMMYFUNCTION("""COMPUTED_VALUE"""),"A.01.001307")</f>
        <v>A.01.001307</v>
      </c>
    </row>
    <row r="756" spans="1:2" ht="12.5" x14ac:dyDescent="0.25">
      <c r="A756" t="str">
        <f ca="1">IFERROR(__xludf.DUMMYFUNCTION("""COMPUTED_VALUE"""),"Copra expeller")</f>
        <v>Copra expeller</v>
      </c>
      <c r="B756" t="str">
        <f ca="1">IFERROR(__xludf.DUMMYFUNCTION("""COMPUTED_VALUE"""),"F02.10")</f>
        <v>F02.10</v>
      </c>
    </row>
    <row r="757" spans="1:2" ht="12.5" x14ac:dyDescent="0.25">
      <c r="A757" t="str">
        <f ca="1">IFERROR(__xludf.DUMMYFUNCTION("""COMPUTED_VALUE"""),"Copra expeller")</f>
        <v>Copra expeller</v>
      </c>
      <c r="B757" t="str">
        <f ca="1">IFERROR(__xludf.DUMMYFUNCTION("""COMPUTED_VALUE"""),"G.2.4")</f>
        <v>G.2.4</v>
      </c>
    </row>
    <row r="758" spans="1:2" ht="12.5" x14ac:dyDescent="0.25">
      <c r="A758" t="str">
        <f ca="1">IFERROR(__xludf.DUMMYFUNCTION("""COMPUTED_VALUE"""),"Copra meal")</f>
        <v>Copra meal</v>
      </c>
      <c r="B758" t="str">
        <f ca="1">IFERROR(__xludf.DUMMYFUNCTION("""COMPUTED_VALUE"""),"G.2.4.3")</f>
        <v>G.2.4.3</v>
      </c>
    </row>
    <row r="759" spans="1:2" ht="12.5" x14ac:dyDescent="0.25">
      <c r="A759" t="str">
        <f ca="1">IFERROR(__xludf.DUMMYFUNCTION("""COMPUTED_VALUE"""),"Copra, extracted")</f>
        <v>Copra, extracted</v>
      </c>
      <c r="B759" t="str">
        <f ca="1">IFERROR(__xludf.DUMMYFUNCTION("""COMPUTED_VALUE"""),"F02.11")</f>
        <v>F02.11</v>
      </c>
    </row>
    <row r="760" spans="1:2" ht="12.5" x14ac:dyDescent="0.25">
      <c r="A760" t="str">
        <f ca="1">IFERROR(__xludf.DUMMYFUNCTION("""COMPUTED_VALUE"""),"Copra, hydrolysed expeller")</f>
        <v>Copra, hydrolysed expeller</v>
      </c>
      <c r="B760" t="str">
        <f ca="1">IFERROR(__xludf.DUMMYFUNCTION("""COMPUTED_VALUE"""),"G.2.4.2")</f>
        <v>G.2.4.2</v>
      </c>
    </row>
    <row r="761" spans="1:2" ht="12.5" x14ac:dyDescent="0.25">
      <c r="A761" t="str">
        <f ca="1">IFERROR(__xludf.DUMMYFUNCTION("""COMPUTED_VALUE"""),"Coriander seed (Coriandrum sativum)")</f>
        <v>Coriander seed (Coriandrum sativum)</v>
      </c>
      <c r="B761" t="str">
        <f ca="1">IFERROR(__xludf.DUMMYFUNCTION("""COMPUTED_VALUE"""),"A.01.001609")</f>
        <v>A.01.001609</v>
      </c>
    </row>
    <row r="762" spans="1:2" ht="12.5" x14ac:dyDescent="0.25">
      <c r="A762" t="str">
        <f ca="1">IFERROR(__xludf.DUMMYFUNCTION("""COMPUTED_VALUE"""),"Corn bread")</f>
        <v>Corn bread</v>
      </c>
      <c r="B762" t="str">
        <f ca="1">IFERROR(__xludf.DUMMYFUNCTION("""COMPUTED_VALUE"""),"A.01.000156")</f>
        <v>A.01.000156</v>
      </c>
    </row>
    <row r="763" spans="1:2" ht="12.5" x14ac:dyDescent="0.25">
      <c r="A763" t="str">
        <f ca="1">IFERROR(__xludf.DUMMYFUNCTION("""COMPUTED_VALUE"""),"Corn chips")</f>
        <v>Corn chips</v>
      </c>
      <c r="B763" t="str">
        <f ca="1">IFERROR(__xludf.DUMMYFUNCTION("""COMPUTED_VALUE"""),"A.01.001880")</f>
        <v>A.01.001880</v>
      </c>
    </row>
    <row r="764" spans="1:2" ht="12.5" x14ac:dyDescent="0.25">
      <c r="A764" t="str">
        <f ca="1">IFERROR(__xludf.DUMMYFUNCTION("""COMPUTED_VALUE"""),"Corn curls")</f>
        <v>Corn curls</v>
      </c>
      <c r="B764" t="str">
        <f ca="1">IFERROR(__xludf.DUMMYFUNCTION("""COMPUTED_VALUE"""),"A.01.001882")</f>
        <v>A.01.001882</v>
      </c>
    </row>
    <row r="765" spans="1:2" ht="12.5" x14ac:dyDescent="0.25">
      <c r="A765" t="str">
        <f ca="1">IFERROR(__xludf.DUMMYFUNCTION("""COMPUTED_VALUE"""),"Corn flakes")</f>
        <v>Corn flakes</v>
      </c>
      <c r="B765" t="str">
        <f ca="1">IFERROR(__xludf.DUMMYFUNCTION("""COMPUTED_VALUE"""),"A.01.000187")</f>
        <v>A.01.000187</v>
      </c>
    </row>
    <row r="766" spans="1:2" ht="12.5" x14ac:dyDescent="0.25">
      <c r="A766" t="str">
        <f ca="1">IFERROR(__xludf.DUMMYFUNCTION("""COMPUTED_VALUE"""),"Corn flakes and nuts")</f>
        <v>Corn flakes and nuts</v>
      </c>
      <c r="B766" t="str">
        <f ca="1">IFERROR(__xludf.DUMMYFUNCTION("""COMPUTED_VALUE"""),"A.01.000188")</f>
        <v>A.01.000188</v>
      </c>
    </row>
    <row r="767" spans="1:2" ht="12.5" x14ac:dyDescent="0.25">
      <c r="A767" t="str">
        <f ca="1">IFERROR(__xludf.DUMMYFUNCTION("""COMPUTED_VALUE"""),"Corn flakes with honey and nuts")</f>
        <v>Corn flakes with honey and nuts</v>
      </c>
      <c r="B767" t="str">
        <f ca="1">IFERROR(__xludf.DUMMYFUNCTION("""COMPUTED_VALUE"""),"A.01.000189")</f>
        <v>A.01.000189</v>
      </c>
    </row>
    <row r="768" spans="1:2" ht="12.5" x14ac:dyDescent="0.25">
      <c r="A768" t="str">
        <f ca="1">IFERROR(__xludf.DUMMYFUNCTION("""COMPUTED_VALUE"""),"Corn flakes with honey and sugar")</f>
        <v>Corn flakes with honey and sugar</v>
      </c>
      <c r="B768" t="str">
        <f ca="1">IFERROR(__xludf.DUMMYFUNCTION("""COMPUTED_VALUE"""),"A.01.000190")</f>
        <v>A.01.000190</v>
      </c>
    </row>
    <row r="769" spans="1:2" ht="12.5" x14ac:dyDescent="0.25">
      <c r="A769" t="str">
        <f ca="1">IFERROR(__xludf.DUMMYFUNCTION("""COMPUTED_VALUE"""),"Corn flakes with sugar")</f>
        <v>Corn flakes with sugar</v>
      </c>
      <c r="B769" t="str">
        <f ca="1">IFERROR(__xludf.DUMMYFUNCTION("""COMPUTED_VALUE"""),"A.01.000191")</f>
        <v>A.01.000191</v>
      </c>
    </row>
    <row r="770" spans="1:2" ht="12.5" x14ac:dyDescent="0.25">
      <c r="A770" t="str">
        <f ca="1">IFERROR(__xludf.DUMMYFUNCTION("""COMPUTED_VALUE"""),"Corn flour")</f>
        <v>Corn flour</v>
      </c>
      <c r="B770" t="str">
        <f ca="1">IFERROR(__xludf.DUMMYFUNCTION("""COMPUTED_VALUE"""),"A.01.000072")</f>
        <v>A.01.000072</v>
      </c>
    </row>
    <row r="771" spans="1:2" ht="12.5" x14ac:dyDescent="0.25">
      <c r="A771" t="str">
        <f ca="1">IFERROR(__xludf.DUMMYFUNCTION("""COMPUTED_VALUE"""),"Corn grain")</f>
        <v>Corn grain</v>
      </c>
      <c r="B771" t="str">
        <f ca="1">IFERROR(__xludf.DUMMYFUNCTION("""COMPUTED_VALUE"""),"A.01.000022")</f>
        <v>A.01.000022</v>
      </c>
    </row>
    <row r="772" spans="1:2" ht="12.5" x14ac:dyDescent="0.25">
      <c r="A772" t="str">
        <f ca="1">IFERROR(__xludf.DUMMYFUNCTION("""COMPUTED_VALUE"""),"Corn grain (Crop)")</f>
        <v>Corn grain (Crop)</v>
      </c>
      <c r="B772" t="str">
        <f ca="1">IFERROR(__xludf.DUMMYFUNCTION("""COMPUTED_VALUE"""),"A.01.000005")</f>
        <v>A.01.000005</v>
      </c>
    </row>
    <row r="773" spans="1:2" ht="12.5" x14ac:dyDescent="0.25">
      <c r="A773" t="str">
        <f ca="1">IFERROR(__xludf.DUMMYFUNCTION("""COMPUTED_VALUE"""),"Corn milling products")</f>
        <v>Corn milling products</v>
      </c>
      <c r="B773" t="str">
        <f ca="1">IFERROR(__xludf.DUMMYFUNCTION("""COMPUTED_VALUE"""),"A.01.000071")</f>
        <v>A.01.000071</v>
      </c>
    </row>
    <row r="774" spans="1:2" ht="12.5" x14ac:dyDescent="0.25">
      <c r="A774" t="str">
        <f ca="1">IFERROR(__xludf.DUMMYFUNCTION("""COMPUTED_VALUE"""),"Corn oil")</f>
        <v>Corn oil</v>
      </c>
      <c r="B774" t="str">
        <f ca="1">IFERROR(__xludf.DUMMYFUNCTION("""COMPUTED_VALUE"""),"A.01.001370")</f>
        <v>A.01.001370</v>
      </c>
    </row>
    <row r="775" spans="1:2" ht="12.5" x14ac:dyDescent="0.25">
      <c r="A775" t="str">
        <f ca="1">IFERROR(__xludf.DUMMYFUNCTION("""COMPUTED_VALUE"""),"Corn semolina")</f>
        <v>Corn semolina</v>
      </c>
      <c r="B775" t="str">
        <f ca="1">IFERROR(__xludf.DUMMYFUNCTION("""COMPUTED_VALUE"""),"A.01.000073")</f>
        <v>A.01.000073</v>
      </c>
    </row>
    <row r="776" spans="1:2" ht="12.5" x14ac:dyDescent="0.25">
      <c r="A776" t="str">
        <f ca="1">IFERROR(__xludf.DUMMYFUNCTION("""COMPUTED_VALUE"""),"Corn starch")</f>
        <v>Corn starch</v>
      </c>
      <c r="B776" t="str">
        <f ca="1">IFERROR(__xludf.DUMMYFUNCTION("""COMPUTED_VALUE"""),"A.01.000074")</f>
        <v>A.01.000074</v>
      </c>
    </row>
    <row r="777" spans="1:2" ht="12.5" x14ac:dyDescent="0.25">
      <c r="A777" t="str">
        <f ca="1">IFERROR(__xludf.DUMMYFUNCTION("""COMPUTED_VALUE"""),"Corn syrup")</f>
        <v>Corn syrup</v>
      </c>
      <c r="B777" t="str">
        <f ca="1">IFERROR(__xludf.DUMMYFUNCTION("""COMPUTED_VALUE"""),"A.01.001337")</f>
        <v>A.01.001337</v>
      </c>
    </row>
    <row r="778" spans="1:2" ht="12.5" x14ac:dyDescent="0.25">
      <c r="A778" t="str">
        <f ca="1">IFERROR(__xludf.DUMMYFUNCTION("""COMPUTED_VALUE"""),"Corned beef")</f>
        <v>Corned beef</v>
      </c>
      <c r="B778" t="str">
        <f ca="1">IFERROR(__xludf.DUMMYFUNCTION("""COMPUTED_VALUE"""),"A.01.000803")</f>
        <v>A.01.000803</v>
      </c>
    </row>
    <row r="779" spans="1:2" ht="12.5" x14ac:dyDescent="0.25">
      <c r="A779" t="str">
        <f ca="1">IFERROR(__xludf.DUMMYFUNCTION("""COMPUTED_VALUE"""),"Corned pork")</f>
        <v>Corned pork</v>
      </c>
      <c r="B779" t="str">
        <f ca="1">IFERROR(__xludf.DUMMYFUNCTION("""COMPUTED_VALUE"""),"A.01.000804")</f>
        <v>A.01.000804</v>
      </c>
    </row>
    <row r="780" spans="1:2" ht="12.5" x14ac:dyDescent="0.25">
      <c r="A780" t="str">
        <f ca="1">IFERROR(__xludf.DUMMYFUNCTION("""COMPUTED_VALUE"""),"Corned turkey")</f>
        <v>Corned turkey</v>
      </c>
      <c r="B780" t="str">
        <f ca="1">IFERROR(__xludf.DUMMYFUNCTION("""COMPUTED_VALUE"""),"A.01.000805")</f>
        <v>A.01.000805</v>
      </c>
    </row>
    <row r="781" spans="1:2" ht="12.5" x14ac:dyDescent="0.25">
      <c r="A781" t="str">
        <f ca="1">IFERROR(__xludf.DUMMYFUNCTION("""COMPUTED_VALUE"""),"Cornflower seed")</f>
        <v>Cornflower seed</v>
      </c>
      <c r="B781" t="str">
        <f ca="1">IFERROR(__xludf.DUMMYFUNCTION("""COMPUTED_VALUE"""),"G.5.16")</f>
        <v>G.5.16</v>
      </c>
    </row>
    <row r="782" spans="1:2" ht="12.5" x14ac:dyDescent="0.25">
      <c r="A782" t="str">
        <f ca="1">IFERROR(__xludf.DUMMYFUNCTION("""COMPUTED_VALUE"""),"Cornmeal")</f>
        <v>Cornmeal</v>
      </c>
      <c r="B782" t="str">
        <f ca="1">IFERROR(__xludf.DUMMYFUNCTION("""COMPUTED_VALUE"""),"A.01.000075")</f>
        <v>A.01.000075</v>
      </c>
    </row>
    <row r="783" spans="1:2" ht="12.5" x14ac:dyDescent="0.25">
      <c r="A783" t="str">
        <f ca="1">IFERROR(__xludf.DUMMYFUNCTION("""COMPUTED_VALUE"""),"Cornmeal porridge")</f>
        <v>Cornmeal porridge</v>
      </c>
      <c r="B783" t="str">
        <f ca="1">IFERROR(__xludf.DUMMYFUNCTION("""COMPUTED_VALUE"""),"A.01.000249")</f>
        <v>A.01.000249</v>
      </c>
    </row>
    <row r="784" spans="1:2" ht="12.5" x14ac:dyDescent="0.25">
      <c r="A784" t="str">
        <f ca="1">IFERROR(__xludf.DUMMYFUNCTION("""COMPUTED_VALUE"""),"Cotto salami")</f>
        <v>Cotto salami</v>
      </c>
      <c r="B784" t="str">
        <f ca="1">IFERROR(__xludf.DUMMYFUNCTION("""COMPUTED_VALUE"""),"A.01.000850")</f>
        <v>A.01.000850</v>
      </c>
    </row>
    <row r="785" spans="1:2" ht="12.5" x14ac:dyDescent="0.25">
      <c r="A785" t="str">
        <f ca="1">IFERROR(__xludf.DUMMYFUNCTION("""COMPUTED_VALUE"""),"Cotton seed")</f>
        <v>Cotton seed</v>
      </c>
      <c r="B785" t="str">
        <f ca="1">IFERROR(__xludf.DUMMYFUNCTION("""COMPUTED_VALUE"""),"F02.20")</f>
        <v>F02.20</v>
      </c>
    </row>
    <row r="786" spans="1:2" ht="12.5" x14ac:dyDescent="0.25">
      <c r="A786" t="str">
        <f ca="1">IFERROR(__xludf.DUMMYFUNCTION("""COMPUTED_VALUE"""),"Cotton seed")</f>
        <v>Cotton seed</v>
      </c>
      <c r="B786" t="str">
        <f ca="1">IFERROR(__xludf.DUMMYFUNCTION("""COMPUTED_VALUE"""),"G.2.5")</f>
        <v>G.2.5</v>
      </c>
    </row>
    <row r="787" spans="1:2" ht="12.5" x14ac:dyDescent="0.25">
      <c r="A787" t="str">
        <f ca="1">IFERROR(__xludf.DUMMYFUNCTION("""COMPUTED_VALUE"""),"Cotton seed (Gossypium spp.)")</f>
        <v>Cotton seed (Gossypium spp.)</v>
      </c>
      <c r="B787" t="str">
        <f ca="1">IFERROR(__xludf.DUMMYFUNCTION("""COMPUTED_VALUE"""),"A.01.000536")</f>
        <v>A.01.000536</v>
      </c>
    </row>
    <row r="788" spans="1:2" ht="12.5" x14ac:dyDescent="0.25">
      <c r="A788" t="str">
        <f ca="1">IFERROR(__xludf.DUMMYFUNCTION("""COMPUTED_VALUE"""),"Cotton seed expeller")</f>
        <v>Cotton seed expeller</v>
      </c>
      <c r="B788" t="str">
        <f ca="1">IFERROR(__xludf.DUMMYFUNCTION("""COMPUTED_VALUE"""),"F02.22")</f>
        <v>F02.22</v>
      </c>
    </row>
    <row r="789" spans="1:2" ht="12.5" x14ac:dyDescent="0.25">
      <c r="A789" t="str">
        <f ca="1">IFERROR(__xludf.DUMMYFUNCTION("""COMPUTED_VALUE"""),"Cotton seed expeller")</f>
        <v>Cotton seed expeller</v>
      </c>
      <c r="B789" t="str">
        <f ca="1">IFERROR(__xludf.DUMMYFUNCTION("""COMPUTED_VALUE"""),"G.2.5.3")</f>
        <v>G.2.5.3</v>
      </c>
    </row>
    <row r="790" spans="1:2" ht="12.5" x14ac:dyDescent="0.25">
      <c r="A790" t="str">
        <f ca="1">IFERROR(__xludf.DUMMYFUNCTION("""COMPUTED_VALUE"""),"Cotton seed meal, partially decorticated")</f>
        <v>Cotton seed meal, partially decorticated</v>
      </c>
      <c r="B790" t="str">
        <f ca="1">IFERROR(__xludf.DUMMYFUNCTION("""COMPUTED_VALUE"""),"G.2.5.2")</f>
        <v>G.2.5.2</v>
      </c>
    </row>
    <row r="791" spans="1:2" ht="12.5" x14ac:dyDescent="0.25">
      <c r="A791" t="str">
        <f ca="1">IFERROR(__xludf.DUMMYFUNCTION("""COMPUTED_VALUE"""),"Cotton seed, partially decorticated, extracted")</f>
        <v>Cotton seed, partially decorticated, extracted</v>
      </c>
      <c r="B791" t="str">
        <f ca="1">IFERROR(__xludf.DUMMYFUNCTION("""COMPUTED_VALUE"""),"F02.21")</f>
        <v>F02.21</v>
      </c>
    </row>
    <row r="792" spans="1:2" ht="12.5" x14ac:dyDescent="0.25">
      <c r="A792" t="str">
        <f ca="1">IFERROR(__xludf.DUMMYFUNCTION("""COMPUTED_VALUE"""),"Cottonseed oil")</f>
        <v>Cottonseed oil</v>
      </c>
      <c r="B792" t="str">
        <f ca="1">IFERROR(__xludf.DUMMYFUNCTION("""COMPUTED_VALUE"""),"A.01.001371")</f>
        <v>A.01.001371</v>
      </c>
    </row>
    <row r="793" spans="1:2" ht="12.5" x14ac:dyDescent="0.25">
      <c r="A793" t="str">
        <f ca="1">IFERROR(__xludf.DUMMYFUNCTION("""COMPUTED_VALUE"""),"Courgettes (Zucchini) (Cucurbita pepo var. melopepo)")</f>
        <v>Courgettes (Zucchini) (Cucurbita pepo var. melopepo)</v>
      </c>
      <c r="B793" t="str">
        <f ca="1">IFERROR(__xludf.DUMMYFUNCTION("""COMPUTED_VALUE"""),"A.01.000345")</f>
        <v>A.01.000345</v>
      </c>
    </row>
    <row r="794" spans="1:2" ht="12.5" x14ac:dyDescent="0.25">
      <c r="A794" t="str">
        <f ca="1">IFERROR(__xludf.DUMMYFUNCTION("""COMPUTED_VALUE"""),"Couscous")</f>
        <v>Couscous</v>
      </c>
      <c r="B794" t="str">
        <f ca="1">IFERROR(__xludf.DUMMYFUNCTION("""COMPUTED_VALUE"""),"A.01.000051")</f>
        <v>A.01.000051</v>
      </c>
    </row>
    <row r="795" spans="1:2" ht="12.5" x14ac:dyDescent="0.25">
      <c r="A795" t="str">
        <f ca="1">IFERROR(__xludf.DUMMYFUNCTION("""COMPUTED_VALUE"""),"Cow milk")</f>
        <v>Cow milk</v>
      </c>
      <c r="B795" t="str">
        <f ca="1">IFERROR(__xludf.DUMMYFUNCTION("""COMPUTED_VALUE"""),"A.01.000950")</f>
        <v>A.01.000950</v>
      </c>
    </row>
    <row r="796" spans="1:2" ht="12.5" x14ac:dyDescent="0.25">
      <c r="A796" t="str">
        <f ca="1">IFERROR(__xludf.DUMMYFUNCTION("""COMPUTED_VALUE"""),"Cow milk, &lt; 1% fat (skimmed milk)")</f>
        <v>Cow milk, &lt; 1% fat (skimmed milk)</v>
      </c>
      <c r="B796" t="str">
        <f ca="1">IFERROR(__xludf.DUMMYFUNCTION("""COMPUTED_VALUE"""),"A.01.000954")</f>
        <v>A.01.000954</v>
      </c>
    </row>
    <row r="797" spans="1:2" ht="12.5" x14ac:dyDescent="0.25">
      <c r="A797" t="str">
        <f ca="1">IFERROR(__xludf.DUMMYFUNCTION("""COMPUTED_VALUE"""),"Cow milk, &gt; 4% fat (inc. Channel Island milk)")</f>
        <v>Cow milk, &gt; 4% fat (inc. Channel Island milk)</v>
      </c>
      <c r="B797" t="str">
        <f ca="1">IFERROR(__xludf.DUMMYFUNCTION("""COMPUTED_VALUE"""),"A.01.000951")</f>
        <v>A.01.000951</v>
      </c>
    </row>
    <row r="798" spans="1:2" ht="12.5" x14ac:dyDescent="0.25">
      <c r="A798" t="str">
        <f ca="1">IFERROR(__xludf.DUMMYFUNCTION("""COMPUTED_VALUE"""),"Cow milk, 1 - 2.9% fat (semi-skimmed milk)")</f>
        <v>Cow milk, 1 - 2.9% fat (semi-skimmed milk)</v>
      </c>
      <c r="B798" t="str">
        <f ca="1">IFERROR(__xludf.DUMMYFUNCTION("""COMPUTED_VALUE"""),"A.01.000953")</f>
        <v>A.01.000953</v>
      </c>
    </row>
    <row r="799" spans="1:2" ht="12.5" x14ac:dyDescent="0.25">
      <c r="A799" t="str">
        <f ca="1">IFERROR(__xludf.DUMMYFUNCTION("""COMPUTED_VALUE"""),"Cow milk, 3 - 4% fat (whole milk)")</f>
        <v>Cow milk, 3 - 4% fat (whole milk)</v>
      </c>
      <c r="B799" t="str">
        <f ca="1">IFERROR(__xludf.DUMMYFUNCTION("""COMPUTED_VALUE"""),"A.01.000952")</f>
        <v>A.01.000952</v>
      </c>
    </row>
    <row r="800" spans="1:2" ht="12.5" x14ac:dyDescent="0.25">
      <c r="A800" t="str">
        <f ca="1">IFERROR(__xludf.DUMMYFUNCTION("""COMPUTED_VALUE"""),"Crab (Cancer spp.)")</f>
        <v>Crab (Cancer spp.)</v>
      </c>
      <c r="B800" t="str">
        <f ca="1">IFERROR(__xludf.DUMMYFUNCTION("""COMPUTED_VALUE"""),"A.01.000920")</f>
        <v>A.01.000920</v>
      </c>
    </row>
    <row r="801" spans="1:2" ht="12.5" x14ac:dyDescent="0.25">
      <c r="A801" t="str">
        <f ca="1">IFERROR(__xludf.DUMMYFUNCTION("""COMPUTED_VALUE"""),"Cranberries (Vaccinium macrocarpon)")</f>
        <v>Cranberries (Vaccinium macrocarpon)</v>
      </c>
      <c r="B801" t="str">
        <f ca="1">IFERROR(__xludf.DUMMYFUNCTION("""COMPUTED_VALUE"""),"A.01.000584")</f>
        <v>A.01.000584</v>
      </c>
    </row>
    <row r="802" spans="1:2" ht="12.5" x14ac:dyDescent="0.25">
      <c r="A802" t="str">
        <f ca="1">IFERROR(__xludf.DUMMYFUNCTION("""COMPUTED_VALUE"""),"Cranberry (Vaccinium spp.)")</f>
        <v>Cranberry (Vaccinium spp.)</v>
      </c>
      <c r="B802" t="str">
        <f ca="1">IFERROR(__xludf.DUMMYFUNCTION("""COMPUTED_VALUE"""),"A.01.000599")</f>
        <v>A.01.000599</v>
      </c>
    </row>
    <row r="803" spans="1:2" ht="12.5" x14ac:dyDescent="0.25">
      <c r="A803" t="str">
        <f ca="1">IFERROR(__xludf.DUMMYFUNCTION("""COMPUTED_VALUE"""),"Crawfish (Panulirus spp.)")</f>
        <v>Crawfish (Panulirus spp.)</v>
      </c>
      <c r="B803" t="str">
        <f ca="1">IFERROR(__xludf.DUMMYFUNCTION("""COMPUTED_VALUE"""),"A.01.000925")</f>
        <v>A.01.000925</v>
      </c>
    </row>
    <row r="804" spans="1:2" ht="12.5" x14ac:dyDescent="0.25">
      <c r="A804" t="str">
        <f ca="1">IFERROR(__xludf.DUMMYFUNCTION("""COMPUTED_VALUE"""),"Crayfish (Astacus spp.)")</f>
        <v>Crayfish (Astacus spp.)</v>
      </c>
      <c r="B804" t="str">
        <f ca="1">IFERROR(__xludf.DUMMYFUNCTION("""COMPUTED_VALUE"""),"A.01.000926")</f>
        <v>A.01.000926</v>
      </c>
    </row>
    <row r="805" spans="1:2" ht="12.5" x14ac:dyDescent="0.25">
      <c r="A805" t="str">
        <f ca="1">IFERROR(__xludf.DUMMYFUNCTION("""COMPUTED_VALUE"""),"Cream")</f>
        <v>Cream</v>
      </c>
      <c r="B805" t="str">
        <f ca="1">IFERROR(__xludf.DUMMYFUNCTION("""COMPUTED_VALUE"""),"A.01.001001")</f>
        <v>A.01.001001</v>
      </c>
    </row>
    <row r="806" spans="1:2" ht="12.5" x14ac:dyDescent="0.25">
      <c r="A806" t="str">
        <f ca="1">IFERROR(__xludf.DUMMYFUNCTION("""COMPUTED_VALUE"""),"Cream 10% fat")</f>
        <v>Cream 10% fat</v>
      </c>
      <c r="B806" t="str">
        <f ca="1">IFERROR(__xludf.DUMMYFUNCTION("""COMPUTED_VALUE"""),"A.01.001002")</f>
        <v>A.01.001002</v>
      </c>
    </row>
    <row r="807" spans="1:2" ht="12.5" x14ac:dyDescent="0.25">
      <c r="A807" t="str">
        <f ca="1">IFERROR(__xludf.DUMMYFUNCTION("""COMPUTED_VALUE"""),"Cream 20% fat")</f>
        <v>Cream 20% fat</v>
      </c>
      <c r="B807" t="str">
        <f ca="1">IFERROR(__xludf.DUMMYFUNCTION("""COMPUTED_VALUE"""),"A.01.001003")</f>
        <v>A.01.001003</v>
      </c>
    </row>
    <row r="808" spans="1:2" ht="12.5" x14ac:dyDescent="0.25">
      <c r="A808" t="str">
        <f ca="1">IFERROR(__xludf.DUMMYFUNCTION("""COMPUTED_VALUE"""),"Cream 30 % fat")</f>
        <v>Cream 30 % fat</v>
      </c>
      <c r="B808" t="str">
        <f ca="1">IFERROR(__xludf.DUMMYFUNCTION("""COMPUTED_VALUE"""),"A.01.001004")</f>
        <v>A.01.001004</v>
      </c>
    </row>
    <row r="809" spans="1:2" ht="12.5" x14ac:dyDescent="0.25">
      <c r="A809" t="str">
        <f ca="1">IFERROR(__xludf.DUMMYFUNCTION("""COMPUTED_VALUE"""),"Cream 40 % fat")</f>
        <v>Cream 40 % fat</v>
      </c>
      <c r="B809" t="str">
        <f ca="1">IFERROR(__xludf.DUMMYFUNCTION("""COMPUTED_VALUE"""),"A.01.001005")</f>
        <v>A.01.001005</v>
      </c>
    </row>
    <row r="810" spans="1:2" ht="12.5" x14ac:dyDescent="0.25">
      <c r="A810" t="str">
        <f ca="1">IFERROR(__xludf.DUMMYFUNCTION("""COMPUTED_VALUE"""),"Cream and cream products")</f>
        <v>Cream and cream products</v>
      </c>
      <c r="B810" t="str">
        <f ca="1">IFERROR(__xludf.DUMMYFUNCTION("""COMPUTED_VALUE"""),"A.01.001000")</f>
        <v>A.01.001000</v>
      </c>
    </row>
    <row r="811" spans="1:2" ht="12.5" x14ac:dyDescent="0.25">
      <c r="A811" t="str">
        <f ca="1">IFERROR(__xludf.DUMMYFUNCTION("""COMPUTED_VALUE"""),"Cream cake")</f>
        <v>Cream cake</v>
      </c>
      <c r="B811" t="str">
        <f ca="1">IFERROR(__xludf.DUMMYFUNCTION("""COMPUTED_VALUE"""),"A.01.000261")</f>
        <v>A.01.000261</v>
      </c>
    </row>
    <row r="812" spans="1:2" ht="12.5" x14ac:dyDescent="0.25">
      <c r="A812" t="str">
        <f ca="1">IFERROR(__xludf.DUMMYFUNCTION("""COMPUTED_VALUE"""),"Cream cheese cake")</f>
        <v>Cream cheese cake</v>
      </c>
      <c r="B812" t="str">
        <f ca="1">IFERROR(__xludf.DUMMYFUNCTION("""COMPUTED_VALUE"""),"A.01.000262")</f>
        <v>A.01.000262</v>
      </c>
    </row>
    <row r="813" spans="1:2" ht="12.5" x14ac:dyDescent="0.25">
      <c r="A813" t="str">
        <f ca="1">IFERROR(__xludf.DUMMYFUNCTION("""COMPUTED_VALUE"""),"Cream custard cake")</f>
        <v>Cream custard cake</v>
      </c>
      <c r="B813" t="str">
        <f ca="1">IFERROR(__xludf.DUMMYFUNCTION("""COMPUTED_VALUE"""),"A.01.000263")</f>
        <v>A.01.000263</v>
      </c>
    </row>
    <row r="814" spans="1:2" ht="12.5" x14ac:dyDescent="0.25">
      <c r="A814" t="str">
        <f ca="1">IFERROR(__xludf.DUMMYFUNCTION("""COMPUTED_VALUE"""),"Cream custard sponge cake")</f>
        <v>Cream custard sponge cake</v>
      </c>
      <c r="B814" t="str">
        <f ca="1">IFERROR(__xludf.DUMMYFUNCTION("""COMPUTED_VALUE"""),"A.01.000264")</f>
        <v>A.01.000264</v>
      </c>
    </row>
    <row r="815" spans="1:2" ht="12.5" x14ac:dyDescent="0.25">
      <c r="A815" t="str">
        <f ca="1">IFERROR(__xludf.DUMMYFUNCTION("""COMPUTED_VALUE"""),"Cream liqueur")</f>
        <v>Cream liqueur</v>
      </c>
      <c r="B815" t="str">
        <f ca="1">IFERROR(__xludf.DUMMYFUNCTION("""COMPUTED_VALUE"""),"A.01.001559")</f>
        <v>A.01.001559</v>
      </c>
    </row>
    <row r="816" spans="1:2" ht="12.5" x14ac:dyDescent="0.25">
      <c r="A816" t="str">
        <f ca="1">IFERROR(__xludf.DUMMYFUNCTION("""COMPUTED_VALUE"""),"Cream of tartar")</f>
        <v>Cream of tartar</v>
      </c>
      <c r="B816" t="str">
        <f ca="1">IFERROR(__xludf.DUMMYFUNCTION("""COMPUTED_VALUE"""),"A.01.001713")</f>
        <v>A.01.001713</v>
      </c>
    </row>
    <row r="817" spans="1:2" ht="12.5" x14ac:dyDescent="0.25">
      <c r="A817" t="str">
        <f ca="1">IFERROR(__xludf.DUMMYFUNCTION("""COMPUTED_VALUE"""),"Cream powder")</f>
        <v>Cream powder</v>
      </c>
      <c r="B817" t="str">
        <f ca="1">IFERROR(__xludf.DUMMYFUNCTION("""COMPUTED_VALUE"""),"A.01.001007")</f>
        <v>A.01.001007</v>
      </c>
    </row>
    <row r="818" spans="1:2" ht="12.5" x14ac:dyDescent="0.25">
      <c r="A818" t="str">
        <f ca="1">IFERROR(__xludf.DUMMYFUNCTION("""COMPUTED_VALUE"""),"Cream sauce")</f>
        <v>Cream sauce</v>
      </c>
      <c r="B818" t="str">
        <f ca="1">IFERROR(__xludf.DUMMYFUNCTION("""COMPUTED_VALUE"""),"A.01.001687")</f>
        <v>A.01.001687</v>
      </c>
    </row>
    <row r="819" spans="1:2" ht="12.5" x14ac:dyDescent="0.25">
      <c r="A819" t="str">
        <f ca="1">IFERROR(__xludf.DUMMYFUNCTION("""COMPUTED_VALUE"""),"Cream-cheese strudel")</f>
        <v>Cream-cheese strudel</v>
      </c>
      <c r="B819" t="str">
        <f ca="1">IFERROR(__xludf.DUMMYFUNCTION("""COMPUTED_VALUE"""),"A.01.000292")</f>
        <v>A.01.000292</v>
      </c>
    </row>
    <row r="820" spans="1:2" ht="12.5" x14ac:dyDescent="0.25">
      <c r="A820" t="str">
        <f ca="1">IFERROR(__xludf.DUMMYFUNCTION("""COMPUTED_VALUE"""),"Cream, &gt; 50% fat (inc. clotted cream)")</f>
        <v>Cream, &gt; 50% fat (inc. clotted cream)</v>
      </c>
      <c r="B820" t="str">
        <f ca="1">IFERROR(__xludf.DUMMYFUNCTION("""COMPUTED_VALUE"""),"A.01.001006")</f>
        <v>A.01.001006</v>
      </c>
    </row>
    <row r="821" spans="1:2" ht="12.5" x14ac:dyDescent="0.25">
      <c r="A821" t="str">
        <f ca="1">IFERROR(__xludf.DUMMYFUNCTION("""COMPUTED_VALUE"""),"Crème fraîche")</f>
        <v>Crème fraîche</v>
      </c>
      <c r="B821" t="str">
        <f ca="1">IFERROR(__xludf.DUMMYFUNCTION("""COMPUTED_VALUE"""),"A.01.001021")</f>
        <v>A.01.001021</v>
      </c>
    </row>
    <row r="822" spans="1:2" ht="12.5" x14ac:dyDescent="0.25">
      <c r="A822" t="str">
        <f ca="1">IFERROR(__xludf.DUMMYFUNCTION("""COMPUTED_VALUE"""),"Crème fraîche, &gt;30% fat")</f>
        <v>Crème fraîche, &gt;30% fat</v>
      </c>
      <c r="B822" t="str">
        <f ca="1">IFERROR(__xludf.DUMMYFUNCTION("""COMPUTED_VALUE"""),"A.01.001026")</f>
        <v>A.01.001026</v>
      </c>
    </row>
    <row r="823" spans="1:2" ht="12.5" x14ac:dyDescent="0.25">
      <c r="A823" t="str">
        <f ca="1">IFERROR(__xludf.DUMMYFUNCTION("""COMPUTED_VALUE"""),"Crème fraîche, 13% fat")</f>
        <v>Crème fraîche, 13% fat</v>
      </c>
      <c r="B823" t="str">
        <f ca="1">IFERROR(__xludf.DUMMYFUNCTION("""COMPUTED_VALUE"""),"A.01.001022")</f>
        <v>A.01.001022</v>
      </c>
    </row>
    <row r="824" spans="1:2" ht="12.5" x14ac:dyDescent="0.25">
      <c r="A824" t="str">
        <f ca="1">IFERROR(__xludf.DUMMYFUNCTION("""COMPUTED_VALUE"""),"Crème fraîche, 15-20% fat")</f>
        <v>Crème fraîche, 15-20% fat</v>
      </c>
      <c r="B824" t="str">
        <f ca="1">IFERROR(__xludf.DUMMYFUNCTION("""COMPUTED_VALUE"""),"A.01.001023")</f>
        <v>A.01.001023</v>
      </c>
    </row>
    <row r="825" spans="1:2" ht="12.5" x14ac:dyDescent="0.25">
      <c r="A825" t="str">
        <f ca="1">IFERROR(__xludf.DUMMYFUNCTION("""COMPUTED_VALUE"""),"Crème fraîche, 28% fat")</f>
        <v>Crème fraîche, 28% fat</v>
      </c>
      <c r="B825" t="str">
        <f ca="1">IFERROR(__xludf.DUMMYFUNCTION("""COMPUTED_VALUE"""),"A.01.001024")</f>
        <v>A.01.001024</v>
      </c>
    </row>
    <row r="826" spans="1:2" ht="12.5" x14ac:dyDescent="0.25">
      <c r="A826" t="str">
        <f ca="1">IFERROR(__xludf.DUMMYFUNCTION("""COMPUTED_VALUE"""),"Crème fraîche, 30% fat")</f>
        <v>Crème fraîche, 30% fat</v>
      </c>
      <c r="B826" t="str">
        <f ca="1">IFERROR(__xludf.DUMMYFUNCTION("""COMPUTED_VALUE"""),"A.01.001025")</f>
        <v>A.01.001025</v>
      </c>
    </row>
    <row r="827" spans="1:2" ht="12.5" x14ac:dyDescent="0.25">
      <c r="A827" t="str">
        <f ca="1">IFERROR(__xludf.DUMMYFUNCTION("""COMPUTED_VALUE"""),"Cress (Lepidium sativum)")</f>
        <v>Cress (Lepidium sativum)</v>
      </c>
      <c r="B827" t="str">
        <f ca="1">IFERROR(__xludf.DUMMYFUNCTION("""COMPUTED_VALUE"""),"A.01.000364")</f>
        <v>A.01.000364</v>
      </c>
    </row>
    <row r="828" spans="1:2" ht="12.5" x14ac:dyDescent="0.25">
      <c r="A828" t="str">
        <f ca="1">IFERROR(__xludf.DUMMYFUNCTION("""COMPUTED_VALUE"""),"Crisp bread, rye wholemeal")</f>
        <v>Crisp bread, rye wholemeal</v>
      </c>
      <c r="B828" t="str">
        <f ca="1">IFERROR(__xludf.DUMMYFUNCTION("""COMPUTED_VALUE"""),"A.01.000145")</f>
        <v>A.01.000145</v>
      </c>
    </row>
    <row r="829" spans="1:2" ht="12.5" x14ac:dyDescent="0.25">
      <c r="A829" t="str">
        <f ca="1">IFERROR(__xludf.DUMMYFUNCTION("""COMPUTED_VALUE"""),"Crisp bread, rye, light")</f>
        <v>Crisp bread, rye, light</v>
      </c>
      <c r="B829" t="str">
        <f ca="1">IFERROR(__xludf.DUMMYFUNCTION("""COMPUTED_VALUE"""),"A.01.000146")</f>
        <v>A.01.000146</v>
      </c>
    </row>
    <row r="830" spans="1:2" ht="12.5" x14ac:dyDescent="0.25">
      <c r="A830" t="str">
        <f ca="1">IFERROR(__xludf.DUMMYFUNCTION("""COMPUTED_VALUE"""),"Crisp bread, wheat, light")</f>
        <v>Crisp bread, wheat, light</v>
      </c>
      <c r="B830" t="str">
        <f ca="1">IFERROR(__xludf.DUMMYFUNCTION("""COMPUTED_VALUE"""),"A.01.000148")</f>
        <v>A.01.000148</v>
      </c>
    </row>
    <row r="831" spans="1:2" ht="12.5" x14ac:dyDescent="0.25">
      <c r="A831" t="str">
        <f ca="1">IFERROR(__xludf.DUMMYFUNCTION("""COMPUTED_VALUE"""),"Crisp bread, wheat, wholemeal")</f>
        <v>Crisp bread, wheat, wholemeal</v>
      </c>
      <c r="B831" t="str">
        <f ca="1">IFERROR(__xludf.DUMMYFUNCTION("""COMPUTED_VALUE"""),"A.01.000147")</f>
        <v>A.01.000147</v>
      </c>
    </row>
    <row r="832" spans="1:2" ht="12.5" x14ac:dyDescent="0.25">
      <c r="A832" t="str">
        <f ca="1">IFERROR(__xludf.DUMMYFUNCTION("""COMPUTED_VALUE"""),"Cristobalite")</f>
        <v>Cristobalite</v>
      </c>
      <c r="B832" t="str">
        <f ca="1">IFERROR(__xludf.DUMMYFUNCTION("""COMPUTED_VALUE"""),"G.11.7.3")</f>
        <v>G.11.7.3</v>
      </c>
    </row>
    <row r="833" spans="1:2" ht="12.5" x14ac:dyDescent="0.25">
      <c r="A833" t="str">
        <f ca="1">IFERROR(__xludf.DUMMYFUNCTION("""COMPUTED_VALUE"""),"Crocodile meat")</f>
        <v>Crocodile meat</v>
      </c>
      <c r="B833" t="str">
        <f ca="1">IFERROR(__xludf.DUMMYFUNCTION("""COMPUTED_VALUE"""),"A.01.000945")</f>
        <v>A.01.000945</v>
      </c>
    </row>
    <row r="834" spans="1:2" ht="12.5" x14ac:dyDescent="0.25">
      <c r="A834" t="str">
        <f ca="1">IFERROR(__xludf.DUMMYFUNCTION("""COMPUTED_VALUE"""),"Croissant")</f>
        <v>Croissant</v>
      </c>
      <c r="B834" t="str">
        <f ca="1">IFERROR(__xludf.DUMMYFUNCTION("""COMPUTED_VALUE"""),"A.01.000265")</f>
        <v>A.01.000265</v>
      </c>
    </row>
    <row r="835" spans="1:2" ht="12.5" x14ac:dyDescent="0.25">
      <c r="A835" t="str">
        <f ca="1">IFERROR(__xludf.DUMMYFUNCTION("""COMPUTED_VALUE"""),"Croissant from puff pastry")</f>
        <v>Croissant from puff pastry</v>
      </c>
      <c r="B835" t="str">
        <f ca="1">IFERROR(__xludf.DUMMYFUNCTION("""COMPUTED_VALUE"""),"A.01.000294")</f>
        <v>A.01.000294</v>
      </c>
    </row>
    <row r="836" spans="1:2" ht="12.5" x14ac:dyDescent="0.25">
      <c r="A836" t="str">
        <f ca="1">IFERROR(__xludf.DUMMYFUNCTION("""COMPUTED_VALUE"""),"Croissant, filled with chocolate")</f>
        <v>Croissant, filled with chocolate</v>
      </c>
      <c r="B836" t="str">
        <f ca="1">IFERROR(__xludf.DUMMYFUNCTION("""COMPUTED_VALUE"""),"A.01.000266")</f>
        <v>A.01.000266</v>
      </c>
    </row>
    <row r="837" spans="1:2" ht="12.5" x14ac:dyDescent="0.25">
      <c r="A837" t="str">
        <f ca="1">IFERROR(__xludf.DUMMYFUNCTION("""COMPUTED_VALUE"""),"Croissant, filled with cream")</f>
        <v>Croissant, filled with cream</v>
      </c>
      <c r="B837" t="str">
        <f ca="1">IFERROR(__xludf.DUMMYFUNCTION("""COMPUTED_VALUE"""),"A.01.000267")</f>
        <v>A.01.000267</v>
      </c>
    </row>
    <row r="838" spans="1:2" ht="12.5" x14ac:dyDescent="0.25">
      <c r="A838" t="str">
        <f ca="1">IFERROR(__xludf.DUMMYFUNCTION("""COMPUTED_VALUE"""),"Croissant, filled with jam")</f>
        <v>Croissant, filled with jam</v>
      </c>
      <c r="B838" t="str">
        <f ca="1">IFERROR(__xludf.DUMMYFUNCTION("""COMPUTED_VALUE"""),"A.01.000268")</f>
        <v>A.01.000268</v>
      </c>
    </row>
    <row r="839" spans="1:2" ht="12.5" x14ac:dyDescent="0.25">
      <c r="A839" t="str">
        <f ca="1">IFERROR(__xludf.DUMMYFUNCTION("""COMPUTED_VALUE"""),"Croquembouche")</f>
        <v>Croquembouche</v>
      </c>
      <c r="B839" t="str">
        <f ca="1">IFERROR(__xludf.DUMMYFUNCTION("""COMPUTED_VALUE"""),"A.01.000269")</f>
        <v>A.01.000269</v>
      </c>
    </row>
    <row r="840" spans="1:2" ht="12.5" x14ac:dyDescent="0.25">
      <c r="A840" t="str">
        <f ca="1">IFERROR(__xludf.DUMMYFUNCTION("""COMPUTED_VALUE"""),"Croutons")</f>
        <v>Croutons</v>
      </c>
      <c r="B840" t="str">
        <f ca="1">IFERROR(__xludf.DUMMYFUNCTION("""COMPUTED_VALUE"""),"A.01.000166")</f>
        <v>A.01.000166</v>
      </c>
    </row>
    <row r="841" spans="1:2" ht="12.5" x14ac:dyDescent="0.25">
      <c r="A841" t="str">
        <f ca="1">IFERROR(__xludf.DUMMYFUNCTION("""COMPUTED_VALUE"""),"Crowberry (Empetrum spp.)")</f>
        <v>Crowberry (Empetrum spp.)</v>
      </c>
      <c r="B841" t="str">
        <f ca="1">IFERROR(__xludf.DUMMYFUNCTION("""COMPUTED_VALUE"""),"A.01.000598")</f>
        <v>A.01.000598</v>
      </c>
    </row>
    <row r="842" spans="1:2" ht="12.5" x14ac:dyDescent="0.25">
      <c r="A842" t="str">
        <f ca="1">IFERROR(__xludf.DUMMYFUNCTION("""COMPUTED_VALUE"""),"Crude lecithins")</f>
        <v>Crude lecithins</v>
      </c>
      <c r="B842" t="str">
        <f ca="1">IFERROR(__xludf.DUMMYFUNCTION("""COMPUTED_VALUE"""),"G.2.21")</f>
        <v>G.2.21</v>
      </c>
    </row>
    <row r="843" spans="1:2" ht="12.5" x14ac:dyDescent="0.25">
      <c r="A843" t="str">
        <f ca="1">IFERROR(__xludf.DUMMYFUNCTION("""COMPUTED_VALUE"""),"Crude maize germ oil")</f>
        <v>Crude maize germ oil</v>
      </c>
      <c r="B843" t="str">
        <f ca="1">IFERROR(__xludf.DUMMYFUNCTION("""COMPUTED_VALUE"""),"G.1.2.13")</f>
        <v>G.1.2.13</v>
      </c>
    </row>
    <row r="844" spans="1:2" ht="12.5" x14ac:dyDescent="0.25">
      <c r="A844" t="str">
        <f ca="1">IFERROR(__xludf.DUMMYFUNCTION("""COMPUTED_VALUE"""),"Crustacea meal")</f>
        <v>Crustacea meal</v>
      </c>
      <c r="B844" t="str">
        <f ca="1">IFERROR(__xludf.DUMMYFUNCTION("""COMPUTED_VALUE"""),"G.10.3")</f>
        <v>G.10.3</v>
      </c>
    </row>
    <row r="845" spans="1:2" ht="12.5" x14ac:dyDescent="0.25">
      <c r="A845" t="str">
        <f ca="1">IFERROR(__xludf.DUMMYFUNCTION("""COMPUTED_VALUE"""),"Crustaceans")</f>
        <v>Crustaceans</v>
      </c>
      <c r="B845" t="str">
        <f ca="1">IFERROR(__xludf.DUMMYFUNCTION("""COMPUTED_VALUE"""),"C11A_3")</f>
        <v>C11A_3</v>
      </c>
    </row>
    <row r="846" spans="1:2" ht="12.5" x14ac:dyDescent="0.25">
      <c r="A846" t="str">
        <f ca="1">IFERROR(__xludf.DUMMYFUNCTION("""COMPUTED_VALUE"""),"Crustaceans")</f>
        <v>Crustaceans</v>
      </c>
      <c r="B846" t="str">
        <f ca="1">IFERROR(__xludf.DUMMYFUNCTION("""COMPUTED_VALUE"""),"A.01.000919")</f>
        <v>A.01.000919</v>
      </c>
    </row>
    <row r="847" spans="1:2" ht="12.5" x14ac:dyDescent="0.25">
      <c r="A847" t="str">
        <f ca="1">IFERROR(__xludf.DUMMYFUNCTION("""COMPUTED_VALUE"""),"Cucumber chutney")</f>
        <v>Cucumber chutney</v>
      </c>
      <c r="B847" t="str">
        <f ca="1">IFERROR(__xludf.DUMMYFUNCTION("""COMPUTED_VALUE"""),"A.01.001675")</f>
        <v>A.01.001675</v>
      </c>
    </row>
    <row r="848" spans="1:2" ht="12.5" x14ac:dyDescent="0.25">
      <c r="A848" t="str">
        <f ca="1">IFERROR(__xludf.DUMMYFUNCTION("""COMPUTED_VALUE"""),"Cucumber seed")</f>
        <v>Cucumber seed</v>
      </c>
      <c r="B848" t="str">
        <f ca="1">IFERROR(__xludf.DUMMYFUNCTION("""COMPUTED_VALUE"""),"G.5.17")</f>
        <v>G.5.17</v>
      </c>
    </row>
    <row r="849" spans="1:2" ht="12.5" x14ac:dyDescent="0.25">
      <c r="A849" t="str">
        <f ca="1">IFERROR(__xludf.DUMMYFUNCTION("""COMPUTED_VALUE"""),"Cucumbers (Cucumis sativus)")</f>
        <v>Cucumbers (Cucumis sativus)</v>
      </c>
      <c r="B849" t="str">
        <f ca="1">IFERROR(__xludf.DUMMYFUNCTION("""COMPUTED_VALUE"""),"A.01.000343")</f>
        <v>A.01.000343</v>
      </c>
    </row>
    <row r="850" spans="1:2" ht="12.5" x14ac:dyDescent="0.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x14ac:dyDescent="0.25">
      <c r="A851" t="str">
        <f ca="1">IFERROR(__xludf.DUMMYFUNCTION("""COMPUTED_VALUE"""),"Cumin seed (Cuminum cyminum)")</f>
        <v>Cumin seed (Cuminum cyminum)</v>
      </c>
      <c r="B851" t="str">
        <f ca="1">IFERROR(__xludf.DUMMYFUNCTION("""COMPUTED_VALUE"""),"A.01.001610")</f>
        <v>A.01.001610</v>
      </c>
    </row>
    <row r="852" spans="1:2" ht="12.5" x14ac:dyDescent="0.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x14ac:dyDescent="0.25">
      <c r="A853" t="str">
        <f ca="1">IFERROR(__xludf.DUMMYFUNCTION("""COMPUTED_VALUE"""),"Curry powder")</f>
        <v>Curry powder</v>
      </c>
      <c r="B853" t="str">
        <f ca="1">IFERROR(__xludf.DUMMYFUNCTION("""COMPUTED_VALUE"""),"A.01.001627")</f>
        <v>A.01.001627</v>
      </c>
    </row>
    <row r="854" spans="1:2" ht="12.5" x14ac:dyDescent="0.25">
      <c r="A854" t="str">
        <f ca="1">IFERROR(__xludf.DUMMYFUNCTION("""COMPUTED_VALUE"""),"Curry sauce")</f>
        <v>Curry sauce</v>
      </c>
      <c r="B854" t="str">
        <f ca="1">IFERROR(__xludf.DUMMYFUNCTION("""COMPUTED_VALUE"""),"A.01.001661")</f>
        <v>A.01.001661</v>
      </c>
    </row>
    <row r="855" spans="1:2" ht="12.5" x14ac:dyDescent="0.25">
      <c r="A855" t="str">
        <f ca="1">IFERROR(__xludf.DUMMYFUNCTION("""COMPUTED_VALUE"""),"Custard")</f>
        <v>Custard</v>
      </c>
      <c r="B855" t="str">
        <f ca="1">IFERROR(__xludf.DUMMYFUNCTION("""COMPUTED_VALUE"""),"A.01.001892")</f>
        <v>A.01.001892</v>
      </c>
    </row>
    <row r="856" spans="1:2" ht="12.5" x14ac:dyDescent="0.25">
      <c r="A856" t="str">
        <f ca="1">IFERROR(__xludf.DUMMYFUNCTION("""COMPUTED_VALUE"""),"Cuttlefish (Sepia officinalis)")</f>
        <v>Cuttlefish (Sepia officinalis)</v>
      </c>
      <c r="B856" t="str">
        <f ca="1">IFERROR(__xludf.DUMMYFUNCTION("""COMPUTED_VALUE"""),"A.01.000930")</f>
        <v>A.01.000930</v>
      </c>
    </row>
    <row r="857" spans="1:2" ht="12.5" x14ac:dyDescent="0.25">
      <c r="A857" t="str">
        <f ca="1">IFERROR(__xludf.DUMMYFUNCTION("""COMPUTED_VALUE"""),"Cyclamate")</f>
        <v>Cyclamate</v>
      </c>
      <c r="B857" t="str">
        <f ca="1">IFERROR(__xludf.DUMMYFUNCTION("""COMPUTED_VALUE"""),"A.01.001294")</f>
        <v>A.01.001294</v>
      </c>
    </row>
    <row r="858" spans="1:2" ht="12.5" x14ac:dyDescent="0.25">
      <c r="A858" t="str">
        <f ca="1">IFERROR(__xludf.DUMMYFUNCTION("""COMPUTED_VALUE"""),"Cypress seed")</f>
        <v>Cypress seed</v>
      </c>
      <c r="B858" t="str">
        <f ca="1">IFERROR(__xludf.DUMMYFUNCTION("""COMPUTED_VALUE"""),"G.5.18")</f>
        <v>G.5.18</v>
      </c>
    </row>
    <row r="859" spans="1:2" ht="12.5" x14ac:dyDescent="0.25">
      <c r="A859" t="str">
        <f ca="1">IFERROR(__xludf.DUMMYFUNCTION("""COMPUTED_VALUE"""),"Dairy based products")</f>
        <v>Dairy based products</v>
      </c>
      <c r="B859" t="str">
        <f ca="1">IFERROR(__xludf.DUMMYFUNCTION("""COMPUTED_VALUE"""),"C13B_2")</f>
        <v>C13B_2</v>
      </c>
    </row>
    <row r="860" spans="1:2" ht="12.5" x14ac:dyDescent="0.25">
      <c r="A860" t="str">
        <f ca="1">IFERROR(__xludf.DUMMYFUNCTION("""COMPUTED_VALUE"""),"Dairy based products and substitutes")</f>
        <v>Dairy based products and substitutes</v>
      </c>
      <c r="B860" t="str">
        <f ca="1">IFERROR(__xludf.DUMMYFUNCTION("""COMPUTED_VALUE"""),"C13B")</f>
        <v>C13B</v>
      </c>
    </row>
    <row r="861" spans="1:2" ht="12.5" x14ac:dyDescent="0.25">
      <c r="A861" t="str">
        <f ca="1">IFERROR(__xludf.DUMMYFUNCTION("""COMPUTED_VALUE"""),"Dairy based products substitutes")</f>
        <v>Dairy based products substitutes</v>
      </c>
      <c r="B861" t="str">
        <f ca="1">IFERROR(__xludf.DUMMYFUNCTION("""COMPUTED_VALUE"""),"C13B_1")</f>
        <v>C13B_1</v>
      </c>
    </row>
    <row r="862" spans="1:2" ht="12.5" x14ac:dyDescent="0.25">
      <c r="A862" t="str">
        <f ca="1">IFERROR(__xludf.DUMMYFUNCTION("""COMPUTED_VALUE"""),"Dairy by-products")</f>
        <v>Dairy by-products</v>
      </c>
      <c r="B862" t="str">
        <f ca="1">IFERROR(__xludf.DUMMYFUNCTION("""COMPUTED_VALUE"""),"G.8.7")</f>
        <v>G.8.7</v>
      </c>
    </row>
    <row r="863" spans="1:2" ht="12.5" x14ac:dyDescent="0.25">
      <c r="A863" t="str">
        <f ca="1">IFERROR(__xludf.DUMMYFUNCTION("""COMPUTED_VALUE"""),"Dairy cows / Complementary feed")</f>
        <v>Dairy cows / Complementary feed</v>
      </c>
      <c r="B863" t="str">
        <f ca="1">IFERROR(__xludf.DUMMYFUNCTION("""COMPUTED_VALUE"""),"G.14.2.4")</f>
        <v>G.14.2.4</v>
      </c>
    </row>
    <row r="864" spans="1:2" ht="12.5" x14ac:dyDescent="0.25">
      <c r="A864" t="str">
        <f ca="1">IFERROR(__xludf.DUMMYFUNCTION("""COMPUTED_VALUE"""),"Dairy cows / Complete feed")</f>
        <v>Dairy cows / Complete feed</v>
      </c>
      <c r="B864" t="str">
        <f ca="1">IFERROR(__xludf.DUMMYFUNCTION("""COMPUTED_VALUE"""),"G.14.1.4")</f>
        <v>G.14.1.4</v>
      </c>
    </row>
    <row r="865" spans="1:2" ht="12.5" x14ac:dyDescent="0.25">
      <c r="A865" t="str">
        <f ca="1">IFERROR(__xludf.DUMMYFUNCTION("""COMPUTED_VALUE"""),"Damson plum (Prunus domestica var institia)")</f>
        <v>Damson plum (Prunus domestica var institia)</v>
      </c>
      <c r="B865" t="str">
        <f ca="1">IFERROR(__xludf.DUMMYFUNCTION("""COMPUTED_VALUE"""),"A.01.000565")</f>
        <v>A.01.000565</v>
      </c>
    </row>
    <row r="866" spans="1:2" ht="12.5" x14ac:dyDescent="0.25">
      <c r="A866" t="str">
        <f ca="1">IFERROR(__xludf.DUMMYFUNCTION("""COMPUTED_VALUE"""),"Dandelion leaf (Taraxacum officinalis)")</f>
        <v>Dandelion leaf (Taraxacum officinalis)</v>
      </c>
      <c r="B866" t="str">
        <f ca="1">IFERROR(__xludf.DUMMYFUNCTION("""COMPUTED_VALUE"""),"A.01.000378")</f>
        <v>A.01.000378</v>
      </c>
    </row>
    <row r="867" spans="1:2" ht="12.5" x14ac:dyDescent="0.25">
      <c r="A867" t="str">
        <f ca="1">IFERROR(__xludf.DUMMYFUNCTION("""COMPUTED_VALUE"""),"Date fruit")</f>
        <v>Date fruit</v>
      </c>
      <c r="B867" t="str">
        <f ca="1">IFERROR(__xludf.DUMMYFUNCTION("""COMPUTED_VALUE"""),"G.5.19")</f>
        <v>G.5.19</v>
      </c>
    </row>
    <row r="868" spans="1:2" ht="12.5" x14ac:dyDescent="0.25">
      <c r="A868" t="str">
        <f ca="1">IFERROR(__xludf.DUMMYFUNCTION("""COMPUTED_VALUE"""),"Date seed")</f>
        <v>Date seed</v>
      </c>
      <c r="B868" t="str">
        <f ca="1">IFERROR(__xludf.DUMMYFUNCTION("""COMPUTED_VALUE"""),"G.5.19.2")</f>
        <v>G.5.19.2</v>
      </c>
    </row>
    <row r="869" spans="1:2" ht="12.5" x14ac:dyDescent="0.25">
      <c r="A869" t="str">
        <f ca="1">IFERROR(__xludf.DUMMYFUNCTION("""COMPUTED_VALUE"""),"Dates (Phoenix dactylifera)")</f>
        <v>Dates (Phoenix dactylifera)</v>
      </c>
      <c r="B869" t="str">
        <f ca="1">IFERROR(__xludf.DUMMYFUNCTION("""COMPUTED_VALUE"""),"A.01.000612")</f>
        <v>A.01.000612</v>
      </c>
    </row>
    <row r="870" spans="1:2" ht="12.5" x14ac:dyDescent="0.25">
      <c r="A870" t="str">
        <f ca="1">IFERROR(__xludf.DUMMYFUNCTION("""COMPUTED_VALUE"""),"Defatted rice bran")</f>
        <v>Defatted rice bran</v>
      </c>
      <c r="B870" t="str">
        <f ca="1">IFERROR(__xludf.DUMMYFUNCTION("""COMPUTED_VALUE"""),"G.1.6.12")</f>
        <v>G.1.6.12</v>
      </c>
    </row>
    <row r="871" spans="1:2" ht="12.5" x14ac:dyDescent="0.25">
      <c r="A871" t="str">
        <f ca="1">IFERROR(__xludf.DUMMYFUNCTION("""COMPUTED_VALUE"""),"Defluorinated phosphate")</f>
        <v>Defluorinated phosphate</v>
      </c>
      <c r="B871" t="str">
        <f ca="1">IFERROR(__xludf.DUMMYFUNCTION("""COMPUTED_VALUE"""),"G.11.3.6")</f>
        <v>G.11.3.6</v>
      </c>
    </row>
    <row r="872" spans="1:2" ht="12.5" x14ac:dyDescent="0.25">
      <c r="A872" t="str">
        <f ca="1">IFERROR(__xludf.DUMMYFUNCTION("""COMPUTED_VALUE"""),"Defluorinated rockphosphate")</f>
        <v>Defluorinated rockphosphate</v>
      </c>
      <c r="B872" t="str">
        <f ca="1">IFERROR(__xludf.DUMMYFUNCTION("""COMPUTED_VALUE"""),"F11.08")</f>
        <v>F11.08</v>
      </c>
    </row>
    <row r="873" spans="1:2" ht="12.5" x14ac:dyDescent="0.25">
      <c r="A873" t="str">
        <f ca="1">IFERROR(__xludf.DUMMYFUNCTION("""COMPUTED_VALUE"""),"Degelatinised bone meal")</f>
        <v>Degelatinised bone meal</v>
      </c>
      <c r="B873" t="str">
        <f ca="1">IFERROR(__xludf.DUMMYFUNCTION("""COMPUTED_VALUE"""),"F11.09")</f>
        <v>F11.09</v>
      </c>
    </row>
    <row r="874" spans="1:2" ht="12.5" x14ac:dyDescent="0.25">
      <c r="A874" t="str">
        <f ca="1">IFERROR(__xludf.DUMMYFUNCTION("""COMPUTED_VALUE"""),"Degelatinised bone meal")</f>
        <v>Degelatinised bone meal</v>
      </c>
      <c r="B874" t="str">
        <f ca="1">IFERROR(__xludf.DUMMYFUNCTION("""COMPUTED_VALUE"""),"G.11.3.22")</f>
        <v>G.11.3.22</v>
      </c>
    </row>
    <row r="875" spans="1:2" ht="12.5" x14ac:dyDescent="0.25">
      <c r="A875" t="str">
        <f ca="1">IFERROR(__xludf.DUMMYFUNCTION("""COMPUTED_VALUE"""),"Dehulled oats")</f>
        <v>Dehulled oats</v>
      </c>
      <c r="B875" t="str">
        <f ca="1">IFERROR(__xludf.DUMMYFUNCTION("""COMPUTED_VALUE"""),"G.1.4.2")</f>
        <v>G.1.4.2</v>
      </c>
    </row>
    <row r="876" spans="1:2" ht="12.5" x14ac:dyDescent="0.25">
      <c r="A876" t="str">
        <f ca="1">IFERROR(__xludf.DUMMYFUNCTION("""COMPUTED_VALUE"""),"Dehydrated/powdered fruit juice")</f>
        <v>Dehydrated/powdered fruit juice</v>
      </c>
      <c r="B876" t="str">
        <f ca="1">IFERROR(__xludf.DUMMYFUNCTION("""COMPUTED_VALUE"""),"A.01.001453")</f>
        <v>A.01.001453</v>
      </c>
    </row>
    <row r="877" spans="1:2" ht="12.5" x14ac:dyDescent="0.25">
      <c r="A877" t="str">
        <f ca="1">IFERROR(__xludf.DUMMYFUNCTION("""COMPUTED_VALUE"""),"Delactosed whey / Delactosed whey powder")</f>
        <v>Delactosed whey / Delactosed whey powder</v>
      </c>
      <c r="B877" t="str">
        <f ca="1">IFERROR(__xludf.DUMMYFUNCTION("""COMPUTED_VALUE"""),"G.8.18")</f>
        <v>G.8.18</v>
      </c>
    </row>
    <row r="878" spans="1:2" ht="12.5" x14ac:dyDescent="0.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x14ac:dyDescent="0.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x14ac:dyDescent="0.25">
      <c r="A880" t="str">
        <f ca="1">IFERROR(__xludf.DUMMYFUNCTION("""COMPUTED_VALUE"""),"Dessert sauces")</f>
        <v>Dessert sauces</v>
      </c>
      <c r="B880" t="str">
        <f ca="1">IFERROR(__xludf.DUMMYFUNCTION("""COMPUTED_VALUE"""),"A.01.001328")</f>
        <v>A.01.001328</v>
      </c>
    </row>
    <row r="881" spans="1:2" ht="12.5" x14ac:dyDescent="0.25">
      <c r="A881" t="str">
        <f ca="1">IFERROR(__xludf.DUMMYFUNCTION("""COMPUTED_VALUE"""),"Desserts for diabetics")</f>
        <v>Desserts for diabetics</v>
      </c>
      <c r="B881" t="str">
        <f ca="1">IFERROR(__xludf.DUMMYFUNCTION("""COMPUTED_VALUE"""),"A.01.001778")</f>
        <v>A.01.001778</v>
      </c>
    </row>
    <row r="882" spans="1:2" ht="12.5" x14ac:dyDescent="0.25">
      <c r="A882" t="str">
        <f ca="1">IFERROR(__xludf.DUMMYFUNCTION("""COMPUTED_VALUE"""),"Dewberries (Rubus ceasius)")</f>
        <v>Dewberries (Rubus ceasius)</v>
      </c>
      <c r="B882" t="str">
        <f ca="1">IFERROR(__xludf.DUMMYFUNCTION("""COMPUTED_VALUE"""),"A.01.000580")</f>
        <v>A.01.000580</v>
      </c>
    </row>
    <row r="883" spans="1:2" ht="12.5" x14ac:dyDescent="0.25">
      <c r="A883" t="str">
        <f ca="1">IFERROR(__xludf.DUMMYFUNCTION("""COMPUTED_VALUE"""),"Dextrin")</f>
        <v>Dextrin</v>
      </c>
      <c r="B883" t="str">
        <f ca="1">IFERROR(__xludf.DUMMYFUNCTION("""COMPUTED_VALUE"""),"G.13.3.5")</f>
        <v>G.13.3.5</v>
      </c>
    </row>
    <row r="884" spans="1:2" ht="12.5" x14ac:dyDescent="0.25">
      <c r="A884" t="str">
        <f ca="1">IFERROR(__xludf.DUMMYFUNCTION("""COMPUTED_VALUE"""),"Dextrose")</f>
        <v>Dextrose</v>
      </c>
      <c r="B884" t="str">
        <f ca="1">IFERROR(__xludf.DUMMYFUNCTION("""COMPUTED_VALUE"""),"G.13.2.2")</f>
        <v>G.13.2.2</v>
      </c>
    </row>
    <row r="885" spans="1:2" ht="12.5" x14ac:dyDescent="0.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x14ac:dyDescent="0.25">
      <c r="A886" t="str">
        <f ca="1">IFERROR(__xludf.DUMMYFUNCTION("""COMPUTED_VALUE"""),"Di-calciumpyrophosphate; [Dicalcium diphosphate]")</f>
        <v>Di-calciumpyrophosphate; [Dicalcium diphosphate]</v>
      </c>
      <c r="B886" t="str">
        <f ca="1">IFERROR(__xludf.DUMMYFUNCTION("""COMPUTED_VALUE"""),"G.11.3.7")</f>
        <v>G.11.3.7</v>
      </c>
    </row>
    <row r="887" spans="1:2" ht="12.5" x14ac:dyDescent="0.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x14ac:dyDescent="0.25">
      <c r="A888" t="str">
        <f ca="1">IFERROR(__xludf.DUMMYFUNCTION("""COMPUTED_VALUE"""),"Di-sodium phosphate; [Disodium hydrogen orthophosphate]")</f>
        <v>Di-sodium phosphate; [Disodium hydrogen orthophosphate]</v>
      </c>
      <c r="B888" t="str">
        <f ca="1">IFERROR(__xludf.DUMMYFUNCTION("""COMPUTED_VALUE"""),"G.11.3.11")</f>
        <v>G.11.3.11</v>
      </c>
    </row>
    <row r="889" spans="1:2" ht="12.5" x14ac:dyDescent="0.25">
      <c r="A889" t="str">
        <f ca="1">IFERROR(__xludf.DUMMYFUNCTION("""COMPUTED_VALUE"""),"Dicalcium phosphate")</f>
        <v>Dicalcium phosphate</v>
      </c>
      <c r="B889" t="str">
        <f ca="1">IFERROR(__xludf.DUMMYFUNCTION("""COMPUTED_VALUE"""),"F11.06")</f>
        <v>F11.06</v>
      </c>
    </row>
    <row r="890" spans="1:2" ht="12.5" x14ac:dyDescent="0.25">
      <c r="A890" t="str">
        <f ca="1">IFERROR(__xludf.DUMMYFUNCTION("""COMPUTED_VALUE"""),"Dicalcium phosphate; [Calcium hydrogen orthophosphate]")</f>
        <v>Dicalcium phosphate; [Calcium hydrogen orthophosphate]</v>
      </c>
      <c r="B890" t="str">
        <f ca="1">IFERROR(__xludf.DUMMYFUNCTION("""COMPUTED_VALUE"""),"G.11.3")</f>
        <v>G.11.3</v>
      </c>
    </row>
    <row r="891" spans="1:2" ht="12.5" x14ac:dyDescent="0.25">
      <c r="A891" t="str">
        <f ca="1">IFERROR(__xludf.DUMMYFUNCTION("""COMPUTED_VALUE"""),"Dietary supplements")</f>
        <v>Dietary supplements</v>
      </c>
      <c r="B891" t="str">
        <f ca="1">IFERROR(__xludf.DUMMYFUNCTION("""COMPUTED_VALUE"""),"A.01.001752")</f>
        <v>A.01.001752</v>
      </c>
    </row>
    <row r="892" spans="1:2" ht="12.5" x14ac:dyDescent="0.25">
      <c r="A892" t="str">
        <f ca="1">IFERROR(__xludf.DUMMYFUNCTION("""COMPUTED_VALUE"""),"Dietetic chocolate")</f>
        <v>Dietetic chocolate</v>
      </c>
      <c r="B892" t="str">
        <f ca="1">IFERROR(__xludf.DUMMYFUNCTION("""COMPUTED_VALUE"""),"A.01.001308")</f>
        <v>A.01.001308</v>
      </c>
    </row>
    <row r="893" spans="1:2" ht="12.5" x14ac:dyDescent="0.25">
      <c r="A893" t="str">
        <f ca="1">IFERROR(__xludf.DUMMYFUNCTION("""COMPUTED_VALUE"""),"Dietetic food for diabetics (labelled as such)")</f>
        <v>Dietetic food for diabetics (labelled as such)</v>
      </c>
      <c r="B893" t="str">
        <f ca="1">IFERROR(__xludf.DUMMYFUNCTION("""COMPUTED_VALUE"""),"A.01.001771")</f>
        <v>A.01.001771</v>
      </c>
    </row>
    <row r="894" spans="1:2" ht="12.5" x14ac:dyDescent="0.25">
      <c r="A894" t="str">
        <f ca="1">IFERROR(__xludf.DUMMYFUNCTION("""COMPUTED_VALUE"""),"Dill seed (Anethum graveolens)")</f>
        <v>Dill seed (Anethum graveolens)</v>
      </c>
      <c r="B894" t="str">
        <f ca="1">IFERROR(__xludf.DUMMYFUNCTION("""COMPUTED_VALUE"""),"A.01.001611")</f>
        <v>A.01.001611</v>
      </c>
    </row>
    <row r="895" spans="1:2" ht="12.5" x14ac:dyDescent="0.25">
      <c r="A895" t="str">
        <f ca="1">IFERROR(__xludf.DUMMYFUNCTION("""COMPUTED_VALUE"""),"Dill, herb (Anethum graveolens)")</f>
        <v>Dill, herb (Anethum graveolens)</v>
      </c>
      <c r="B895" t="str">
        <f ca="1">IFERROR(__xludf.DUMMYFUNCTION("""COMPUTED_VALUE"""),"A.01.001584")</f>
        <v>A.01.001584</v>
      </c>
    </row>
    <row r="896" spans="1:2" ht="12.5" x14ac:dyDescent="0.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x14ac:dyDescent="0.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x14ac:dyDescent="0.25">
      <c r="A898" t="str">
        <f ca="1">IFERROR(__xludf.DUMMYFUNCTION("""COMPUTED_VALUE"""),"Distillers' dried grains")</f>
        <v>Distillers' dried grains</v>
      </c>
      <c r="B898" t="str">
        <f ca="1">IFERROR(__xludf.DUMMYFUNCTION("""COMPUTED_VALUE"""),"G.1.12.10")</f>
        <v>G.1.12.10</v>
      </c>
    </row>
    <row r="899" spans="1:2" ht="12.5" x14ac:dyDescent="0.25">
      <c r="A899" t="str">
        <f ca="1">IFERROR(__xludf.DUMMYFUNCTION("""COMPUTED_VALUE"""),"Distillers’ dark grains")</f>
        <v>Distillers’ dark grains</v>
      </c>
      <c r="B899" t="str">
        <f ca="1">IFERROR(__xludf.DUMMYFUNCTION("""COMPUTED_VALUE"""),"F01.46")</f>
        <v>F01.46</v>
      </c>
    </row>
    <row r="900" spans="1:2" ht="12.5" x14ac:dyDescent="0.25">
      <c r="A900" t="str">
        <f ca="1">IFERROR(__xludf.DUMMYFUNCTION("""COMPUTED_VALUE"""),"Distillers’ dried grain")</f>
        <v>Distillers’ dried grain</v>
      </c>
      <c r="B900" t="str">
        <f ca="1">IFERROR(__xludf.DUMMYFUNCTION("""COMPUTED_VALUE"""),"F01.45")</f>
        <v>F01.45</v>
      </c>
    </row>
    <row r="901" spans="1:2" ht="12.5" x14ac:dyDescent="0.25">
      <c r="A901" t="str">
        <f ca="1">IFERROR(__xludf.DUMMYFUNCTION("""COMPUTED_VALUE"""),"Distillers’ grains and solubles")</f>
        <v>Distillers’ grains and solubles</v>
      </c>
      <c r="B901" t="str">
        <f ca="1">IFERROR(__xludf.DUMMYFUNCTION("""COMPUTED_VALUE"""),"G.1.12.9")</f>
        <v>G.1.12.9</v>
      </c>
    </row>
    <row r="902" spans="1:2" ht="12.5" x14ac:dyDescent="0.25">
      <c r="A902" t="str">
        <f ca="1">IFERROR(__xludf.DUMMYFUNCTION("""COMPUTED_VALUE"""),"Doughnuts")</f>
        <v>Doughnuts</v>
      </c>
      <c r="B902" t="str">
        <f ca="1">IFERROR(__xludf.DUMMYFUNCTION("""COMPUTED_VALUE"""),"A.01.000270")</f>
        <v>A.01.000270</v>
      </c>
    </row>
    <row r="903" spans="1:2" ht="12.5" x14ac:dyDescent="0.25">
      <c r="A903" t="str">
        <f ca="1">IFERROR(__xludf.DUMMYFUNCTION("""COMPUTED_VALUE"""),"Draff")</f>
        <v>Draff</v>
      </c>
      <c r="B903" t="str">
        <f ca="1">IFERROR(__xludf.DUMMYFUNCTION("""COMPUTED_VALUE"""),"G.1.12.13")</f>
        <v>G.1.12.13</v>
      </c>
    </row>
    <row r="904" spans="1:2" ht="12.5" x14ac:dyDescent="0.25">
      <c r="A904" t="str">
        <f ca="1">IFERROR(__xludf.DUMMYFUNCTION("""COMPUTED_VALUE"""),"Dragée, sugar coated")</f>
        <v>Dragée, sugar coated</v>
      </c>
      <c r="B904" t="str">
        <f ca="1">IFERROR(__xludf.DUMMYFUNCTION("""COMPUTED_VALUE"""),"A.01.001318")</f>
        <v>A.01.001318</v>
      </c>
    </row>
    <row r="905" spans="1:2" ht="12.5" x14ac:dyDescent="0.25">
      <c r="A905" t="str">
        <f ca="1">IFERROR(__xludf.DUMMYFUNCTION("""COMPUTED_VALUE"""),"Dressing")</f>
        <v>Dressing</v>
      </c>
      <c r="B905" t="str">
        <f ca="1">IFERROR(__xludf.DUMMYFUNCTION("""COMPUTED_VALUE"""),"A.01.001665")</f>
        <v>A.01.001665</v>
      </c>
    </row>
    <row r="906" spans="1:2" ht="12.5" x14ac:dyDescent="0.25">
      <c r="A906" t="str">
        <f ca="1">IFERROR(__xludf.DUMMYFUNCTION("""COMPUTED_VALUE"""),"Dried (sugar) beet pulp")</f>
        <v>Dried (sugar) beet pulp</v>
      </c>
      <c r="B906" t="str">
        <f ca="1">IFERROR(__xludf.DUMMYFUNCTION("""COMPUTED_VALUE"""),"G.4.1.10")</f>
        <v>G.4.1.10</v>
      </c>
    </row>
    <row r="907" spans="1:2" ht="12.5" x14ac:dyDescent="0.25">
      <c r="A907" t="str">
        <f ca="1">IFERROR(__xludf.DUMMYFUNCTION("""COMPUTED_VALUE"""),"Dried (sugar) beet pulp, molassed")</f>
        <v>Dried (sugar) beet pulp, molassed</v>
      </c>
      <c r="B907" t="str">
        <f ca="1">IFERROR(__xludf.DUMMYFUNCTION("""COMPUTED_VALUE"""),"G.4.1.11")</f>
        <v>G.4.1.11</v>
      </c>
    </row>
    <row r="908" spans="1:2" ht="12.5" x14ac:dyDescent="0.25">
      <c r="A908" t="str">
        <f ca="1">IFERROR(__xludf.DUMMYFUNCTION("""COMPUTED_VALUE"""),"Dried algae")</f>
        <v>Dried algae</v>
      </c>
      <c r="B908" t="str">
        <f ca="1">IFERROR(__xludf.DUMMYFUNCTION("""COMPUTED_VALUE"""),"G.7.1.2")</f>
        <v>G.7.1.2</v>
      </c>
    </row>
    <row r="909" spans="1:2" ht="12.5" x14ac:dyDescent="0.25">
      <c r="A909" t="str">
        <f ca="1">IFERROR(__xludf.DUMMYFUNCTION("""COMPUTED_VALUE"""),"Dried apples (Malus domesticus)")</f>
        <v>Dried apples (Malus domesticus)</v>
      </c>
      <c r="B909" t="str">
        <f ca="1">IFERROR(__xludf.DUMMYFUNCTION("""COMPUTED_VALUE"""),"A.01.000653")</f>
        <v>A.01.000653</v>
      </c>
    </row>
    <row r="910" spans="1:2" ht="12.5" x14ac:dyDescent="0.25">
      <c r="A910" t="str">
        <f ca="1">IFERROR(__xludf.DUMMYFUNCTION("""COMPUTED_VALUE"""),"Dried apricots (Prunus armeniaca)")</f>
        <v>Dried apricots (Prunus armeniaca)</v>
      </c>
      <c r="B910" t="str">
        <f ca="1">IFERROR(__xludf.DUMMYFUNCTION("""COMPUTED_VALUE"""),"A.01.000651")</f>
        <v>A.01.000651</v>
      </c>
    </row>
    <row r="911" spans="1:2" ht="12.5" x14ac:dyDescent="0.25">
      <c r="A911" t="str">
        <f ca="1">IFERROR(__xludf.DUMMYFUNCTION("""COMPUTED_VALUE"""),"Dried bananas (Musa × paradisica)")</f>
        <v>Dried bananas (Musa × paradisica)</v>
      </c>
      <c r="B911" t="str">
        <f ca="1">IFERROR(__xludf.DUMMYFUNCTION("""COMPUTED_VALUE"""),"A.01.000655")</f>
        <v>A.01.000655</v>
      </c>
    </row>
    <row r="912" spans="1:2" ht="12.5" x14ac:dyDescent="0.25">
      <c r="A912" t="str">
        <f ca="1">IFERROR(__xludf.DUMMYFUNCTION("""COMPUTED_VALUE"""),"Dried carob pod meal, micronised")</f>
        <v>Dried carob pod meal, micronised</v>
      </c>
      <c r="B912" t="str">
        <f ca="1">IFERROR(__xludf.DUMMYFUNCTION("""COMPUTED_VALUE"""),"G.3.2.3")</f>
        <v>G.3.2.3</v>
      </c>
    </row>
    <row r="913" spans="1:2" ht="12.5" x14ac:dyDescent="0.25">
      <c r="A913" t="str">
        <f ca="1">IFERROR(__xludf.DUMMYFUNCTION("""COMPUTED_VALUE"""),"Dried chicory pulp")</f>
        <v>Dried chicory pulp</v>
      </c>
      <c r="B913" t="str">
        <f ca="1">IFERROR(__xludf.DUMMYFUNCTION("""COMPUTED_VALUE"""),"G.4.4.5")</f>
        <v>G.4.4.5</v>
      </c>
    </row>
    <row r="914" spans="1:2" ht="12.5" x14ac:dyDescent="0.25">
      <c r="A914" t="str">
        <f ca="1">IFERROR(__xludf.DUMMYFUNCTION("""COMPUTED_VALUE"""),"Dried dates (Phoenix dactylifera)")</f>
        <v>Dried dates (Phoenix dactylifera)</v>
      </c>
      <c r="B914" t="str">
        <f ca="1">IFERROR(__xludf.DUMMYFUNCTION("""COMPUTED_VALUE"""),"A.01.000654")</f>
        <v>A.01.000654</v>
      </c>
    </row>
    <row r="915" spans="1:2" ht="12.5" x14ac:dyDescent="0.25">
      <c r="A915" t="str">
        <f ca="1">IFERROR(__xludf.DUMMYFUNCTION("""COMPUTED_VALUE"""),"Dried egg white")</f>
        <v>Dried egg white</v>
      </c>
      <c r="B915" t="str">
        <f ca="1">IFERROR(__xludf.DUMMYFUNCTION("""COMPUTED_VALUE"""),"A.01.001266")</f>
        <v>A.01.001266</v>
      </c>
    </row>
    <row r="916" spans="1:2" ht="12.5" x14ac:dyDescent="0.25">
      <c r="A916" t="str">
        <f ca="1">IFERROR(__xludf.DUMMYFUNCTION("""COMPUTED_VALUE"""),"Dried egg yolk")</f>
        <v>Dried egg yolk</v>
      </c>
      <c r="B916" t="str">
        <f ca="1">IFERROR(__xludf.DUMMYFUNCTION("""COMPUTED_VALUE"""),"A.01.001265")</f>
        <v>A.01.001265</v>
      </c>
    </row>
    <row r="917" spans="1:2" ht="12.5" x14ac:dyDescent="0.25">
      <c r="A917" t="str">
        <f ca="1">IFERROR(__xludf.DUMMYFUNCTION("""COMPUTED_VALUE"""),"Dried egg, whole")</f>
        <v>Dried egg, whole</v>
      </c>
      <c r="B917" t="str">
        <f ca="1">IFERROR(__xludf.DUMMYFUNCTION("""COMPUTED_VALUE"""),"A.01.001264")</f>
        <v>A.01.001264</v>
      </c>
    </row>
    <row r="918" spans="1:2" ht="12.5" x14ac:dyDescent="0.25">
      <c r="A918" t="str">
        <f ca="1">IFERROR(__xludf.DUMMYFUNCTION("""COMPUTED_VALUE"""),"Dried figs (Ficus carica)")</f>
        <v>Dried figs (Ficus carica)</v>
      </c>
      <c r="B918" t="str">
        <f ca="1">IFERROR(__xludf.DUMMYFUNCTION("""COMPUTED_VALUE"""),"A.01.000649")</f>
        <v>A.01.000649</v>
      </c>
    </row>
    <row r="919" spans="1:2" ht="12.5" x14ac:dyDescent="0.25">
      <c r="A919" t="str">
        <f ca="1">IFERROR(__xludf.DUMMYFUNCTION("""COMPUTED_VALUE"""),"Dried fruits")</f>
        <v>Dried fruits</v>
      </c>
      <c r="B919" t="str">
        <f ca="1">IFERROR(__xludf.DUMMYFUNCTION("""COMPUTED_VALUE"""),"C06_3")</f>
        <v>C06_3</v>
      </c>
    </row>
    <row r="920" spans="1:2" ht="12.5" x14ac:dyDescent="0.25">
      <c r="A920" t="str">
        <f ca="1">IFERROR(__xludf.DUMMYFUNCTION("""COMPUTED_VALUE"""),"Dried fruits")</f>
        <v>Dried fruits</v>
      </c>
      <c r="B920" t="str">
        <f ca="1">IFERROR(__xludf.DUMMYFUNCTION("""COMPUTED_VALUE"""),"A.01.000647")</f>
        <v>A.01.000647</v>
      </c>
    </row>
    <row r="921" spans="1:2" ht="12.5" x14ac:dyDescent="0.25">
      <c r="A921" t="str">
        <f ca="1">IFERROR(__xludf.DUMMYFUNCTION("""COMPUTED_VALUE"""),"Dried mangoes (Mangifera indica)")</f>
        <v>Dried mangoes (Mangifera indica)</v>
      </c>
      <c r="B921" t="str">
        <f ca="1">IFERROR(__xludf.DUMMYFUNCTION("""COMPUTED_VALUE"""),"A.01.000656")</f>
        <v>A.01.000656</v>
      </c>
    </row>
    <row r="922" spans="1:2" ht="12.5" x14ac:dyDescent="0.25">
      <c r="A922" t="str">
        <f ca="1">IFERROR(__xludf.DUMMYFUNCTION("""COMPUTED_VALUE"""),"Dried milk")</f>
        <v>Dried milk</v>
      </c>
      <c r="B922" t="str">
        <f ca="1">IFERROR(__xludf.DUMMYFUNCTION("""COMPUTED_VALUE"""),"A.01.000981")</f>
        <v>A.01.000981</v>
      </c>
    </row>
    <row r="923" spans="1:2" ht="12.5" x14ac:dyDescent="0.25">
      <c r="A923" t="str">
        <f ca="1">IFERROR(__xludf.DUMMYFUNCTION("""COMPUTED_VALUE"""),"Dried pears  (Pyrus communis)")</f>
        <v>Dried pears  (Pyrus communis)</v>
      </c>
      <c r="B923" t="str">
        <f ca="1">IFERROR(__xludf.DUMMYFUNCTION("""COMPUTED_VALUE"""),"A.01.000652")</f>
        <v>A.01.000652</v>
      </c>
    </row>
    <row r="924" spans="1:2" ht="12.5" x14ac:dyDescent="0.25">
      <c r="A924" t="str">
        <f ca="1">IFERROR(__xludf.DUMMYFUNCTION("""COMPUTED_VALUE"""),"Dried prunes (Prunus domestica)")</f>
        <v>Dried prunes (Prunus domestica)</v>
      </c>
      <c r="B924" t="str">
        <f ca="1">IFERROR(__xludf.DUMMYFUNCTION("""COMPUTED_VALUE"""),"A.01.000650")</f>
        <v>A.01.000650</v>
      </c>
    </row>
    <row r="925" spans="1:2" ht="12.5" x14ac:dyDescent="0.25">
      <c r="A925" t="str">
        <f ca="1">IFERROR(__xludf.DUMMYFUNCTION("""COMPUTED_VALUE"""),"Dried vegetables")</f>
        <v>Dried vegetables</v>
      </c>
      <c r="B925" t="str">
        <f ca="1">IFERROR(__xludf.DUMMYFUNCTION("""COMPUTED_VALUE"""),"C04B_10")</f>
        <v>C04B_10</v>
      </c>
    </row>
    <row r="926" spans="1:2" ht="12.5" x14ac:dyDescent="0.25">
      <c r="A926" t="str">
        <f ca="1">IFERROR(__xludf.DUMMYFUNCTION("""COMPUTED_VALUE"""),"Dried vine fruits (currants, raisins and sultanas)")</f>
        <v>Dried vine fruits (currants, raisins and sultanas)</v>
      </c>
      <c r="B926" t="str">
        <f ca="1">IFERROR(__xludf.DUMMYFUNCTION("""COMPUTED_VALUE"""),"A.01.000648")</f>
        <v>A.01.000648</v>
      </c>
    </row>
    <row r="927" spans="1:2" ht="12.5" x14ac:dyDescent="0.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x14ac:dyDescent="0.25">
      <c r="A928" t="str">
        <f ca="1">IFERROR(__xludf.DUMMYFUNCTION("""COMPUTED_VALUE"""),"Dry herbs")</f>
        <v>Dry herbs</v>
      </c>
      <c r="B928" t="str">
        <f ca="1">IFERROR(__xludf.DUMMYFUNCTION("""COMPUTED_VALUE"""),"C14A_3")</f>
        <v>C14A_3</v>
      </c>
    </row>
    <row r="929" spans="1:2" ht="12.5" x14ac:dyDescent="0.25">
      <c r="A929" t="str">
        <f ca="1">IFERROR(__xludf.DUMMYFUNCTION("""COMPUTED_VALUE"""),"Dry sausage")</f>
        <v>Dry sausage</v>
      </c>
      <c r="B929" t="str">
        <f ca="1">IFERROR(__xludf.DUMMYFUNCTION("""COMPUTED_VALUE"""),"A.01.000844")</f>
        <v>A.01.000844</v>
      </c>
    </row>
    <row r="930" spans="1:2" ht="12.5" x14ac:dyDescent="0.25">
      <c r="A930" t="str">
        <f ca="1">IFERROR(__xludf.DUMMYFUNCTION("""COMPUTED_VALUE"""),"Duck eggs")</f>
        <v>Duck eggs</v>
      </c>
      <c r="B930" t="str">
        <f ca="1">IFERROR(__xludf.DUMMYFUNCTION("""COMPUTED_VALUE"""),"A.01.001258")</f>
        <v>A.01.001258</v>
      </c>
    </row>
    <row r="931" spans="1:2" ht="12.5" x14ac:dyDescent="0.25">
      <c r="A931" t="str">
        <f ca="1">IFERROR(__xludf.DUMMYFUNCTION("""COMPUTED_VALUE"""),"Duck fat")</f>
        <v>Duck fat</v>
      </c>
      <c r="B931" t="str">
        <f ca="1">IFERROR(__xludf.DUMMYFUNCTION("""COMPUTED_VALUE"""),"A.01.001354")</f>
        <v>A.01.001354</v>
      </c>
    </row>
    <row r="932" spans="1:2" ht="12.5" x14ac:dyDescent="0.25">
      <c r="A932" t="str">
        <f ca="1">IFERROR(__xludf.DUMMYFUNCTION("""COMPUTED_VALUE"""),"Duck liver")</f>
        <v>Duck liver</v>
      </c>
      <c r="B932" t="str">
        <f ca="1">IFERROR(__xludf.DUMMYFUNCTION("""COMPUTED_VALUE"""),"A.01.000773")</f>
        <v>A.01.000773</v>
      </c>
    </row>
    <row r="933" spans="1:2" ht="12.5" x14ac:dyDescent="0.25">
      <c r="A933" t="str">
        <f ca="1">IFERROR(__xludf.DUMMYFUNCTION("""COMPUTED_VALUE"""),"Duck meat (Anas spp.)")</f>
        <v>Duck meat (Anas spp.)</v>
      </c>
      <c r="B933" t="str">
        <f ca="1">IFERROR(__xludf.DUMMYFUNCTION("""COMPUTED_VALUE"""),"A.01.000739")</f>
        <v>A.01.000739</v>
      </c>
    </row>
    <row r="934" spans="1:2" ht="12.5" x14ac:dyDescent="0.25">
      <c r="A934" t="str">
        <f ca="1">IFERROR(__xludf.DUMMYFUNCTION("""COMPUTED_VALUE"""),"Dumpling")</f>
        <v>Dumpling</v>
      </c>
      <c r="B934" t="str">
        <f ca="1">IFERROR(__xludf.DUMMYFUNCTION("""COMPUTED_VALUE"""),"A.01.000298")</f>
        <v>A.01.000298</v>
      </c>
    </row>
    <row r="935" spans="1:2" ht="12.5" x14ac:dyDescent="0.25">
      <c r="A935" t="str">
        <f ca="1">IFERROR(__xludf.DUMMYFUNCTION("""COMPUTED_VALUE"""),"Durian (Durio zibethinus)")</f>
        <v>Durian (Durio zibethinus)</v>
      </c>
      <c r="B935" t="str">
        <f ca="1">IFERROR(__xludf.DUMMYFUNCTION("""COMPUTED_VALUE"""),"A.01.000634")</f>
        <v>A.01.000634</v>
      </c>
    </row>
    <row r="936" spans="1:2" ht="12.5" x14ac:dyDescent="0.25">
      <c r="A936" t="str">
        <f ca="1">IFERROR(__xludf.DUMMYFUNCTION("""COMPUTED_VALUE"""),"Easter Nola")</f>
        <v>Easter Nola</v>
      </c>
      <c r="B936" t="str">
        <f ca="1">IFERROR(__xludf.DUMMYFUNCTION("""COMPUTED_VALUE"""),"A.01.000851")</f>
        <v>A.01.000851</v>
      </c>
    </row>
    <row r="937" spans="1:2" ht="12.5" x14ac:dyDescent="0.25">
      <c r="A937" t="str">
        <f ca="1">IFERROR(__xludf.DUMMYFUNCTION("""COMPUTED_VALUE"""),"Éclair")</f>
        <v>Éclair</v>
      </c>
      <c r="B937" t="str">
        <f ca="1">IFERROR(__xludf.DUMMYFUNCTION("""COMPUTED_VALUE"""),"A.01.000271")</f>
        <v>A.01.000271</v>
      </c>
    </row>
    <row r="938" spans="1:2" ht="12.5" x14ac:dyDescent="0.25">
      <c r="A938" t="str">
        <f ca="1">IFERROR(__xludf.DUMMYFUNCTION("""COMPUTED_VALUE"""),"Edible offal and offal products")</f>
        <v>Edible offal and offal products</v>
      </c>
      <c r="B938" t="str">
        <f ca="1">IFERROR(__xludf.DUMMYFUNCTION("""COMPUTED_VALUE"""),"C10B")</f>
        <v>C10B</v>
      </c>
    </row>
    <row r="939" spans="1:2" ht="12.5" x14ac:dyDescent="0.25">
      <c r="A939" t="str">
        <f ca="1">IFERROR(__xludf.DUMMYFUNCTION("""COMPUTED_VALUE"""),"Edible offal, farmed animals")</f>
        <v>Edible offal, farmed animals</v>
      </c>
      <c r="B939" t="str">
        <f ca="1">IFERROR(__xludf.DUMMYFUNCTION("""COMPUTED_VALUE"""),"A.01.000766")</f>
        <v>A.01.000766</v>
      </c>
    </row>
    <row r="940" spans="1:2" ht="12.5" x14ac:dyDescent="0.25">
      <c r="A940" t="str">
        <f ca="1">IFERROR(__xludf.DUMMYFUNCTION("""COMPUTED_VALUE"""),"Edible offal, game animals")</f>
        <v>Edible offal, game animals</v>
      </c>
      <c r="B940" t="str">
        <f ca="1">IFERROR(__xludf.DUMMYFUNCTION("""COMPUTED_VALUE"""),"A.01.000791")</f>
        <v>A.01.000791</v>
      </c>
    </row>
    <row r="941" spans="1:2" ht="12.5" x14ac:dyDescent="0.25">
      <c r="A941" t="str">
        <f ca="1">IFERROR(__xludf.DUMMYFUNCTION("""COMPUTED_VALUE"""),"Eels (Apodes)")</f>
        <v>Eels (Apodes)</v>
      </c>
      <c r="B941" t="str">
        <f ca="1">IFERROR(__xludf.DUMMYFUNCTION("""COMPUTED_VALUE"""),"A.01.000904")</f>
        <v>A.01.000904</v>
      </c>
    </row>
    <row r="942" spans="1:2" ht="12.5" x14ac:dyDescent="0.25">
      <c r="A942" t="str">
        <f ca="1">IFERROR(__xludf.DUMMYFUNCTION("""COMPUTED_VALUE"""),"Eels and eel products")</f>
        <v>Eels and eel products</v>
      </c>
      <c r="B942" t="str">
        <f ca="1">IFERROR(__xludf.DUMMYFUNCTION("""COMPUTED_VALUE"""),"C11B_2")</f>
        <v>C11B_2</v>
      </c>
    </row>
    <row r="943" spans="1:2" ht="12.5" x14ac:dyDescent="0.25">
      <c r="A943" t="str">
        <f ca="1">IFERROR(__xludf.DUMMYFUNCTION("""COMPUTED_VALUE"""),"Egg liqueur")</f>
        <v>Egg liqueur</v>
      </c>
      <c r="B943" t="str">
        <f ca="1">IFERROR(__xludf.DUMMYFUNCTION("""COMPUTED_VALUE"""),"A.01.001557")</f>
        <v>A.01.001557</v>
      </c>
    </row>
    <row r="944" spans="1:2" ht="12.5" x14ac:dyDescent="0.25">
      <c r="A944" t="str">
        <f ca="1">IFERROR(__xludf.DUMMYFUNCTION("""COMPUTED_VALUE"""),"Egg powder sugared")</f>
        <v>Egg powder sugared</v>
      </c>
      <c r="B944" t="str">
        <f ca="1">IFERROR(__xludf.DUMMYFUNCTION("""COMPUTED_VALUE"""),"G.9.15.4")</f>
        <v>G.9.15.4</v>
      </c>
    </row>
    <row r="945" spans="1:2" ht="12.5" x14ac:dyDescent="0.25">
      <c r="A945" t="str">
        <f ca="1">IFERROR(__xludf.DUMMYFUNCTION("""COMPUTED_VALUE"""),"Egg products, dried")</f>
        <v>Egg products, dried</v>
      </c>
      <c r="B945" t="str">
        <f ca="1">IFERROR(__xludf.DUMMYFUNCTION("""COMPUTED_VALUE"""),"G.9.15.3")</f>
        <v>G.9.15.3</v>
      </c>
    </row>
    <row r="946" spans="1:2" ht="12.5" x14ac:dyDescent="0.25">
      <c r="A946" t="str">
        <f ca="1">IFERROR(__xludf.DUMMYFUNCTION("""COMPUTED_VALUE"""),"Egg shells, dried")</f>
        <v>Egg shells, dried</v>
      </c>
      <c r="B946" t="str">
        <f ca="1">IFERROR(__xludf.DUMMYFUNCTION("""COMPUTED_VALUE"""),"G.9.15.5")</f>
        <v>G.9.15.5</v>
      </c>
    </row>
    <row r="947" spans="1:2" ht="12.5" x14ac:dyDescent="0.25">
      <c r="A947" t="str">
        <f ca="1">IFERROR(__xludf.DUMMYFUNCTION("""COMPUTED_VALUE"""),"Egg white, chicken")</f>
        <v>Egg white, chicken</v>
      </c>
      <c r="B947" t="str">
        <f ca="1">IFERROR(__xludf.DUMMYFUNCTION("""COMPUTED_VALUE"""),"A.01.001256")</f>
        <v>A.01.001256</v>
      </c>
    </row>
    <row r="948" spans="1:2" ht="12.5" x14ac:dyDescent="0.25">
      <c r="A948" t="str">
        <f ca="1">IFERROR(__xludf.DUMMYFUNCTION("""COMPUTED_VALUE"""),"Egg yolk, chicken")</f>
        <v>Egg yolk, chicken</v>
      </c>
      <c r="B948" t="str">
        <f ca="1">IFERROR(__xludf.DUMMYFUNCTION("""COMPUTED_VALUE"""),"A.01.001255")</f>
        <v>A.01.001255</v>
      </c>
    </row>
    <row r="949" spans="1:2" ht="12.5" x14ac:dyDescent="0.25">
      <c r="A949" t="str">
        <f ca="1">IFERROR(__xludf.DUMMYFUNCTION("""COMPUTED_VALUE"""),"Egg-based meal (e.g., omelette)")</f>
        <v>Egg-based meal (e.g., omelette)</v>
      </c>
      <c r="B949" t="str">
        <f ca="1">IFERROR(__xludf.DUMMYFUNCTION("""COMPUTED_VALUE"""),"A.01.001847")</f>
        <v>A.01.001847</v>
      </c>
    </row>
    <row r="950" spans="1:2" ht="12.5" x14ac:dyDescent="0.25">
      <c r="A950" t="str">
        <f ca="1">IFERROR(__xludf.DUMMYFUNCTION("""COMPUTED_VALUE"""),"Eggs")</f>
        <v>Eggs</v>
      </c>
      <c r="B950" t="str">
        <f ca="1">IFERROR(__xludf.DUMMYFUNCTION("""COMPUTED_VALUE"""),"C12")</f>
        <v>C12</v>
      </c>
    </row>
    <row r="951" spans="1:2" ht="12.5" x14ac:dyDescent="0.25">
      <c r="A951" t="str">
        <f ca="1">IFERROR(__xludf.DUMMYFUNCTION("""COMPUTED_VALUE"""),"Eggs")</f>
        <v>Eggs</v>
      </c>
      <c r="B951" t="str">
        <f ca="1">IFERROR(__xludf.DUMMYFUNCTION("""COMPUTED_VALUE"""),"G.9.15")</f>
        <v>G.9.15</v>
      </c>
    </row>
    <row r="952" spans="1:2" ht="12.5" x14ac:dyDescent="0.25">
      <c r="A952" t="str">
        <f ca="1">IFERROR(__xludf.DUMMYFUNCTION("""COMPUTED_VALUE"""),"Eggs and egg products")</f>
        <v>Eggs and egg products</v>
      </c>
      <c r="B952" t="str">
        <f ca="1">IFERROR(__xludf.DUMMYFUNCTION("""COMPUTED_VALUE"""),"A.01.001252")</f>
        <v>A.01.001252</v>
      </c>
    </row>
    <row r="953" spans="1:2" ht="12.5" x14ac:dyDescent="0.25">
      <c r="A953" t="str">
        <f ca="1">IFERROR(__xludf.DUMMYFUNCTION("""COMPUTED_VALUE"""),"Eggs, fresh")</f>
        <v>Eggs, fresh</v>
      </c>
      <c r="B953" t="str">
        <f ca="1">IFERROR(__xludf.DUMMYFUNCTION("""COMPUTED_VALUE"""),"A.01.001253")</f>
        <v>A.01.001253</v>
      </c>
    </row>
    <row r="954" spans="1:2" ht="12.5" x14ac:dyDescent="0.25">
      <c r="A954" t="str">
        <f ca="1">IFERROR(__xludf.DUMMYFUNCTION("""COMPUTED_VALUE"""),"Eggs, powder")</f>
        <v>Eggs, powder</v>
      </c>
      <c r="B954" t="str">
        <f ca="1">IFERROR(__xludf.DUMMYFUNCTION("""COMPUTED_VALUE"""),"A.01.001263")</f>
        <v>A.01.001263</v>
      </c>
    </row>
    <row r="955" spans="1:2" ht="12.5" x14ac:dyDescent="0.25">
      <c r="A955" t="str">
        <f ca="1">IFERROR(__xludf.DUMMYFUNCTION("""COMPUTED_VALUE"""),"Einkorn")</f>
        <v>Einkorn</v>
      </c>
      <c r="B955" t="str">
        <f ca="1">IFERROR(__xludf.DUMMYFUNCTION("""COMPUTED_VALUE"""),"A.01.000041")</f>
        <v>A.01.000041</v>
      </c>
    </row>
    <row r="956" spans="1:2" ht="12.5" x14ac:dyDescent="0.25">
      <c r="A956" t="str">
        <f ca="1">IFERROR(__xludf.DUMMYFUNCTION("""COMPUTED_VALUE"""),"Elderberries (Sambucus nigra)")</f>
        <v>Elderberries (Sambucus nigra)</v>
      </c>
      <c r="B956" t="str">
        <f ca="1">IFERROR(__xludf.DUMMYFUNCTION("""COMPUTED_VALUE"""),"A.01.000590")</f>
        <v>A.01.000590</v>
      </c>
    </row>
    <row r="957" spans="1:2" ht="12.5" x14ac:dyDescent="0.25">
      <c r="A957" t="str">
        <f ca="1">IFERROR(__xludf.DUMMYFUNCTION("""COMPUTED_VALUE"""),"Elk meat (Alces alces)")</f>
        <v>Elk meat (Alces alces)</v>
      </c>
      <c r="B957" t="str">
        <f ca="1">IFERROR(__xludf.DUMMYFUNCTION("""COMPUTED_VALUE"""),"A.01.000747")</f>
        <v>A.01.000747</v>
      </c>
    </row>
    <row r="958" spans="1:2" ht="12.5" x14ac:dyDescent="0.25">
      <c r="A958" t="str">
        <f ca="1">IFERROR(__xludf.DUMMYFUNCTION("""COMPUTED_VALUE"""),"Emmer")</f>
        <v>Emmer</v>
      </c>
      <c r="B958" t="str">
        <f ca="1">IFERROR(__xludf.DUMMYFUNCTION("""COMPUTED_VALUE"""),"A.01.000042")</f>
        <v>A.01.000042</v>
      </c>
    </row>
    <row r="959" spans="1:2" ht="12.5" x14ac:dyDescent="0.25">
      <c r="A959" t="str">
        <f ca="1">IFERROR(__xludf.DUMMYFUNCTION("""COMPUTED_VALUE"""),"Emulsion sauce (Hollandaise sauce)")</f>
        <v>Emulsion sauce (Hollandaise sauce)</v>
      </c>
      <c r="B959" t="str">
        <f ca="1">IFERROR(__xludf.DUMMYFUNCTION("""COMPUTED_VALUE"""),"A.01.001689")</f>
        <v>A.01.001689</v>
      </c>
    </row>
    <row r="960" spans="1:2" ht="12.5" x14ac:dyDescent="0.25">
      <c r="A960" t="str">
        <f ca="1">IFERROR(__xludf.DUMMYFUNCTION("""COMPUTED_VALUE"""),"Endive, scarole (broad-leaf endive) (Cichorium endiva)")</f>
        <v>Endive, scarole (broad-leaf endive) (Cichorium endiva)</v>
      </c>
      <c r="B960" t="str">
        <f ca="1">IFERROR(__xludf.DUMMYFUNCTION("""COMPUTED_VALUE"""),"A.01.000363")</f>
        <v>A.01.000363</v>
      </c>
    </row>
    <row r="961" spans="1:2" ht="12.5" x14ac:dyDescent="0.25">
      <c r="A961" t="str">
        <f ca="1">IFERROR(__xludf.DUMMYFUNCTION("""COMPUTED_VALUE"""),"Enzyme-based supplement")</f>
        <v>Enzyme-based supplement</v>
      </c>
      <c r="B961" t="str">
        <f ca="1">IFERROR(__xludf.DUMMYFUNCTION("""COMPUTED_VALUE"""),"A.01.001761")</f>
        <v>A.01.001761</v>
      </c>
    </row>
    <row r="962" spans="1:2" ht="12.5" x14ac:dyDescent="0.25">
      <c r="A962" t="str">
        <f ca="1">IFERROR(__xludf.DUMMYFUNCTION("""COMPUTED_VALUE"""),"Ervil")</f>
        <v>Ervil</v>
      </c>
      <c r="B962" t="str">
        <f ca="1">IFERROR(__xludf.DUMMYFUNCTION("""COMPUTED_VALUE"""),"F03.03")</f>
        <v>F03.03</v>
      </c>
    </row>
    <row r="963" spans="1:2" ht="12.5" x14ac:dyDescent="0.25">
      <c r="A963" t="str">
        <f ca="1">IFERROR(__xludf.DUMMYFUNCTION("""COMPUTED_VALUE"""),"Ervil")</f>
        <v>Ervil</v>
      </c>
      <c r="B963" t="str">
        <f ca="1">IFERROR(__xludf.DUMMYFUNCTION("""COMPUTED_VALUE"""),"G.3.4")</f>
        <v>G.3.4</v>
      </c>
    </row>
    <row r="964" spans="1:2" ht="12.5" x14ac:dyDescent="0.25">
      <c r="A964" t="str">
        <f ca="1">IFERROR(__xludf.DUMMYFUNCTION("""COMPUTED_VALUE"""),"Erythritol")</f>
        <v>Erythritol</v>
      </c>
      <c r="B964" t="str">
        <f ca="1">IFERROR(__xludf.DUMMYFUNCTION("""COMPUTED_VALUE"""),"A.01.001286")</f>
        <v>A.01.001286</v>
      </c>
    </row>
    <row r="965" spans="1:2" ht="12.5" x14ac:dyDescent="0.25">
      <c r="A965" t="str">
        <f ca="1">IFERROR(__xludf.DUMMYFUNCTION("""COMPUTED_VALUE"""),"Ethanol 10 % (v/v) (Food Simulant A)")</f>
        <v>Ethanol 10 % (v/v) (Food Simulant A)</v>
      </c>
      <c r="B965" t="str">
        <f ca="1">IFERROR(__xludf.DUMMYFUNCTION("""COMPUTED_VALUE"""),"A0BA8")</f>
        <v>A0BA8</v>
      </c>
    </row>
    <row r="966" spans="1:2" ht="12.5" x14ac:dyDescent="0.25">
      <c r="A966" t="str">
        <f ca="1">IFERROR(__xludf.DUMMYFUNCTION("""COMPUTED_VALUE"""),"Ethanol 20% (v/v) (Food Simulant C)")</f>
        <v>Ethanol 20% (v/v) (Food Simulant C)</v>
      </c>
      <c r="B966" t="str">
        <f ca="1">IFERROR(__xludf.DUMMYFUNCTION("""COMPUTED_VALUE"""),"A0BAD")</f>
        <v>A0BAD</v>
      </c>
    </row>
    <row r="967" spans="1:2" ht="12.5" x14ac:dyDescent="0.25">
      <c r="A967" t="str">
        <f ca="1">IFERROR(__xludf.DUMMYFUNCTION("""COMPUTED_VALUE"""),"Ethanol 50% (v/v) (Food Simulant D1)")</f>
        <v>Ethanol 50% (v/v) (Food Simulant D1)</v>
      </c>
      <c r="B967" t="str">
        <f ca="1">IFERROR(__xludf.DUMMYFUNCTION("""COMPUTED_VALUE"""),"A0BAC")</f>
        <v>A0BAC</v>
      </c>
    </row>
    <row r="968" spans="1:2" ht="12.5" x14ac:dyDescent="0.25">
      <c r="A968" t="str">
        <f ca="1">IFERROR(__xludf.DUMMYFUNCTION("""COMPUTED_VALUE"""),"Ethanol 95% (v/v) (replacement for Food Simulant D2)")</f>
        <v>Ethanol 95% (v/v) (replacement for Food Simulant D2)</v>
      </c>
      <c r="B968" t="str">
        <f ca="1">IFERROR(__xludf.DUMMYFUNCTION("""COMPUTED_VALUE"""),"A0BAB")</f>
        <v>A0BAB</v>
      </c>
    </row>
    <row r="969" spans="1:2" ht="12.5" x14ac:dyDescent="0.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x14ac:dyDescent="0.25">
      <c r="A970" t="str">
        <f ca="1">IFERROR(__xludf.DUMMYFUNCTION("""COMPUTED_VALUE"""),"Extruded bread")</f>
        <v>Extruded bread</v>
      </c>
      <c r="B970" t="str">
        <f ca="1">IFERROR(__xludf.DUMMYFUNCTION("""COMPUTED_VALUE"""),"A.01.000157")</f>
        <v>A.01.000157</v>
      </c>
    </row>
    <row r="971" spans="1:2" ht="12.5" x14ac:dyDescent="0.25">
      <c r="A971" t="str">
        <f ca="1">IFERROR(__xludf.DUMMYFUNCTION("""COMPUTED_VALUE"""),"Farmer cervelat")</f>
        <v>Farmer cervelat</v>
      </c>
      <c r="B971" t="str">
        <f ca="1">IFERROR(__xludf.DUMMYFUNCTION("""COMPUTED_VALUE"""),"A.01.000836")</f>
        <v>A.01.000836</v>
      </c>
    </row>
    <row r="972" spans="1:2" ht="12.5" x14ac:dyDescent="0.25">
      <c r="A972" t="str">
        <f ca="1">IFERROR(__xludf.DUMMYFUNCTION("""COMPUTED_VALUE"""),"Fat emulsions")</f>
        <v>Fat emulsions</v>
      </c>
      <c r="B972" t="str">
        <f ca="1">IFERROR(__xludf.DUMMYFUNCTION("""COMPUTED_VALUE"""),"A.01.001393")</f>
        <v>A.01.001393</v>
      </c>
    </row>
    <row r="973" spans="1:2" ht="12.5" x14ac:dyDescent="0.25">
      <c r="A973" t="str">
        <f ca="1">IFERROR(__xludf.DUMMYFUNCTION("""COMPUTED_VALUE"""),"Fat of bovine animals and sheep")</f>
        <v>Fat of bovine animals and sheep</v>
      </c>
      <c r="B973" t="str">
        <f ca="1">IFERROR(__xludf.DUMMYFUNCTION("""COMPUTED_VALUE"""),"C03_1A")</f>
        <v>C03_1A</v>
      </c>
    </row>
    <row r="974" spans="1:2" ht="12.5" x14ac:dyDescent="0.25">
      <c r="A974" t="str">
        <f ca="1">IFERROR(__xludf.DUMMYFUNCTION("""COMPUTED_VALUE"""),"Fat of pig")</f>
        <v>Fat of pig</v>
      </c>
      <c r="B974" t="str">
        <f ca="1">IFERROR(__xludf.DUMMYFUNCTION("""COMPUTED_VALUE"""),"C03_1C")</f>
        <v>C03_1C</v>
      </c>
    </row>
    <row r="975" spans="1:2" ht="12.5" x14ac:dyDescent="0.25">
      <c r="A975" t="str">
        <f ca="1">IFERROR(__xludf.DUMMYFUNCTION("""COMPUTED_VALUE"""),"Fat of poultry")</f>
        <v>Fat of poultry</v>
      </c>
      <c r="B975" t="str">
        <f ca="1">IFERROR(__xludf.DUMMYFUNCTION("""COMPUTED_VALUE"""),"C03_1B")</f>
        <v>C03_1B</v>
      </c>
    </row>
    <row r="976" spans="1:2" ht="12.5" x14ac:dyDescent="0.25">
      <c r="A976" t="str">
        <f ca="1">IFERROR(__xludf.DUMMYFUNCTION("""COMPUTED_VALUE"""),"Fats (Vegetable and animal)")</f>
        <v>Fats (Vegetable and animal)</v>
      </c>
      <c r="B976" t="str">
        <f ca="1">IFERROR(__xludf.DUMMYFUNCTION("""COMPUTED_VALUE"""),"C03")</f>
        <v>C03</v>
      </c>
    </row>
    <row r="977" spans="1:2" ht="12.5" x14ac:dyDescent="0.25">
      <c r="A977" t="str">
        <f ca="1">IFERROR(__xludf.DUMMYFUNCTION("""COMPUTED_VALUE"""),"Fats of mixed origin")</f>
        <v>Fats of mixed origin</v>
      </c>
      <c r="B977" t="str">
        <f ca="1">IFERROR(__xludf.DUMMYFUNCTION("""COMPUTED_VALUE"""),"A.01.001388")</f>
        <v>A.01.001388</v>
      </c>
    </row>
    <row r="978" spans="1:2" ht="12.5" x14ac:dyDescent="0.25">
      <c r="A978" t="str">
        <f ca="1">IFERROR(__xludf.DUMMYFUNCTION("""COMPUTED_VALUE"""),"Fattening calves (weaning diets) / Complementary feed")</f>
        <v>Fattening calves (weaning diets) / Complementary feed</v>
      </c>
      <c r="B978" t="str">
        <f ca="1">IFERROR(__xludf.DUMMYFUNCTION("""COMPUTED_VALUE"""),"G.14.2.2")</f>
        <v>G.14.2.2</v>
      </c>
    </row>
    <row r="979" spans="1:2" ht="12.5" x14ac:dyDescent="0.25">
      <c r="A979" t="str">
        <f ca="1">IFERROR(__xludf.DUMMYFUNCTION("""COMPUTED_VALUE"""),"Fattening calves (weaning diets) / Complete feed")</f>
        <v>Fattening calves (weaning diets) / Complete feed</v>
      </c>
      <c r="B979" t="str">
        <f ca="1">IFERROR(__xludf.DUMMYFUNCTION("""COMPUTED_VALUE"""),"G.14.1.2")</f>
        <v>G.14.1.2</v>
      </c>
    </row>
    <row r="980" spans="1:2" ht="12.5" x14ac:dyDescent="0.25">
      <c r="A980" t="str">
        <f ca="1">IFERROR(__xludf.DUMMYFUNCTION("""COMPUTED_VALUE"""),"Fattening cattle / Complementary feed")</f>
        <v>Fattening cattle / Complementary feed</v>
      </c>
      <c r="B980" t="str">
        <f ca="1">IFERROR(__xludf.DUMMYFUNCTION("""COMPUTED_VALUE"""),"G.14.2.3")</f>
        <v>G.14.2.3</v>
      </c>
    </row>
    <row r="981" spans="1:2" ht="12.5" x14ac:dyDescent="0.25">
      <c r="A981" t="str">
        <f ca="1">IFERROR(__xludf.DUMMYFUNCTION("""COMPUTED_VALUE"""),"Fattening cattle / Complete feed")</f>
        <v>Fattening cattle / Complete feed</v>
      </c>
      <c r="B981" t="str">
        <f ca="1">IFERROR(__xludf.DUMMYFUNCTION("""COMPUTED_VALUE"""),"G.14.1.3")</f>
        <v>G.14.1.3</v>
      </c>
    </row>
    <row r="982" spans="1:2" ht="12.5" x14ac:dyDescent="0.25">
      <c r="A982" t="str">
        <f ca="1">IFERROR(__xludf.DUMMYFUNCTION("""COMPUTED_VALUE"""),"Fattening chickens (broilers) / Complementary feed")</f>
        <v>Fattening chickens (broilers) / Complementary feed</v>
      </c>
      <c r="B982" t="str">
        <f ca="1">IFERROR(__xludf.DUMMYFUNCTION("""COMPUTED_VALUE"""),"G.14.2.17")</f>
        <v>G.14.2.17</v>
      </c>
    </row>
    <row r="983" spans="1:2" ht="12.5" x14ac:dyDescent="0.25">
      <c r="A983" t="str">
        <f ca="1">IFERROR(__xludf.DUMMYFUNCTION("""COMPUTED_VALUE"""),"Fattening chickens (broilers) / Complete feed")</f>
        <v>Fattening chickens (broilers) / Complete feed</v>
      </c>
      <c r="B983" t="str">
        <f ca="1">IFERROR(__xludf.DUMMYFUNCTION("""COMPUTED_VALUE"""),"G.14.1.17")</f>
        <v>G.14.1.17</v>
      </c>
    </row>
    <row r="984" spans="1:2" ht="12.5" x14ac:dyDescent="0.25">
      <c r="A984" t="str">
        <f ca="1">IFERROR(__xludf.DUMMYFUNCTION("""COMPUTED_VALUE"""),"Fattening ducks / Complementary feed")</f>
        <v>Fattening ducks / Complementary feed</v>
      </c>
      <c r="B984" t="str">
        <f ca="1">IFERROR(__xludf.DUMMYFUNCTION("""COMPUTED_VALUE"""),"G.14.2.20")</f>
        <v>G.14.2.20</v>
      </c>
    </row>
    <row r="985" spans="1:2" ht="12.5" x14ac:dyDescent="0.25">
      <c r="A985" t="str">
        <f ca="1">IFERROR(__xludf.DUMMYFUNCTION("""COMPUTED_VALUE"""),"Fattening ducks / Complete feed")</f>
        <v>Fattening ducks / Complete feed</v>
      </c>
      <c r="B985" t="str">
        <f ca="1">IFERROR(__xludf.DUMMYFUNCTION("""COMPUTED_VALUE"""),"G.14.1.20")</f>
        <v>G.14.1.20</v>
      </c>
    </row>
    <row r="986" spans="1:2" ht="12.5" x14ac:dyDescent="0.25">
      <c r="A986" t="str">
        <f ca="1">IFERROR(__xludf.DUMMYFUNCTION("""COMPUTED_VALUE"""),"Fattening geese / Complementary feed")</f>
        <v>Fattening geese / Complementary feed</v>
      </c>
      <c r="B986" t="str">
        <f ca="1">IFERROR(__xludf.DUMMYFUNCTION("""COMPUTED_VALUE"""),"G.14.2.21")</f>
        <v>G.14.2.21</v>
      </c>
    </row>
    <row r="987" spans="1:2" ht="12.5" x14ac:dyDescent="0.25">
      <c r="A987" t="str">
        <f ca="1">IFERROR(__xludf.DUMMYFUNCTION("""COMPUTED_VALUE"""),"Fattening geese / Complete feed")</f>
        <v>Fattening geese / Complete feed</v>
      </c>
      <c r="B987" t="str">
        <f ca="1">IFERROR(__xludf.DUMMYFUNCTION("""COMPUTED_VALUE"""),"G.14.1.21")</f>
        <v>G.14.1.21</v>
      </c>
    </row>
    <row r="988" spans="1:2" ht="12.5" x14ac:dyDescent="0.25">
      <c r="A988" t="str">
        <f ca="1">IFERROR(__xludf.DUMMYFUNCTION("""COMPUTED_VALUE"""),"Fattening goats / Complementary feed")</f>
        <v>Fattening goats / Complementary feed</v>
      </c>
      <c r="B988" t="str">
        <f ca="1">IFERROR(__xludf.DUMMYFUNCTION("""COMPUTED_VALUE"""),"G.14.2.13")</f>
        <v>G.14.2.13</v>
      </c>
    </row>
    <row r="989" spans="1:2" ht="12.5" x14ac:dyDescent="0.25">
      <c r="A989" t="str">
        <f ca="1">IFERROR(__xludf.DUMMYFUNCTION("""COMPUTED_VALUE"""),"Fattening goats / Complete feed")</f>
        <v>Fattening goats / Complete feed</v>
      </c>
      <c r="B989" t="str">
        <f ca="1">IFERROR(__xludf.DUMMYFUNCTION("""COMPUTED_VALUE"""),"G.14.1.13")</f>
        <v>G.14.1.13</v>
      </c>
    </row>
    <row r="990" spans="1:2" ht="12.5" x14ac:dyDescent="0.25">
      <c r="A990" t="str">
        <f ca="1">IFERROR(__xludf.DUMMYFUNCTION("""COMPUTED_VALUE"""),"Fattening ostrich / Complementary feed")</f>
        <v>Fattening ostrich / Complementary feed</v>
      </c>
      <c r="B990" t="str">
        <f ca="1">IFERROR(__xludf.DUMMYFUNCTION("""COMPUTED_VALUE"""),"G.14.2.23")</f>
        <v>G.14.2.23</v>
      </c>
    </row>
    <row r="991" spans="1:2" ht="12.5" x14ac:dyDescent="0.25">
      <c r="A991" t="str">
        <f ca="1">IFERROR(__xludf.DUMMYFUNCTION("""COMPUTED_VALUE"""),"Fattening ostrich / Complete feed")</f>
        <v>Fattening ostrich / Complete feed</v>
      </c>
      <c r="B991" t="str">
        <f ca="1">IFERROR(__xludf.DUMMYFUNCTION("""COMPUTED_VALUE"""),"G.14.1.23")</f>
        <v>G.14.1.23</v>
      </c>
    </row>
    <row r="992" spans="1:2" ht="12.5" x14ac:dyDescent="0.25">
      <c r="A992" t="str">
        <f ca="1">IFERROR(__xludf.DUMMYFUNCTION("""COMPUTED_VALUE"""),"Fattening pigeon / Complementary feed")</f>
        <v>Fattening pigeon / Complementary feed</v>
      </c>
      <c r="B992" t="str">
        <f ca="1">IFERROR(__xludf.DUMMYFUNCTION("""COMPUTED_VALUE"""),"G.14.2.22")</f>
        <v>G.14.2.22</v>
      </c>
    </row>
    <row r="993" spans="1:2" ht="12.5" x14ac:dyDescent="0.25">
      <c r="A993" t="str">
        <f ca="1">IFERROR(__xludf.DUMMYFUNCTION("""COMPUTED_VALUE"""),"Fattening pigeon / Complete feed")</f>
        <v>Fattening pigeon / Complete feed</v>
      </c>
      <c r="B993" t="str">
        <f ca="1">IFERROR(__xludf.DUMMYFUNCTION("""COMPUTED_VALUE"""),"G.14.1.22")</f>
        <v>G.14.1.22</v>
      </c>
    </row>
    <row r="994" spans="1:2" ht="12.5" x14ac:dyDescent="0.25">
      <c r="A994" t="str">
        <f ca="1">IFERROR(__xludf.DUMMYFUNCTION("""COMPUTED_VALUE"""),"Fattening rabbits / Complementary feed")</f>
        <v>Fattening rabbits / Complementary feed</v>
      </c>
      <c r="B994" t="str">
        <f ca="1">IFERROR(__xludf.DUMMYFUNCTION("""COMPUTED_VALUE"""),"G.14.2.24")</f>
        <v>G.14.2.24</v>
      </c>
    </row>
    <row r="995" spans="1:2" ht="12.5" x14ac:dyDescent="0.25">
      <c r="A995" t="str">
        <f ca="1">IFERROR(__xludf.DUMMYFUNCTION("""COMPUTED_VALUE"""),"Fattening rabbits / Complete feed")</f>
        <v>Fattening rabbits / Complete feed</v>
      </c>
      <c r="B995" t="str">
        <f ca="1">IFERROR(__xludf.DUMMYFUNCTION("""COMPUTED_VALUE"""),"G.14.1.24")</f>
        <v>G.14.1.24</v>
      </c>
    </row>
    <row r="996" spans="1:2" ht="12.5" x14ac:dyDescent="0.25">
      <c r="A996" t="str">
        <f ca="1">IFERROR(__xludf.DUMMYFUNCTION("""COMPUTED_VALUE"""),"Fattening sheep / Complementary feed")</f>
        <v>Fattening sheep / Complementary feed</v>
      </c>
      <c r="B996" t="str">
        <f ca="1">IFERROR(__xludf.DUMMYFUNCTION("""COMPUTED_VALUE"""),"G.14.2.10")</f>
        <v>G.14.2.10</v>
      </c>
    </row>
    <row r="997" spans="1:2" ht="12.5" x14ac:dyDescent="0.25">
      <c r="A997" t="str">
        <f ca="1">IFERROR(__xludf.DUMMYFUNCTION("""COMPUTED_VALUE"""),"Fattening sheep / Complete feed")</f>
        <v>Fattening sheep / Complete feed</v>
      </c>
      <c r="B997" t="str">
        <f ca="1">IFERROR(__xludf.DUMMYFUNCTION("""COMPUTED_VALUE"""),"G.14.1.10")</f>
        <v>G.14.1.10</v>
      </c>
    </row>
    <row r="998" spans="1:2" ht="12.5" x14ac:dyDescent="0.25">
      <c r="A998" t="str">
        <f ca="1">IFERROR(__xludf.DUMMYFUNCTION("""COMPUTED_VALUE"""),"Fattening turkeys / Complementary feed")</f>
        <v>Fattening turkeys / Complementary feed</v>
      </c>
      <c r="B998" t="str">
        <f ca="1">IFERROR(__xludf.DUMMYFUNCTION("""COMPUTED_VALUE"""),"G.14.2.19")</f>
        <v>G.14.2.19</v>
      </c>
    </row>
    <row r="999" spans="1:2" ht="12.5" x14ac:dyDescent="0.25">
      <c r="A999" t="str">
        <f ca="1">IFERROR(__xludf.DUMMYFUNCTION("""COMPUTED_VALUE"""),"Fattening turkeys / Complete feed")</f>
        <v>Fattening turkeys / Complete feed</v>
      </c>
      <c r="B999" t="str">
        <f ca="1">IFERROR(__xludf.DUMMYFUNCTION("""COMPUTED_VALUE"""),"G.14.1.19")</f>
        <v>G.14.1.19</v>
      </c>
    </row>
    <row r="1000" spans="1:2" ht="12.5" x14ac:dyDescent="0.25">
      <c r="A1000" t="str">
        <f ca="1">IFERROR(__xludf.DUMMYFUNCTION("""COMPUTED_VALUE"""),"Fatty acids")</f>
        <v>Fatty acids</v>
      </c>
      <c r="B1000" t="str">
        <f ca="1">IFERROR(__xludf.DUMMYFUNCTION("""COMPUTED_VALUE"""),"F12.04")</f>
        <v>F12.04</v>
      </c>
    </row>
    <row r="1001" spans="1:2" ht="12.5" x14ac:dyDescent="0.25">
      <c r="A1001" t="str">
        <f ca="1">IFERROR(__xludf.DUMMYFUNCTION("""COMPUTED_VALUE"""),"Fatty acids")</f>
        <v>Fatty acids</v>
      </c>
      <c r="B1001" t="str">
        <f ca="1">IFERROR(__xludf.DUMMYFUNCTION("""COMPUTED_VALUE"""),"G.13.6")</f>
        <v>G.13.6</v>
      </c>
    </row>
    <row r="1002" spans="1:2" ht="12.5" x14ac:dyDescent="0.25">
      <c r="A1002" t="str">
        <f ca="1">IFERROR(__xludf.DUMMYFUNCTION("""COMPUTED_VALUE"""),"Fatty acids esterified with glycerol")</f>
        <v>Fatty acids esterified with glycerol</v>
      </c>
      <c r="B1002" t="str">
        <f ca="1">IFERROR(__xludf.DUMMYFUNCTION("""COMPUTED_VALUE"""),"G.13.6.2")</f>
        <v>G.13.6.2</v>
      </c>
    </row>
    <row r="1003" spans="1:2" ht="12.5" x14ac:dyDescent="0.25">
      <c r="A1003" t="str">
        <f ca="1">IFERROR(__xludf.DUMMYFUNCTION("""COMPUTED_VALUE"""),"Feather meal")</f>
        <v>Feather meal</v>
      </c>
      <c r="B1003" t="str">
        <f ca="1">IFERROR(__xludf.DUMMYFUNCTION("""COMPUTED_VALUE"""),"G.9.11")</f>
        <v>G.9.11</v>
      </c>
    </row>
    <row r="1004" spans="1:2" ht="12.5" x14ac:dyDescent="0.25">
      <c r="A1004" t="str">
        <f ca="1">IFERROR(__xludf.DUMMYFUNCTION("""COMPUTED_VALUE"""),"Feather meal, hydrolysed")</f>
        <v>Feather meal, hydrolysed</v>
      </c>
      <c r="B1004" t="str">
        <f ca="1">IFERROR(__xludf.DUMMYFUNCTION("""COMPUTED_VALUE"""),"F09.06")</f>
        <v>F09.06</v>
      </c>
    </row>
    <row r="1005" spans="1:2" ht="12.5" x14ac:dyDescent="0.25">
      <c r="A1005" t="str">
        <f ca="1">IFERROR(__xludf.DUMMYFUNCTION("""COMPUTED_VALUE"""),"Feed")</f>
        <v>Feed</v>
      </c>
      <c r="B1005" t="str">
        <f ca="1">IFERROR(__xludf.DUMMYFUNCTION("""COMPUTED_VALUE"""),"C16")</f>
        <v>C16</v>
      </c>
    </row>
    <row r="1006" spans="1:2" ht="12.5" x14ac:dyDescent="0.25">
      <c r="A1006" t="str">
        <f ca="1">IFERROR(__xludf.DUMMYFUNCTION("""COMPUTED_VALUE"""),"Feed beer")</f>
        <v>Feed beer</v>
      </c>
      <c r="B1006" t="str">
        <f ca="1">IFERROR(__xludf.DUMMYFUNCTION("""COMPUTED_VALUE"""),"G.13.1.15")</f>
        <v>G.13.1.15</v>
      </c>
    </row>
    <row r="1007" spans="1:2" ht="12.5" x14ac:dyDescent="0.25">
      <c r="A1007" t="str">
        <f ca="1">IFERROR(__xludf.DUMMYFUNCTION("""COMPUTED_VALUE"""),"Feed for fur animals, pets and fish")</f>
        <v>Feed for fur animals, pets and fish</v>
      </c>
      <c r="B1007" t="str">
        <f ca="1">IFERROR(__xludf.DUMMYFUNCTION("""COMPUTED_VALUE"""),"C16_M")</f>
        <v>C16_M</v>
      </c>
    </row>
    <row r="1008" spans="1:2" ht="12.5" x14ac:dyDescent="0.25">
      <c r="A1008" t="str">
        <f ca="1">IFERROR(__xludf.DUMMYFUNCTION("""COMPUTED_VALUE"""),"Feed materials of mineral origin")</f>
        <v>Feed materials of mineral origin</v>
      </c>
      <c r="B1008" t="str">
        <f ca="1">IFERROR(__xludf.DUMMYFUNCTION("""COMPUTED_VALUE"""),"C16_C")</f>
        <v>C16_C</v>
      </c>
    </row>
    <row r="1009" spans="1:2" ht="12.5" x14ac:dyDescent="0.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x14ac:dyDescent="0.25">
      <c r="A1010" t="str">
        <f ca="1">IFERROR(__xludf.DUMMYFUNCTION("""COMPUTED_VALUE"""),"Feed terms (Commission Regulation (EU) No 242/2010)")</f>
        <v>Feed terms (Commission Regulation (EU) No 242/2010)</v>
      </c>
      <c r="B1010" t="str">
        <f ca="1">IFERROR(__xludf.DUMMYFUNCTION("""COMPUTED_VALUE"""),"F00")</f>
        <v>F00</v>
      </c>
    </row>
    <row r="1011" spans="1:2" ht="12.5" x14ac:dyDescent="0.25">
      <c r="A1011" t="str">
        <f ca="1">IFERROR(__xludf.DUMMYFUNCTION("""COMPUTED_VALUE"""),"Feed terms (Commission Regulation (EU) No 575/2011)")</f>
        <v>Feed terms (Commission Regulation (EU) No 575/2011)</v>
      </c>
      <c r="B1011" t="str">
        <f ca="1">IFERROR(__xludf.DUMMYFUNCTION("""COMPUTED_VALUE"""),"G.0.0")</f>
        <v>G.0.0</v>
      </c>
    </row>
    <row r="1012" spans="1:2" ht="12.5" x14ac:dyDescent="0.25">
      <c r="A1012" t="str">
        <f ca="1">IFERROR(__xludf.DUMMYFUNCTION("""COMPUTED_VALUE"""),"Feijoa, Pineapple Guava (Feijoa sellowiana)")</f>
        <v>Feijoa, Pineapple Guava (Feijoa sellowiana)</v>
      </c>
      <c r="B1012" t="str">
        <f ca="1">IFERROR(__xludf.DUMMYFUNCTION("""COMPUTED_VALUE"""),"A.01.000639")</f>
        <v>A.01.000639</v>
      </c>
    </row>
    <row r="1013" spans="1:2" ht="12.5" x14ac:dyDescent="0.25">
      <c r="A1013" t="str">
        <f ca="1">IFERROR(__xludf.DUMMYFUNCTION("""COMPUTED_VALUE"""),"Fennel (Foeniculum vulgare)")</f>
        <v>Fennel (Foeniculum vulgare)</v>
      </c>
      <c r="B1013" t="str">
        <f ca="1">IFERROR(__xludf.DUMMYFUNCTION("""COMPUTED_VALUE"""),"A.01.000389")</f>
        <v>A.01.000389</v>
      </c>
    </row>
    <row r="1014" spans="1:2" ht="12.5" x14ac:dyDescent="0.25">
      <c r="A1014" t="str">
        <f ca="1">IFERROR(__xludf.DUMMYFUNCTION("""COMPUTED_VALUE"""),"Fennel seed")</f>
        <v>Fennel seed</v>
      </c>
      <c r="B1014" t="str">
        <f ca="1">IFERROR(__xludf.DUMMYFUNCTION("""COMPUTED_VALUE"""),"G.5.20")</f>
        <v>G.5.20</v>
      </c>
    </row>
    <row r="1015" spans="1:2" ht="12.5" x14ac:dyDescent="0.25">
      <c r="A1015" t="str">
        <f ca="1">IFERROR(__xludf.DUMMYFUNCTION("""COMPUTED_VALUE"""),"Fennel seed (Foeniculum vulgare)")</f>
        <v>Fennel seed (Foeniculum vulgare)</v>
      </c>
      <c r="B1015" t="str">
        <f ca="1">IFERROR(__xludf.DUMMYFUNCTION("""COMPUTED_VALUE"""),"A.01.001612")</f>
        <v>A.01.001612</v>
      </c>
    </row>
    <row r="1016" spans="1:2" ht="12.5" x14ac:dyDescent="0.25">
      <c r="A1016" t="str">
        <f ca="1">IFERROR(__xludf.DUMMYFUNCTION("""COMPUTED_VALUE"""),"Fenugreek (Trigonella foenumgraecum)")</f>
        <v>Fenugreek (Trigonella foenumgraecum)</v>
      </c>
      <c r="B1016" t="str">
        <f ca="1">IFERROR(__xludf.DUMMYFUNCTION("""COMPUTED_VALUE"""),"A.01.001613")</f>
        <v>A.01.001613</v>
      </c>
    </row>
    <row r="1017" spans="1:2" ht="12.5" x14ac:dyDescent="0.25">
      <c r="A1017" t="str">
        <f ca="1">IFERROR(__xludf.DUMMYFUNCTION("""COMPUTED_VALUE"""),"Fenugreek seed")</f>
        <v>Fenugreek seed</v>
      </c>
      <c r="B1017" t="str">
        <f ca="1">IFERROR(__xludf.DUMMYFUNCTION("""COMPUTED_VALUE"""),"G.3.5")</f>
        <v>G.3.5</v>
      </c>
    </row>
    <row r="1018" spans="1:2" ht="12.5" x14ac:dyDescent="0.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x14ac:dyDescent="0.25">
      <c r="A1019" t="str">
        <f ca="1">IFERROR(__xludf.DUMMYFUNCTION("""COMPUTED_VALUE"""),"Fermented fruit products")</f>
        <v>Fermented fruit products</v>
      </c>
      <c r="B1019" t="str">
        <f ca="1">IFERROR(__xludf.DUMMYFUNCTION("""COMPUTED_VALUE"""),"A.01.000724")</f>
        <v>A.01.000724</v>
      </c>
    </row>
    <row r="1020" spans="1:2" ht="12.5" x14ac:dyDescent="0.25">
      <c r="A1020" t="str">
        <f ca="1">IFERROR(__xludf.DUMMYFUNCTION("""COMPUTED_VALUE"""),"Fermented milk products")</f>
        <v>Fermented milk products</v>
      </c>
      <c r="B1020" t="str">
        <f ca="1">IFERROR(__xludf.DUMMYFUNCTION("""COMPUTED_VALUE"""),"A.01.001027")</f>
        <v>A.01.001027</v>
      </c>
    </row>
    <row r="1021" spans="1:2" ht="12.5" x14ac:dyDescent="0.25">
      <c r="A1021" t="str">
        <f ca="1">IFERROR(__xludf.DUMMYFUNCTION("""COMPUTED_VALUE"""),"Fermented milk products (Feed)")</f>
        <v>Fermented milk products (Feed)</v>
      </c>
      <c r="B1021" t="str">
        <f ca="1">IFERROR(__xludf.DUMMYFUNCTION("""COMPUTED_VALUE"""),"G.8.8")</f>
        <v>G.8.8</v>
      </c>
    </row>
    <row r="1022" spans="1:2" ht="12.5" x14ac:dyDescent="0.25">
      <c r="A1022" t="str">
        <f ca="1">IFERROR(__xludf.DUMMYFUNCTION("""COMPUTED_VALUE"""),"Fiber supplements")</f>
        <v>Fiber supplements</v>
      </c>
      <c r="B1022" t="str">
        <f ca="1">IFERROR(__xludf.DUMMYFUNCTION("""COMPUTED_VALUE"""),"A.01.001758")</f>
        <v>A.01.001758</v>
      </c>
    </row>
    <row r="1023" spans="1:2" ht="12.5" x14ac:dyDescent="0.25">
      <c r="A1023" t="str">
        <f ca="1">IFERROR(__xludf.DUMMYFUNCTION("""COMPUTED_VALUE"""),"Field mushroom (Agaricus campestris)")</f>
        <v>Field mushroom (Agaricus campestris)</v>
      </c>
      <c r="B1023" t="str">
        <f ca="1">IFERROR(__xludf.DUMMYFUNCTION("""COMPUTED_VALUE"""),"A.01.000459")</f>
        <v>A.01.000459</v>
      </c>
    </row>
    <row r="1024" spans="1:2" ht="12.5" x14ac:dyDescent="0.25">
      <c r="A1024" t="str">
        <f ca="1">IFERROR(__xludf.DUMMYFUNCTION("""COMPUTED_VALUE"""),"Fig coffee")</f>
        <v>Fig coffee</v>
      </c>
      <c r="B1024" t="str">
        <f ca="1">IFERROR(__xludf.DUMMYFUNCTION("""COMPUTED_VALUE"""),"A.01.000437")</f>
        <v>A.01.000437</v>
      </c>
    </row>
    <row r="1025" spans="1:2" ht="12.5" x14ac:dyDescent="0.25">
      <c r="A1025" t="str">
        <f ca="1">IFERROR(__xludf.DUMMYFUNCTION("""COMPUTED_VALUE"""),"Fig fruit")</f>
        <v>Fig fruit</v>
      </c>
      <c r="B1025" t="str">
        <f ca="1">IFERROR(__xludf.DUMMYFUNCTION("""COMPUTED_VALUE"""),"G.5.21")</f>
        <v>G.5.21</v>
      </c>
    </row>
    <row r="1026" spans="1:2" ht="12.5" x14ac:dyDescent="0.25">
      <c r="A1026" t="str">
        <f ca="1">IFERROR(__xludf.DUMMYFUNCTION("""COMPUTED_VALUE"""),"Figs (Ficus carica)")</f>
        <v>Figs (Ficus carica)</v>
      </c>
      <c r="B1026" t="str">
        <f ca="1">IFERROR(__xludf.DUMMYFUNCTION("""COMPUTED_VALUE"""),"A.01.000613")</f>
        <v>A.01.000613</v>
      </c>
    </row>
    <row r="1027" spans="1:2" ht="12.5" x14ac:dyDescent="0.25">
      <c r="A1027" t="str">
        <f ca="1">IFERROR(__xludf.DUMMYFUNCTION("""COMPUTED_VALUE"""),"Filled chocolate")</f>
        <v>Filled chocolate</v>
      </c>
      <c r="B1027" t="str">
        <f ca="1">IFERROR(__xludf.DUMMYFUNCTION("""COMPUTED_VALUE"""),"A.01.001302")</f>
        <v>A.01.001302</v>
      </c>
    </row>
    <row r="1028" spans="1:2" ht="12.5" x14ac:dyDescent="0.25">
      <c r="A1028" t="str">
        <f ca="1">IFERROR(__xludf.DUMMYFUNCTION("""COMPUTED_VALUE"""),"Film horse beans; [Faba bean hulls]")</f>
        <v>Film horse beans; [Faba bean hulls]</v>
      </c>
      <c r="B1028" t="str">
        <f ca="1">IFERROR(__xludf.DUMMYFUNCTION("""COMPUTED_VALUE"""),"G.3.7.3")</f>
        <v>G.3.7.3</v>
      </c>
    </row>
    <row r="1029" spans="1:2" ht="12.5" x14ac:dyDescent="0.25">
      <c r="A1029" t="str">
        <f ca="1">IFERROR(__xludf.DUMMYFUNCTION("""COMPUTED_VALUE"""),"Film lupins; [lupin hulls]")</f>
        <v>Film lupins; [lupin hulls]</v>
      </c>
      <c r="B1029" t="str">
        <f ca="1">IFERROR(__xludf.DUMMYFUNCTION("""COMPUTED_VALUE"""),"G.3.9.3")</f>
        <v>G.3.9.3</v>
      </c>
    </row>
    <row r="1030" spans="1:2" ht="12.5" x14ac:dyDescent="0.25">
      <c r="A1030" t="str">
        <f ca="1">IFERROR(__xludf.DUMMYFUNCTION("""COMPUTED_VALUE"""),"Filmjölk")</f>
        <v>Filmjölk</v>
      </c>
      <c r="B1030" t="str">
        <f ca="1">IFERROR(__xludf.DUMMYFUNCTION("""COMPUTED_VALUE"""),"A.01.001047")</f>
        <v>A.01.001047</v>
      </c>
    </row>
    <row r="1031" spans="1:2" ht="12.5" x14ac:dyDescent="0.25">
      <c r="A1031" t="str">
        <f ca="1">IFERROR(__xludf.DUMMYFUNCTION("""COMPUTED_VALUE"""),"Fine bakery products for diabetics")</f>
        <v>Fine bakery products for diabetics</v>
      </c>
      <c r="B1031" t="str">
        <f ca="1">IFERROR(__xludf.DUMMYFUNCTION("""COMPUTED_VALUE"""),"A.01.001772")</f>
        <v>A.01.001772</v>
      </c>
    </row>
    <row r="1032" spans="1:2" ht="12.5" x14ac:dyDescent="0.25">
      <c r="A1032" t="str">
        <f ca="1">IFERROR(__xludf.DUMMYFUNCTION("""COMPUTED_VALUE"""),"Fine bakery wares")</f>
        <v>Fine bakery wares</v>
      </c>
      <c r="B1032" t="str">
        <f ca="1">IFERROR(__xludf.DUMMYFUNCTION("""COMPUTED_VALUE"""),"A.01.000252")</f>
        <v>A.01.000252</v>
      </c>
    </row>
    <row r="1033" spans="1:2" ht="12.5" x14ac:dyDescent="0.25">
      <c r="A1033" t="str">
        <f ca="1">IFERROR(__xludf.DUMMYFUNCTION("""COMPUTED_VALUE"""),"Fish")</f>
        <v>Fish</v>
      </c>
      <c r="B1033" t="str">
        <f ca="1">IFERROR(__xludf.DUMMYFUNCTION("""COMPUTED_VALUE"""),"G.10.4")</f>
        <v>G.10.4</v>
      </c>
    </row>
    <row r="1034" spans="1:2" ht="12.5" x14ac:dyDescent="0.25">
      <c r="A1034" t="str">
        <f ca="1">IFERROR(__xludf.DUMMYFUNCTION("""COMPUTED_VALUE"""),"Fish / Complementary feed")</f>
        <v>Fish / Complementary feed</v>
      </c>
      <c r="B1034" t="str">
        <f ca="1">IFERROR(__xludf.DUMMYFUNCTION("""COMPUTED_VALUE"""),"G.14.2.25")</f>
        <v>G.14.2.25</v>
      </c>
    </row>
    <row r="1035" spans="1:2" ht="12.5" x14ac:dyDescent="0.25">
      <c r="A1035" t="str">
        <f ca="1">IFERROR(__xludf.DUMMYFUNCTION("""COMPUTED_VALUE"""),"Fish / Complete feed")</f>
        <v>Fish / Complete feed</v>
      </c>
      <c r="B1035" t="str">
        <f ca="1">IFERROR(__xludf.DUMMYFUNCTION("""COMPUTED_VALUE"""),"G.14.1.25")</f>
        <v>G.14.1.25</v>
      </c>
    </row>
    <row r="1036" spans="1:2" ht="12.5" x14ac:dyDescent="0.25">
      <c r="A1036" t="str">
        <f ca="1">IFERROR(__xludf.DUMMYFUNCTION("""COMPUTED_VALUE"""),"Fish and fish products")</f>
        <v>Fish and fish products</v>
      </c>
      <c r="B1036" t="str">
        <f ca="1">IFERROR(__xludf.DUMMYFUNCTION("""COMPUTED_VALUE"""),"C11B")</f>
        <v>C11B</v>
      </c>
    </row>
    <row r="1037" spans="1:2" ht="12.5" x14ac:dyDescent="0.25">
      <c r="A1037" t="str">
        <f ca="1">IFERROR(__xludf.DUMMYFUNCTION("""COMPUTED_VALUE"""),"Fish and fish products excl. Eels")</f>
        <v>Fish and fish products excl. Eels</v>
      </c>
      <c r="B1037" t="str">
        <f ca="1">IFERROR(__xludf.DUMMYFUNCTION("""COMPUTED_VALUE"""),"C11B_1")</f>
        <v>C11B_1</v>
      </c>
    </row>
    <row r="1038" spans="1:2" ht="12.5" x14ac:dyDescent="0.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x14ac:dyDescent="0.25">
      <c r="A1039" t="str">
        <f ca="1">IFERROR(__xludf.DUMMYFUNCTION("""COMPUTED_VALUE"""),"Fish and potatoes meal")</f>
        <v>Fish and potatoes meal</v>
      </c>
      <c r="B1039" t="str">
        <f ca="1">IFERROR(__xludf.DUMMYFUNCTION("""COMPUTED_VALUE"""),"A.01.001835")</f>
        <v>A.01.001835</v>
      </c>
    </row>
    <row r="1040" spans="1:2" ht="12.5" x14ac:dyDescent="0.25">
      <c r="A1040" t="str">
        <f ca="1">IFERROR(__xludf.DUMMYFUNCTION("""COMPUTED_VALUE"""),"Fish and rice meal")</f>
        <v>Fish and rice meal</v>
      </c>
      <c r="B1040" t="str">
        <f ca="1">IFERROR(__xludf.DUMMYFUNCTION("""COMPUTED_VALUE"""),"A.01.001836")</f>
        <v>A.01.001836</v>
      </c>
    </row>
    <row r="1041" spans="1:2" ht="12.5" x14ac:dyDescent="0.25">
      <c r="A1041" t="str">
        <f ca="1">IFERROR(__xludf.DUMMYFUNCTION("""COMPUTED_VALUE"""),"Fish and seafood")</f>
        <v>Fish and seafood</v>
      </c>
      <c r="B1041" t="str">
        <f ca="1">IFERROR(__xludf.DUMMYFUNCTION("""COMPUTED_VALUE"""),"C11")</f>
        <v>C11</v>
      </c>
    </row>
    <row r="1042" spans="1:2" ht="12.5" x14ac:dyDescent="0.25">
      <c r="A1042" t="str">
        <f ca="1">IFERROR(__xludf.DUMMYFUNCTION("""COMPUTED_VALUE"""),"Fish and seafood based meals")</f>
        <v>Fish and seafood based meals</v>
      </c>
      <c r="B1042" t="str">
        <f ca="1">IFERROR(__xludf.DUMMYFUNCTION("""COMPUTED_VALUE"""),"A.01.001834")</f>
        <v>A.01.001834</v>
      </c>
    </row>
    <row r="1043" spans="1:2" ht="12.5" x14ac:dyDescent="0.25">
      <c r="A1043" t="str">
        <f ca="1">IFERROR(__xludf.DUMMYFUNCTION("""COMPUTED_VALUE"""),"Fish and vegetables meal")</f>
        <v>Fish and vegetables meal</v>
      </c>
      <c r="B1043" t="str">
        <f ca="1">IFERROR(__xludf.DUMMYFUNCTION("""COMPUTED_VALUE"""),"A.01.001837")</f>
        <v>A.01.001837</v>
      </c>
    </row>
    <row r="1044" spans="1:2" ht="12.5" x14ac:dyDescent="0.25">
      <c r="A1044" t="str">
        <f ca="1">IFERROR(__xludf.DUMMYFUNCTION("""COMPUTED_VALUE"""),"Fish balls")</f>
        <v>Fish balls</v>
      </c>
      <c r="B1044" t="str">
        <f ca="1">IFERROR(__xludf.DUMMYFUNCTION("""COMPUTED_VALUE"""),"A.01.000911")</f>
        <v>A.01.000911</v>
      </c>
    </row>
    <row r="1045" spans="1:2" ht="12.5" x14ac:dyDescent="0.25">
      <c r="A1045" t="str">
        <f ca="1">IFERROR(__xludf.DUMMYFUNCTION("""COMPUTED_VALUE"""),"Fish based mixed dishes")</f>
        <v>Fish based mixed dishes</v>
      </c>
      <c r="B1045" t="str">
        <f ca="1">IFERROR(__xludf.DUMMYFUNCTION("""COMPUTED_VALUE"""),"C11C")</f>
        <v>C11C</v>
      </c>
    </row>
    <row r="1046" spans="1:2" ht="12.5" x14ac:dyDescent="0.25">
      <c r="A1046" t="str">
        <f ca="1">IFERROR(__xludf.DUMMYFUNCTION("""COMPUTED_VALUE"""),"Fish fingers")</f>
        <v>Fish fingers</v>
      </c>
      <c r="B1046" t="str">
        <f ca="1">IFERROR(__xludf.DUMMYFUNCTION("""COMPUTED_VALUE"""),"A.01.000913")</f>
        <v>A.01.000913</v>
      </c>
    </row>
    <row r="1047" spans="1:2" ht="12.5" x14ac:dyDescent="0.25">
      <c r="A1047" t="str">
        <f ca="1">IFERROR(__xludf.DUMMYFUNCTION("""COMPUTED_VALUE"""),"Fish liver")</f>
        <v>Fish liver</v>
      </c>
      <c r="B1047" t="str">
        <f ca="1">IFERROR(__xludf.DUMMYFUNCTION("""COMPUTED_VALUE"""),"C11D")</f>
        <v>C11D</v>
      </c>
    </row>
    <row r="1048" spans="1:2" ht="12.5" x14ac:dyDescent="0.25">
      <c r="A1048" t="str">
        <f ca="1">IFERROR(__xludf.DUMMYFUNCTION("""COMPUTED_VALUE"""),"Fish meal")</f>
        <v>Fish meal</v>
      </c>
      <c r="B1048" t="str">
        <f ca="1">IFERROR(__xludf.DUMMYFUNCTION("""COMPUTED_VALUE"""),"F10.01")</f>
        <v>F10.01</v>
      </c>
    </row>
    <row r="1049" spans="1:2" ht="12.5" x14ac:dyDescent="0.25">
      <c r="A1049" t="str">
        <f ca="1">IFERROR(__xludf.DUMMYFUNCTION("""COMPUTED_VALUE"""),"Fish meal")</f>
        <v>Fish meal</v>
      </c>
      <c r="B1049" t="str">
        <f ca="1">IFERROR(__xludf.DUMMYFUNCTION("""COMPUTED_VALUE"""),"G.10.4.2")</f>
        <v>G.10.4.2</v>
      </c>
    </row>
    <row r="1050" spans="1:2" ht="12.5" x14ac:dyDescent="0.25">
      <c r="A1050" t="str">
        <f ca="1">IFERROR(__xludf.DUMMYFUNCTION("""COMPUTED_VALUE"""),"Fish meat")</f>
        <v>Fish meat</v>
      </c>
      <c r="B1050" t="str">
        <f ca="1">IFERROR(__xludf.DUMMYFUNCTION("""COMPUTED_VALUE"""),"A.01.000877")</f>
        <v>A.01.000877</v>
      </c>
    </row>
    <row r="1051" spans="1:2" ht="12.5" x14ac:dyDescent="0.25">
      <c r="A1051" t="str">
        <f ca="1">IFERROR(__xludf.DUMMYFUNCTION("""COMPUTED_VALUE"""),"Fish offal")</f>
        <v>Fish offal</v>
      </c>
      <c r="B1051" t="str">
        <f ca="1">IFERROR(__xludf.DUMMYFUNCTION("""COMPUTED_VALUE"""),"A.01.000916")</f>
        <v>A.01.000916</v>
      </c>
    </row>
    <row r="1052" spans="1:2" ht="12.5" x14ac:dyDescent="0.25">
      <c r="A1052" t="str">
        <f ca="1">IFERROR(__xludf.DUMMYFUNCTION("""COMPUTED_VALUE"""),"Fish oil")</f>
        <v>Fish oil</v>
      </c>
      <c r="B1052" t="str">
        <f ca="1">IFERROR(__xludf.DUMMYFUNCTION("""COMPUTED_VALUE"""),"A.01.001358")</f>
        <v>A.01.001358</v>
      </c>
    </row>
    <row r="1053" spans="1:2" ht="12.5" x14ac:dyDescent="0.25">
      <c r="A1053" t="str">
        <f ca="1">IFERROR(__xludf.DUMMYFUNCTION("""COMPUTED_VALUE"""),"Fish oil (Concise) (Deprecated)")</f>
        <v>Fish oil (Concise) (Deprecated)</v>
      </c>
      <c r="B1053" t="str">
        <f ca="1">IFERROR(__xludf.DUMMYFUNCTION("""COMPUTED_VALUE"""),"C16_F")</f>
        <v>C16_F</v>
      </c>
    </row>
    <row r="1054" spans="1:2" ht="12.5" x14ac:dyDescent="0.25">
      <c r="A1054" t="str">
        <f ca="1">IFERROR(__xludf.DUMMYFUNCTION("""COMPUTED_VALUE"""),"Fish oil (Deprecated)")</f>
        <v>Fish oil (Deprecated)</v>
      </c>
      <c r="B1054" t="str">
        <f ca="1">IFERROR(__xludf.DUMMYFUNCTION("""COMPUTED_VALUE"""),"F10.03")</f>
        <v>F10.03</v>
      </c>
    </row>
    <row r="1055" spans="1:2" ht="12.5" x14ac:dyDescent="0.25">
      <c r="A1055" t="str">
        <f ca="1">IFERROR(__xludf.DUMMYFUNCTION("""COMPUTED_VALUE"""),"Fish oil (Feed)")</f>
        <v>Fish oil (Feed)</v>
      </c>
      <c r="B1055" t="str">
        <f ca="1">IFERROR(__xludf.DUMMYFUNCTION("""COMPUTED_VALUE"""),"G.10.4.6")</f>
        <v>G.10.4.6</v>
      </c>
    </row>
    <row r="1056" spans="1:2" ht="12.5" x14ac:dyDescent="0.25">
      <c r="A1056" t="str">
        <f ca="1">IFERROR(__xludf.DUMMYFUNCTION("""COMPUTED_VALUE"""),"Fish oil, hydrogenated")</f>
        <v>Fish oil, hydrogenated</v>
      </c>
      <c r="B1056" t="str">
        <f ca="1">IFERROR(__xludf.DUMMYFUNCTION("""COMPUTED_VALUE"""),"G.10.4.7")</f>
        <v>G.10.4.7</v>
      </c>
    </row>
    <row r="1057" spans="1:2" ht="12.5" x14ac:dyDescent="0.25">
      <c r="A1057" t="str">
        <f ca="1">IFERROR(__xludf.DUMMYFUNCTION("""COMPUTED_VALUE"""),"Fish oil, refined, hardened")</f>
        <v>Fish oil, refined, hardened</v>
      </c>
      <c r="B1057" t="str">
        <f ca="1">IFERROR(__xludf.DUMMYFUNCTION("""COMPUTED_VALUE"""),"F10.04")</f>
        <v>F10.04</v>
      </c>
    </row>
    <row r="1058" spans="1:2" ht="12.5" x14ac:dyDescent="0.25">
      <c r="A1058" t="str">
        <f ca="1">IFERROR(__xludf.DUMMYFUNCTION("""COMPUTED_VALUE"""),"Fish paste")</f>
        <v>Fish paste</v>
      </c>
      <c r="B1058" t="str">
        <f ca="1">IFERROR(__xludf.DUMMYFUNCTION("""COMPUTED_VALUE"""),"A.01.000914")</f>
        <v>A.01.000914</v>
      </c>
    </row>
    <row r="1059" spans="1:2" ht="12.5" x14ac:dyDescent="0.25">
      <c r="A1059" t="str">
        <f ca="1">IFERROR(__xludf.DUMMYFUNCTION("""COMPUTED_VALUE"""),"Fish pâté")</f>
        <v>Fish pâté</v>
      </c>
      <c r="B1059" t="str">
        <f ca="1">IFERROR(__xludf.DUMMYFUNCTION("""COMPUTED_VALUE"""),"A.01.000915")</f>
        <v>A.01.000915</v>
      </c>
    </row>
    <row r="1060" spans="1:2" ht="12.5" x14ac:dyDescent="0.25">
      <c r="A1060" t="str">
        <f ca="1">IFERROR(__xludf.DUMMYFUNCTION("""COMPUTED_VALUE"""),"Fish products")</f>
        <v>Fish products</v>
      </c>
      <c r="B1060" t="str">
        <f ca="1">IFERROR(__xludf.DUMMYFUNCTION("""COMPUTED_VALUE"""),"A.01.000910")</f>
        <v>A.01.000910</v>
      </c>
    </row>
    <row r="1061" spans="1:2" ht="12.5" x14ac:dyDescent="0.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x14ac:dyDescent="0.25">
      <c r="A1062" t="str">
        <f ca="1">IFERROR(__xludf.DUMMYFUNCTION("""COMPUTED_VALUE"""),"Fish protein, hydrolysed")</f>
        <v>Fish protein, hydrolysed</v>
      </c>
      <c r="B1062" t="str">
        <f ca="1">IFERROR(__xludf.DUMMYFUNCTION("""COMPUTED_VALUE"""),"G.10.4.4")</f>
        <v>G.10.4.4</v>
      </c>
    </row>
    <row r="1063" spans="1:2" ht="12.5" x14ac:dyDescent="0.25">
      <c r="A1063" t="str">
        <f ca="1">IFERROR(__xludf.DUMMYFUNCTION("""COMPUTED_VALUE"""),"Fish roe")</f>
        <v>Fish roe</v>
      </c>
      <c r="B1063" t="str">
        <f ca="1">IFERROR(__xludf.DUMMYFUNCTION("""COMPUTED_VALUE"""),"A.01.000917")</f>
        <v>A.01.000917</v>
      </c>
    </row>
    <row r="1064" spans="1:2" ht="12.5" x14ac:dyDescent="0.25">
      <c r="A1064" t="str">
        <f ca="1">IFERROR(__xludf.DUMMYFUNCTION("""COMPUTED_VALUE"""),"Fish sauce")</f>
        <v>Fish sauce</v>
      </c>
      <c r="B1064" t="str">
        <f ca="1">IFERROR(__xludf.DUMMYFUNCTION("""COMPUTED_VALUE"""),"A.01.001693")</f>
        <v>A.01.001693</v>
      </c>
    </row>
    <row r="1065" spans="1:2" ht="12.5" x14ac:dyDescent="0.25">
      <c r="A1065" t="str">
        <f ca="1">IFERROR(__xludf.DUMMYFUNCTION("""COMPUTED_VALUE"""),"Fish solubles")</f>
        <v>Fish solubles</v>
      </c>
      <c r="B1065" t="str">
        <f ca="1">IFERROR(__xludf.DUMMYFUNCTION("""COMPUTED_VALUE"""),"G.10.4.3")</f>
        <v>G.10.4.3</v>
      </c>
    </row>
    <row r="1066" spans="1:2" ht="12.5" x14ac:dyDescent="0.25">
      <c r="A1066" t="str">
        <f ca="1">IFERROR(__xludf.DUMMYFUNCTION("""COMPUTED_VALUE"""),"Fish solubles, condensed")</f>
        <v>Fish solubles, condensed</v>
      </c>
      <c r="B1066" t="str">
        <f ca="1">IFERROR(__xludf.DUMMYFUNCTION("""COMPUTED_VALUE"""),"F10.02")</f>
        <v>F10.02</v>
      </c>
    </row>
    <row r="1067" spans="1:2" ht="12.5" x14ac:dyDescent="0.25">
      <c r="A1067" t="str">
        <f ca="1">IFERROR(__xludf.DUMMYFUNCTION("""COMPUTED_VALUE"""),"Fish soup")</f>
        <v>Fish soup</v>
      </c>
      <c r="B1067" t="str">
        <f ca="1">IFERROR(__xludf.DUMMYFUNCTION("""COMPUTED_VALUE"""),"A.01.001861")</f>
        <v>A.01.001861</v>
      </c>
    </row>
    <row r="1068" spans="1:2" ht="12.5" x14ac:dyDescent="0.25">
      <c r="A1068" t="str">
        <f ca="1">IFERROR(__xludf.DUMMYFUNCTION("""COMPUTED_VALUE"""),"Fish-based snacks")</f>
        <v>Fish-based snacks</v>
      </c>
      <c r="B1068" t="str">
        <f ca="1">IFERROR(__xludf.DUMMYFUNCTION("""COMPUTED_VALUE"""),"A.01.001885")</f>
        <v>A.01.001885</v>
      </c>
    </row>
    <row r="1069" spans="1:2" ht="12.5" x14ac:dyDescent="0.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x14ac:dyDescent="0.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x14ac:dyDescent="0.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x14ac:dyDescent="0.25">
      <c r="A1072" t="str">
        <f ca="1">IFERROR(__xludf.DUMMYFUNCTION("""COMPUTED_VALUE"""),"Fishbone meal")</f>
        <v>Fishbone meal</v>
      </c>
      <c r="B1072" t="str">
        <f ca="1">IFERROR(__xludf.DUMMYFUNCTION("""COMPUTED_VALUE"""),"G.10.4.5")</f>
        <v>G.10.4.5</v>
      </c>
    </row>
    <row r="1073" spans="1:2" ht="12.5" x14ac:dyDescent="0.25">
      <c r="A1073" t="str">
        <f ca="1">IFERROR(__xludf.DUMMYFUNCTION("""COMPUTED_VALUE"""),"Fishcakes")</f>
        <v>Fishcakes</v>
      </c>
      <c r="B1073" t="str">
        <f ca="1">IFERROR(__xludf.DUMMYFUNCTION("""COMPUTED_VALUE"""),"A.01.000912")</f>
        <v>A.01.000912</v>
      </c>
    </row>
    <row r="1074" spans="1:2" ht="12.5" x14ac:dyDescent="0.25">
      <c r="A1074" t="str">
        <f ca="1">IFERROR(__xludf.DUMMYFUNCTION("""COMPUTED_VALUE"""),"Flan")</f>
        <v>Flan</v>
      </c>
      <c r="B1074" t="str">
        <f ca="1">IFERROR(__xludf.DUMMYFUNCTION("""COMPUTED_VALUE"""),"A.01.000272")</f>
        <v>A.01.000272</v>
      </c>
    </row>
    <row r="1075" spans="1:2" ht="12.5" x14ac:dyDescent="0.25">
      <c r="A1075" t="str">
        <f ca="1">IFERROR(__xludf.DUMMYFUNCTION("""COMPUTED_VALUE"""),"Flavoured milk")</f>
        <v>Flavoured milk</v>
      </c>
      <c r="B1075" t="str">
        <f ca="1">IFERROR(__xludf.DUMMYFUNCTION("""COMPUTED_VALUE"""),"A.01.000964")</f>
        <v>A.01.000964</v>
      </c>
    </row>
    <row r="1076" spans="1:2" ht="12.5" x14ac:dyDescent="0.25">
      <c r="A1076" t="str">
        <f ca="1">IFERROR(__xludf.DUMMYFUNCTION("""COMPUTED_VALUE"""),"Flavoured sugar")</f>
        <v>Flavoured sugar</v>
      </c>
      <c r="B1076" t="str">
        <f ca="1">IFERROR(__xludf.DUMMYFUNCTION("""COMPUTED_VALUE"""),"A.01.001273")</f>
        <v>A.01.001273</v>
      </c>
    </row>
    <row r="1077" spans="1:2" ht="12.5" x14ac:dyDescent="0.25">
      <c r="A1077" t="str">
        <f ca="1">IFERROR(__xludf.DUMMYFUNCTION("""COMPUTED_VALUE"""),"Flavourings or essences")</f>
        <v>Flavourings or essences</v>
      </c>
      <c r="B1077" t="str">
        <f ca="1">IFERROR(__xludf.DUMMYFUNCTION("""COMPUTED_VALUE"""),"A.01.001695")</f>
        <v>A.01.001695</v>
      </c>
    </row>
    <row r="1078" spans="1:2" ht="12.5" x14ac:dyDescent="0.25">
      <c r="A1078" t="str">
        <f ca="1">IFERROR(__xludf.DUMMYFUNCTION("""COMPUTED_VALUE"""),"Flounder (Platichthys flesus)")</f>
        <v>Flounder (Platichthys flesus)</v>
      </c>
      <c r="B1078" t="str">
        <f ca="1">IFERROR(__xludf.DUMMYFUNCTION("""COMPUTED_VALUE"""),"A.01.000896")</f>
        <v>A.01.000896</v>
      </c>
    </row>
    <row r="1079" spans="1:2" ht="12.5" x14ac:dyDescent="0.25">
      <c r="A1079" t="str">
        <f ca="1">IFERROR(__xludf.DUMMYFUNCTION("""COMPUTED_VALUE"""),"Flour mix, wheat-rye-barley-oats")</f>
        <v>Flour mix, wheat-rye-barley-oats</v>
      </c>
      <c r="B1079" t="str">
        <f ca="1">IFERROR(__xludf.DUMMYFUNCTION("""COMPUTED_VALUE"""),"A.01.000094")</f>
        <v>A.01.000094</v>
      </c>
    </row>
    <row r="1080" spans="1:2" ht="12.5" x14ac:dyDescent="0.25">
      <c r="A1080" t="str">
        <f ca="1">IFERROR(__xludf.DUMMYFUNCTION("""COMPUTED_VALUE"""),"Flower of sulphur")</f>
        <v>Flower of sulphur</v>
      </c>
      <c r="B1080" t="str">
        <f ca="1">IFERROR(__xludf.DUMMYFUNCTION("""COMPUTED_VALUE"""),"G.11.6")</f>
        <v>G.11.6</v>
      </c>
    </row>
    <row r="1081" spans="1:2" ht="12.5" x14ac:dyDescent="0.25">
      <c r="A1081" t="str">
        <f ca="1">IFERROR(__xludf.DUMMYFUNCTION("""COMPUTED_VALUE"""),"Foamed sugar products (marshmallows)")</f>
        <v>Foamed sugar products (marshmallows)</v>
      </c>
      <c r="B1081" t="str">
        <f ca="1">IFERROR(__xludf.DUMMYFUNCTION("""COMPUTED_VALUE"""),"A.01.001320")</f>
        <v>A.01.001320</v>
      </c>
    </row>
    <row r="1082" spans="1:2" ht="12.5" x14ac:dyDescent="0.25">
      <c r="A1082" t="str">
        <f ca="1">IFERROR(__xludf.DUMMYFUNCTION("""COMPUTED_VALUE"""),"Fodder meal from parboiled rice")</f>
        <v>Fodder meal from parboiled rice</v>
      </c>
      <c r="B1082" t="str">
        <f ca="1">IFERROR(__xludf.DUMMYFUNCTION("""COMPUTED_VALUE"""),"G.1.6.15")</f>
        <v>G.1.6.15</v>
      </c>
    </row>
    <row r="1083" spans="1:2" ht="12.5" x14ac:dyDescent="0.25">
      <c r="A1083" t="str">
        <f ca="1">IFERROR(__xludf.DUMMYFUNCTION("""COMPUTED_VALUE"""),"Fodder meal of parboiled rice")</f>
        <v>Fodder meal of parboiled rice</v>
      </c>
      <c r="B1083" t="str">
        <f ca="1">IFERROR(__xludf.DUMMYFUNCTION("""COMPUTED_VALUE"""),"F01.12")</f>
        <v>F01.12</v>
      </c>
    </row>
    <row r="1084" spans="1:2" ht="12.5" x14ac:dyDescent="0.25">
      <c r="A1084" t="str">
        <f ca="1">IFERROR(__xludf.DUMMYFUNCTION("""COMPUTED_VALUE"""),"Fodder oat flour")</f>
        <v>Fodder oat flour</v>
      </c>
      <c r="B1084" t="str">
        <f ca="1">IFERROR(__xludf.DUMMYFUNCTION("""COMPUTED_VALUE"""),"G.1.4.10")</f>
        <v>G.1.4.10</v>
      </c>
    </row>
    <row r="1085" spans="1:2" ht="12.5" x14ac:dyDescent="0.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x14ac:dyDescent="0.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x14ac:dyDescent="0.25">
      <c r="A1087" t="str">
        <f ca="1">IFERROR(__xludf.DUMMYFUNCTION("""COMPUTED_VALUE"""),"Follow-on formula, hypoallergenic, liquid")</f>
        <v>Follow-on formula, hypoallergenic, liquid</v>
      </c>
      <c r="B1087" t="str">
        <f ca="1">IFERROR(__xludf.DUMMYFUNCTION("""COMPUTED_VALUE"""),"A.01.002012")</f>
        <v>A.01.002012</v>
      </c>
    </row>
    <row r="1088" spans="1:2" ht="12.5" x14ac:dyDescent="0.25">
      <c r="A1088" t="str">
        <f ca="1">IFERROR(__xludf.DUMMYFUNCTION("""COMPUTED_VALUE"""),"Follow-on formula, hypoallergenic, powder")</f>
        <v>Follow-on formula, hypoallergenic, powder</v>
      </c>
      <c r="B1088" t="str">
        <f ca="1">IFERROR(__xludf.DUMMYFUNCTION("""COMPUTED_VALUE"""),"A.01.001724")</f>
        <v>A.01.001724</v>
      </c>
    </row>
    <row r="1089" spans="1:2" ht="12.5" x14ac:dyDescent="0.25">
      <c r="A1089" t="str">
        <f ca="1">IFERROR(__xludf.DUMMYFUNCTION("""COMPUTED_VALUE"""),"Follow-on formula, milk and soya-based, liquid")</f>
        <v>Follow-on formula, milk and soya-based, liquid</v>
      </c>
      <c r="B1089" t="str">
        <f ca="1">IFERROR(__xludf.DUMMYFUNCTION("""COMPUTED_VALUE"""),"A.01.002014")</f>
        <v>A.01.002014</v>
      </c>
    </row>
    <row r="1090" spans="1:2" ht="12.5" x14ac:dyDescent="0.25">
      <c r="A1090" t="str">
        <f ca="1">IFERROR(__xludf.DUMMYFUNCTION("""COMPUTED_VALUE"""),"Follow-on formula, milk and soya-based, powder")</f>
        <v>Follow-on formula, milk and soya-based, powder</v>
      </c>
      <c r="B1090" t="str">
        <f ca="1">IFERROR(__xludf.DUMMYFUNCTION("""COMPUTED_VALUE"""),"A.01.001726")</f>
        <v>A.01.001726</v>
      </c>
    </row>
    <row r="1091" spans="1:2" ht="12.5" x14ac:dyDescent="0.25">
      <c r="A1091" t="str">
        <f ca="1">IFERROR(__xludf.DUMMYFUNCTION("""COMPUTED_VALUE"""),"Follow-on formula, milk-based, liquid")</f>
        <v>Follow-on formula, milk-based, liquid</v>
      </c>
      <c r="B1091" t="str">
        <f ca="1">IFERROR(__xludf.DUMMYFUNCTION("""COMPUTED_VALUE"""),"A.01.002011")</f>
        <v>A.01.002011</v>
      </c>
    </row>
    <row r="1092" spans="1:2" ht="12.5" x14ac:dyDescent="0.25">
      <c r="A1092" t="str">
        <f ca="1">IFERROR(__xludf.DUMMYFUNCTION("""COMPUTED_VALUE"""),"Follow-on formula, milk-based, powder")</f>
        <v>Follow-on formula, milk-based, powder</v>
      </c>
      <c r="B1092" t="str">
        <f ca="1">IFERROR(__xludf.DUMMYFUNCTION("""COMPUTED_VALUE"""),"A.01.001723")</f>
        <v>A.01.001723</v>
      </c>
    </row>
    <row r="1093" spans="1:2" ht="12.5" x14ac:dyDescent="0.25">
      <c r="A1093" t="str">
        <f ca="1">IFERROR(__xludf.DUMMYFUNCTION("""COMPUTED_VALUE"""),"Follow-on formula, soya-based, liquid")</f>
        <v>Follow-on formula, soya-based, liquid</v>
      </c>
      <c r="B1093" t="str">
        <f ca="1">IFERROR(__xludf.DUMMYFUNCTION("""COMPUTED_VALUE"""),"A.01.002013")</f>
        <v>A.01.002013</v>
      </c>
    </row>
    <row r="1094" spans="1:2" ht="12.5" x14ac:dyDescent="0.25">
      <c r="A1094" t="str">
        <f ca="1">IFERROR(__xludf.DUMMYFUNCTION("""COMPUTED_VALUE"""),"Follow-on formula, soya-based, powder")</f>
        <v>Follow-on formula, soya-based, powder</v>
      </c>
      <c r="B1094" t="str">
        <f ca="1">IFERROR(__xludf.DUMMYFUNCTION("""COMPUTED_VALUE"""),"A.01.001725")</f>
        <v>A.01.001725</v>
      </c>
    </row>
    <row r="1095" spans="1:2" ht="12.5" x14ac:dyDescent="0.25">
      <c r="A1095" t="str">
        <f ca="1">IFERROR(__xludf.DUMMYFUNCTION("""COMPUTED_VALUE"""),"Follow-on formulae, liquid")</f>
        <v>Follow-on formulae, liquid</v>
      </c>
      <c r="B1095" t="str">
        <f ca="1">IFERROR(__xludf.DUMMYFUNCTION("""COMPUTED_VALUE"""),"A.01.002010")</f>
        <v>A.01.002010</v>
      </c>
    </row>
    <row r="1096" spans="1:2" ht="12.5" x14ac:dyDescent="0.25">
      <c r="A1096" t="str">
        <f ca="1">IFERROR(__xludf.DUMMYFUNCTION("""COMPUTED_VALUE"""),"Follow-on formulae, powder")</f>
        <v>Follow-on formulae, powder</v>
      </c>
      <c r="B1096" t="str">
        <f ca="1">IFERROR(__xludf.DUMMYFUNCTION("""COMPUTED_VALUE"""),"A.01.001722")</f>
        <v>A.01.001722</v>
      </c>
    </row>
    <row r="1097" spans="1:2" ht="12.5" x14ac:dyDescent="0.25">
      <c r="A1097" t="str">
        <f ca="1">IFERROR(__xludf.DUMMYFUNCTION("""COMPUTED_VALUE"""),"Food for infants and small children")</f>
        <v>Food for infants and small children</v>
      </c>
      <c r="B1097" t="str">
        <f ca="1">IFERROR(__xludf.DUMMYFUNCTION("""COMPUTED_VALUE"""),"A.01.001715")</f>
        <v>A.01.001715</v>
      </c>
    </row>
    <row r="1098" spans="1:2" ht="12.5" x14ac:dyDescent="0.25">
      <c r="A1098" t="str">
        <f ca="1">IFERROR(__xludf.DUMMYFUNCTION("""COMPUTED_VALUE"""),"Food for special dietary uses")</f>
        <v>Food for special dietary uses</v>
      </c>
      <c r="B1098" t="str">
        <f ca="1">IFERROR(__xludf.DUMMYFUNCTION("""COMPUTED_VALUE"""),"C14B")</f>
        <v>C14B</v>
      </c>
    </row>
    <row r="1099" spans="1:2" ht="12.5" x14ac:dyDescent="0.25">
      <c r="A1099" t="str">
        <f ca="1">IFERROR(__xludf.DUMMYFUNCTION("""COMPUTED_VALUE"""),"Food for sports people (labelled as such)")</f>
        <v>Food for sports people (labelled as such)</v>
      </c>
      <c r="B1099" t="str">
        <f ca="1">IFERROR(__xludf.DUMMYFUNCTION("""COMPUTED_VALUE"""),"A.01.001765")</f>
        <v>A.01.001765</v>
      </c>
    </row>
    <row r="1100" spans="1:2" ht="12.5" x14ac:dyDescent="0.25">
      <c r="A1100" t="str">
        <f ca="1">IFERROR(__xludf.DUMMYFUNCTION("""COMPUTED_VALUE"""),"Food for weight reduction")</f>
        <v>Food for weight reduction</v>
      </c>
      <c r="B1100" t="str">
        <f ca="1">IFERROR(__xludf.DUMMYFUNCTION("""COMPUTED_VALUE"""),"A.01.001749")</f>
        <v>A.01.001749</v>
      </c>
    </row>
    <row r="1101" spans="1:2" ht="12.5" x14ac:dyDescent="0.25">
      <c r="A1101" t="str">
        <f ca="1">IFERROR(__xludf.DUMMYFUNCTION("""COMPUTED_VALUE"""),"Food simulant (Commission Regulation (EU) No 10/2011)")</f>
        <v>Food simulant (Commission Regulation (EU) No 10/2011)</v>
      </c>
      <c r="B1101" t="str">
        <f ca="1">IFERROR(__xludf.DUMMYFUNCTION("""COMPUTED_VALUE"""),"A0BA7")</f>
        <v>A0BA7</v>
      </c>
    </row>
    <row r="1102" spans="1:2" ht="12.5" x14ac:dyDescent="0.25">
      <c r="A1102" t="str">
        <f ca="1">IFERROR(__xludf.DUMMYFUNCTION("""COMPUTED_VALUE"""),"FOODEX1 terms")</f>
        <v>FOODEX1 terms</v>
      </c>
      <c r="B1102" t="str">
        <f ca="1">IFERROR(__xludf.DUMMYFUNCTION("""COMPUTED_VALUE"""),"A.01.000000")</f>
        <v>A.01.000000</v>
      </c>
    </row>
    <row r="1103" spans="1:2" ht="12.5" x14ac:dyDescent="0.25">
      <c r="A1103" t="str">
        <f ca="1">IFERROR(__xludf.DUMMYFUNCTION("""COMPUTED_VALUE"""),"Forage meal; [Grass meal]; [Green meal]")</f>
        <v>Forage meal; [Grass meal]; [Green meal]</v>
      </c>
      <c r="B1103" t="str">
        <f ca="1">IFERROR(__xludf.DUMMYFUNCTION("""COMPUTED_VALUE"""),"G.6.5")</f>
        <v>G.6.5</v>
      </c>
    </row>
    <row r="1104" spans="1:2" ht="12.5" x14ac:dyDescent="0.25">
      <c r="A1104" t="str">
        <f ca="1">IFERROR(__xludf.DUMMYFUNCTION("""COMPUTED_VALUE"""),"Forages and roughage")</f>
        <v>Forages and roughage</v>
      </c>
      <c r="B1104" t="str">
        <f ca="1">IFERROR(__xludf.DUMMYFUNCTION("""COMPUTED_VALUE"""),"F06")</f>
        <v>F06</v>
      </c>
    </row>
    <row r="1105" spans="1:2" ht="12.5" x14ac:dyDescent="0.25">
      <c r="A1105" t="str">
        <f ca="1">IFERROR(__xludf.DUMMYFUNCTION("""COMPUTED_VALUE"""),"Forages and roughage, and products derived thereof")</f>
        <v>Forages and roughage, and products derived thereof</v>
      </c>
      <c r="B1105" t="str">
        <f ca="1">IFERROR(__xludf.DUMMYFUNCTION("""COMPUTED_VALUE"""),"G.6")</f>
        <v>G.6</v>
      </c>
    </row>
    <row r="1106" spans="1:2" ht="12.5" x14ac:dyDescent="0.25">
      <c r="A1106" t="str">
        <f ca="1">IFERROR(__xludf.DUMMYFUNCTION("""COMPUTED_VALUE"""),"Formulas for metabolic disorders")</f>
        <v>Formulas for metabolic disorders</v>
      </c>
      <c r="B1106" t="str">
        <f ca="1">IFERROR(__xludf.DUMMYFUNCTION("""COMPUTED_VALUE"""),"A.01.001787")</f>
        <v>A.01.001787</v>
      </c>
    </row>
    <row r="1107" spans="1:2" ht="12.5" x14ac:dyDescent="0.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x14ac:dyDescent="0.25">
      <c r="A1108" t="str">
        <f ca="1">IFERROR(__xludf.DUMMYFUNCTION("""COMPUTED_VALUE"""),"Frankfurters, sausage")</f>
        <v>Frankfurters, sausage</v>
      </c>
      <c r="B1108" t="str">
        <f ca="1">IFERROR(__xludf.DUMMYFUNCTION("""COMPUTED_VALUE"""),"A.01.000831")</f>
        <v>A.01.000831</v>
      </c>
    </row>
    <row r="1109" spans="1:2" ht="12.5" x14ac:dyDescent="0.25">
      <c r="A1109" t="str">
        <f ca="1">IFERROR(__xludf.DUMMYFUNCTION("""COMPUTED_VALUE"""),"French fries")</f>
        <v>French fries</v>
      </c>
      <c r="B1109" t="str">
        <f ca="1">IFERROR(__xludf.DUMMYFUNCTION("""COMPUTED_VALUE"""),"A.01.000471")</f>
        <v>A.01.000471</v>
      </c>
    </row>
    <row r="1110" spans="1:2" ht="12.5" x14ac:dyDescent="0.25">
      <c r="A1110" t="str">
        <f ca="1">IFERROR(__xludf.DUMMYFUNCTION("""COMPUTED_VALUE"""),"Fresh and lightly cooked sausage")</f>
        <v>Fresh and lightly cooked sausage</v>
      </c>
      <c r="B1110" t="str">
        <f ca="1">IFERROR(__xludf.DUMMYFUNCTION("""COMPUTED_VALUE"""),"A.01.000812")</f>
        <v>A.01.000812</v>
      </c>
    </row>
    <row r="1111" spans="1:2" ht="12.5" x14ac:dyDescent="0.25">
      <c r="A1111" t="str">
        <f ca="1">IFERROR(__xludf.DUMMYFUNCTION("""COMPUTED_VALUE"""),"Fresh herbs")</f>
        <v>Fresh herbs</v>
      </c>
      <c r="B1111" t="str">
        <f ca="1">IFERROR(__xludf.DUMMYFUNCTION("""COMPUTED_VALUE"""),"C04B_3")</f>
        <v>C04B_3</v>
      </c>
    </row>
    <row r="1112" spans="1:2" ht="12.5" x14ac:dyDescent="0.25">
      <c r="A1112" t="str">
        <f ca="1">IFERROR(__xludf.DUMMYFUNCTION("""COMPUTED_VALUE"""),"Fried eggs")</f>
        <v>Fried eggs</v>
      </c>
      <c r="B1112" t="str">
        <f ca="1">IFERROR(__xludf.DUMMYFUNCTION("""COMPUTED_VALUE"""),"A.01.001853")</f>
        <v>A.01.001853</v>
      </c>
    </row>
    <row r="1113" spans="1:2" ht="12.5" x14ac:dyDescent="0.25">
      <c r="A1113" t="str">
        <f ca="1">IFERROR(__xludf.DUMMYFUNCTION("""COMPUTED_VALUE"""),"Frizzes")</f>
        <v>Frizzes</v>
      </c>
      <c r="B1113" t="str">
        <f ca="1">IFERROR(__xludf.DUMMYFUNCTION("""COMPUTED_VALUE"""),"A.01.000855")</f>
        <v>A.01.000855</v>
      </c>
    </row>
    <row r="1114" spans="1:2" ht="12.5" x14ac:dyDescent="0.25">
      <c r="A1114" t="str">
        <f ca="1">IFERROR(__xludf.DUMMYFUNCTION("""COMPUTED_VALUE"""),"Frog legs (Rana spp.)")</f>
        <v>Frog legs (Rana spp.)</v>
      </c>
      <c r="B1114" t="str">
        <f ca="1">IFERROR(__xludf.DUMMYFUNCTION("""COMPUTED_VALUE"""),"A.01.000943")</f>
        <v>A.01.000943</v>
      </c>
    </row>
    <row r="1115" spans="1:2" ht="12.5" x14ac:dyDescent="0.25">
      <c r="A1115" t="str">
        <f ca="1">IFERROR(__xludf.DUMMYFUNCTION("""COMPUTED_VALUE"""),"Fructo-oligosaccharides")</f>
        <v>Fructo-oligosaccharides</v>
      </c>
      <c r="B1115" t="str">
        <f ca="1">IFERROR(__xludf.DUMMYFUNCTION("""COMPUTED_VALUE"""),"G.4.1.14")</f>
        <v>G.4.1.14</v>
      </c>
    </row>
    <row r="1116" spans="1:2" ht="12.5" x14ac:dyDescent="0.25">
      <c r="A1116" t="str">
        <f ca="1">IFERROR(__xludf.DUMMYFUNCTION("""COMPUTED_VALUE"""),"Fructose")</f>
        <v>Fructose</v>
      </c>
      <c r="B1116" t="str">
        <f ca="1">IFERROR(__xludf.DUMMYFUNCTION("""COMPUTED_VALUE"""),"A.01.001275")</f>
        <v>A.01.001275</v>
      </c>
    </row>
    <row r="1117" spans="1:2" ht="12.5" x14ac:dyDescent="0.25">
      <c r="A1117" t="str">
        <f ca="1">IFERROR(__xludf.DUMMYFUNCTION("""COMPUTED_VALUE"""),"Fructose (Feed)")</f>
        <v>Fructose (Feed)</v>
      </c>
      <c r="B1117" t="str">
        <f ca="1">IFERROR(__xludf.DUMMYFUNCTION("""COMPUTED_VALUE"""),"G.13.2.3")</f>
        <v>G.13.2.3</v>
      </c>
    </row>
    <row r="1118" spans="1:2" ht="12.5" x14ac:dyDescent="0.25">
      <c r="A1118" t="str">
        <f ca="1">IFERROR(__xludf.DUMMYFUNCTION("""COMPUTED_VALUE"""),"Fruit and fruit products")</f>
        <v>Fruit and fruit products</v>
      </c>
      <c r="B1118" t="str">
        <f ca="1">IFERROR(__xludf.DUMMYFUNCTION("""COMPUTED_VALUE"""),"A.01.000544")</f>
        <v>A.01.000544</v>
      </c>
    </row>
    <row r="1119" spans="1:2" ht="12.5" x14ac:dyDescent="0.25">
      <c r="A1119" t="str">
        <f ca="1">IFERROR(__xludf.DUMMYFUNCTION("""COMPUTED_VALUE"""),"Fruit and vegetable juices")</f>
        <v>Fruit and vegetable juices</v>
      </c>
      <c r="B1119" t="str">
        <f ca="1">IFERROR(__xludf.DUMMYFUNCTION("""COMPUTED_VALUE"""),"C07A")</f>
        <v>C07A</v>
      </c>
    </row>
    <row r="1120" spans="1:2" ht="12.5" x14ac:dyDescent="0.25">
      <c r="A1120" t="str">
        <f ca="1">IFERROR(__xludf.DUMMYFUNCTION("""COMPUTED_VALUE"""),"Fruit and vegetable juices")</f>
        <v>Fruit and vegetable juices</v>
      </c>
      <c r="B1120" t="str">
        <f ca="1">IFERROR(__xludf.DUMMYFUNCTION("""COMPUTED_VALUE"""),"A.01.001394")</f>
        <v>A.01.001394</v>
      </c>
    </row>
    <row r="1121" spans="1:2" ht="12.5" x14ac:dyDescent="0.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x14ac:dyDescent="0.25">
      <c r="A1122" t="str">
        <f ca="1">IFERROR(__xludf.DUMMYFUNCTION("""COMPUTED_VALUE"""),"Fruit cake")</f>
        <v>Fruit cake</v>
      </c>
      <c r="B1122" t="str">
        <f ca="1">IFERROR(__xludf.DUMMYFUNCTION("""COMPUTED_VALUE"""),"A.01.000273")</f>
        <v>A.01.000273</v>
      </c>
    </row>
    <row r="1123" spans="1:2" ht="12.5" x14ac:dyDescent="0.25">
      <c r="A1123" t="str">
        <f ca="1">IFERROR(__xludf.DUMMYFUNCTION("""COMPUTED_VALUE"""),"Fruit chips")</f>
        <v>Fruit chips</v>
      </c>
      <c r="B1123" t="str">
        <f ca="1">IFERROR(__xludf.DUMMYFUNCTION("""COMPUTED_VALUE"""),"A.01.000685")</f>
        <v>A.01.000685</v>
      </c>
    </row>
    <row r="1124" spans="1:2" ht="12.5" x14ac:dyDescent="0.25">
      <c r="A1124" t="str">
        <f ca="1">IFERROR(__xludf.DUMMYFUNCTION("""COMPUTED_VALUE"""),"Fruit cocktail")</f>
        <v>Fruit cocktail</v>
      </c>
      <c r="B1124" t="str">
        <f ca="1">IFERROR(__xludf.DUMMYFUNCTION("""COMPUTED_VALUE"""),"A.01.000687")</f>
        <v>A.01.000687</v>
      </c>
    </row>
    <row r="1125" spans="1:2" ht="12.5" x14ac:dyDescent="0.25">
      <c r="A1125" t="str">
        <f ca="1">IFERROR(__xludf.DUMMYFUNCTION("""COMPUTED_VALUE"""),"Fruit compote")</f>
        <v>Fruit compote</v>
      </c>
      <c r="B1125" t="str">
        <f ca="1">IFERROR(__xludf.DUMMYFUNCTION("""COMPUTED_VALUE"""),"A.01.000701")</f>
        <v>A.01.000701</v>
      </c>
    </row>
    <row r="1126" spans="1:2" ht="12.5" x14ac:dyDescent="0.25">
      <c r="A1126" t="str">
        <f ca="1">IFERROR(__xludf.DUMMYFUNCTION("""COMPUTED_VALUE"""),"Fruit compote, Apple (Malus domesticus)")</f>
        <v>Fruit compote, Apple (Malus domesticus)</v>
      </c>
      <c r="B1126" t="str">
        <f ca="1">IFERROR(__xludf.DUMMYFUNCTION("""COMPUTED_VALUE"""),"A.01.000703")</f>
        <v>A.01.000703</v>
      </c>
    </row>
    <row r="1127" spans="1:2" ht="12.5" x14ac:dyDescent="0.25">
      <c r="A1127" t="str">
        <f ca="1">IFERROR(__xludf.DUMMYFUNCTION("""COMPUTED_VALUE"""),"Fruit compote, Apricot (Prunus armeniaca)")</f>
        <v>Fruit compote, Apricot (Prunus armeniaca)</v>
      </c>
      <c r="B1127" t="str">
        <f ca="1">IFERROR(__xludf.DUMMYFUNCTION("""COMPUTED_VALUE"""),"A.01.000705")</f>
        <v>A.01.000705</v>
      </c>
    </row>
    <row r="1128" spans="1:2" ht="12.5" x14ac:dyDescent="0.25">
      <c r="A1128" t="str">
        <f ca="1">IFERROR(__xludf.DUMMYFUNCTION("""COMPUTED_VALUE"""),"Fruit compote, Cranberry (Vaccinium macrocarpon)")</f>
        <v>Fruit compote, Cranberry (Vaccinium macrocarpon)</v>
      </c>
      <c r="B1128" t="str">
        <f ca="1">IFERROR(__xludf.DUMMYFUNCTION("""COMPUTED_VALUE"""),"A.01.000711")</f>
        <v>A.01.000711</v>
      </c>
    </row>
    <row r="1129" spans="1:2" ht="12.5" x14ac:dyDescent="0.25">
      <c r="A1129" t="str">
        <f ca="1">IFERROR(__xludf.DUMMYFUNCTION("""COMPUTED_VALUE"""),"Fruit compote, Mandarin (Citrus reticulata)")</f>
        <v>Fruit compote, Mandarin (Citrus reticulata)</v>
      </c>
      <c r="B1129" t="str">
        <f ca="1">IFERROR(__xludf.DUMMYFUNCTION("""COMPUTED_VALUE"""),"A.01.000702")</f>
        <v>A.01.000702</v>
      </c>
    </row>
    <row r="1130" spans="1:2" ht="12.5" x14ac:dyDescent="0.25">
      <c r="A1130" t="str">
        <f ca="1">IFERROR(__xludf.DUMMYFUNCTION("""COMPUTED_VALUE"""),"Fruit compote, Mixed fruit")</f>
        <v>Fruit compote, Mixed fruit</v>
      </c>
      <c r="B1130" t="str">
        <f ca="1">IFERROR(__xludf.DUMMYFUNCTION("""COMPUTED_VALUE"""),"A.01.000713")</f>
        <v>A.01.000713</v>
      </c>
    </row>
    <row r="1131" spans="1:2" ht="12.5" x14ac:dyDescent="0.25">
      <c r="A1131" t="str">
        <f ca="1">IFERROR(__xludf.DUMMYFUNCTION("""COMPUTED_VALUE"""),"Fruit compote, Peach (Prunus persica)")</f>
        <v>Fruit compote, Peach (Prunus persica)</v>
      </c>
      <c r="B1131" t="str">
        <f ca="1">IFERROR(__xludf.DUMMYFUNCTION("""COMPUTED_VALUE"""),"A.01.000709")</f>
        <v>A.01.000709</v>
      </c>
    </row>
    <row r="1132" spans="1:2" ht="12.5" x14ac:dyDescent="0.25">
      <c r="A1132" t="str">
        <f ca="1">IFERROR(__xludf.DUMMYFUNCTION("""COMPUTED_VALUE"""),"Fruit compote, Pear (Pyrus communis)")</f>
        <v>Fruit compote, Pear (Pyrus communis)</v>
      </c>
      <c r="B1132" t="str">
        <f ca="1">IFERROR(__xludf.DUMMYFUNCTION("""COMPUTED_VALUE"""),"A.01.000704")</f>
        <v>A.01.000704</v>
      </c>
    </row>
    <row r="1133" spans="1:2" ht="12.5" x14ac:dyDescent="0.25">
      <c r="A1133" t="str">
        <f ca="1">IFERROR(__xludf.DUMMYFUNCTION("""COMPUTED_VALUE"""),"Fruit compote, Pineapple (Ananas comosus)")</f>
        <v>Fruit compote, Pineapple (Ananas comosus)</v>
      </c>
      <c r="B1133" t="str">
        <f ca="1">IFERROR(__xludf.DUMMYFUNCTION("""COMPUTED_VALUE"""),"A.01.000712")</f>
        <v>A.01.000712</v>
      </c>
    </row>
    <row r="1134" spans="1:2" ht="12.5" x14ac:dyDescent="0.25">
      <c r="A1134" t="str">
        <f ca="1">IFERROR(__xludf.DUMMYFUNCTION("""COMPUTED_VALUE"""),"Fruit compote, Plum (Prunus domestica)")</f>
        <v>Fruit compote, Plum (Prunus domestica)</v>
      </c>
      <c r="B1134" t="str">
        <f ca="1">IFERROR(__xludf.DUMMYFUNCTION("""COMPUTED_VALUE"""),"A.01.000706")</f>
        <v>A.01.000706</v>
      </c>
    </row>
    <row r="1135" spans="1:2" ht="12.5" x14ac:dyDescent="0.25">
      <c r="A1135" t="str">
        <f ca="1">IFERROR(__xludf.DUMMYFUNCTION("""COMPUTED_VALUE"""),"Fruit compote, Sour cherry (Prunus cerasus)")</f>
        <v>Fruit compote, Sour cherry (Prunus cerasus)</v>
      </c>
      <c r="B1135" t="str">
        <f ca="1">IFERROR(__xludf.DUMMYFUNCTION("""COMPUTED_VALUE"""),"A.01.000708")</f>
        <v>A.01.000708</v>
      </c>
    </row>
    <row r="1136" spans="1:2" ht="12.5" x14ac:dyDescent="0.25">
      <c r="A1136" t="str">
        <f ca="1">IFERROR(__xludf.DUMMYFUNCTION("""COMPUTED_VALUE"""),"Fruit compote, Sweet cherry (Prunus avium)")</f>
        <v>Fruit compote, Sweet cherry (Prunus avium)</v>
      </c>
      <c r="B1136" t="str">
        <f ca="1">IFERROR(__xludf.DUMMYFUNCTION("""COMPUTED_VALUE"""),"A.01.000707")</f>
        <v>A.01.000707</v>
      </c>
    </row>
    <row r="1137" spans="1:2" ht="12.5" x14ac:dyDescent="0.25">
      <c r="A1137" t="str">
        <f ca="1">IFERROR(__xludf.DUMMYFUNCTION("""COMPUTED_VALUE"""),"Fruit compote, Table grape (Vitis euvitis)")</f>
        <v>Fruit compote, Table grape (Vitis euvitis)</v>
      </c>
      <c r="B1137" t="str">
        <f ca="1">IFERROR(__xludf.DUMMYFUNCTION("""COMPUTED_VALUE"""),"A.01.000710")</f>
        <v>A.01.000710</v>
      </c>
    </row>
    <row r="1138" spans="1:2" ht="12.5" x14ac:dyDescent="0.25">
      <c r="A1138" t="str">
        <f ca="1">IFERROR(__xludf.DUMMYFUNCTION("""COMPUTED_VALUE"""),"Fruit fillings for pastries")</f>
        <v>Fruit fillings for pastries</v>
      </c>
      <c r="B1138" t="str">
        <f ca="1">IFERROR(__xludf.DUMMYFUNCTION("""COMPUTED_VALUE"""),"A.01.000725")</f>
        <v>A.01.000725</v>
      </c>
    </row>
    <row r="1139" spans="1:2" ht="12.5" x14ac:dyDescent="0.25">
      <c r="A1139" t="str">
        <f ca="1">IFERROR(__xludf.DUMMYFUNCTION("""COMPUTED_VALUE"""),"Fruit in vinegar, oil, or brine")</f>
        <v>Fruit in vinegar, oil, or brine</v>
      </c>
      <c r="B1139" t="str">
        <f ca="1">IFERROR(__xludf.DUMMYFUNCTION("""COMPUTED_VALUE"""),"A.01.000723")</f>
        <v>A.01.000723</v>
      </c>
    </row>
    <row r="1140" spans="1:2" ht="12.5" x14ac:dyDescent="0.25">
      <c r="A1140" t="str">
        <f ca="1">IFERROR(__xludf.DUMMYFUNCTION("""COMPUTED_VALUE"""),"Fruit juice")</f>
        <v>Fruit juice</v>
      </c>
      <c r="B1140" t="str">
        <f ca="1">IFERROR(__xludf.DUMMYFUNCTION("""COMPUTED_VALUE"""),"A.01.001395")</f>
        <v>A.01.001395</v>
      </c>
    </row>
    <row r="1141" spans="1:2" ht="12.5" x14ac:dyDescent="0.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x14ac:dyDescent="0.25">
      <c r="A1142" t="str">
        <f ca="1">IFERROR(__xludf.DUMMYFUNCTION("""COMPUTED_VALUE"""),"Fruit juice for infants and young children")</f>
        <v>Fruit juice for infants and young children</v>
      </c>
      <c r="B1142" t="str">
        <f ca="1">IFERROR(__xludf.DUMMYFUNCTION("""COMPUTED_VALUE"""),"A.01.001744")</f>
        <v>A.01.001744</v>
      </c>
    </row>
    <row r="1143" spans="1:2" ht="12.5" x14ac:dyDescent="0.25">
      <c r="A1143" t="str">
        <f ca="1">IFERROR(__xludf.DUMMYFUNCTION("""COMPUTED_VALUE"""),"Fruit juices")</f>
        <v>Fruit juices</v>
      </c>
      <c r="B1143" t="str">
        <f ca="1">IFERROR(__xludf.DUMMYFUNCTION("""COMPUTED_VALUE"""),"C07A_1")</f>
        <v>C07A_1</v>
      </c>
    </row>
    <row r="1144" spans="1:2" ht="12.5" x14ac:dyDescent="0.25">
      <c r="A1144" t="str">
        <f ca="1">IFERROR(__xludf.DUMMYFUNCTION("""COMPUTED_VALUE"""),"Fruit kernels")</f>
        <v>Fruit kernels</v>
      </c>
      <c r="B1144" t="str">
        <f ca="1">IFERROR(__xludf.DUMMYFUNCTION("""COMPUTED_VALUE"""),"G.5.22")</f>
        <v>G.5.22</v>
      </c>
    </row>
    <row r="1145" spans="1:2" ht="12.5" x14ac:dyDescent="0.25">
      <c r="A1145" t="str">
        <f ca="1">IFERROR(__xludf.DUMMYFUNCTION("""COMPUTED_VALUE"""),"Fruit liqueur")</f>
        <v>Fruit liqueur</v>
      </c>
      <c r="B1145" t="str">
        <f ca="1">IFERROR(__xludf.DUMMYFUNCTION("""COMPUTED_VALUE"""),"A.01.001553")</f>
        <v>A.01.001553</v>
      </c>
    </row>
    <row r="1146" spans="1:2" ht="12.5" x14ac:dyDescent="0.25">
      <c r="A1146" t="str">
        <f ca="1">IFERROR(__xludf.DUMMYFUNCTION("""COMPUTED_VALUE"""),"Fruit milkshake")</f>
        <v>Fruit milkshake</v>
      </c>
      <c r="B1146" t="str">
        <f ca="1">IFERROR(__xludf.DUMMYFUNCTION("""COMPUTED_VALUE"""),"A.01.000970")</f>
        <v>A.01.000970</v>
      </c>
    </row>
    <row r="1147" spans="1:2" ht="12.5" x14ac:dyDescent="0.25">
      <c r="A1147" t="str">
        <f ca="1">IFERROR(__xludf.DUMMYFUNCTION("""COMPUTED_VALUE"""),"Fruit nectar")</f>
        <v>Fruit nectar</v>
      </c>
      <c r="B1147" t="str">
        <f ca="1">IFERROR(__xludf.DUMMYFUNCTION("""COMPUTED_VALUE"""),"A.01.001434")</f>
        <v>A.01.001434</v>
      </c>
    </row>
    <row r="1148" spans="1:2" ht="12.5" x14ac:dyDescent="0.25">
      <c r="A1148" t="str">
        <f ca="1">IFERROR(__xludf.DUMMYFUNCTION("""COMPUTED_VALUE"""),"Fruit nectar for infants and young children")</f>
        <v>Fruit nectar for infants and young children</v>
      </c>
      <c r="B1148" t="str">
        <f ca="1">IFERROR(__xludf.DUMMYFUNCTION("""COMPUTED_VALUE"""),"A.01.001745")</f>
        <v>A.01.001745</v>
      </c>
    </row>
    <row r="1149" spans="1:2" ht="12.5" x14ac:dyDescent="0.25">
      <c r="A1149" t="str">
        <f ca="1">IFERROR(__xludf.DUMMYFUNCTION("""COMPUTED_VALUE"""),"Fruit pie")</f>
        <v>Fruit pie</v>
      </c>
      <c r="B1149" t="str">
        <f ca="1">IFERROR(__xludf.DUMMYFUNCTION("""COMPUTED_VALUE"""),"A.01.000274")</f>
        <v>A.01.000274</v>
      </c>
    </row>
    <row r="1150" spans="1:2" ht="12.5" x14ac:dyDescent="0.25">
      <c r="A1150" t="str">
        <f ca="1">IFERROR(__xludf.DUMMYFUNCTION("""COMPUTED_VALUE"""),"Fruit pulp")</f>
        <v>Fruit pulp</v>
      </c>
      <c r="B1150" t="str">
        <f ca="1">IFERROR(__xludf.DUMMYFUNCTION("""COMPUTED_VALUE"""),"F05.03")</f>
        <v>F05.03</v>
      </c>
    </row>
    <row r="1151" spans="1:2" ht="12.5" x14ac:dyDescent="0.25">
      <c r="A1151" t="str">
        <f ca="1">IFERROR(__xludf.DUMMYFUNCTION("""COMPUTED_VALUE"""),"Fruit pulp")</f>
        <v>Fruit pulp</v>
      </c>
      <c r="B1151" t="str">
        <f ca="1">IFERROR(__xludf.DUMMYFUNCTION("""COMPUTED_VALUE"""),"G.5.22.2")</f>
        <v>G.5.22.2</v>
      </c>
    </row>
    <row r="1152" spans="1:2" ht="12.5" x14ac:dyDescent="0.25">
      <c r="A1152" t="str">
        <f ca="1">IFERROR(__xludf.DUMMYFUNCTION("""COMPUTED_VALUE"""),"Fruit pulp, dried")</f>
        <v>Fruit pulp, dried</v>
      </c>
      <c r="B1152" t="str">
        <f ca="1">IFERROR(__xludf.DUMMYFUNCTION("""COMPUTED_VALUE"""),"G.5.22.3")</f>
        <v>G.5.22.3</v>
      </c>
    </row>
    <row r="1153" spans="1:2" ht="12.5" x14ac:dyDescent="0.25">
      <c r="A1153" t="str">
        <f ca="1">IFERROR(__xludf.DUMMYFUNCTION("""COMPUTED_VALUE"""),"Fruit purée for children")</f>
        <v>Fruit purée for children</v>
      </c>
      <c r="B1153" t="str">
        <f ca="1">IFERROR(__xludf.DUMMYFUNCTION("""COMPUTED_VALUE"""),"A.01.001738")</f>
        <v>A.01.001738</v>
      </c>
    </row>
    <row r="1154" spans="1:2" ht="12.5" x14ac:dyDescent="0.25">
      <c r="A1154" t="str">
        <f ca="1">IFERROR(__xludf.DUMMYFUNCTION("""COMPUTED_VALUE"""),"Fruit salad")</f>
        <v>Fruit salad</v>
      </c>
      <c r="B1154" t="str">
        <f ca="1">IFERROR(__xludf.DUMMYFUNCTION("""COMPUTED_VALUE"""),"A.01.000684")</f>
        <v>A.01.000684</v>
      </c>
    </row>
    <row r="1155" spans="1:2" ht="12.5" x14ac:dyDescent="0.25">
      <c r="A1155" t="str">
        <f ca="1">IFERROR(__xludf.DUMMYFUNCTION("""COMPUTED_VALUE"""),"Fruit sauce")</f>
        <v>Fruit sauce</v>
      </c>
      <c r="B1155" t="str">
        <f ca="1">IFERROR(__xludf.DUMMYFUNCTION("""COMPUTED_VALUE"""),"A.01.001329")</f>
        <v>A.01.001329</v>
      </c>
    </row>
    <row r="1156" spans="1:2" ht="12.5" x14ac:dyDescent="0.25">
      <c r="A1156" t="str">
        <f ca="1">IFERROR(__xludf.DUMMYFUNCTION("""COMPUTED_VALUE"""),"Fruit soft drink, Currant  red")</f>
        <v>Fruit soft drink, Currant  red</v>
      </c>
      <c r="B1156" t="str">
        <f ca="1">IFERROR(__xludf.DUMMYFUNCTION("""COMPUTED_VALUE"""),"A.01.001473")</f>
        <v>A.01.001473</v>
      </c>
    </row>
    <row r="1157" spans="1:2" ht="12.5" x14ac:dyDescent="0.25">
      <c r="A1157" t="str">
        <f ca="1">IFERROR(__xludf.DUMMYFUNCTION("""COMPUTED_VALUE"""),"Fruit soft drink, Currant  white")</f>
        <v>Fruit soft drink, Currant  white</v>
      </c>
      <c r="B1157" t="str">
        <f ca="1">IFERROR(__xludf.DUMMYFUNCTION("""COMPUTED_VALUE"""),"A.01.001474")</f>
        <v>A.01.001474</v>
      </c>
    </row>
    <row r="1158" spans="1:2" ht="12.5" x14ac:dyDescent="0.25">
      <c r="A1158" t="str">
        <f ca="1">IFERROR(__xludf.DUMMYFUNCTION("""COMPUTED_VALUE"""),"Fruit soft drink, Gooseberry")</f>
        <v>Fruit soft drink, Gooseberry</v>
      </c>
      <c r="B1158" t="str">
        <f ca="1">IFERROR(__xludf.DUMMYFUNCTION("""COMPUTED_VALUE"""),"A.01.001475")</f>
        <v>A.01.001475</v>
      </c>
    </row>
    <row r="1159" spans="1:2" ht="12.5" x14ac:dyDescent="0.25">
      <c r="A1159" t="str">
        <f ca="1">IFERROR(__xludf.DUMMYFUNCTION("""COMPUTED_VALUE"""),"Fruit soft drink, Grape red")</f>
        <v>Fruit soft drink, Grape red</v>
      </c>
      <c r="B1159" t="str">
        <f ca="1">IFERROR(__xludf.DUMMYFUNCTION("""COMPUTED_VALUE"""),"A.01.001476")</f>
        <v>A.01.001476</v>
      </c>
    </row>
    <row r="1160" spans="1:2" ht="12.5" x14ac:dyDescent="0.25">
      <c r="A1160" t="str">
        <f ca="1">IFERROR(__xludf.DUMMYFUNCTION("""COMPUTED_VALUE"""),"Fruit soft drink, Grape white")</f>
        <v>Fruit soft drink, Grape white</v>
      </c>
      <c r="B1160" t="str">
        <f ca="1">IFERROR(__xludf.DUMMYFUNCTION("""COMPUTED_VALUE"""),"A.01.001477")</f>
        <v>A.01.001477</v>
      </c>
    </row>
    <row r="1161" spans="1:2" ht="12.5" x14ac:dyDescent="0.25">
      <c r="A1161" t="str">
        <f ca="1">IFERROR(__xludf.DUMMYFUNCTION("""COMPUTED_VALUE"""),"Fruit soft drink, Grapefruit")</f>
        <v>Fruit soft drink, Grapefruit</v>
      </c>
      <c r="B1161" t="str">
        <f ca="1">IFERROR(__xludf.DUMMYFUNCTION("""COMPUTED_VALUE"""),"A.01.001478")</f>
        <v>A.01.001478</v>
      </c>
    </row>
    <row r="1162" spans="1:2" ht="12.5" x14ac:dyDescent="0.25">
      <c r="A1162" t="str">
        <f ca="1">IFERROR(__xludf.DUMMYFUNCTION("""COMPUTED_VALUE"""),"Fruit soft drink, Mango")</f>
        <v>Fruit soft drink, Mango</v>
      </c>
      <c r="B1162" t="str">
        <f ca="1">IFERROR(__xludf.DUMMYFUNCTION("""COMPUTED_VALUE"""),"A.01.001479")</f>
        <v>A.01.001479</v>
      </c>
    </row>
    <row r="1163" spans="1:2" ht="12.5" x14ac:dyDescent="0.25">
      <c r="A1163" t="str">
        <f ca="1">IFERROR(__xludf.DUMMYFUNCTION("""COMPUTED_VALUE"""),"Fruit soft drink, mixed fruit")</f>
        <v>Fruit soft drink, mixed fruit</v>
      </c>
      <c r="B1163" t="str">
        <f ca="1">IFERROR(__xludf.DUMMYFUNCTION("""COMPUTED_VALUE"""),"A.01.001492")</f>
        <v>A.01.001492</v>
      </c>
    </row>
    <row r="1164" spans="1:2" ht="12.5" x14ac:dyDescent="0.25">
      <c r="A1164" t="str">
        <f ca="1">IFERROR(__xludf.DUMMYFUNCTION("""COMPUTED_VALUE"""),"Fruit soft drink, mixed fruit, with sweetener")</f>
        <v>Fruit soft drink, mixed fruit, with sweetener</v>
      </c>
      <c r="B1164" t="str">
        <f ca="1">IFERROR(__xludf.DUMMYFUNCTION("""COMPUTED_VALUE"""),"A.01.001493")</f>
        <v>A.01.001493</v>
      </c>
    </row>
    <row r="1165" spans="1:2" ht="12.5" x14ac:dyDescent="0.25">
      <c r="A1165" t="str">
        <f ca="1">IFERROR(__xludf.DUMMYFUNCTION("""COMPUTED_VALUE"""),"Fruit soft drink, Mulberry")</f>
        <v>Fruit soft drink, Mulberry</v>
      </c>
      <c r="B1165" t="str">
        <f ca="1">IFERROR(__xludf.DUMMYFUNCTION("""COMPUTED_VALUE"""),"A.01.001480")</f>
        <v>A.01.001480</v>
      </c>
    </row>
    <row r="1166" spans="1:2" ht="12.5" x14ac:dyDescent="0.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x14ac:dyDescent="0.25">
      <c r="A1167" t="str">
        <f ca="1">IFERROR(__xludf.DUMMYFUNCTION("""COMPUTED_VALUE"""),"Fruit soft drink, multiple vitamin, with sweetener")</f>
        <v>Fruit soft drink, multiple vitamin, with sweetener</v>
      </c>
      <c r="B1167" t="str">
        <f ca="1">IFERROR(__xludf.DUMMYFUNCTION("""COMPUTED_VALUE"""),"A.01.001490")</f>
        <v>A.01.001490</v>
      </c>
    </row>
    <row r="1168" spans="1:2" ht="12.5" x14ac:dyDescent="0.25">
      <c r="A1168" t="str">
        <f ca="1">IFERROR(__xludf.DUMMYFUNCTION("""COMPUTED_VALUE"""),"Fruit soft drink, Nectarine")</f>
        <v>Fruit soft drink, Nectarine</v>
      </c>
      <c r="B1168" t="str">
        <f ca="1">IFERROR(__xludf.DUMMYFUNCTION("""COMPUTED_VALUE"""),"A.01.001481")</f>
        <v>A.01.001481</v>
      </c>
    </row>
    <row r="1169" spans="1:2" ht="12.5" x14ac:dyDescent="0.25">
      <c r="A1169" t="str">
        <f ca="1">IFERROR(__xludf.DUMMYFUNCTION("""COMPUTED_VALUE"""),"Fruit soft drink, Orange")</f>
        <v>Fruit soft drink, Orange</v>
      </c>
      <c r="B1169" t="str">
        <f ca="1">IFERROR(__xludf.DUMMYFUNCTION("""COMPUTED_VALUE"""),"A.01.001482")</f>
        <v>A.01.001482</v>
      </c>
    </row>
    <row r="1170" spans="1:2" ht="12.5" x14ac:dyDescent="0.25">
      <c r="A1170" t="str">
        <f ca="1">IFERROR(__xludf.DUMMYFUNCTION("""COMPUTED_VALUE"""),"Fruit soft drink, Papaya")</f>
        <v>Fruit soft drink, Papaya</v>
      </c>
      <c r="B1170" t="str">
        <f ca="1">IFERROR(__xludf.DUMMYFUNCTION("""COMPUTED_VALUE"""),"A.01.001483")</f>
        <v>A.01.001483</v>
      </c>
    </row>
    <row r="1171" spans="1:2" ht="12.5" x14ac:dyDescent="0.25">
      <c r="A1171" t="str">
        <f ca="1">IFERROR(__xludf.DUMMYFUNCTION("""COMPUTED_VALUE"""),"Fruit soft drink, Peach")</f>
        <v>Fruit soft drink, Peach</v>
      </c>
      <c r="B1171" t="str">
        <f ca="1">IFERROR(__xludf.DUMMYFUNCTION("""COMPUTED_VALUE"""),"A.01.001484")</f>
        <v>A.01.001484</v>
      </c>
    </row>
    <row r="1172" spans="1:2" ht="12.5" x14ac:dyDescent="0.25">
      <c r="A1172" t="str">
        <f ca="1">IFERROR(__xludf.DUMMYFUNCTION("""COMPUTED_VALUE"""),"Fruit soft drink, Pear")</f>
        <v>Fruit soft drink, Pear</v>
      </c>
      <c r="B1172" t="str">
        <f ca="1">IFERROR(__xludf.DUMMYFUNCTION("""COMPUTED_VALUE"""),"A.01.001485")</f>
        <v>A.01.001485</v>
      </c>
    </row>
    <row r="1173" spans="1:2" ht="12.5" x14ac:dyDescent="0.25">
      <c r="A1173" t="str">
        <f ca="1">IFERROR(__xludf.DUMMYFUNCTION("""COMPUTED_VALUE"""),"Fruit soft drink, Pineapple")</f>
        <v>Fruit soft drink, Pineapple</v>
      </c>
      <c r="B1173" t="str">
        <f ca="1">IFERROR(__xludf.DUMMYFUNCTION("""COMPUTED_VALUE"""),"A.01.001486")</f>
        <v>A.01.001486</v>
      </c>
    </row>
    <row r="1174" spans="1:2" ht="12.5" x14ac:dyDescent="0.25">
      <c r="A1174" t="str">
        <f ca="1">IFERROR(__xludf.DUMMYFUNCTION("""COMPUTED_VALUE"""),"Fruit soft drink, Plum/prune")</f>
        <v>Fruit soft drink, Plum/prune</v>
      </c>
      <c r="B1174" t="str">
        <f ca="1">IFERROR(__xludf.DUMMYFUNCTION("""COMPUTED_VALUE"""),"A.01.001487")</f>
        <v>A.01.001487</v>
      </c>
    </row>
    <row r="1175" spans="1:2" ht="12.5" x14ac:dyDescent="0.25">
      <c r="A1175" t="str">
        <f ca="1">IFERROR(__xludf.DUMMYFUNCTION("""COMPUTED_VALUE"""),"Fruit soft drink, Pomegranate")</f>
        <v>Fruit soft drink, Pomegranate</v>
      </c>
      <c r="B1175" t="str">
        <f ca="1">IFERROR(__xludf.DUMMYFUNCTION("""COMPUTED_VALUE"""),"A.01.001488")</f>
        <v>A.01.001488</v>
      </c>
    </row>
    <row r="1176" spans="1:2" ht="12.5" x14ac:dyDescent="0.25">
      <c r="A1176" t="str">
        <f ca="1">IFERROR(__xludf.DUMMYFUNCTION("""COMPUTED_VALUE"""),"Fruit soft drink, Raspberry")</f>
        <v>Fruit soft drink, Raspberry</v>
      </c>
      <c r="B1176" t="str">
        <f ca="1">IFERROR(__xludf.DUMMYFUNCTION("""COMPUTED_VALUE"""),"A.01.001489")</f>
        <v>A.01.001489</v>
      </c>
    </row>
    <row r="1177" spans="1:2" ht="12.5" x14ac:dyDescent="0.25">
      <c r="A1177" t="str">
        <f ca="1">IFERROR(__xludf.DUMMYFUNCTION("""COMPUTED_VALUE"""),"Fruit soup")</f>
        <v>Fruit soup</v>
      </c>
      <c r="B1177" t="str">
        <f ca="1">IFERROR(__xludf.DUMMYFUNCTION("""COMPUTED_VALUE"""),"A.01.001865")</f>
        <v>A.01.001865</v>
      </c>
    </row>
    <row r="1178" spans="1:2" ht="12.5" x14ac:dyDescent="0.25">
      <c r="A1178" t="str">
        <f ca="1">IFERROR(__xludf.DUMMYFUNCTION("""COMPUTED_VALUE"""),"Fruit tart")</f>
        <v>Fruit tart</v>
      </c>
      <c r="B1178" t="str">
        <f ca="1">IFERROR(__xludf.DUMMYFUNCTION("""COMPUTED_VALUE"""),"A.01.000276")</f>
        <v>A.01.000276</v>
      </c>
    </row>
    <row r="1179" spans="1:2" ht="12.5" x14ac:dyDescent="0.25">
      <c r="A1179" t="str">
        <f ca="1">IFERROR(__xludf.DUMMYFUNCTION("""COMPUTED_VALUE"""),"Fruit tee, infusion")</f>
        <v>Fruit tee, infusion</v>
      </c>
      <c r="B1179" t="str">
        <f ca="1">IFERROR(__xludf.DUMMYFUNCTION("""COMPUTED_VALUE"""),"A.01.001518")</f>
        <v>A.01.001518</v>
      </c>
    </row>
    <row r="1180" spans="1:2" ht="12.5" x14ac:dyDescent="0.25">
      <c r="A1180" t="str">
        <f ca="1">IFERROR(__xludf.DUMMYFUNCTION("""COMPUTED_VALUE"""),"Fruit-based beverages for diabetics")</f>
        <v>Fruit-based beverages for diabetics</v>
      </c>
      <c r="B1180" t="str">
        <f ca="1">IFERROR(__xludf.DUMMYFUNCTION("""COMPUTED_VALUE"""),"A.01.001776")</f>
        <v>A.01.001776</v>
      </c>
    </row>
    <row r="1181" spans="1:2" ht="12.5" x14ac:dyDescent="0.25">
      <c r="A1181" t="str">
        <f ca="1">IFERROR(__xludf.DUMMYFUNCTION("""COMPUTED_VALUE"""),"Fruit-flavoured milk")</f>
        <v>Fruit-flavoured milk</v>
      </c>
      <c r="B1181" t="str">
        <f ca="1">IFERROR(__xludf.DUMMYFUNCTION("""COMPUTED_VALUE"""),"A.01.000965")</f>
        <v>A.01.000965</v>
      </c>
    </row>
    <row r="1182" spans="1:2" ht="12.5" x14ac:dyDescent="0.25">
      <c r="A1182" t="str">
        <f ca="1">IFERROR(__xludf.DUMMYFUNCTION("""COMPUTED_VALUE"""),"Fruit, canned")</f>
        <v>Fruit, canned</v>
      </c>
      <c r="B1182" t="str">
        <f ca="1">IFERROR(__xludf.DUMMYFUNCTION("""COMPUTED_VALUE"""),"A.01.000688")</f>
        <v>A.01.000688</v>
      </c>
    </row>
    <row r="1183" spans="1:2" ht="12.5" x14ac:dyDescent="0.25">
      <c r="A1183" t="str">
        <f ca="1">IFERROR(__xludf.DUMMYFUNCTION("""COMPUTED_VALUE"""),"Fruit, chocolate coated")</f>
        <v>Fruit, chocolate coated</v>
      </c>
      <c r="B1183" t="str">
        <f ca="1">IFERROR(__xludf.DUMMYFUNCTION("""COMPUTED_VALUE"""),"A.01.000726")</f>
        <v>A.01.000726</v>
      </c>
    </row>
    <row r="1184" spans="1:2" ht="12.5" x14ac:dyDescent="0.25">
      <c r="A1184" t="str">
        <f ca="1">IFERROR(__xludf.DUMMYFUNCTION("""COMPUTED_VALUE"""),"Fruit, purèe")</f>
        <v>Fruit, purèe</v>
      </c>
      <c r="B1184" t="str">
        <f ca="1">IFERROR(__xludf.DUMMYFUNCTION("""COMPUTED_VALUE"""),"A.01.000686")</f>
        <v>A.01.000686</v>
      </c>
    </row>
    <row r="1185" spans="1:2" ht="12.5" x14ac:dyDescent="0.25">
      <c r="A1185" t="str">
        <f ca="1">IFERROR(__xludf.DUMMYFUNCTION("""COMPUTED_VALUE"""),"Fruiting vegetables")</f>
        <v>Fruiting vegetables</v>
      </c>
      <c r="B1185" t="str">
        <f ca="1">IFERROR(__xludf.DUMMYFUNCTION("""COMPUTED_VALUE"""),"A.01.000337")</f>
        <v>A.01.000337</v>
      </c>
    </row>
    <row r="1186" spans="1:2" ht="12.5" x14ac:dyDescent="0.25">
      <c r="A1186" t="str">
        <f ca="1">IFERROR(__xludf.DUMMYFUNCTION("""COMPUTED_VALUE"""),"Fruits")</f>
        <v>Fruits</v>
      </c>
      <c r="B1186" t="str">
        <f ca="1">IFERROR(__xludf.DUMMYFUNCTION("""COMPUTED_VALUE"""),"C06")</f>
        <v>C06</v>
      </c>
    </row>
    <row r="1187" spans="1:2" ht="12.5" x14ac:dyDescent="0.25">
      <c r="A1187" t="str">
        <f ca="1">IFERROR(__xludf.DUMMYFUNCTION("""COMPUTED_VALUE"""),"Fudge")</f>
        <v>Fudge</v>
      </c>
      <c r="B1187" t="str">
        <f ca="1">IFERROR(__xludf.DUMMYFUNCTION("""COMPUTED_VALUE"""),"A.01.001317")</f>
        <v>A.01.001317</v>
      </c>
    </row>
    <row r="1188" spans="1:2" ht="12.5" x14ac:dyDescent="0.25">
      <c r="A1188" t="str">
        <f ca="1">IFERROR(__xludf.DUMMYFUNCTION("""COMPUTED_VALUE"""),"Fudge sauce")</f>
        <v>Fudge sauce</v>
      </c>
      <c r="B1188" t="str">
        <f ca="1">IFERROR(__xludf.DUMMYFUNCTION("""COMPUTED_VALUE"""),"A.01.001331")</f>
        <v>A.01.001331</v>
      </c>
    </row>
    <row r="1189" spans="1:2" ht="12.5" x14ac:dyDescent="0.25">
      <c r="A1189" t="str">
        <f ca="1">IFERROR(__xludf.DUMMYFUNCTION("""COMPUTED_VALUE"""),"Fungi")</f>
        <v>Fungi</v>
      </c>
      <c r="B1189" t="str">
        <f ca="1">IFERROR(__xludf.DUMMYFUNCTION("""COMPUTED_VALUE"""),"C04B_2")</f>
        <v>C04B_2</v>
      </c>
    </row>
    <row r="1190" spans="1:2" ht="12.5" x14ac:dyDescent="0.25">
      <c r="A1190" t="str">
        <f ca="1">IFERROR(__xludf.DUMMYFUNCTION("""COMPUTED_VALUE"""),"Fungi, cultivated")</f>
        <v>Fungi, cultivated</v>
      </c>
      <c r="B1190" t="str">
        <f ca="1">IFERROR(__xludf.DUMMYFUNCTION("""COMPUTED_VALUE"""),"A.01.000453")</f>
        <v>A.01.000453</v>
      </c>
    </row>
    <row r="1191" spans="1:2" ht="12.5" x14ac:dyDescent="0.25">
      <c r="A1191" t="str">
        <f ca="1">IFERROR(__xludf.DUMMYFUNCTION("""COMPUTED_VALUE"""),"Fungi, wild, edible")</f>
        <v>Fungi, wild, edible</v>
      </c>
      <c r="B1191" t="str">
        <f ca="1">IFERROR(__xludf.DUMMYFUNCTION("""COMPUTED_VALUE"""),"A.01.000458")</f>
        <v>A.01.000458</v>
      </c>
    </row>
    <row r="1192" spans="1:2" ht="12.5" x14ac:dyDescent="0.25">
      <c r="A1192" t="str">
        <f ca="1">IFERROR(__xludf.DUMMYFUNCTION("""COMPUTED_VALUE"""),"Fur animals / Complementary feed")</f>
        <v>Fur animals / Complementary feed</v>
      </c>
      <c r="B1192" t="str">
        <f ca="1">IFERROR(__xludf.DUMMYFUNCTION("""COMPUTED_VALUE"""),"G.14.2.30")</f>
        <v>G.14.2.30</v>
      </c>
    </row>
    <row r="1193" spans="1:2" ht="12.5" x14ac:dyDescent="0.25">
      <c r="A1193" t="str">
        <f ca="1">IFERROR(__xludf.DUMMYFUNCTION("""COMPUTED_VALUE"""),"Fur animals / Complete feed")</f>
        <v>Fur animals / Complete feed</v>
      </c>
      <c r="B1193" t="str">
        <f ca="1">IFERROR(__xludf.DUMMYFUNCTION("""COMPUTED_VALUE"""),"G.14.1.30")</f>
        <v>G.14.1.30</v>
      </c>
    </row>
    <row r="1194" spans="1:2" ht="12.5" x14ac:dyDescent="0.25">
      <c r="A1194" t="str">
        <f ca="1">IFERROR(__xludf.DUMMYFUNCTION("""COMPUTED_VALUE"""),"Galactose")</f>
        <v>Galactose</v>
      </c>
      <c r="B1194" t="str">
        <f ca="1">IFERROR(__xludf.DUMMYFUNCTION("""COMPUTED_VALUE"""),"A.01.001277")</f>
        <v>A.01.001277</v>
      </c>
    </row>
    <row r="1195" spans="1:2" ht="12.5" x14ac:dyDescent="0.25">
      <c r="A1195" t="str">
        <f ca="1">IFERROR(__xludf.DUMMYFUNCTION("""COMPUTED_VALUE"""),"Galangal (Alpinia spp.)")</f>
        <v>Galangal (Alpinia spp.)</v>
      </c>
      <c r="B1195" t="str">
        <f ca="1">IFERROR(__xludf.DUMMYFUNCTION("""COMPUTED_VALUE"""),"A.01.001614")</f>
        <v>A.01.001614</v>
      </c>
    </row>
    <row r="1196" spans="1:2" ht="12.5" x14ac:dyDescent="0.25">
      <c r="A1196" t="str">
        <f ca="1">IFERROR(__xludf.DUMMYFUNCTION("""COMPUTED_VALUE"""),"Game birds")</f>
        <v>Game birds</v>
      </c>
      <c r="B1196" t="str">
        <f ca="1">IFERROR(__xludf.DUMMYFUNCTION("""COMPUTED_VALUE"""),"A.01.000751")</f>
        <v>A.01.000751</v>
      </c>
    </row>
    <row r="1197" spans="1:2" ht="12.5" x14ac:dyDescent="0.25">
      <c r="A1197" t="str">
        <f ca="1">IFERROR(__xludf.DUMMYFUNCTION("""COMPUTED_VALUE"""),"Game mammals")</f>
        <v>Game mammals</v>
      </c>
      <c r="B1197" t="str">
        <f ca="1">IFERROR(__xludf.DUMMYFUNCTION("""COMPUTED_VALUE"""),"A.01.000744")</f>
        <v>A.01.000744</v>
      </c>
    </row>
    <row r="1198" spans="1:2" ht="12.5" x14ac:dyDescent="0.25">
      <c r="A1198" t="str">
        <f ca="1">IFERROR(__xludf.DUMMYFUNCTION("""COMPUTED_VALUE"""),"Game meat")</f>
        <v>Game meat</v>
      </c>
      <c r="B1198" t="str">
        <f ca="1">IFERROR(__xludf.DUMMYFUNCTION("""COMPUTED_VALUE"""),"C10A_3")</f>
        <v>C10A_3</v>
      </c>
    </row>
    <row r="1199" spans="1:2" ht="12.5" x14ac:dyDescent="0.25">
      <c r="A1199" t="str">
        <f ca="1">IFERROR(__xludf.DUMMYFUNCTION("""COMPUTED_VALUE"""),"Garam masala")</f>
        <v>Garam masala</v>
      </c>
      <c r="B1199" t="str">
        <f ca="1">IFERROR(__xludf.DUMMYFUNCTION("""COMPUTED_VALUE"""),"A.01.001630")</f>
        <v>A.01.001630</v>
      </c>
    </row>
    <row r="1200" spans="1:2" ht="12.5" x14ac:dyDescent="0.25">
      <c r="A1200" t="str">
        <f ca="1">IFERROR(__xludf.DUMMYFUNCTION("""COMPUTED_VALUE"""),"Garden cress")</f>
        <v>Garden cress</v>
      </c>
      <c r="B1200" t="str">
        <f ca="1">IFERROR(__xludf.DUMMYFUNCTION("""COMPUTED_VALUE"""),"G.5.23")</f>
        <v>G.5.23</v>
      </c>
    </row>
    <row r="1201" spans="1:2" ht="12.5" x14ac:dyDescent="0.25">
      <c r="A1201" t="str">
        <f ca="1">IFERROR(__xludf.DUMMYFUNCTION("""COMPUTED_VALUE"""),"Garden orache (Atriplex hortensis)")</f>
        <v>Garden orache (Atriplex hortensis)</v>
      </c>
      <c r="B1201" t="str">
        <f ca="1">IFERROR(__xludf.DUMMYFUNCTION("""COMPUTED_VALUE"""),"A.01.000376")</f>
        <v>A.01.000376</v>
      </c>
    </row>
    <row r="1202" spans="1:2" ht="12.5" x14ac:dyDescent="0.25">
      <c r="A1202" t="str">
        <f ca="1">IFERROR(__xludf.DUMMYFUNCTION("""COMPUTED_VALUE"""),"Garlic purée")</f>
        <v>Garlic purée</v>
      </c>
      <c r="B1202" t="str">
        <f ca="1">IFERROR(__xludf.DUMMYFUNCTION("""COMPUTED_VALUE"""),"A.01.000442")</f>
        <v>A.01.000442</v>
      </c>
    </row>
    <row r="1203" spans="1:2" ht="12.5" x14ac:dyDescent="0.25">
      <c r="A1203" t="str">
        <f ca="1">IFERROR(__xludf.DUMMYFUNCTION("""COMPUTED_VALUE"""),"Garlic, bulb (Allium sativum)")</f>
        <v>Garlic, bulb (Allium sativum)</v>
      </c>
      <c r="B1203" t="str">
        <f ca="1">IFERROR(__xludf.DUMMYFUNCTION("""COMPUTED_VALUE"""),"A.01.000332")</f>
        <v>A.01.000332</v>
      </c>
    </row>
    <row r="1204" spans="1:2" ht="12.5" x14ac:dyDescent="0.25">
      <c r="A1204" t="str">
        <f ca="1">IFERROR(__xludf.DUMMYFUNCTION("""COMPUTED_VALUE"""),"Garlic, dried")</f>
        <v>Garlic, dried</v>
      </c>
      <c r="B1204" t="str">
        <f ca="1">IFERROR(__xludf.DUMMYFUNCTION("""COMPUTED_VALUE"""),"G.4.5")</f>
        <v>G.4.5</v>
      </c>
    </row>
    <row r="1205" spans="1:2" ht="12.5" x14ac:dyDescent="0.25">
      <c r="A1205" t="str">
        <f ca="1">IFERROR(__xludf.DUMMYFUNCTION("""COMPUTED_VALUE"""),"Gelatine")</f>
        <v>Gelatine</v>
      </c>
      <c r="B1205" t="str">
        <f ca="1">IFERROR(__xludf.DUMMYFUNCTION("""COMPUTED_VALUE"""),"A.01.001712")</f>
        <v>A.01.001712</v>
      </c>
    </row>
    <row r="1206" spans="1:2" ht="12.5" x14ac:dyDescent="0.25">
      <c r="A1206" t="str">
        <f ca="1">IFERROR(__xludf.DUMMYFUNCTION("""COMPUTED_VALUE"""),"Gelatine (Feed)")</f>
        <v>Gelatine (Feed)</v>
      </c>
      <c r="B1206" t="str">
        <f ca="1">IFERROR(__xludf.DUMMYFUNCTION("""COMPUTED_VALUE"""),"G.9.12")</f>
        <v>G.9.12</v>
      </c>
    </row>
    <row r="1207" spans="1:2" ht="12.5" x14ac:dyDescent="0.25">
      <c r="A1207" t="str">
        <f ca="1">IFERROR(__xludf.DUMMYFUNCTION("""COMPUTED_VALUE"""),"Gelatine dessert")</f>
        <v>Gelatine dessert</v>
      </c>
      <c r="B1207" t="str">
        <f ca="1">IFERROR(__xludf.DUMMYFUNCTION("""COMPUTED_VALUE"""),"A.01.001894")</f>
        <v>A.01.001894</v>
      </c>
    </row>
    <row r="1208" spans="1:2" ht="12.5" x14ac:dyDescent="0.25">
      <c r="A1208" t="str">
        <f ca="1">IFERROR(__xludf.DUMMYFUNCTION("""COMPUTED_VALUE"""),"Gelatine process derived proteins")</f>
        <v>Gelatine process derived proteins</v>
      </c>
      <c r="B1208" t="str">
        <f ca="1">IFERROR(__xludf.DUMMYFUNCTION("""COMPUTED_VALUE"""),"G.9.5")</f>
        <v>G.9.5</v>
      </c>
    </row>
    <row r="1209" spans="1:2" ht="12.5" x14ac:dyDescent="0.25">
      <c r="A1209" t="str">
        <f ca="1">IFERROR(__xludf.DUMMYFUNCTION("""COMPUTED_VALUE"""),"German salami")</f>
        <v>German salami</v>
      </c>
      <c r="B1209" t="str">
        <f ca="1">IFERROR(__xludf.DUMMYFUNCTION("""COMPUTED_VALUE"""),"A.01.000852")</f>
        <v>A.01.000852</v>
      </c>
    </row>
    <row r="1210" spans="1:2" ht="12.5" x14ac:dyDescent="0.25">
      <c r="A1210" t="str">
        <f ca="1">IFERROR(__xludf.DUMMYFUNCTION("""COMPUTED_VALUE"""),"Ghee")</f>
        <v>Ghee</v>
      </c>
      <c r="B1210" t="str">
        <f ca="1">IFERROR(__xludf.DUMMYFUNCTION("""COMPUTED_VALUE"""),"A.01.001350")</f>
        <v>A.01.001350</v>
      </c>
    </row>
    <row r="1211" spans="1:2" ht="12.5" x14ac:dyDescent="0.25">
      <c r="A1211" t="str">
        <f ca="1">IFERROR(__xludf.DUMMYFUNCTION("""COMPUTED_VALUE"""),"Gherkins (Cucumis sativus)")</f>
        <v>Gherkins (Cucumis sativus)</v>
      </c>
      <c r="B1211" t="str">
        <f ca="1">IFERROR(__xludf.DUMMYFUNCTION("""COMPUTED_VALUE"""),"A.01.000344")</f>
        <v>A.01.000344</v>
      </c>
    </row>
    <row r="1212" spans="1:2" ht="12.5" x14ac:dyDescent="0.25">
      <c r="A1212" t="str">
        <f ca="1">IFERROR(__xludf.DUMMYFUNCTION("""COMPUTED_VALUE"""),"Giblets (chicken, turkey, duck, goose)")</f>
        <v>Giblets (chicken, turkey, duck, goose)</v>
      </c>
      <c r="B1212" t="str">
        <f ca="1">IFERROR(__xludf.DUMMYFUNCTION("""COMPUTED_VALUE"""),"A.01.000790")</f>
        <v>A.01.000790</v>
      </c>
    </row>
    <row r="1213" spans="1:2" ht="12.5" x14ac:dyDescent="0.25">
      <c r="A1213" t="str">
        <f ca="1">IFERROR(__xludf.DUMMYFUNCTION("""COMPUTED_VALUE"""),"Gin")</f>
        <v>Gin</v>
      </c>
      <c r="B1213" t="str">
        <f ca="1">IFERROR(__xludf.DUMMYFUNCTION("""COMPUTED_VALUE"""),"A.01.001564")</f>
        <v>A.01.001564</v>
      </c>
    </row>
    <row r="1214" spans="1:2" ht="12.5" x14ac:dyDescent="0.25">
      <c r="A1214" t="str">
        <f ca="1">IFERROR(__xludf.DUMMYFUNCTION("""COMPUTED_VALUE"""),"Ginger (Zingiber officinale)")</f>
        <v>Ginger (Zingiber officinale)</v>
      </c>
      <c r="B1214" t="str">
        <f ca="1">IFERROR(__xludf.DUMMYFUNCTION("""COMPUTED_VALUE"""),"A.01.001615")</f>
        <v>A.01.001615</v>
      </c>
    </row>
    <row r="1215" spans="1:2" ht="12.5" x14ac:dyDescent="0.25">
      <c r="A1215" t="str">
        <f ca="1">IFERROR(__xludf.DUMMYFUNCTION("""COMPUTED_VALUE"""),"Gingerbread")</f>
        <v>Gingerbread</v>
      </c>
      <c r="B1215" t="str">
        <f ca="1">IFERROR(__xludf.DUMMYFUNCTION("""COMPUTED_VALUE"""),"A.01.000277")</f>
        <v>A.01.000277</v>
      </c>
    </row>
    <row r="1216" spans="1:2" ht="12.5" x14ac:dyDescent="0.25">
      <c r="A1216" t="str">
        <f ca="1">IFERROR(__xludf.DUMMYFUNCTION("""COMPUTED_VALUE"""),"Ginseng root (Panax ginseng)")</f>
        <v>Ginseng root (Panax ginseng)</v>
      </c>
      <c r="B1216" t="str">
        <f ca="1">IFERROR(__xludf.DUMMYFUNCTION("""COMPUTED_VALUE"""),"A.01.000417")</f>
        <v>A.01.000417</v>
      </c>
    </row>
    <row r="1217" spans="1:2" ht="12.5" x14ac:dyDescent="0.25">
      <c r="A1217" t="str">
        <f ca="1">IFERROR(__xludf.DUMMYFUNCTION("""COMPUTED_VALUE"""),"Glass noodle")</f>
        <v>Glass noodle</v>
      </c>
      <c r="B1217" t="str">
        <f ca="1">IFERROR(__xludf.DUMMYFUNCTION("""COMPUTED_VALUE"""),"A.01.000169")</f>
        <v>A.01.000169</v>
      </c>
    </row>
    <row r="1218" spans="1:2" ht="12.5" x14ac:dyDescent="0.25">
      <c r="A1218" t="str">
        <f ca="1">IFERROR(__xludf.DUMMYFUNCTION("""COMPUTED_VALUE"""),"Glaze")</f>
        <v>Glaze</v>
      </c>
      <c r="B1218" t="str">
        <f ca="1">IFERROR(__xludf.DUMMYFUNCTION("""COMPUTED_VALUE"""),"A.01.001714")</f>
        <v>A.01.001714</v>
      </c>
    </row>
    <row r="1219" spans="1:2" ht="12.5" x14ac:dyDescent="0.25">
      <c r="A1219" t="str">
        <f ca="1">IFERROR(__xludf.DUMMYFUNCTION("""COMPUTED_VALUE"""),"Globe artichokes (Cynara scolymus)")</f>
        <v>Globe artichokes (Cynara scolymus)</v>
      </c>
      <c r="B1219" t="str">
        <f ca="1">IFERROR(__xludf.DUMMYFUNCTION("""COMPUTED_VALUE"""),"A.01.000390")</f>
        <v>A.01.000390</v>
      </c>
    </row>
    <row r="1220" spans="1:2" ht="12.5" x14ac:dyDescent="0.25">
      <c r="A1220" t="str">
        <f ca="1">IFERROR(__xludf.DUMMYFUNCTION("""COMPUTED_VALUE"""),"Glucosamine (Chitosamine)")</f>
        <v>Glucosamine (Chitosamine)</v>
      </c>
      <c r="B1220" t="str">
        <f ca="1">IFERROR(__xludf.DUMMYFUNCTION("""COMPUTED_VALUE"""),"G.13.2.8")</f>
        <v>G.13.2.8</v>
      </c>
    </row>
    <row r="1221" spans="1:2" ht="12.5" x14ac:dyDescent="0.25">
      <c r="A1221" t="str">
        <f ca="1">IFERROR(__xludf.DUMMYFUNCTION("""COMPUTED_VALUE"""),"Glucose")</f>
        <v>Glucose</v>
      </c>
      <c r="B1221" t="str">
        <f ca="1">IFERROR(__xludf.DUMMYFUNCTION("""COMPUTED_VALUE"""),"A.01.001276")</f>
        <v>A.01.001276</v>
      </c>
    </row>
    <row r="1222" spans="1:2" ht="12.5" x14ac:dyDescent="0.25">
      <c r="A1222" t="str">
        <f ca="1">IFERROR(__xludf.DUMMYFUNCTION("""COMPUTED_VALUE"""),"Glucose molasses")</f>
        <v>Glucose molasses</v>
      </c>
      <c r="B1222" t="str">
        <f ca="1">IFERROR(__xludf.DUMMYFUNCTION("""COMPUTED_VALUE"""),"G.13.2.5")</f>
        <v>G.13.2.5</v>
      </c>
    </row>
    <row r="1223" spans="1:2" ht="12.5" x14ac:dyDescent="0.25">
      <c r="A1223" t="str">
        <f ca="1">IFERROR(__xludf.DUMMYFUNCTION("""COMPUTED_VALUE"""),"Glucose syrup")</f>
        <v>Glucose syrup</v>
      </c>
      <c r="B1223" t="str">
        <f ca="1">IFERROR(__xludf.DUMMYFUNCTION("""COMPUTED_VALUE"""),"G.13.2.4")</f>
        <v>G.13.2.4</v>
      </c>
    </row>
    <row r="1224" spans="1:2" ht="12.5" x14ac:dyDescent="0.25">
      <c r="A1224" t="str">
        <f ca="1">IFERROR(__xludf.DUMMYFUNCTION("""COMPUTED_VALUE"""),"Glycerine")</f>
        <v>Glycerine</v>
      </c>
      <c r="B1224" t="str">
        <f ca="1">IFERROR(__xludf.DUMMYFUNCTION("""COMPUTED_VALUE"""),"G.13.8.2")</f>
        <v>G.13.8.2</v>
      </c>
    </row>
    <row r="1225" spans="1:2" ht="12.5" x14ac:dyDescent="0.25">
      <c r="A1225" t="str">
        <f ca="1">IFERROR(__xludf.DUMMYFUNCTION("""COMPUTED_VALUE"""),"Glycerine, crude")</f>
        <v>Glycerine, crude</v>
      </c>
      <c r="B1225" t="str">
        <f ca="1">IFERROR(__xludf.DUMMYFUNCTION("""COMPUTED_VALUE"""),"G.13.8")</f>
        <v>G.13.8</v>
      </c>
    </row>
    <row r="1226" spans="1:2" ht="12.5" x14ac:dyDescent="0.25">
      <c r="A1226" t="str">
        <f ca="1">IFERROR(__xludf.DUMMYFUNCTION("""COMPUTED_VALUE"""),"Goat (kids) (weaning diets) / Complementary feed")</f>
        <v>Goat (kids) (weaning diets) / Complementary feed</v>
      </c>
      <c r="B1226" t="str">
        <f ca="1">IFERROR(__xludf.DUMMYFUNCTION("""COMPUTED_VALUE"""),"G.14.2.12")</f>
        <v>G.14.2.12</v>
      </c>
    </row>
    <row r="1227" spans="1:2" ht="12.5" x14ac:dyDescent="0.25">
      <c r="A1227" t="str">
        <f ca="1">IFERROR(__xludf.DUMMYFUNCTION("""COMPUTED_VALUE"""),"Goat (kids) (weaning diets) / Complete feed")</f>
        <v>Goat (kids) (weaning diets) / Complete feed</v>
      </c>
      <c r="B1227" t="str">
        <f ca="1">IFERROR(__xludf.DUMMYFUNCTION("""COMPUTED_VALUE"""),"G.14.1.12")</f>
        <v>G.14.1.12</v>
      </c>
    </row>
    <row r="1228" spans="1:2" ht="12.5" x14ac:dyDescent="0.25">
      <c r="A1228" t="str">
        <f ca="1">IFERROR(__xludf.DUMMYFUNCTION("""COMPUTED_VALUE"""),"Goat / kid meat (Capra hircus)")</f>
        <v>Goat / kid meat (Capra hircus)</v>
      </c>
      <c r="B1228" t="str">
        <f ca="1">IFERROR(__xludf.DUMMYFUNCTION("""COMPUTED_VALUE"""),"A.01.000733")</f>
        <v>A.01.000733</v>
      </c>
    </row>
    <row r="1229" spans="1:2" ht="12.5" x14ac:dyDescent="0.25">
      <c r="A1229" t="str">
        <f ca="1">IFERROR(__xludf.DUMMYFUNCTION("""COMPUTED_VALUE"""),"Goat milk")</f>
        <v>Goat milk</v>
      </c>
      <c r="B1229" t="str">
        <f ca="1">IFERROR(__xludf.DUMMYFUNCTION("""COMPUTED_VALUE"""),"A.01.000958")</f>
        <v>A.01.000958</v>
      </c>
    </row>
    <row r="1230" spans="1:2" ht="12.5" x14ac:dyDescent="0.25">
      <c r="A1230" t="str">
        <f ca="1">IFERROR(__xludf.DUMMYFUNCTION("""COMPUTED_VALUE"""),"Goettinger cervelat")</f>
        <v>Goettinger cervelat</v>
      </c>
      <c r="B1230" t="str">
        <f ca="1">IFERROR(__xludf.DUMMYFUNCTION("""COMPUTED_VALUE"""),"A.01.000837")</f>
        <v>A.01.000837</v>
      </c>
    </row>
    <row r="1231" spans="1:2" ht="12.5" x14ac:dyDescent="0.25">
      <c r="A1231" t="str">
        <f ca="1">IFERROR(__xludf.DUMMYFUNCTION("""COMPUTED_VALUE"""),"Gold of pleasure (Camelina sativa)")</f>
        <v>Gold of pleasure (Camelina sativa)</v>
      </c>
      <c r="B1231" t="str">
        <f ca="1">IFERROR(__xludf.DUMMYFUNCTION("""COMPUTED_VALUE"""),"A.01.000540")</f>
        <v>A.01.000540</v>
      </c>
    </row>
    <row r="1232" spans="1:2" ht="12.5" x14ac:dyDescent="0.25">
      <c r="A1232" t="str">
        <f ca="1">IFERROR(__xludf.DUMMYFUNCTION("""COMPUTED_VALUE"""),"Goose eggs")</f>
        <v>Goose eggs</v>
      </c>
      <c r="B1232" t="str">
        <f ca="1">IFERROR(__xludf.DUMMYFUNCTION("""COMPUTED_VALUE"""),"A.01.001259")</f>
        <v>A.01.001259</v>
      </c>
    </row>
    <row r="1233" spans="1:2" ht="12.5" x14ac:dyDescent="0.25">
      <c r="A1233" t="str">
        <f ca="1">IFERROR(__xludf.DUMMYFUNCTION("""COMPUTED_VALUE"""),"Goose fat")</f>
        <v>Goose fat</v>
      </c>
      <c r="B1233" t="str">
        <f ca="1">IFERROR(__xludf.DUMMYFUNCTION("""COMPUTED_VALUE"""),"A.01.001353")</f>
        <v>A.01.001353</v>
      </c>
    </row>
    <row r="1234" spans="1:2" ht="12.5" x14ac:dyDescent="0.25">
      <c r="A1234" t="str">
        <f ca="1">IFERROR(__xludf.DUMMYFUNCTION("""COMPUTED_VALUE"""),"Goose liver")</f>
        <v>Goose liver</v>
      </c>
      <c r="B1234" t="str">
        <f ca="1">IFERROR(__xludf.DUMMYFUNCTION("""COMPUTED_VALUE"""),"A.01.000774")</f>
        <v>A.01.000774</v>
      </c>
    </row>
    <row r="1235" spans="1:2" ht="12.5" x14ac:dyDescent="0.25">
      <c r="A1235" t="str">
        <f ca="1">IFERROR(__xludf.DUMMYFUNCTION("""COMPUTED_VALUE"""),"Goose meat (Anser, Branta, Chen)")</f>
        <v>Goose meat (Anser, Branta, Chen)</v>
      </c>
      <c r="B1235" t="str">
        <f ca="1">IFERROR(__xludf.DUMMYFUNCTION("""COMPUTED_VALUE"""),"A.01.000740")</f>
        <v>A.01.000740</v>
      </c>
    </row>
    <row r="1236" spans="1:2" ht="12.5" x14ac:dyDescent="0.25">
      <c r="A1236" t="str">
        <f ca="1">IFERROR(__xludf.DUMMYFUNCTION("""COMPUTED_VALUE"""),"Gooseberries (Ribes uva-crispa)")</f>
        <v>Gooseberries (Ribes uva-crispa)</v>
      </c>
      <c r="B1236" t="str">
        <f ca="1">IFERROR(__xludf.DUMMYFUNCTION("""COMPUTED_VALUE"""),"A.01.000586")</f>
        <v>A.01.000586</v>
      </c>
    </row>
    <row r="1237" spans="1:2" ht="12.5" x14ac:dyDescent="0.25">
      <c r="A1237" t="str">
        <f ca="1">IFERROR(__xludf.DUMMYFUNCTION("""COMPUTED_VALUE"""),"Goteborg cervelat")</f>
        <v>Goteborg cervelat</v>
      </c>
      <c r="B1237" t="str">
        <f ca="1">IFERROR(__xludf.DUMMYFUNCTION("""COMPUTED_VALUE"""),"A.01.000838")</f>
        <v>A.01.000838</v>
      </c>
    </row>
    <row r="1238" spans="1:2" ht="12.5" x14ac:dyDescent="0.25">
      <c r="A1238" t="str">
        <f ca="1">IFERROR(__xludf.DUMMYFUNCTION("""COMPUTED_VALUE"""),"Gothaer, cervelat")</f>
        <v>Gothaer, cervelat</v>
      </c>
      <c r="B1238" t="str">
        <f ca="1">IFERROR(__xludf.DUMMYFUNCTION("""COMPUTED_VALUE"""),"A.01.000835")</f>
        <v>A.01.000835</v>
      </c>
    </row>
    <row r="1239" spans="1:2" ht="12.5" x14ac:dyDescent="0.25">
      <c r="A1239" t="str">
        <f ca="1">IFERROR(__xludf.DUMMYFUNCTION("""COMPUTED_VALUE"""),"Gougere")</f>
        <v>Gougere</v>
      </c>
      <c r="B1239" t="str">
        <f ca="1">IFERROR(__xludf.DUMMYFUNCTION("""COMPUTED_VALUE"""),"A.01.000278")</f>
        <v>A.01.000278</v>
      </c>
    </row>
    <row r="1240" spans="1:2" ht="12.5" x14ac:dyDescent="0.25">
      <c r="A1240" t="str">
        <f ca="1">IFERROR(__xludf.DUMMYFUNCTION("""COMPUTED_VALUE"""),"Goulash")</f>
        <v>Goulash</v>
      </c>
      <c r="B1240" t="str">
        <f ca="1">IFERROR(__xludf.DUMMYFUNCTION("""COMPUTED_VALUE"""),"A.01.001832")</f>
        <v>A.01.001832</v>
      </c>
    </row>
    <row r="1241" spans="1:2" ht="12.5" x14ac:dyDescent="0.25">
      <c r="A1241" t="str">
        <f ca="1">IFERROR(__xludf.DUMMYFUNCTION("""COMPUTED_VALUE"""),"Graham flour")</f>
        <v>Graham flour</v>
      </c>
      <c r="B1241" t="str">
        <f ca="1">IFERROR(__xludf.DUMMYFUNCTION("""COMPUTED_VALUE"""),"A.01.000049")</f>
        <v>A.01.000049</v>
      </c>
    </row>
    <row r="1242" spans="1:2" ht="12.5" x14ac:dyDescent="0.25">
      <c r="A1242" t="str">
        <f ca="1">IFERROR(__xludf.DUMMYFUNCTION("""COMPUTED_VALUE"""),"Grain flour")</f>
        <v>Grain flour</v>
      </c>
      <c r="B1242" t="str">
        <f ca="1">IFERROR(__xludf.DUMMYFUNCTION("""COMPUTED_VALUE"""),"G.1.12.2")</f>
        <v>G.1.12.2</v>
      </c>
    </row>
    <row r="1243" spans="1:2" ht="12.5" x14ac:dyDescent="0.25">
      <c r="A1243" t="str">
        <f ca="1">IFERROR(__xludf.DUMMYFUNCTION("""COMPUTED_VALUE"""),"Grain germ")</f>
        <v>Grain germ</v>
      </c>
      <c r="B1243" t="str">
        <f ca="1">IFERROR(__xludf.DUMMYFUNCTION("""COMPUTED_VALUE"""),"G.1.12.5")</f>
        <v>G.1.12.5</v>
      </c>
    </row>
    <row r="1244" spans="1:2" ht="12.5" x14ac:dyDescent="0.25">
      <c r="A1244" t="str">
        <f ca="1">IFERROR(__xludf.DUMMYFUNCTION("""COMPUTED_VALUE"""),"Grain milling products")</f>
        <v>Grain milling products</v>
      </c>
      <c r="B1244" t="str">
        <f ca="1">IFERROR(__xludf.DUMMYFUNCTION("""COMPUTED_VALUE"""),"A.01.000043")</f>
        <v>A.01.000043</v>
      </c>
    </row>
    <row r="1245" spans="1:2" ht="12.5" x14ac:dyDescent="0.25">
      <c r="A1245" t="str">
        <f ca="1">IFERROR(__xludf.DUMMYFUNCTION("""COMPUTED_VALUE"""),"Grain protein concentrate")</f>
        <v>Grain protein concentrate</v>
      </c>
      <c r="B1245" t="str">
        <f ca="1">IFERROR(__xludf.DUMMYFUNCTION("""COMPUTED_VALUE"""),"G.1.12.3")</f>
        <v>G.1.12.3</v>
      </c>
    </row>
    <row r="1246" spans="1:2" ht="12.5" x14ac:dyDescent="0.25">
      <c r="A1246" t="str">
        <f ca="1">IFERROR(__xludf.DUMMYFUNCTION("""COMPUTED_VALUE"""),"Grain soup")</f>
        <v>Grain soup</v>
      </c>
      <c r="B1246" t="str">
        <f ca="1">IFERROR(__xludf.DUMMYFUNCTION("""COMPUTED_VALUE"""),"A.01.001858")</f>
        <v>A.01.001858</v>
      </c>
    </row>
    <row r="1247" spans="1:2" ht="12.5" x14ac:dyDescent="0.25">
      <c r="A1247" t="str">
        <f ca="1">IFERROR(__xludf.DUMMYFUNCTION("""COMPUTED_VALUE"""),"Grain spent wash syrup")</f>
        <v>Grain spent wash syrup</v>
      </c>
      <c r="B1247" t="str">
        <f ca="1">IFERROR(__xludf.DUMMYFUNCTION("""COMPUTED_VALUE"""),"G.1.12.6")</f>
        <v>G.1.12.6</v>
      </c>
    </row>
    <row r="1248" spans="1:2" ht="12.5" x14ac:dyDescent="0.25">
      <c r="A1248" t="str">
        <f ca="1">IFERROR(__xludf.DUMMYFUNCTION("""COMPUTED_VALUE"""),"Grains and grain-based products")</f>
        <v>Grains and grain-based products</v>
      </c>
      <c r="B1248" t="str">
        <f ca="1">IFERROR(__xludf.DUMMYFUNCTION("""COMPUTED_VALUE"""),"A.01.000001")</f>
        <v>A.01.000001</v>
      </c>
    </row>
    <row r="1249" spans="1:2" ht="12.5" x14ac:dyDescent="0.25">
      <c r="A1249" t="str">
        <f ca="1">IFERROR(__xludf.DUMMYFUNCTION("""COMPUTED_VALUE"""),"Grains as crops")</f>
        <v>Grains as crops</v>
      </c>
      <c r="B1249" t="str">
        <f ca="1">IFERROR(__xludf.DUMMYFUNCTION("""COMPUTED_VALUE"""),"A.01.000002")</f>
        <v>A.01.000002</v>
      </c>
    </row>
    <row r="1250" spans="1:2" ht="12.5" x14ac:dyDescent="0.25">
      <c r="A1250" t="str">
        <f ca="1">IFERROR(__xludf.DUMMYFUNCTION("""COMPUTED_VALUE"""),"Grains for human consumption")</f>
        <v>Grains for human consumption</v>
      </c>
      <c r="B1250" t="str">
        <f ca="1">IFERROR(__xludf.DUMMYFUNCTION("""COMPUTED_VALUE"""),"A.01.000013")</f>
        <v>A.01.000013</v>
      </c>
    </row>
    <row r="1251" spans="1:2" ht="12.5" x14ac:dyDescent="0.25">
      <c r="A1251" t="str">
        <f ca="1">IFERROR(__xludf.DUMMYFUNCTION("""COMPUTED_VALUE"""),"Graminaceous seeds")</f>
        <v>Graminaceous seeds</v>
      </c>
      <c r="B1251" t="str">
        <f ca="1">IFERROR(__xludf.DUMMYFUNCTION("""COMPUTED_VALUE"""),"G.5.24")</f>
        <v>G.5.24</v>
      </c>
    </row>
    <row r="1252" spans="1:2" ht="12.5" x14ac:dyDescent="0.25">
      <c r="A1252" t="str">
        <f ca="1">IFERROR(__xludf.DUMMYFUNCTION("""COMPUTED_VALUE"""),"Granita")</f>
        <v>Granita</v>
      </c>
      <c r="B1252" t="str">
        <f ca="1">IFERROR(__xludf.DUMMYFUNCTION("""COMPUTED_VALUE"""),"A.01.001895")</f>
        <v>A.01.001895</v>
      </c>
    </row>
    <row r="1253" spans="1:2" ht="12.5" x14ac:dyDescent="0.25">
      <c r="A1253" t="str">
        <f ca="1">IFERROR(__xludf.DUMMYFUNCTION("""COMPUTED_VALUE"""),"Grape pips")</f>
        <v>Grape pips</v>
      </c>
      <c r="B1253" t="str">
        <f ca="1">IFERROR(__xludf.DUMMYFUNCTION("""COMPUTED_VALUE"""),"F05.07")</f>
        <v>F05.07</v>
      </c>
    </row>
    <row r="1254" spans="1:2" ht="12.5" x14ac:dyDescent="0.25">
      <c r="A1254" t="str">
        <f ca="1">IFERROR(__xludf.DUMMYFUNCTION("""COMPUTED_VALUE"""),"Grape pips")</f>
        <v>Grape pips</v>
      </c>
      <c r="B1254" t="str">
        <f ca="1">IFERROR(__xludf.DUMMYFUNCTION("""COMPUTED_VALUE"""),"G.5.25")</f>
        <v>G.5.25</v>
      </c>
    </row>
    <row r="1255" spans="1:2" ht="12.5" x14ac:dyDescent="0.25">
      <c r="A1255" t="str">
        <f ca="1">IFERROR(__xludf.DUMMYFUNCTION("""COMPUTED_VALUE"""),"Grape pips meal")</f>
        <v>Grape pips meal</v>
      </c>
      <c r="B1255" t="str">
        <f ca="1">IFERROR(__xludf.DUMMYFUNCTION("""COMPUTED_VALUE"""),"G.5.25.2")</f>
        <v>G.5.25.2</v>
      </c>
    </row>
    <row r="1256" spans="1:2" ht="12.5" x14ac:dyDescent="0.25">
      <c r="A1256" t="str">
        <f ca="1">IFERROR(__xludf.DUMMYFUNCTION("""COMPUTED_VALUE"""),"Grape pips, extracted")</f>
        <v>Grape pips, extracted</v>
      </c>
      <c r="B1256" t="str">
        <f ca="1">IFERROR(__xludf.DUMMYFUNCTION("""COMPUTED_VALUE"""),"F05.05")</f>
        <v>F05.05</v>
      </c>
    </row>
    <row r="1257" spans="1:2" ht="12.5" x14ac:dyDescent="0.25">
      <c r="A1257" t="str">
        <f ca="1">IFERROR(__xludf.DUMMYFUNCTION("""COMPUTED_VALUE"""),"Grape pulp")</f>
        <v>Grape pulp</v>
      </c>
      <c r="B1257" t="str">
        <f ca="1">IFERROR(__xludf.DUMMYFUNCTION("""COMPUTED_VALUE"""),"F05.06")</f>
        <v>F05.06</v>
      </c>
    </row>
    <row r="1258" spans="1:2" ht="12.5" x14ac:dyDescent="0.25">
      <c r="A1258" t="str">
        <f ca="1">IFERROR(__xludf.DUMMYFUNCTION("""COMPUTED_VALUE"""),"Grape pulp [Grape marc]")</f>
        <v>Grape pulp [Grape marc]</v>
      </c>
      <c r="B1258" t="str">
        <f ca="1">IFERROR(__xludf.DUMMYFUNCTION("""COMPUTED_VALUE"""),"G.5.25.3")</f>
        <v>G.5.25.3</v>
      </c>
    </row>
    <row r="1259" spans="1:2" ht="12.5" x14ac:dyDescent="0.25">
      <c r="A1259" t="str">
        <f ca="1">IFERROR(__xludf.DUMMYFUNCTION("""COMPUTED_VALUE"""),"Grape seed oil")</f>
        <v>Grape seed oil</v>
      </c>
      <c r="B1259" t="str">
        <f ca="1">IFERROR(__xludf.DUMMYFUNCTION("""COMPUTED_VALUE"""),"A.01.001372")</f>
        <v>A.01.001372</v>
      </c>
    </row>
    <row r="1260" spans="1:2" ht="12.5" x14ac:dyDescent="0.25">
      <c r="A1260" t="str">
        <f ca="1">IFERROR(__xludf.DUMMYFUNCTION("""COMPUTED_VALUE"""),"Grapefruit (Citrus paradisi)")</f>
        <v>Grapefruit (Citrus paradisi)</v>
      </c>
      <c r="B1260" t="str">
        <f ca="1">IFERROR(__xludf.DUMMYFUNCTION("""COMPUTED_VALUE"""),"A.01.000546")</f>
        <v>A.01.000546</v>
      </c>
    </row>
    <row r="1261" spans="1:2" ht="12.5" x14ac:dyDescent="0.25">
      <c r="A1261" t="str">
        <f ca="1">IFERROR(__xludf.DUMMYFUNCTION("""COMPUTED_VALUE"""),"Grass meal")</f>
        <v>Grass meal</v>
      </c>
      <c r="B1261" t="str">
        <f ca="1">IFERROR(__xludf.DUMMYFUNCTION("""COMPUTED_VALUE"""),"F06.05")</f>
        <v>F06.05</v>
      </c>
    </row>
    <row r="1262" spans="1:2" ht="12.5" x14ac:dyDescent="0.25">
      <c r="A1262" t="str">
        <f ca="1">IFERROR(__xludf.DUMMYFUNCTION("""COMPUTED_VALUE"""),"Grass, field dried, [Hay]")</f>
        <v>Grass, field dried, [Hay]</v>
      </c>
      <c r="B1262" t="str">
        <f ca="1">IFERROR(__xludf.DUMMYFUNCTION("""COMPUTED_VALUE"""),"G.6.6")</f>
        <v>G.6.6</v>
      </c>
    </row>
    <row r="1263" spans="1:2" ht="12.5" x14ac:dyDescent="0.25">
      <c r="A1263" t="str">
        <f ca="1">IFERROR(__xludf.DUMMYFUNCTION("""COMPUTED_VALUE"""),"Grass, herbs, legume plants, [green forage]")</f>
        <v>Grass, herbs, legume plants, [green forage]</v>
      </c>
      <c r="B1263" t="str">
        <f ca="1">IFERROR(__xludf.DUMMYFUNCTION("""COMPUTED_VALUE"""),"G.6.6.3")</f>
        <v>G.6.6.3</v>
      </c>
    </row>
    <row r="1264" spans="1:2" ht="12.5" x14ac:dyDescent="0.25">
      <c r="A1264" t="str">
        <f ca="1">IFERROR(__xludf.DUMMYFUNCTION("""COMPUTED_VALUE"""),"Grass, high temperature dried")</f>
        <v>Grass, high temperature dried</v>
      </c>
      <c r="B1264" t="str">
        <f ca="1">IFERROR(__xludf.DUMMYFUNCTION("""COMPUTED_VALUE"""),"G.6.6.2")</f>
        <v>G.6.6.2</v>
      </c>
    </row>
    <row r="1265" spans="1:2" ht="12.5" x14ac:dyDescent="0.25">
      <c r="A1265" t="str">
        <f ca="1">IFERROR(__xludf.DUMMYFUNCTION("""COMPUTED_VALUE"""),"Gravy browning")</f>
        <v>Gravy browning</v>
      </c>
      <c r="B1265" t="str">
        <f ca="1">IFERROR(__xludf.DUMMYFUNCTION("""COMPUTED_VALUE"""),"A.01.001642")</f>
        <v>A.01.001642</v>
      </c>
    </row>
    <row r="1266" spans="1:2" ht="12.5" x14ac:dyDescent="0.25">
      <c r="A1266" t="str">
        <f ca="1">IFERROR(__xludf.DUMMYFUNCTION("""COMPUTED_VALUE"""),"Gravy instant granules")</f>
        <v>Gravy instant granules</v>
      </c>
      <c r="B1266" t="str">
        <f ca="1">IFERROR(__xludf.DUMMYFUNCTION("""COMPUTED_VALUE"""),"A.01.001643")</f>
        <v>A.01.001643</v>
      </c>
    </row>
    <row r="1267" spans="1:2" ht="12.5" x14ac:dyDescent="0.25">
      <c r="A1267" t="str">
        <f ca="1">IFERROR(__xludf.DUMMYFUNCTION("""COMPUTED_VALUE"""),"Gravy thickener")</f>
        <v>Gravy thickener</v>
      </c>
      <c r="B1267" t="str">
        <f ca="1">IFERROR(__xludf.DUMMYFUNCTION("""COMPUTED_VALUE"""),"A.01.001641")</f>
        <v>A.01.001641</v>
      </c>
    </row>
    <row r="1268" spans="1:2" ht="12.5" x14ac:dyDescent="0.25">
      <c r="A1268" t="str">
        <f ca="1">IFERROR(__xludf.DUMMYFUNCTION("""COMPUTED_VALUE"""),"Greaves")</f>
        <v>Greaves</v>
      </c>
      <c r="B1268" t="str">
        <f ca="1">IFERROR(__xludf.DUMMYFUNCTION("""COMPUTED_VALUE"""),"F09.04")</f>
        <v>F09.04</v>
      </c>
    </row>
    <row r="1269" spans="1:2" ht="12.5" x14ac:dyDescent="0.25">
      <c r="A1269" t="str">
        <f ca="1">IFERROR(__xludf.DUMMYFUNCTION("""COMPUTED_VALUE"""),"Greaves")</f>
        <v>Greaves</v>
      </c>
      <c r="B1269" t="str">
        <f ca="1">IFERROR(__xludf.DUMMYFUNCTION("""COMPUTED_VALUE"""),"G.9.13")</f>
        <v>G.9.13</v>
      </c>
    </row>
    <row r="1270" spans="1:2" ht="12.5" x14ac:dyDescent="0.25">
      <c r="A1270" t="str">
        <f ca="1">IFERROR(__xludf.DUMMYFUNCTION("""COMPUTED_VALUE"""),"Green tee, infusion")</f>
        <v>Green tee, infusion</v>
      </c>
      <c r="B1270" t="str">
        <f ca="1">IFERROR(__xludf.DUMMYFUNCTION("""COMPUTED_VALUE"""),"A.01.001517")</f>
        <v>A.01.001517</v>
      </c>
    </row>
    <row r="1271" spans="1:2" ht="12.5" x14ac:dyDescent="0.25">
      <c r="A1271" t="str">
        <f ca="1">IFERROR(__xludf.DUMMYFUNCTION("""COMPUTED_VALUE"""),"Greengage (Prunus domestica var italica)")</f>
        <v>Greengage (Prunus domestica var italica)</v>
      </c>
      <c r="B1271" t="str">
        <f ca="1">IFERROR(__xludf.DUMMYFUNCTION("""COMPUTED_VALUE"""),"A.01.000567")</f>
        <v>A.01.000567</v>
      </c>
    </row>
    <row r="1272" spans="1:2" ht="12.5" x14ac:dyDescent="0.25">
      <c r="A1272" t="str">
        <f ca="1">IFERROR(__xludf.DUMMYFUNCTION("""COMPUTED_VALUE"""),"Grey mullet (Mugil)")</f>
        <v>Grey mullet (Mugil)</v>
      </c>
      <c r="B1272" t="str">
        <f ca="1">IFERROR(__xludf.DUMMYFUNCTION("""COMPUTED_VALUE"""),"A.01.000893")</f>
        <v>A.01.000893</v>
      </c>
    </row>
    <row r="1273" spans="1:2" ht="12.5" x14ac:dyDescent="0.25">
      <c r="A1273" t="str">
        <f ca="1">IFERROR(__xludf.DUMMYFUNCTION("""COMPUTED_VALUE"""),"Grits")</f>
        <v>Grits</v>
      </c>
      <c r="B1273" t="str">
        <f ca="1">IFERROR(__xludf.DUMMYFUNCTION("""COMPUTED_VALUE"""),"A.01.000240")</f>
        <v>A.01.000240</v>
      </c>
    </row>
    <row r="1274" spans="1:2" ht="12.5" x14ac:dyDescent="0.25">
      <c r="A1274" t="str">
        <f ca="1">IFERROR(__xludf.DUMMYFUNCTION("""COMPUTED_VALUE"""),"Ground fodder rice")</f>
        <v>Ground fodder rice</v>
      </c>
      <c r="B1274" t="str">
        <f ca="1">IFERROR(__xludf.DUMMYFUNCTION("""COMPUTED_VALUE"""),"F01.13")</f>
        <v>F01.13</v>
      </c>
    </row>
    <row r="1275" spans="1:2" ht="12.5" x14ac:dyDescent="0.25">
      <c r="A1275" t="str">
        <f ca="1">IFERROR(__xludf.DUMMYFUNCTION("""COMPUTED_VALUE"""),"Ground fodder rice")</f>
        <v>Ground fodder rice</v>
      </c>
      <c r="B1275" t="str">
        <f ca="1">IFERROR(__xludf.DUMMYFUNCTION("""COMPUTED_VALUE"""),"G.1.6.7")</f>
        <v>G.1.6.7</v>
      </c>
    </row>
    <row r="1276" spans="1:2" ht="12.5" x14ac:dyDescent="0.25">
      <c r="A1276" t="str">
        <f ca="1">IFERROR(__xludf.DUMMYFUNCTION("""COMPUTED_VALUE"""),"Groundnut expeller, decorticated")</f>
        <v>Groundnut expeller, decorticated</v>
      </c>
      <c r="B1276" t="str">
        <f ca="1">IFERROR(__xludf.DUMMYFUNCTION("""COMPUTED_VALUE"""),"G.2.6.3")</f>
        <v>G.2.6.3</v>
      </c>
    </row>
    <row r="1277" spans="1:2" ht="12.5" x14ac:dyDescent="0.25">
      <c r="A1277" t="str">
        <f ca="1">IFERROR(__xludf.DUMMYFUNCTION("""COMPUTED_VALUE"""),"Groundnut expeller, partially decorticated")</f>
        <v>Groundnut expeller, partially decorticated</v>
      </c>
      <c r="B1277" t="str">
        <f ca="1">IFERROR(__xludf.DUMMYFUNCTION("""COMPUTED_VALUE"""),"G.2.6")</f>
        <v>G.2.6</v>
      </c>
    </row>
    <row r="1278" spans="1:2" ht="12.5" x14ac:dyDescent="0.25">
      <c r="A1278" t="str">
        <f ca="1">IFERROR(__xludf.DUMMYFUNCTION("""COMPUTED_VALUE"""),"Groundnut meal, decorticated")</f>
        <v>Groundnut meal, decorticated</v>
      </c>
      <c r="B1278" t="str">
        <f ca="1">IFERROR(__xludf.DUMMYFUNCTION("""COMPUTED_VALUE"""),"G.2.6.4")</f>
        <v>G.2.6.4</v>
      </c>
    </row>
    <row r="1279" spans="1:2" ht="12.5" x14ac:dyDescent="0.25">
      <c r="A1279" t="str">
        <f ca="1">IFERROR(__xludf.DUMMYFUNCTION("""COMPUTED_VALUE"""),"Groundnut meal, partially decorticated")</f>
        <v>Groundnut meal, partially decorticated</v>
      </c>
      <c r="B1279" t="str">
        <f ca="1">IFERROR(__xludf.DUMMYFUNCTION("""COMPUTED_VALUE"""),"G.2.6.2")</f>
        <v>G.2.6.2</v>
      </c>
    </row>
    <row r="1280" spans="1:2" ht="12.5" x14ac:dyDescent="0.25">
      <c r="A1280" t="str">
        <f ca="1">IFERROR(__xludf.DUMMYFUNCTION("""COMPUTED_VALUE"""),"Groundnut, decorticated, expeller")</f>
        <v>Groundnut, decorticated, expeller</v>
      </c>
      <c r="B1280" t="str">
        <f ca="1">IFERROR(__xludf.DUMMYFUNCTION("""COMPUTED_VALUE"""),"F02.03")</f>
        <v>F02.03</v>
      </c>
    </row>
    <row r="1281" spans="1:2" ht="12.5" x14ac:dyDescent="0.25">
      <c r="A1281" t="str">
        <f ca="1">IFERROR(__xludf.DUMMYFUNCTION("""COMPUTED_VALUE"""),"Groundnut, decorticated, extracted")</f>
        <v>Groundnut, decorticated, extracted</v>
      </c>
      <c r="B1281" t="str">
        <f ca="1">IFERROR(__xludf.DUMMYFUNCTION("""COMPUTED_VALUE"""),"F02.04")</f>
        <v>F02.04</v>
      </c>
    </row>
    <row r="1282" spans="1:2" ht="12.5" x14ac:dyDescent="0.25">
      <c r="A1282" t="str">
        <f ca="1">IFERROR(__xludf.DUMMYFUNCTION("""COMPUTED_VALUE"""),"Groundnut, partially decorticated, expeller")</f>
        <v>Groundnut, partially decorticated, expeller</v>
      </c>
      <c r="B1282" t="str">
        <f ca="1">IFERROR(__xludf.DUMMYFUNCTION("""COMPUTED_VALUE"""),"F02.01")</f>
        <v>F02.01</v>
      </c>
    </row>
    <row r="1283" spans="1:2" ht="12.5" x14ac:dyDescent="0.25">
      <c r="A1283" t="str">
        <f ca="1">IFERROR(__xludf.DUMMYFUNCTION("""COMPUTED_VALUE"""),"Groundnut, partially decorticated, extracted")</f>
        <v>Groundnut, partially decorticated, extracted</v>
      </c>
      <c r="B1283" t="str">
        <f ca="1">IFERROR(__xludf.DUMMYFUNCTION("""COMPUTED_VALUE"""),"F02.02")</f>
        <v>F02.02</v>
      </c>
    </row>
    <row r="1284" spans="1:2" ht="12.5" x14ac:dyDescent="0.25">
      <c r="A1284" t="str">
        <f ca="1">IFERROR(__xludf.DUMMYFUNCTION("""COMPUTED_VALUE"""),"Grouse meat (Lagopus scroticus)")</f>
        <v>Grouse meat (Lagopus scroticus)</v>
      </c>
      <c r="B1284" t="str">
        <f ca="1">IFERROR(__xludf.DUMMYFUNCTION("""COMPUTED_VALUE"""),"A.01.000758")</f>
        <v>A.01.000758</v>
      </c>
    </row>
    <row r="1285" spans="1:2" ht="12.5" x14ac:dyDescent="0.25">
      <c r="A1285" t="str">
        <f ca="1">IFERROR(__xludf.DUMMYFUNCTION("""COMPUTED_VALUE"""),"Growing/Fattening pigs / Complementary feed")</f>
        <v>Growing/Fattening pigs / Complementary feed</v>
      </c>
      <c r="B1285" t="str">
        <f ca="1">IFERROR(__xludf.DUMMYFUNCTION("""COMPUTED_VALUE"""),"G.14.2.6")</f>
        <v>G.14.2.6</v>
      </c>
    </row>
    <row r="1286" spans="1:2" ht="12.5" x14ac:dyDescent="0.25">
      <c r="A1286" t="str">
        <f ca="1">IFERROR(__xludf.DUMMYFUNCTION("""COMPUTED_VALUE"""),"Growing/Fattening pigs / Complete feed")</f>
        <v>Growing/Fattening pigs / Complete feed</v>
      </c>
      <c r="B1286" t="str">
        <f ca="1">IFERROR(__xludf.DUMMYFUNCTION("""COMPUTED_VALUE"""),"G.14.1.6")</f>
        <v>G.14.1.6</v>
      </c>
    </row>
    <row r="1287" spans="1:2" ht="12.5" x14ac:dyDescent="0.25">
      <c r="A1287" t="str">
        <f ca="1">IFERROR(__xludf.DUMMYFUNCTION("""COMPUTED_VALUE"""),"Guar germs meal")</f>
        <v>Guar germs meal</v>
      </c>
      <c r="B1287" t="str">
        <f ca="1">IFERROR(__xludf.DUMMYFUNCTION("""COMPUTED_VALUE"""),"G.3.6.2")</f>
        <v>G.3.6.2</v>
      </c>
    </row>
    <row r="1288" spans="1:2" ht="12.5" x14ac:dyDescent="0.25">
      <c r="A1288" t="str">
        <f ca="1">IFERROR(__xludf.DUMMYFUNCTION("""COMPUTED_VALUE"""),"Guar meal")</f>
        <v>Guar meal</v>
      </c>
      <c r="B1288" t="str">
        <f ca="1">IFERROR(__xludf.DUMMYFUNCTION("""COMPUTED_VALUE"""),"G.3.6")</f>
        <v>G.3.6</v>
      </c>
    </row>
    <row r="1289" spans="1:2" ht="12.5" x14ac:dyDescent="0.25">
      <c r="A1289" t="str">
        <f ca="1">IFERROR(__xludf.DUMMYFUNCTION("""COMPUTED_VALUE"""),"Guar meal, extracted")</f>
        <v>Guar meal, extracted</v>
      </c>
      <c r="B1289" t="str">
        <f ca="1">IFERROR(__xludf.DUMMYFUNCTION("""COMPUTED_VALUE"""),"F03.02")</f>
        <v>F03.02</v>
      </c>
    </row>
    <row r="1290" spans="1:2" ht="12.5" x14ac:dyDescent="0.25">
      <c r="A1290" t="str">
        <f ca="1">IFERROR(__xludf.DUMMYFUNCTION("""COMPUTED_VALUE"""),"Guava (Psidium guajava)")</f>
        <v>Guava (Psidium guajava)</v>
      </c>
      <c r="B1290" t="str">
        <f ca="1">IFERROR(__xludf.DUMMYFUNCTION("""COMPUTED_VALUE"""),"A.01.000631")</f>
        <v>A.01.000631</v>
      </c>
    </row>
    <row r="1291" spans="1:2" ht="12.5" x14ac:dyDescent="0.25">
      <c r="A1291" t="str">
        <f ca="1">IFERROR(__xludf.DUMMYFUNCTION("""COMPUTED_VALUE"""),"Guinea fowl meat (Numida meleagris)")</f>
        <v>Guinea fowl meat (Numida meleagris)</v>
      </c>
      <c r="B1291" t="str">
        <f ca="1">IFERROR(__xludf.DUMMYFUNCTION("""COMPUTED_VALUE"""),"A.01.000742")</f>
        <v>A.01.000742</v>
      </c>
    </row>
    <row r="1292" spans="1:2" ht="12.5" x14ac:dyDescent="0.25">
      <c r="A1292" t="str">
        <f ca="1">IFERROR(__xludf.DUMMYFUNCTION("""COMPUTED_VALUE"""),"Gum")</f>
        <v>Gum</v>
      </c>
      <c r="B1292" t="str">
        <f ca="1">IFERROR(__xludf.DUMMYFUNCTION("""COMPUTED_VALUE"""),"A.01.001711")</f>
        <v>A.01.001711</v>
      </c>
    </row>
    <row r="1293" spans="1:2" ht="12.5" x14ac:dyDescent="0.25">
      <c r="A1293" t="str">
        <f ca="1">IFERROR(__xludf.DUMMYFUNCTION("""COMPUTED_VALUE"""),"Gum drops")</f>
        <v>Gum drops</v>
      </c>
      <c r="B1293" t="str">
        <f ca="1">IFERROR(__xludf.DUMMYFUNCTION("""COMPUTED_VALUE"""),"A.01.001322")</f>
        <v>A.01.001322</v>
      </c>
    </row>
    <row r="1294" spans="1:2" ht="12.5" x14ac:dyDescent="0.25">
      <c r="A1294" t="str">
        <f ca="1">IFERROR(__xludf.DUMMYFUNCTION("""COMPUTED_VALUE"""),"Gypsy mushroom (Cortinarius caperatus)")</f>
        <v>Gypsy mushroom (Cortinarius caperatus)</v>
      </c>
      <c r="B1294" t="str">
        <f ca="1">IFERROR(__xludf.DUMMYFUNCTION("""COMPUTED_VALUE"""),"A.01.000466")</f>
        <v>A.01.000466</v>
      </c>
    </row>
    <row r="1295" spans="1:2" ht="12.5" x14ac:dyDescent="0.25">
      <c r="A1295" t="str">
        <f ca="1">IFERROR(__xludf.DUMMYFUNCTION("""COMPUTED_VALUE"""),"Hake (Merluccius)")</f>
        <v>Hake (Merluccius)</v>
      </c>
      <c r="B1295" t="str">
        <f ca="1">IFERROR(__xludf.DUMMYFUNCTION("""COMPUTED_VALUE"""),"A.01.000895")</f>
        <v>A.01.000895</v>
      </c>
    </row>
    <row r="1296" spans="1:2" ht="12.5" x14ac:dyDescent="0.25">
      <c r="A1296" t="str">
        <f ca="1">IFERROR(__xludf.DUMMYFUNCTION("""COMPUTED_VALUE"""),"Halibut (Hippoglossus spp.)")</f>
        <v>Halibut (Hippoglossus spp.)</v>
      </c>
      <c r="B1296" t="str">
        <f ca="1">IFERROR(__xludf.DUMMYFUNCTION("""COMPUTED_VALUE"""),"A.01.000897")</f>
        <v>A.01.000897</v>
      </c>
    </row>
    <row r="1297" spans="1:2" ht="12.5" x14ac:dyDescent="0.25">
      <c r="A1297" t="str">
        <f ca="1">IFERROR(__xludf.DUMMYFUNCTION("""COMPUTED_VALUE"""),"Halva")</f>
        <v>Halva</v>
      </c>
      <c r="B1297" t="str">
        <f ca="1">IFERROR(__xludf.DUMMYFUNCTION("""COMPUTED_VALUE"""),"A.01.001325")</f>
        <v>A.01.001325</v>
      </c>
    </row>
    <row r="1298" spans="1:2" ht="12.5" x14ac:dyDescent="0.25">
      <c r="A1298" t="str">
        <f ca="1">IFERROR(__xludf.DUMMYFUNCTION("""COMPUTED_VALUE"""),"Ham and cheese loaf")</f>
        <v>Ham and cheese loaf</v>
      </c>
      <c r="B1298" t="str">
        <f ca="1">IFERROR(__xludf.DUMMYFUNCTION("""COMPUTED_VALUE"""),"A.01.000861")</f>
        <v>A.01.000861</v>
      </c>
    </row>
    <row r="1299" spans="1:2" ht="12.5" x14ac:dyDescent="0.25">
      <c r="A1299" t="str">
        <f ca="1">IFERROR(__xludf.DUMMYFUNCTION("""COMPUTED_VALUE"""),"Ham, beef")</f>
        <v>Ham, beef</v>
      </c>
      <c r="B1299" t="str">
        <f ca="1">IFERROR(__xludf.DUMMYFUNCTION("""COMPUTED_VALUE"""),"A.01.000797")</f>
        <v>A.01.000797</v>
      </c>
    </row>
    <row r="1300" spans="1:2" ht="12.5" x14ac:dyDescent="0.25">
      <c r="A1300" t="str">
        <f ca="1">IFERROR(__xludf.DUMMYFUNCTION("""COMPUTED_VALUE"""),"Ham, pork")</f>
        <v>Ham, pork</v>
      </c>
      <c r="B1300" t="str">
        <f ca="1">IFERROR(__xludf.DUMMYFUNCTION("""COMPUTED_VALUE"""),"A.01.000796")</f>
        <v>A.01.000796</v>
      </c>
    </row>
    <row r="1301" spans="1:2" ht="12.5" x14ac:dyDescent="0.25">
      <c r="A1301" t="str">
        <f ca="1">IFERROR(__xludf.DUMMYFUNCTION("""COMPUTED_VALUE"""),"Ham, turkey")</f>
        <v>Ham, turkey</v>
      </c>
      <c r="B1301" t="str">
        <f ca="1">IFERROR(__xludf.DUMMYFUNCTION("""COMPUTED_VALUE"""),"A.01.000801")</f>
        <v>A.01.000801</v>
      </c>
    </row>
    <row r="1302" spans="1:2" ht="12.5" x14ac:dyDescent="0.25">
      <c r="A1302" t="str">
        <f ca="1">IFERROR(__xludf.DUMMYFUNCTION("""COMPUTED_VALUE"""),"Hare meat (Lepus europaeus)")</f>
        <v>Hare meat (Lepus europaeus)</v>
      </c>
      <c r="B1302" t="str">
        <f ca="1">IFERROR(__xludf.DUMMYFUNCTION("""COMPUTED_VALUE"""),"A.01.000750")</f>
        <v>A.01.000750</v>
      </c>
    </row>
    <row r="1303" spans="1:2" ht="12.5" x14ac:dyDescent="0.25">
      <c r="A1303" t="str">
        <f ca="1">IFERROR(__xludf.DUMMYFUNCTION("""COMPUTED_VALUE"""),"Hawthorn (Crataegus and Rhaphiolepis)")</f>
        <v>Hawthorn (Crataegus and Rhaphiolepis)</v>
      </c>
      <c r="B1303" t="str">
        <f ca="1">IFERROR(__xludf.DUMMYFUNCTION("""COMPUTED_VALUE"""),"A.01.000558")</f>
        <v>A.01.000558</v>
      </c>
    </row>
    <row r="1304" spans="1:2" ht="12.5" x14ac:dyDescent="0.25">
      <c r="A1304" t="str">
        <f ca="1">IFERROR(__xludf.DUMMYFUNCTION("""COMPUTED_VALUE"""),"Hazelnut")</f>
        <v>Hazelnut</v>
      </c>
      <c r="B1304" t="str">
        <f ca="1">IFERROR(__xludf.DUMMYFUNCTION("""COMPUTED_VALUE"""),"G.5.26")</f>
        <v>G.5.26</v>
      </c>
    </row>
    <row r="1305" spans="1:2" ht="12.5" x14ac:dyDescent="0.25">
      <c r="A1305" t="str">
        <f ca="1">IFERROR(__xludf.DUMMYFUNCTION("""COMPUTED_VALUE"""),"Hazelnuts (Corylus avellana)")</f>
        <v>Hazelnuts (Corylus avellana)</v>
      </c>
      <c r="B1305" t="str">
        <f ca="1">IFERROR(__xludf.DUMMYFUNCTION("""COMPUTED_VALUE"""),"A.01.000520")</f>
        <v>A.01.000520</v>
      </c>
    </row>
    <row r="1306" spans="1:2" ht="12.5" x14ac:dyDescent="0.25">
      <c r="A1306" t="str">
        <f ca="1">IFERROR(__xludf.DUMMYFUNCTION("""COMPUTED_VALUE"""),"Head cabbage (Brassica oleracea convar. capitata)")</f>
        <v>Head cabbage (Brassica oleracea convar. capitata)</v>
      </c>
      <c r="B1306" t="str">
        <f ca="1">IFERROR(__xludf.DUMMYFUNCTION("""COMPUTED_VALUE"""),"A.01.000354")</f>
        <v>A.01.000354</v>
      </c>
    </row>
    <row r="1307" spans="1:2" ht="12.5" x14ac:dyDescent="0.25">
      <c r="A1307" t="str">
        <f ca="1">IFERROR(__xludf.DUMMYFUNCTION("""COMPUTED_VALUE"""),"Head cheese (Brawn)")</f>
        <v>Head cheese (Brawn)</v>
      </c>
      <c r="B1307" t="str">
        <f ca="1">IFERROR(__xludf.DUMMYFUNCTION("""COMPUTED_VALUE"""),"A.01.000865")</f>
        <v>A.01.000865</v>
      </c>
    </row>
    <row r="1308" spans="1:2" ht="12.5" x14ac:dyDescent="0.25">
      <c r="A1308" t="str">
        <f ca="1">IFERROR(__xludf.DUMMYFUNCTION("""COMPUTED_VALUE"""),"Heart (beef, veal, pork, mutton, lamb)")</f>
        <v>Heart (beef, veal, pork, mutton, lamb)</v>
      </c>
      <c r="B1308" t="str">
        <f ca="1">IFERROR(__xludf.DUMMYFUNCTION("""COMPUTED_VALUE"""),"A.01.000780")</f>
        <v>A.01.000780</v>
      </c>
    </row>
    <row r="1309" spans="1:2" ht="12.5" x14ac:dyDescent="0.25">
      <c r="A1309" t="str">
        <f ca="1">IFERROR(__xludf.DUMMYFUNCTION("""COMPUTED_VALUE"""),"Hemp expeller")</f>
        <v>Hemp expeller</v>
      </c>
      <c r="B1309" t="str">
        <f ca="1">IFERROR(__xludf.DUMMYFUNCTION("""COMPUTED_VALUE"""),"G.2.22.2")</f>
        <v>G.2.22.2</v>
      </c>
    </row>
    <row r="1310" spans="1:2" ht="12.5" x14ac:dyDescent="0.25">
      <c r="A1310" t="str">
        <f ca="1">IFERROR(__xludf.DUMMYFUNCTION("""COMPUTED_VALUE"""),"Hemp fibre")</f>
        <v>Hemp fibre</v>
      </c>
      <c r="B1310" t="str">
        <f ca="1">IFERROR(__xludf.DUMMYFUNCTION("""COMPUTED_VALUE"""),"G.6.7.2")</f>
        <v>G.6.7.2</v>
      </c>
    </row>
    <row r="1311" spans="1:2" ht="12.5" x14ac:dyDescent="0.25">
      <c r="A1311" t="str">
        <f ca="1">IFERROR(__xludf.DUMMYFUNCTION("""COMPUTED_VALUE"""),"Hemp flour")</f>
        <v>Hemp flour</v>
      </c>
      <c r="B1311" t="str">
        <f ca="1">IFERROR(__xludf.DUMMYFUNCTION("""COMPUTED_VALUE"""),"G.6.7")</f>
        <v>G.6.7</v>
      </c>
    </row>
    <row r="1312" spans="1:2" ht="12.5" x14ac:dyDescent="0.25">
      <c r="A1312" t="str">
        <f ca="1">IFERROR(__xludf.DUMMYFUNCTION("""COMPUTED_VALUE"""),"Hemp oil")</f>
        <v>Hemp oil</v>
      </c>
      <c r="B1312" t="str">
        <f ca="1">IFERROR(__xludf.DUMMYFUNCTION("""COMPUTED_VALUE"""),"G.2.22.3")</f>
        <v>G.2.22.3</v>
      </c>
    </row>
    <row r="1313" spans="1:2" ht="12.5" x14ac:dyDescent="0.25">
      <c r="A1313" t="str">
        <f ca="1">IFERROR(__xludf.DUMMYFUNCTION("""COMPUTED_VALUE"""),"Hemp seed")</f>
        <v>Hemp seed</v>
      </c>
      <c r="B1313" t="str">
        <f ca="1">IFERROR(__xludf.DUMMYFUNCTION("""COMPUTED_VALUE"""),"G.2.22")</f>
        <v>G.2.22</v>
      </c>
    </row>
    <row r="1314" spans="1:2" ht="12.5" x14ac:dyDescent="0.25">
      <c r="A1314" t="str">
        <f ca="1">IFERROR(__xludf.DUMMYFUNCTION("""COMPUTED_VALUE"""),"Hempseed (Cannabis sativa)")</f>
        <v>Hempseed (Cannabis sativa)</v>
      </c>
      <c r="B1314" t="str">
        <f ca="1">IFERROR(__xludf.DUMMYFUNCTION("""COMPUTED_VALUE"""),"A.01.000541")</f>
        <v>A.01.000541</v>
      </c>
    </row>
    <row r="1315" spans="1:2" ht="12.5" x14ac:dyDescent="0.25">
      <c r="A1315" t="str">
        <f ca="1">IFERROR(__xludf.DUMMYFUNCTION("""COMPUTED_VALUE"""),"Herb and spice mixtures")</f>
        <v>Herb and spice mixtures</v>
      </c>
      <c r="B1315" t="str">
        <f ca="1">IFERROR(__xludf.DUMMYFUNCTION("""COMPUTED_VALUE"""),"A.01.001625")</f>
        <v>A.01.001625</v>
      </c>
    </row>
    <row r="1316" spans="1:2" ht="12.5" x14ac:dyDescent="0.25">
      <c r="A1316" t="str">
        <f ca="1">IFERROR(__xludf.DUMMYFUNCTION("""COMPUTED_VALUE"""),"Herb liqueur")</f>
        <v>Herb liqueur</v>
      </c>
      <c r="B1316" t="str">
        <f ca="1">IFERROR(__xludf.DUMMYFUNCTION("""COMPUTED_VALUE"""),"A.01.001554")</f>
        <v>A.01.001554</v>
      </c>
    </row>
    <row r="1317" spans="1:2" ht="12.5" x14ac:dyDescent="0.25">
      <c r="A1317" t="str">
        <f ca="1">IFERROR(__xludf.DUMMYFUNCTION("""COMPUTED_VALUE"""),"Herbal tea, infusion")</f>
        <v>Herbal tea, infusion</v>
      </c>
      <c r="B1317" t="str">
        <f ca="1">IFERROR(__xludf.DUMMYFUNCTION("""COMPUTED_VALUE"""),"A.01.001519")</f>
        <v>A.01.001519</v>
      </c>
    </row>
    <row r="1318" spans="1:2" ht="12.5" x14ac:dyDescent="0.25">
      <c r="A1318" t="str">
        <f ca="1">IFERROR(__xludf.DUMMYFUNCTION("""COMPUTED_VALUE"""),"Herbs")</f>
        <v>Herbs</v>
      </c>
      <c r="B1318" t="str">
        <f ca="1">IFERROR(__xludf.DUMMYFUNCTION("""COMPUTED_VALUE"""),"A.01.001581")</f>
        <v>A.01.001581</v>
      </c>
    </row>
    <row r="1319" spans="1:2" ht="12.5" x14ac:dyDescent="0.25">
      <c r="A1319" t="str">
        <f ca="1">IFERROR(__xludf.DUMMYFUNCTION("""COMPUTED_VALUE"""),"Herbs, spices and condiments")</f>
        <v>Herbs, spices and condiments</v>
      </c>
      <c r="B1319" t="str">
        <f ca="1">IFERROR(__xludf.DUMMYFUNCTION("""COMPUTED_VALUE"""),"A.01.001580")</f>
        <v>A.01.001580</v>
      </c>
    </row>
    <row r="1320" spans="1:2" ht="12.5" x14ac:dyDescent="0.25">
      <c r="A1320" t="str">
        <f ca="1">IFERROR(__xludf.DUMMYFUNCTION("""COMPUTED_VALUE"""),"Herring (Clupea)")</f>
        <v>Herring (Clupea)</v>
      </c>
      <c r="B1320" t="str">
        <f ca="1">IFERROR(__xludf.DUMMYFUNCTION("""COMPUTED_VALUE"""),"A.01.000878")</f>
        <v>A.01.000878</v>
      </c>
    </row>
    <row r="1321" spans="1:2" ht="12.5" x14ac:dyDescent="0.25">
      <c r="A1321" t="str">
        <f ca="1">IFERROR(__xludf.DUMMYFUNCTION("""COMPUTED_VALUE"""),"Herring oil")</f>
        <v>Herring oil</v>
      </c>
      <c r="B1321" t="str">
        <f ca="1">IFERROR(__xludf.DUMMYFUNCTION("""COMPUTED_VALUE"""),"A.01.001359")</f>
        <v>A.01.001359</v>
      </c>
    </row>
    <row r="1322" spans="1:2" ht="12.5" x14ac:dyDescent="0.25">
      <c r="A1322" t="str">
        <f ca="1">IFERROR(__xludf.DUMMYFUNCTION("""COMPUTED_VALUE"""),"Hibiscus flowers (Hibiscus sabdariffa)")</f>
        <v>Hibiscus flowers (Hibiscus sabdariffa)</v>
      </c>
      <c r="B1322" t="str">
        <f ca="1">IFERROR(__xludf.DUMMYFUNCTION("""COMPUTED_VALUE"""),"A.01.000409")</f>
        <v>A.01.000409</v>
      </c>
    </row>
    <row r="1323" spans="1:2" ht="12.5" x14ac:dyDescent="0.25">
      <c r="A1323" t="str">
        <f ca="1">IFERROR(__xludf.DUMMYFUNCTION("""COMPUTED_VALUE"""),"Holsteiner cervelat")</f>
        <v>Holsteiner cervelat</v>
      </c>
      <c r="B1323" t="str">
        <f ca="1">IFERROR(__xludf.DUMMYFUNCTION("""COMPUTED_VALUE"""),"A.01.000839")</f>
        <v>A.01.000839</v>
      </c>
    </row>
    <row r="1324" spans="1:2" ht="12.5" x14ac:dyDescent="0.25">
      <c r="A1324" t="str">
        <f ca="1">IFERROR(__xludf.DUMMYFUNCTION("""COMPUTED_VALUE"""),"Honey")</f>
        <v>Honey</v>
      </c>
      <c r="B1324" t="str">
        <f ca="1">IFERROR(__xludf.DUMMYFUNCTION("""COMPUTED_VALUE"""),"A.01.001340")</f>
        <v>A.01.001340</v>
      </c>
    </row>
    <row r="1325" spans="1:2" ht="12.5" x14ac:dyDescent="0.25">
      <c r="A1325" t="str">
        <f ca="1">IFERROR(__xludf.DUMMYFUNCTION("""COMPUTED_VALUE"""),"Honey mushroom (Armillaria mellea)")</f>
        <v>Honey mushroom (Armillaria mellea)</v>
      </c>
      <c r="B1325" t="str">
        <f ca="1">IFERROR(__xludf.DUMMYFUNCTION("""COMPUTED_VALUE"""),"A.01.000460")</f>
        <v>A.01.000460</v>
      </c>
    </row>
    <row r="1326" spans="1:2" ht="12.5" x14ac:dyDescent="0.25">
      <c r="A1326" t="str">
        <f ca="1">IFERROR(__xludf.DUMMYFUNCTION("""COMPUTED_VALUE"""),"Honey, blended")</f>
        <v>Honey, blended</v>
      </c>
      <c r="B1326" t="str">
        <f ca="1">IFERROR(__xludf.DUMMYFUNCTION("""COMPUTED_VALUE"""),"A.01.001343")</f>
        <v>A.01.001343</v>
      </c>
    </row>
    <row r="1327" spans="1:2" ht="12.5" x14ac:dyDescent="0.25">
      <c r="A1327" t="str">
        <f ca="1">IFERROR(__xludf.DUMMYFUNCTION("""COMPUTED_VALUE"""),"Honey, monofloral")</f>
        <v>Honey, monofloral</v>
      </c>
      <c r="B1327" t="str">
        <f ca="1">IFERROR(__xludf.DUMMYFUNCTION("""COMPUTED_VALUE"""),"A.01.001341")</f>
        <v>A.01.001341</v>
      </c>
    </row>
    <row r="1328" spans="1:2" ht="12.5" x14ac:dyDescent="0.25">
      <c r="A1328" t="str">
        <f ca="1">IFERROR(__xludf.DUMMYFUNCTION("""COMPUTED_VALUE"""),"Honey, polyfloral")</f>
        <v>Honey, polyfloral</v>
      </c>
      <c r="B1328" t="str">
        <f ca="1">IFERROR(__xludf.DUMMYFUNCTION("""COMPUTED_VALUE"""),"A.01.001342")</f>
        <v>A.01.001342</v>
      </c>
    </row>
    <row r="1329" spans="1:2" ht="12.5" x14ac:dyDescent="0.25">
      <c r="A1329" t="str">
        <f ca="1">IFERROR(__xludf.DUMMYFUNCTION("""COMPUTED_VALUE"""),"Honeydew honey")</f>
        <v>Honeydew honey</v>
      </c>
      <c r="B1329" t="str">
        <f ca="1">IFERROR(__xludf.DUMMYFUNCTION("""COMPUTED_VALUE"""),"A.01.001344")</f>
        <v>A.01.001344</v>
      </c>
    </row>
    <row r="1330" spans="1:2" ht="12.5" x14ac:dyDescent="0.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x14ac:dyDescent="0.25">
      <c r="A2" t="str">
        <f ca="1">IFERROR(__xludf.DUMMYFUNCTION("""COMPUTED_VALUE"""),"Consumption occasion")</f>
        <v>Consumption occasion</v>
      </c>
      <c r="B2" t="str">
        <f ca="1">IFERROR(__xludf.DUMMYFUNCTION("""COMPUTED_VALUE"""),"Type of records_1")</f>
        <v>Type of records_1</v>
      </c>
    </row>
    <row r="3" spans="1:3" ht="12.5" x14ac:dyDescent="0.25">
      <c r="A3" t="str">
        <f ca="1">IFERROR(__xludf.DUMMYFUNCTION("""COMPUTED_VALUE"""),"Mean of consumption")</f>
        <v>Mean of consumption</v>
      </c>
      <c r="B3" t="str">
        <f ca="1">IFERROR(__xludf.DUMMYFUNCTION("""COMPUTED_VALUE"""),"Type of records_2")</f>
        <v>Type of records_2</v>
      </c>
    </row>
    <row r="4" spans="1:3" ht="12.5" x14ac:dyDescent="0.25">
      <c r="A4" t="str">
        <f ca="1">IFERROR(__xludf.DUMMYFUNCTION("""COMPUTED_VALUE"""),"Other")</f>
        <v>Other</v>
      </c>
      <c r="B4" t="str">
        <f ca="1">IFERROR(__xludf.DUMMYFUNCTION("""COMPUTED_VALUE"""),"Type of records_5")</f>
        <v>Type of records_5</v>
      </c>
    </row>
    <row r="5" spans="1:3" ht="12.5" x14ac:dyDescent="0.25">
      <c r="A5" t="str">
        <f ca="1">IFERROR(__xludf.DUMMYFUNCTION("""COMPUTED_VALUE"""),"Quantified and described as eaten")</f>
        <v>Quantified and described as eaten</v>
      </c>
      <c r="B5" t="str">
        <f ca="1">IFERROR(__xludf.DUMMYFUNCTION("""COMPUTED_VALUE"""),"Type of records_3")</f>
        <v>Type of records_3</v>
      </c>
    </row>
    <row r="6" spans="1:3" ht="12.5" x14ac:dyDescent="0.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IFERROR(__xludf.DUMMYFUNCTION("Importrange(""https://docs.google.com/spreadsheets/d/1C6N4-YWX9OMmNStd2rYlSUaVys-aiJGLj00cD44aVc8/edit#gid=1894320575"",""Rights!A1:A"")"),"Value")</f>
        <v>Value</v>
      </c>
    </row>
    <row r="2" spans="1:1" ht="12.5" x14ac:dyDescent="0.25">
      <c r="A2" t="str">
        <f ca="1">IFERROR(__xludf.DUMMYFUNCTION("""COMPUTED_VALUE"""),"Academic Free License 3.0")</f>
        <v>Academic Free License 3.0</v>
      </c>
    </row>
    <row r="3" spans="1:1" ht="12.5" x14ac:dyDescent="0.25">
      <c r="A3" t="str">
        <f ca="1">IFERROR(__xludf.DUMMYFUNCTION("""COMPUTED_VALUE"""),"Adaptive Public License 1.0")</f>
        <v>Adaptive Public License 1.0</v>
      </c>
    </row>
    <row r="4" spans="1:1" ht="12.5" x14ac:dyDescent="0.25">
      <c r="A4" t="str">
        <f ca="1">IFERROR(__xludf.DUMMYFUNCTION("""COMPUTED_VALUE"""),"Apache Software License 1.1")</f>
        <v>Apache Software License 1.1</v>
      </c>
    </row>
    <row r="5" spans="1:1" ht="12.5" x14ac:dyDescent="0.25">
      <c r="A5" t="str">
        <f ca="1">IFERROR(__xludf.DUMMYFUNCTION("""COMPUTED_VALUE"""),"Apache Software License 2.0")</f>
        <v>Apache Software License 2.0</v>
      </c>
    </row>
    <row r="6" spans="1:1" ht="12.5" x14ac:dyDescent="0.25">
      <c r="A6" t="str">
        <f ca="1">IFERROR(__xludf.DUMMYFUNCTION("""COMPUTED_VALUE"""),"Apple Public Source License 2.0")</f>
        <v>Apple Public Source License 2.0</v>
      </c>
    </row>
    <row r="7" spans="1:1" ht="12.5" x14ac:dyDescent="0.25">
      <c r="A7" t="str">
        <f ca="1">IFERROR(__xludf.DUMMYFUNCTION("""COMPUTED_VALUE"""),"Artistic License 2.0")</f>
        <v>Artistic License 2.0</v>
      </c>
    </row>
    <row r="8" spans="1:1" ht="12.5" x14ac:dyDescent="0.25">
      <c r="A8" t="str">
        <f ca="1">IFERROR(__xludf.DUMMYFUNCTION("""COMPUTED_VALUE"""),"Attribution Assurance Licenses")</f>
        <v>Attribution Assurance Licenses</v>
      </c>
    </row>
    <row r="9" spans="1:1" ht="12.5" x14ac:dyDescent="0.25">
      <c r="A9" t="str">
        <f ca="1">IFERROR(__xludf.DUMMYFUNCTION("""COMPUTED_VALUE"""),"BSD 3-Clause ""New"" or ""Revised"" License (BSD-3-Clause)")</f>
        <v>BSD 3-Clause "New" or "Revised" License (BSD-3-Clause)</v>
      </c>
    </row>
    <row r="10" spans="1:1" ht="12.5" x14ac:dyDescent="0.25">
      <c r="A10" t="str">
        <f ca="1">IFERROR(__xludf.DUMMYFUNCTION("""COMPUTED_VALUE"""),"Boost Software License 1.0")</f>
        <v>Boost Software License 1.0</v>
      </c>
    </row>
    <row r="11" spans="1:1" ht="12.5" x14ac:dyDescent="0.25">
      <c r="A11" t="str">
        <f ca="1">IFERROR(__xludf.DUMMYFUNCTION("""COMPUTED_VALUE"""),"CC0 1.0")</f>
        <v>CC0 1.0</v>
      </c>
    </row>
    <row r="12" spans="1:1" ht="12.5" x14ac:dyDescent="0.25">
      <c r="A12" t="str">
        <f ca="1">IFERROR(__xludf.DUMMYFUNCTION("""COMPUTED_VALUE"""),"CUA Office Public License 1.0")</f>
        <v>CUA Office Public License 1.0</v>
      </c>
    </row>
    <row r="13" spans="1:1" ht="12.5" x14ac:dyDescent="0.25">
      <c r="A13" t="str">
        <f ca="1">IFERROR(__xludf.DUMMYFUNCTION("""COMPUTED_VALUE"""),"CeCILL License 2.1")</f>
        <v>CeCILL License 2.1</v>
      </c>
    </row>
    <row r="14" spans="1:1" ht="12.5" x14ac:dyDescent="0.25">
      <c r="A14" t="str">
        <f ca="1">IFERROR(__xludf.DUMMYFUNCTION("""COMPUTED_VALUE"""),"Common Development and Distribution License 1.0")</f>
        <v>Common Development and Distribution License 1.0</v>
      </c>
    </row>
    <row r="15" spans="1:1" ht="12.5" x14ac:dyDescent="0.25">
      <c r="A15" t="str">
        <f ca="1">IFERROR(__xludf.DUMMYFUNCTION("""COMPUTED_VALUE"""),"Common Public Attribution License 1.0")</f>
        <v>Common Public Attribution License 1.0</v>
      </c>
    </row>
    <row r="16" spans="1:1" ht="12.5" x14ac:dyDescent="0.25">
      <c r="A16" t="str">
        <f ca="1">IFERROR(__xludf.DUMMYFUNCTION("""COMPUTED_VALUE"""),"Computer Associates Trusted Open Source License 1.1 (CATOSL-1.1)")</f>
        <v>Computer Associates Trusted Open Source License 1.1 (CATOSL-1.1)</v>
      </c>
    </row>
    <row r="17" spans="1:1" ht="12.5" x14ac:dyDescent="0.25">
      <c r="A17" t="str">
        <f ca="1">IFERROR(__xludf.DUMMYFUNCTION("""COMPUTED_VALUE"""),"Creative Commons Attribution 4.0")</f>
        <v>Creative Commons Attribution 4.0</v>
      </c>
    </row>
    <row r="18" spans="1:1" ht="12.5" x14ac:dyDescent="0.25">
      <c r="A18" t="str">
        <f ca="1">IFERROR(__xludf.DUMMYFUNCTION("""COMPUTED_VALUE"""),"Creative Commons Attribution Share-Alike 4.0")</f>
        <v>Creative Commons Attribution Share-Alike 4.0</v>
      </c>
    </row>
    <row r="19" spans="1:1" ht="12.5" x14ac:dyDescent="0.25">
      <c r="A19" t="str">
        <f ca="1">IFERROR(__xludf.DUMMYFUNCTION("""COMPUTED_VALUE"""),"Creative Commons Attribution-NoDerivs 4.0")</f>
        <v>Creative Commons Attribution-NoDerivs 4.0</v>
      </c>
    </row>
    <row r="20" spans="1:1" ht="12.5" x14ac:dyDescent="0.25">
      <c r="A20" t="str">
        <f ca="1">IFERROR(__xludf.DUMMYFUNCTION("""COMPUTED_VALUE"""),"Creative Commons Attribution-NonCommercial 4.0")</f>
        <v>Creative Commons Attribution-NonCommercial 4.0</v>
      </c>
    </row>
    <row r="21" spans="1:1" ht="12.5" x14ac:dyDescent="0.25">
      <c r="A21" t="str">
        <f ca="1">IFERROR(__xludf.DUMMYFUNCTION("""COMPUTED_VALUE"""),"Creative Commons Attribution-NonCommercial-NoDerivatives 4.0")</f>
        <v>Creative Commons Attribution-NonCommercial-NoDerivatives 4.0</v>
      </c>
    </row>
    <row r="22" spans="1:1" ht="12.5" x14ac:dyDescent="0.25">
      <c r="A22" t="str">
        <f ca="1">IFERROR(__xludf.DUMMYFUNCTION("""COMPUTED_VALUE"""),"Creative Commons Attribution-NonCommercial-ShareAlike 4.0")</f>
        <v>Creative Commons Attribution-NonCommercial-ShareAlike 4.0</v>
      </c>
    </row>
    <row r="23" spans="1:1" ht="12.5" x14ac:dyDescent="0.25">
      <c r="A23" t="str">
        <f ca="1">IFERROR(__xludf.DUMMYFUNCTION("""COMPUTED_VALUE"""),"EU DataGrid Software License")</f>
        <v>EU DataGrid Software License</v>
      </c>
    </row>
    <row r="24" spans="1:1" ht="12.5" x14ac:dyDescent="0.25">
      <c r="A24" t="str">
        <f ca="1">IFERROR(__xludf.DUMMYFUNCTION("""COMPUTED_VALUE"""),"Eclipse Public License 1.0")</f>
        <v>Eclipse Public License 1.0</v>
      </c>
    </row>
    <row r="25" spans="1:1" ht="12.5" x14ac:dyDescent="0.25">
      <c r="A25" t="str">
        <f ca="1">IFERROR(__xludf.DUMMYFUNCTION("""COMPUTED_VALUE"""),"Educational Community License 2.0")</f>
        <v>Educational Community License 2.0</v>
      </c>
    </row>
    <row r="26" spans="1:1" ht="12.5" x14ac:dyDescent="0.25">
      <c r="A26" t="str">
        <f ca="1">IFERROR(__xludf.DUMMYFUNCTION("""COMPUTED_VALUE"""),"Eiffel Forum License 2.0")</f>
        <v>Eiffel Forum License 2.0</v>
      </c>
    </row>
    <row r="27" spans="1:1" ht="12.5" x14ac:dyDescent="0.25">
      <c r="A27" t="str">
        <f ca="1">IFERROR(__xludf.DUMMYFUNCTION("""COMPUTED_VALUE"""),"Entessa Public License")</f>
        <v>Entessa Public License</v>
      </c>
    </row>
    <row r="28" spans="1:1" ht="12.5" x14ac:dyDescent="0.25">
      <c r="A28" t="str">
        <f ca="1">IFERROR(__xludf.DUMMYFUNCTION("""COMPUTED_VALUE"""),"European Union Public License 1.1")</f>
        <v>European Union Public License 1.1</v>
      </c>
    </row>
    <row r="29" spans="1:1" ht="12.5" x14ac:dyDescent="0.25">
      <c r="A29" t="str">
        <f ca="1">IFERROR(__xludf.DUMMYFUNCTION("""COMPUTED_VALUE"""),"Fair License")</f>
        <v>Fair License</v>
      </c>
    </row>
    <row r="30" spans="1:1" ht="12.5" x14ac:dyDescent="0.25">
      <c r="A30" t="str">
        <f ca="1">IFERROR(__xludf.DUMMYFUNCTION("""COMPUTED_VALUE"""),"Frameworx License 1.0")</f>
        <v>Frameworx License 1.0</v>
      </c>
    </row>
    <row r="31" spans="1:1" ht="12.5" x14ac:dyDescent="0.25">
      <c r="A31" t="str">
        <f ca="1">IFERROR(__xludf.DUMMYFUNCTION("""COMPUTED_VALUE"""),"GNU Affero General Public License v3")</f>
        <v>GNU Affero General Public License v3</v>
      </c>
    </row>
    <row r="32" spans="1:1" ht="12.5" x14ac:dyDescent="0.25">
      <c r="A32" t="str">
        <f ca="1">IFERROR(__xludf.DUMMYFUNCTION("""COMPUTED_VALUE"""),"GNU Free Documentation License 1.3 with no cover texts and no invariant sections")</f>
        <v>GNU Free Documentation License 1.3 with no cover texts and no invariant sections</v>
      </c>
    </row>
    <row r="33" spans="1:1" ht="12.5" x14ac:dyDescent="0.25">
      <c r="A33" t="str">
        <f ca="1">IFERROR(__xludf.DUMMYFUNCTION("""COMPUTED_VALUE"""),"GNU General Public License 2.0")</f>
        <v>GNU General Public License 2.0</v>
      </c>
    </row>
    <row r="34" spans="1:1" ht="12.5" x14ac:dyDescent="0.25">
      <c r="A34" t="str">
        <f ca="1">IFERROR(__xludf.DUMMYFUNCTION("""COMPUTED_VALUE"""),"GNU General Public License 3.0")</f>
        <v>GNU General Public License 3.0</v>
      </c>
    </row>
    <row r="35" spans="1:1" ht="12.5" x14ac:dyDescent="0.25">
      <c r="A35" t="str">
        <f ca="1">IFERROR(__xludf.DUMMYFUNCTION("""COMPUTED_VALUE"""),"GNU Lesser General Public License 2.1")</f>
        <v>GNU Lesser General Public License 2.1</v>
      </c>
    </row>
    <row r="36" spans="1:1" ht="12.5" x14ac:dyDescent="0.25">
      <c r="A36" t="str">
        <f ca="1">IFERROR(__xludf.DUMMYFUNCTION("""COMPUTED_VALUE"""),"GNU Lesser General Public License 3.0")</f>
        <v>GNU Lesser General Public License 3.0</v>
      </c>
    </row>
    <row r="37" spans="1:1" ht="12.5" x14ac:dyDescent="0.25">
      <c r="A37" t="str">
        <f ca="1">IFERROR(__xludf.DUMMYFUNCTION("""COMPUTED_VALUE"""),"IBM Public License 1.0")</f>
        <v>IBM Public License 1.0</v>
      </c>
    </row>
    <row r="38" spans="1:1" ht="12.5" x14ac:dyDescent="0.25">
      <c r="A38" t="str">
        <f ca="1">IFERROR(__xludf.DUMMYFUNCTION("""COMPUTED_VALUE"""),"IPA Font License")</f>
        <v>IPA Font License</v>
      </c>
    </row>
    <row r="39" spans="1:1" ht="12.5" x14ac:dyDescent="0.25">
      <c r="A39" t="str">
        <f ca="1">IFERROR(__xludf.DUMMYFUNCTION("""COMPUTED_VALUE"""),"ISC License")</f>
        <v>ISC License</v>
      </c>
    </row>
    <row r="40" spans="1:1" ht="12.5" x14ac:dyDescent="0.25">
      <c r="A40" t="str">
        <f ca="1">IFERROR(__xludf.DUMMYFUNCTION("""COMPUTED_VALUE"""),"LaTeX Project Public License 1.3c")</f>
        <v>LaTeX Project Public License 1.3c</v>
      </c>
    </row>
    <row r="41" spans="1:1" ht="12.5" x14ac:dyDescent="0.25">
      <c r="A41" t="str">
        <f ca="1">IFERROR(__xludf.DUMMYFUNCTION("""COMPUTED_VALUE"""),"License Not Specified")</f>
        <v>License Not Specified</v>
      </c>
    </row>
    <row r="42" spans="1:1" ht="12.5" x14ac:dyDescent="0.25">
      <c r="A42" t="str">
        <f ca="1">IFERROR(__xludf.DUMMYFUNCTION("""COMPUTED_VALUE"""),"Lucent Public License (""Plan9"") 1.0")</f>
        <v>Lucent Public License ("Plan9") 1.0</v>
      </c>
    </row>
    <row r="43" spans="1:1" ht="12.5" x14ac:dyDescent="0.25">
      <c r="A43" t="str">
        <f ca="1">IFERROR(__xludf.DUMMYFUNCTION("""COMPUTED_VALUE"""),"MIT License")</f>
        <v>MIT License</v>
      </c>
    </row>
    <row r="44" spans="1:1" ht="12.5" x14ac:dyDescent="0.25">
      <c r="A44" t="str">
        <f ca="1">IFERROR(__xludf.DUMMYFUNCTION("""COMPUTED_VALUE"""),"Microsoft Public License")</f>
        <v>Microsoft Public License</v>
      </c>
    </row>
    <row r="45" spans="1:1" ht="12.5" x14ac:dyDescent="0.25">
      <c r="A45" t="str">
        <f ca="1">IFERROR(__xludf.DUMMYFUNCTION("""COMPUTED_VALUE"""),"Microsoft Reciprocal License")</f>
        <v>Microsoft Reciprocal License</v>
      </c>
    </row>
    <row r="46" spans="1:1" ht="12.5" x14ac:dyDescent="0.25">
      <c r="A46" t="str">
        <f ca="1">IFERROR(__xludf.DUMMYFUNCTION("""COMPUTED_VALUE"""),"MirOS Licence")</f>
        <v>MirOS Licence</v>
      </c>
    </row>
    <row r="47" spans="1:1" ht="12.5" x14ac:dyDescent="0.25">
      <c r="A47" t="str">
        <f ca="1">IFERROR(__xludf.DUMMYFUNCTION("""COMPUTED_VALUE"""),"Motosoto License")</f>
        <v>Motosoto License</v>
      </c>
    </row>
    <row r="48" spans="1:1" ht="12.5" x14ac:dyDescent="0.25">
      <c r="A48" t="str">
        <f ca="1">IFERROR(__xludf.DUMMYFUNCTION("""COMPUTED_VALUE"""),"Mozilla Public License 1.1")</f>
        <v>Mozilla Public License 1.1</v>
      </c>
    </row>
    <row r="49" spans="1:1" ht="12.5" x14ac:dyDescent="0.25">
      <c r="A49" t="str">
        <f ca="1">IFERROR(__xludf.DUMMYFUNCTION("""COMPUTED_VALUE"""),"Multics License")</f>
        <v>Multics License</v>
      </c>
    </row>
    <row r="50" spans="1:1" ht="12.5" x14ac:dyDescent="0.25">
      <c r="A50" t="str">
        <f ca="1">IFERROR(__xludf.DUMMYFUNCTION("""COMPUTED_VALUE"""),"NASA Open Source Agreement 1.3")</f>
        <v>NASA Open Source Agreement 1.3</v>
      </c>
    </row>
    <row r="51" spans="1:1" ht="12.5" x14ac:dyDescent="0.25">
      <c r="A51" t="str">
        <f ca="1">IFERROR(__xludf.DUMMYFUNCTION("""COMPUTED_VALUE"""),"NTP License")</f>
        <v>NTP License</v>
      </c>
    </row>
    <row r="52" spans="1:1" ht="12.5" x14ac:dyDescent="0.25">
      <c r="A52" t="str">
        <f ca="1">IFERROR(__xludf.DUMMYFUNCTION("""COMPUTED_VALUE"""),"Naumen Public License")</f>
        <v>Naumen Public License</v>
      </c>
    </row>
    <row r="53" spans="1:1" ht="12.5" x14ac:dyDescent="0.25">
      <c r="A53" t="str">
        <f ca="1">IFERROR(__xludf.DUMMYFUNCTION("""COMPUTED_VALUE"""),"Nethack General Public License")</f>
        <v>Nethack General Public License</v>
      </c>
    </row>
    <row r="54" spans="1:1" ht="12.5" x14ac:dyDescent="0.25">
      <c r="A54" t="str">
        <f ca="1">IFERROR(__xludf.DUMMYFUNCTION("""COMPUTED_VALUE"""),"Nokia Open Source License")</f>
        <v>Nokia Open Source License</v>
      </c>
    </row>
    <row r="55" spans="1:1" ht="12.5" x14ac:dyDescent="0.25">
      <c r="A55" t="str">
        <f ca="1">IFERROR(__xludf.DUMMYFUNCTION("""COMPUTED_VALUE"""),"Non-Profit Open Software License 3.0")</f>
        <v>Non-Profit Open Software License 3.0</v>
      </c>
    </row>
    <row r="56" spans="1:1" ht="12.5" x14ac:dyDescent="0.25">
      <c r="A56" t="str">
        <f ca="1">IFERROR(__xludf.DUMMYFUNCTION("""COMPUTED_VALUE"""),"OCLC Research Public License 2.0")</f>
        <v>OCLC Research Public License 2.0</v>
      </c>
    </row>
    <row r="57" spans="1:1" ht="12.5" x14ac:dyDescent="0.25">
      <c r="A57" t="str">
        <f ca="1">IFERROR(__xludf.DUMMYFUNCTION("""COMPUTED_VALUE"""),"Open Data Commons Attribution License 1.0")</f>
        <v>Open Data Commons Attribution License 1.0</v>
      </c>
    </row>
    <row r="58" spans="1:1" ht="12.5" x14ac:dyDescent="0.25">
      <c r="A58" t="str">
        <f ca="1">IFERROR(__xludf.DUMMYFUNCTION("""COMPUTED_VALUE"""),"Open Data Commons Open Database License 1.0")</f>
        <v>Open Data Commons Open Database License 1.0</v>
      </c>
    </row>
    <row r="59" spans="1:1" ht="12.5" x14ac:dyDescent="0.25">
      <c r="A59" t="str">
        <f ca="1">IFERROR(__xludf.DUMMYFUNCTION("""COMPUTED_VALUE"""),"Open Data Commons Public Domain Dedication and Licence 1.0")</f>
        <v>Open Data Commons Public Domain Dedication and Licence 1.0</v>
      </c>
    </row>
    <row r="60" spans="1:1" ht="12.5" x14ac:dyDescent="0.25">
      <c r="A60" t="str">
        <f ca="1">IFERROR(__xludf.DUMMYFUNCTION("""COMPUTED_VALUE"""),"Open Font License 1.1")</f>
        <v>Open Font License 1.1</v>
      </c>
    </row>
    <row r="61" spans="1:1" ht="12.5" x14ac:dyDescent="0.25">
      <c r="A61" t="str">
        <f ca="1">IFERROR(__xludf.DUMMYFUNCTION("""COMPUTED_VALUE"""),"Open Government Licence 2.0 (United Kingdom)")</f>
        <v>Open Government Licence 2.0 (United Kingdom)</v>
      </c>
    </row>
    <row r="62" spans="1:1" ht="12.5" x14ac:dyDescent="0.25">
      <c r="A62" t="str">
        <f ca="1">IFERROR(__xludf.DUMMYFUNCTION("""COMPUTED_VALUE"""),"Open Group Test Suite License")</f>
        <v>Open Group Test Suite License</v>
      </c>
    </row>
    <row r="63" spans="1:1" ht="12.5" x14ac:dyDescent="0.25">
      <c r="A63" t="str">
        <f ca="1">IFERROR(__xludf.DUMMYFUNCTION("""COMPUTED_VALUE"""),"Open Software License 3.0")</f>
        <v>Open Software License 3.0</v>
      </c>
    </row>
    <row r="64" spans="1:1" ht="12.5" x14ac:dyDescent="0.25">
      <c r="A64" t="str">
        <f ca="1">IFERROR(__xludf.DUMMYFUNCTION("""COMPUTED_VALUE"""),"Other (Attribution)")</f>
        <v>Other (Attribution)</v>
      </c>
    </row>
    <row r="65" spans="1:1" ht="12.5" x14ac:dyDescent="0.25">
      <c r="A65" t="str">
        <f ca="1">IFERROR(__xludf.DUMMYFUNCTION("""COMPUTED_VALUE"""),"Other (Non-Commercial)")</f>
        <v>Other (Non-Commercial)</v>
      </c>
    </row>
    <row r="66" spans="1:1" ht="12.5" x14ac:dyDescent="0.25">
      <c r="A66" t="str">
        <f ca="1">IFERROR(__xludf.DUMMYFUNCTION("""COMPUTED_VALUE"""),"Other (Not Open)")</f>
        <v>Other (Not Open)</v>
      </c>
    </row>
    <row r="67" spans="1:1" ht="12.5" x14ac:dyDescent="0.25">
      <c r="A67" t="str">
        <f ca="1">IFERROR(__xludf.DUMMYFUNCTION("""COMPUTED_VALUE"""),"Other (Open)")</f>
        <v>Other (Open)</v>
      </c>
    </row>
    <row r="68" spans="1:1" ht="12.5" x14ac:dyDescent="0.25">
      <c r="A68" t="str">
        <f ca="1">IFERROR(__xludf.DUMMYFUNCTION("""COMPUTED_VALUE"""),"Other (Public Domain)")</f>
        <v>Other (Public Domain)</v>
      </c>
    </row>
    <row r="69" spans="1:1" ht="12.5" x14ac:dyDescent="0.25">
      <c r="A69" t="str">
        <f ca="1">IFERROR(__xludf.DUMMYFUNCTION("""COMPUTED_VALUE"""),"PHP License 3.0")</f>
        <v>PHP License 3.0</v>
      </c>
    </row>
    <row r="70" spans="1:1" ht="12.5" x14ac:dyDescent="0.25">
      <c r="A70" t="str">
        <f ca="1">IFERROR(__xludf.DUMMYFUNCTION("""COMPUTED_VALUE"""),"PostgreSQL License")</f>
        <v>PostgreSQL License</v>
      </c>
    </row>
    <row r="71" spans="1:1" ht="12.5" x14ac:dyDescent="0.25">
      <c r="A71" t="str">
        <f ca="1">IFERROR(__xludf.DUMMYFUNCTION("""COMPUTED_VALUE"""),"Python License 2.0")</f>
        <v>Python License 2.0</v>
      </c>
    </row>
    <row r="72" spans="1:1" ht="12.5" x14ac:dyDescent="0.25">
      <c r="A72" t="str">
        <f ca="1">IFERROR(__xludf.DUMMYFUNCTION("""COMPUTED_VALUE"""),"Q Public License 1.0")</f>
        <v>Q Public License 1.0</v>
      </c>
    </row>
    <row r="73" spans="1:1" ht="12.5" x14ac:dyDescent="0.25">
      <c r="A73" t="str">
        <f ca="1">IFERROR(__xludf.DUMMYFUNCTION("""COMPUTED_VALUE"""),"RealNetworks Public Source License 1.0")</f>
        <v>RealNetworks Public Source License 1.0</v>
      </c>
    </row>
    <row r="74" spans="1:1" ht="12.5" x14ac:dyDescent="0.25">
      <c r="A74" t="str">
        <f ca="1">IFERROR(__xludf.DUMMYFUNCTION("""COMPUTED_VALUE"""),"Reciprocal Public License 1.5")</f>
        <v>Reciprocal Public License 1.5</v>
      </c>
    </row>
    <row r="75" spans="1:1" ht="12.5" x14ac:dyDescent="0.25">
      <c r="A75" t="str">
        <f ca="1">IFERROR(__xludf.DUMMYFUNCTION("""COMPUTED_VALUE"""),"Ricoh Source Code Public License")</f>
        <v>Ricoh Source Code Public License</v>
      </c>
    </row>
    <row r="76" spans="1:1" ht="12.5" x14ac:dyDescent="0.25">
      <c r="A76" t="str">
        <f ca="1">IFERROR(__xludf.DUMMYFUNCTION("""COMPUTED_VALUE"""),"Simple Public License 2.0")</f>
        <v>Simple Public License 2.0</v>
      </c>
    </row>
    <row r="77" spans="1:1" ht="12.5" x14ac:dyDescent="0.25">
      <c r="A77" t="str">
        <f ca="1">IFERROR(__xludf.DUMMYFUNCTION("""COMPUTED_VALUE"""),"Sleepycat License")</f>
        <v>Sleepycat License</v>
      </c>
    </row>
    <row r="78" spans="1:1" ht="12.5" x14ac:dyDescent="0.25">
      <c r="A78" t="str">
        <f ca="1">IFERROR(__xludf.DUMMYFUNCTION("""COMPUTED_VALUE"""),"Sun Public License 1.0")</f>
        <v>Sun Public License 1.0</v>
      </c>
    </row>
    <row r="79" spans="1:1" ht="12.5" x14ac:dyDescent="0.25">
      <c r="A79" t="str">
        <f ca="1">IFERROR(__xludf.DUMMYFUNCTION("""COMPUTED_VALUE"""),"Sybase Open Watcom Public License 1.0")</f>
        <v>Sybase Open Watcom Public License 1.0</v>
      </c>
    </row>
    <row r="80" spans="1:1" ht="12.5" x14ac:dyDescent="0.25">
      <c r="A80" t="str">
        <f ca="1">IFERROR(__xludf.DUMMYFUNCTION("""COMPUTED_VALUE"""),"Talis Community License")</f>
        <v>Talis Community License</v>
      </c>
    </row>
    <row r="81" spans="1:1" ht="12.5" x14ac:dyDescent="0.25">
      <c r="A81" t="str">
        <f ca="1">IFERROR(__xludf.DUMMYFUNCTION("""COMPUTED_VALUE"""),"University of Illinois/NCSA Open Source License")</f>
        <v>University of Illinois/NCSA Open Source License</v>
      </c>
    </row>
    <row r="82" spans="1:1" ht="12.5" x14ac:dyDescent="0.25">
      <c r="A82" t="str">
        <f ca="1">IFERROR(__xludf.DUMMYFUNCTION("""COMPUTED_VALUE"""),"Vovida Software License 1.0")</f>
        <v>Vovida Software License 1.0</v>
      </c>
    </row>
    <row r="83" spans="1:1" ht="12.5" x14ac:dyDescent="0.25">
      <c r="A83" t="str">
        <f ca="1">IFERROR(__xludf.DUMMYFUNCTION("""COMPUTED_VALUE"""),"W3C License")</f>
        <v>W3C License</v>
      </c>
    </row>
    <row r="84" spans="1:1" ht="12.5" x14ac:dyDescent="0.25">
      <c r="A84" t="str">
        <f ca="1">IFERROR(__xludf.DUMMYFUNCTION("""COMPUTED_VALUE"""),"X.Net License")</f>
        <v>X.Net License</v>
      </c>
    </row>
    <row r="85" spans="1:1" ht="12.5" x14ac:dyDescent="0.25">
      <c r="A85" t="str">
        <f ca="1">IFERROR(__xludf.DUMMYFUNCTION("""COMPUTED_VALUE"""),"Zope Public License 2.0")</f>
        <v>Zope Public License 2.0</v>
      </c>
    </row>
    <row r="86" spans="1:1" ht="12.5" x14ac:dyDescent="0.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x14ac:dyDescent="0.25">
      <c r="A2" t="str">
        <f ca="1">IFERROR(__xludf.DUMMYFUNCTION("""COMPUTED_VALUE"""),"children less than four years")</f>
        <v>children less than four years</v>
      </c>
      <c r="B2" t="str">
        <f ca="1">IFERROR(__xludf.DUMMYFUNCTION("""COMPUTED_VALUE"""),"FOODON_03510256")</f>
        <v>FOODON_03510256</v>
      </c>
    </row>
    <row r="3" spans="1:3" ht="12.5" x14ac:dyDescent="0.25">
      <c r="A3" t="str">
        <f ca="1">IFERROR(__xludf.DUMMYFUNCTION("""COMPUTED_VALUE"""),"human consumer, adult")</f>
        <v>human consumer, adult</v>
      </c>
      <c r="B3" t="str">
        <f ca="1">IFERROR(__xludf.DUMMYFUNCTION("""COMPUTED_VALUE"""),"FOODON_3510188")</f>
        <v>FOODON_3510188</v>
      </c>
    </row>
    <row r="4" spans="1:3" ht="12.5" x14ac:dyDescent="0.25">
      <c r="A4" t="str">
        <f ca="1">IFERROR(__xludf.DUMMYFUNCTION("""COMPUTED_VALUE"""),"human consumer, athletes")</f>
        <v>human consumer, athletes</v>
      </c>
      <c r="B4" t="str">
        <f ca="1">IFERROR(__xludf.DUMMYFUNCTION("""COMPUTED_VALUE"""),"FOODON_03510259")</f>
        <v>FOODON_03510259</v>
      </c>
    </row>
    <row r="5" spans="1:3" ht="12.5" x14ac:dyDescent="0.25">
      <c r="A5" t="str">
        <f ca="1">IFERROR(__xludf.DUMMYFUNCTION("""COMPUTED_VALUE"""),"human consumer, bodybuilders")</f>
        <v>human consumer, bodybuilders</v>
      </c>
      <c r="B5" t="str">
        <f ca="1">IFERROR(__xludf.DUMMYFUNCTION("""COMPUTED_VALUE"""),"FOODON_03510260")</f>
        <v>FOODON_03510260</v>
      </c>
    </row>
    <row r="6" spans="1:3" ht="12.5" x14ac:dyDescent="0.25">
      <c r="A6" t="str">
        <f ca="1">IFERROR(__xludf.DUMMYFUNCTION("""COMPUTED_VALUE"""),"human consumer, four years and above")</f>
        <v>human consumer, four years and above</v>
      </c>
      <c r="B6" t="str">
        <f ca="1">IFERROR(__xludf.DUMMYFUNCTION("""COMPUTED_VALUE"""),"FOODON_3510250")</f>
        <v>FOODON_3510250</v>
      </c>
    </row>
    <row r="7" spans="1:3" ht="12.5" x14ac:dyDescent="0.25">
      <c r="A7" t="str">
        <f ca="1">IFERROR(__xludf.DUMMYFUNCTION("""COMPUTED_VALUE"""),"human consumer, men")</f>
        <v>human consumer, men</v>
      </c>
      <c r="B7" t="str">
        <f ca="1">IFERROR(__xludf.DUMMYFUNCTION("""COMPUTED_VALUE"""),"FOODON_03510251")</f>
        <v>FOODON_03510251</v>
      </c>
    </row>
    <row r="8" spans="1:3" ht="12.5" x14ac:dyDescent="0.25">
      <c r="A8" t="str">
        <f ca="1">IFERROR(__xludf.DUMMYFUNCTION("""COMPUTED_VALUE"""),"human consumer, menopaused women")</f>
        <v>human consumer, menopaused women</v>
      </c>
      <c r="B8" t="str">
        <f ca="1">IFERROR(__xludf.DUMMYFUNCTION("""COMPUTED_VALUE"""),"FOODON_03510261")</f>
        <v>FOODON_03510261</v>
      </c>
    </row>
    <row r="9" spans="1:3" ht="12.5" x14ac:dyDescent="0.25">
      <c r="A9" t="str">
        <f ca="1">IFERROR(__xludf.DUMMYFUNCTION("""COMPUTED_VALUE"""),"human consumer, no age specification")</f>
        <v>human consumer, no age specification</v>
      </c>
      <c r="B9" t="str">
        <f ca="1">IFERROR(__xludf.DUMMYFUNCTION("""COMPUTED_VALUE"""),"FOODON_03510024")</f>
        <v>FOODON_03510024</v>
      </c>
    </row>
    <row r="10" spans="1:3" ht="12.5" x14ac:dyDescent="0.25">
      <c r="A10" t="str">
        <f ca="1">IFERROR(__xludf.DUMMYFUNCTION("""COMPUTED_VALUE"""),"human consumer, pregnant or lactanting women")</f>
        <v>human consumer, pregnant or lactanting women</v>
      </c>
      <c r="B10" t="str">
        <f ca="1">IFERROR(__xludf.DUMMYFUNCTION("""COMPUTED_VALUE"""),"FOODON_03510253")</f>
        <v>FOODON_03510253</v>
      </c>
    </row>
    <row r="11" spans="1:3" ht="12.5" x14ac:dyDescent="0.25">
      <c r="A11" t="str">
        <f ca="1">IFERROR(__xludf.DUMMYFUNCTION("""COMPUTED_VALUE"""),"human consumer, seniors")</f>
        <v>human consumer, seniors</v>
      </c>
      <c r="B11" t="str">
        <f ca="1">IFERROR(__xludf.DUMMYFUNCTION("""COMPUTED_VALUE"""),"FOODON_03510254")</f>
        <v>FOODON_03510254</v>
      </c>
    </row>
    <row r="12" spans="1:3" ht="12.5" x14ac:dyDescent="0.25">
      <c r="A12" t="str">
        <f ca="1">IFERROR(__xludf.DUMMYFUNCTION("""COMPUTED_VALUE"""),"human consumer, teenagers")</f>
        <v>human consumer, teenagers</v>
      </c>
      <c r="B12" t="str">
        <f ca="1">IFERROR(__xludf.DUMMYFUNCTION("""COMPUTED_VALUE"""),"FOODON_03510255")</f>
        <v>FOODON_03510255</v>
      </c>
    </row>
    <row r="13" spans="1:3" ht="12.5" x14ac:dyDescent="0.25">
      <c r="A13" t="str">
        <f ca="1">IFERROR(__xludf.DUMMYFUNCTION("""COMPUTED_VALUE"""),"human consumer, weight-reducers")</f>
        <v>human consumer, weight-reducers</v>
      </c>
      <c r="B13" t="str">
        <f ca="1">IFERROR(__xludf.DUMMYFUNCTION("""COMPUTED_VALUE"""),"FOODON_03510262")</f>
        <v>FOODON_03510262</v>
      </c>
    </row>
    <row r="14" spans="1:3" ht="12.5" x14ac:dyDescent="0.25">
      <c r="A14" t="str">
        <f ca="1">IFERROR(__xludf.DUMMYFUNCTION("""COMPUTED_VALUE"""),"human consumer, women")</f>
        <v>human consumer, women</v>
      </c>
      <c r="B14" t="str">
        <f ca="1">IFERROR(__xludf.DUMMYFUNCTION("""COMPUTED_VALUE"""),"FOODON_03510252")</f>
        <v>FOODON_03510252</v>
      </c>
    </row>
    <row r="15" spans="1:3" ht="12.5" x14ac:dyDescent="0.25">
      <c r="A15" t="str">
        <f ca="1">IFERROR(__xludf.DUMMYFUNCTION("""COMPUTED_VALUE"""),"infant food")</f>
        <v>infant food</v>
      </c>
      <c r="B15" t="str">
        <f ca="1">IFERROR(__xludf.DUMMYFUNCTION("""COMPUTED_VALUE"""),"FOODON_3510266")</f>
        <v>FOODON_3510266</v>
      </c>
    </row>
    <row r="16" spans="1:3" ht="12.5" x14ac:dyDescent="0.25">
      <c r="A16" t="str">
        <f ca="1">IFERROR(__xludf.DUMMYFUNCTION("""COMPUTED_VALUE"""),"infant food, 0 - 3 months")</f>
        <v>infant food, 0 - 3 months</v>
      </c>
      <c r="B16" t="str">
        <f ca="1">IFERROR(__xludf.DUMMYFUNCTION("""COMPUTED_VALUE"""),"FOODON_3510189")</f>
        <v>FOODON_3510189</v>
      </c>
    </row>
    <row r="17" spans="1:2" ht="12.5" x14ac:dyDescent="0.25">
      <c r="A17" t="str">
        <f ca="1">IFERROR(__xludf.DUMMYFUNCTION("""COMPUTED_VALUE"""),"infant food, 0 - 6 months")</f>
        <v>infant food, 0 - 6 months</v>
      </c>
      <c r="B17" t="str">
        <f ca="1">IFERROR(__xludf.DUMMYFUNCTION("""COMPUTED_VALUE"""),"FOODON_3510263")</f>
        <v>FOODON_3510263</v>
      </c>
    </row>
    <row r="18" spans="1:2" ht="12.5" x14ac:dyDescent="0.25">
      <c r="A18" t="str">
        <f ca="1">IFERROR(__xludf.DUMMYFUNCTION("""COMPUTED_VALUE"""),"infant food, 3 - 6 months")</f>
        <v>infant food, 3 - 6 months</v>
      </c>
      <c r="B18" t="str">
        <f ca="1">IFERROR(__xludf.DUMMYFUNCTION("""COMPUTED_VALUE"""),"FOODON_3510190")</f>
        <v>FOODON_3510190</v>
      </c>
    </row>
    <row r="19" spans="1:2" ht="12.5" x14ac:dyDescent="0.25">
      <c r="A19" t="str">
        <f ca="1">IFERROR(__xludf.DUMMYFUNCTION("""COMPUTED_VALUE"""),"infant food, 6 - 12 months")</f>
        <v>infant food, 6 - 12 months</v>
      </c>
      <c r="B19" t="str">
        <f ca="1">IFERROR(__xludf.DUMMYFUNCTION("""COMPUTED_VALUE"""),"FOODON_3510191")</f>
        <v>FOODON_3510191</v>
      </c>
    </row>
    <row r="20" spans="1:2" ht="12.5" x14ac:dyDescent="0.25">
      <c r="A20" t="str">
        <f ca="1">IFERROR(__xludf.DUMMYFUNCTION("""COMPUTED_VALUE"""),"infant or toddler food")</f>
        <v>infant or toddler food</v>
      </c>
      <c r="B20" t="str">
        <f ca="1">IFERROR(__xludf.DUMMYFUNCTION("""COMPUTED_VALUE"""),"FOODON_03510020")</f>
        <v>FOODON_03510020</v>
      </c>
    </row>
    <row r="21" spans="1:2" ht="12.5" x14ac:dyDescent="0.25">
      <c r="A21" t="str">
        <f ca="1">IFERROR(__xludf.DUMMYFUNCTION("""COMPUTED_VALUE"""),"Other")</f>
        <v>Other</v>
      </c>
      <c r="B21" t="str">
        <f ca="1">IFERROR(__xludf.DUMMYFUNCTION("""COMPUTED_VALUE"""),"Other")</f>
        <v>Other</v>
      </c>
    </row>
    <row r="22" spans="1:2" ht="12.5" x14ac:dyDescent="0.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x14ac:dyDescent="0.25">
      <c r="A2" t="str">
        <f ca="1">IFERROR(__xludf.DUMMYFUNCTION("""COMPUTED_VALUE"""),"A Coruña")</f>
        <v>A Coruña</v>
      </c>
      <c r="B2" t="str">
        <f ca="1">IFERROR(__xludf.DUMMYFUNCTION("""COMPUTED_VALUE"""),"ES111")</f>
        <v>ES111</v>
      </c>
    </row>
    <row r="3" spans="1:3" ht="12.5" x14ac:dyDescent="0.25">
      <c r="A3" t="str">
        <f ca="1">IFERROR(__xludf.DUMMYFUNCTION("""COMPUTED_VALUE"""),"Aachen, Kreis")</f>
        <v>Aachen, Kreis</v>
      </c>
      <c r="B3" t="str">
        <f ca="1">IFERROR(__xludf.DUMMYFUNCTION("""COMPUTED_VALUE"""),"DEA25")</f>
        <v>DEA25</v>
      </c>
    </row>
    <row r="4" spans="1:3" ht="12.5" x14ac:dyDescent="0.25">
      <c r="A4" t="str">
        <f ca="1">IFERROR(__xludf.DUMMYFUNCTION("""COMPUTED_VALUE"""),"Aachen, Kreisfreie Stadt")</f>
        <v>Aachen, Kreisfreie Stadt</v>
      </c>
      <c r="B4" t="str">
        <f ca="1">IFERROR(__xludf.DUMMYFUNCTION("""COMPUTED_VALUE"""),"DEA21")</f>
        <v>DEA21</v>
      </c>
    </row>
    <row r="5" spans="1:3" ht="12.5" x14ac:dyDescent="0.25">
      <c r="A5" t="str">
        <f ca="1">IFERROR(__xludf.DUMMYFUNCTION("""COMPUTED_VALUE"""),"Aargau")</f>
        <v>Aargau</v>
      </c>
      <c r="B5" t="str">
        <f ca="1">IFERROR(__xludf.DUMMYFUNCTION("""COMPUTED_VALUE"""),"CH033")</f>
        <v>CH033</v>
      </c>
    </row>
    <row r="6" spans="1:3" ht="12.5" x14ac:dyDescent="0.25">
      <c r="A6" t="str">
        <f ca="1">IFERROR(__xludf.DUMMYFUNCTION("""COMPUTED_VALUE"""),"Aberdeen City And Aberdeenshire")</f>
        <v>Aberdeen City And Aberdeenshire</v>
      </c>
      <c r="B6" t="str">
        <f ca="1">IFERROR(__xludf.DUMMYFUNCTION("""COMPUTED_VALUE"""),"UKM50")</f>
        <v>UKM50</v>
      </c>
    </row>
    <row r="7" spans="1:3" ht="12.5" x14ac:dyDescent="0.25">
      <c r="A7" t="str">
        <f ca="1">IFERROR(__xludf.DUMMYFUNCTION("""COMPUTED_VALUE"""),"Abruzzo")</f>
        <v>Abruzzo</v>
      </c>
      <c r="B7" t="str">
        <f ca="1">IFERROR(__xludf.DUMMYFUNCTION("""COMPUTED_VALUE"""),"ITF1")</f>
        <v>ITF1</v>
      </c>
    </row>
    <row r="8" spans="1:3" ht="12.5" x14ac:dyDescent="0.25">
      <c r="A8" t="str">
        <f ca="1">IFERROR(__xludf.DUMMYFUNCTION("""COMPUTED_VALUE"""),"Achaia")</f>
        <v>Achaia</v>
      </c>
      <c r="B8" t="str">
        <f ca="1">IFERROR(__xludf.DUMMYFUNCTION("""COMPUTED_VALUE"""),"GR232")</f>
        <v>GR232</v>
      </c>
    </row>
    <row r="9" spans="1:3" ht="12.5" x14ac:dyDescent="0.25">
      <c r="A9" t="str">
        <f ca="1">IFERROR(__xludf.DUMMYFUNCTION("""COMPUTED_VALUE"""),"Achterhoek")</f>
        <v>Achterhoek</v>
      </c>
      <c r="B9" t="str">
        <f ca="1">IFERROR(__xludf.DUMMYFUNCTION("""COMPUTED_VALUE"""),"NL225")</f>
        <v>NL225</v>
      </c>
    </row>
    <row r="10" spans="1:3" ht="12.5" x14ac:dyDescent="0.25">
      <c r="A10" t="str">
        <f ca="1">IFERROR(__xludf.DUMMYFUNCTION("""COMPUTED_VALUE"""),"Agder Og Rogaland")</f>
        <v>Agder Og Rogaland</v>
      </c>
      <c r="B10" t="str">
        <f ca="1">IFERROR(__xludf.DUMMYFUNCTION("""COMPUTED_VALUE"""),"NO04")</f>
        <v>NO04</v>
      </c>
    </row>
    <row r="11" spans="1:3" ht="12.5" x14ac:dyDescent="0.25">
      <c r="A11" t="str">
        <f ca="1">IFERROR(__xludf.DUMMYFUNCTION("""COMPUTED_VALUE"""),"Agglomeratie 'S-Gravenhage")</f>
        <v>Agglomeratie 'S-Gravenhage</v>
      </c>
      <c r="B11" t="str">
        <f ca="1">IFERROR(__xludf.DUMMYFUNCTION("""COMPUTED_VALUE"""),"NL332")</f>
        <v>NL332</v>
      </c>
    </row>
    <row r="12" spans="1:3" ht="12.5" x14ac:dyDescent="0.25">
      <c r="A12" t="str">
        <f ca="1">IFERROR(__xludf.DUMMYFUNCTION("""COMPUTED_VALUE"""),"Agglomeratie Haarlem")</f>
        <v>Agglomeratie Haarlem</v>
      </c>
      <c r="B12" t="str">
        <f ca="1">IFERROR(__xludf.DUMMYFUNCTION("""COMPUTED_VALUE"""),"NL324")</f>
        <v>NL324</v>
      </c>
    </row>
    <row r="13" spans="1:3" ht="12.5" x14ac:dyDescent="0.25">
      <c r="A13" t="str">
        <f ca="1">IFERROR(__xludf.DUMMYFUNCTION("""COMPUTED_VALUE"""),"Agglomeratie Leiden En Bollenstreek")</f>
        <v>Agglomeratie Leiden En Bollenstreek</v>
      </c>
      <c r="B13" t="str">
        <f ca="1">IFERROR(__xludf.DUMMYFUNCTION("""COMPUTED_VALUE"""),"NL331")</f>
        <v>NL331</v>
      </c>
    </row>
    <row r="14" spans="1:3" ht="12.5" x14ac:dyDescent="0.25">
      <c r="A14" t="str">
        <f ca="1">IFERROR(__xludf.DUMMYFUNCTION("""COMPUTED_VALUE"""),"Agrigento")</f>
        <v>Agrigento</v>
      </c>
      <c r="B14" t="str">
        <f ca="1">IFERROR(__xludf.DUMMYFUNCTION("""COMPUTED_VALUE"""),"ITG14")</f>
        <v>ITG14</v>
      </c>
    </row>
    <row r="15" spans="1:3" ht="12.5" x14ac:dyDescent="0.25">
      <c r="A15" t="str">
        <f ca="1">IFERROR(__xludf.DUMMYFUNCTION("""COMPUTED_VALUE"""),"Ahrweiler")</f>
        <v>Ahrweiler</v>
      </c>
      <c r="B15" t="str">
        <f ca="1">IFERROR(__xludf.DUMMYFUNCTION("""COMPUTED_VALUE"""),"DEB12")</f>
        <v>DEB12</v>
      </c>
    </row>
    <row r="16" spans="1:3" ht="12.5" x14ac:dyDescent="0.25">
      <c r="A16" t="str">
        <f ca="1">IFERROR(__xludf.DUMMYFUNCTION("""COMPUTED_VALUE"""),"Aichach-Friedberg")</f>
        <v>Aichach-Friedberg</v>
      </c>
      <c r="B16" t="str">
        <f ca="1">IFERROR(__xludf.DUMMYFUNCTION("""COMPUTED_VALUE"""),"DE275")</f>
        <v>DE275</v>
      </c>
    </row>
    <row r="17" spans="1:2" ht="12.5" x14ac:dyDescent="0.25">
      <c r="A17" t="str">
        <f ca="1">IFERROR(__xludf.DUMMYFUNCTION("""COMPUTED_VALUE"""),"Ain")</f>
        <v>Ain</v>
      </c>
      <c r="B17" t="str">
        <f ca="1">IFERROR(__xludf.DUMMYFUNCTION("""COMPUTED_VALUE"""),"FR711")</f>
        <v>FR711</v>
      </c>
    </row>
    <row r="18" spans="1:2" ht="12.5" x14ac:dyDescent="0.25">
      <c r="A18" t="str">
        <f ca="1">IFERROR(__xludf.DUMMYFUNCTION("""COMPUTED_VALUE"""),"Aisne")</f>
        <v>Aisne</v>
      </c>
      <c r="B18" t="str">
        <f ca="1">IFERROR(__xludf.DUMMYFUNCTION("""COMPUTED_VALUE"""),"FR221")</f>
        <v>FR221</v>
      </c>
    </row>
    <row r="19" spans="1:2" ht="12.5" x14ac:dyDescent="0.25">
      <c r="A19" t="str">
        <f ca="1">IFERROR(__xludf.DUMMYFUNCTION("""COMPUTED_VALUE"""),"Aitoloakarnania")</f>
        <v>Aitoloakarnania</v>
      </c>
      <c r="B19" t="str">
        <f ca="1">IFERROR(__xludf.DUMMYFUNCTION("""COMPUTED_VALUE"""),"GR231")</f>
        <v>GR231</v>
      </c>
    </row>
    <row r="20" spans="1:2" ht="12.5" x14ac:dyDescent="0.25">
      <c r="A20" t="str">
        <f ca="1">IFERROR(__xludf.DUMMYFUNCTION("""COMPUTED_VALUE"""),"Akershus")</f>
        <v>Akershus</v>
      </c>
      <c r="B20" t="str">
        <f ca="1">IFERROR(__xludf.DUMMYFUNCTION("""COMPUTED_VALUE"""),"NO012")</f>
        <v>NO012</v>
      </c>
    </row>
    <row r="21" spans="1:2" ht="12.5" x14ac:dyDescent="0.25">
      <c r="A21" t="str">
        <f ca="1">IFERROR(__xludf.DUMMYFUNCTION("""COMPUTED_VALUE"""),"Åland")</f>
        <v>Åland</v>
      </c>
      <c r="B21" t="str">
        <f ca="1">IFERROR(__xludf.DUMMYFUNCTION("""COMPUTED_VALUE"""),"FI2")</f>
        <v>FI2</v>
      </c>
    </row>
    <row r="22" spans="1:2" ht="12.5" x14ac:dyDescent="0.25">
      <c r="A22" t="str">
        <f ca="1">IFERROR(__xludf.DUMMYFUNCTION("""COMPUTED_VALUE"""),"Åland (*)")</f>
        <v>Åland (*)</v>
      </c>
      <c r="B22" t="str">
        <f ca="1">IFERROR(__xludf.DUMMYFUNCTION("""COMPUTED_VALUE"""),"FI20")</f>
        <v>FI20</v>
      </c>
    </row>
    <row r="23" spans="1:2" ht="12.5" x14ac:dyDescent="0.25">
      <c r="A23" t="str">
        <f ca="1">IFERROR(__xludf.DUMMYFUNCTION("""COMPUTED_VALUE"""),"Åland (**)")</f>
        <v>Åland (**)</v>
      </c>
      <c r="B23" t="str">
        <f ca="1">IFERROR(__xludf.DUMMYFUNCTION("""COMPUTED_VALUE"""),"FI200")</f>
        <v>FI200</v>
      </c>
    </row>
    <row r="24" spans="1:2" ht="12.5" x14ac:dyDescent="0.25">
      <c r="A24" t="str">
        <f ca="1">IFERROR(__xludf.DUMMYFUNCTION("""COMPUTED_VALUE"""),"Álava")</f>
        <v>Álava</v>
      </c>
      <c r="B24" t="str">
        <f ca="1">IFERROR(__xludf.DUMMYFUNCTION("""COMPUTED_VALUE"""),"ES211")</f>
        <v>ES211</v>
      </c>
    </row>
    <row r="25" spans="1:2" ht="12.5" x14ac:dyDescent="0.25">
      <c r="A25" t="str">
        <f ca="1">IFERROR(__xludf.DUMMYFUNCTION("""COMPUTED_VALUE"""),"Alb-Donau-Kreis")</f>
        <v>Alb-Donau-Kreis</v>
      </c>
      <c r="B25" t="str">
        <f ca="1">IFERROR(__xludf.DUMMYFUNCTION("""COMPUTED_VALUE"""),"DE145")</f>
        <v>DE145</v>
      </c>
    </row>
    <row r="26" spans="1:2" ht="12.5" x14ac:dyDescent="0.25">
      <c r="A26" t="str">
        <f ca="1">IFERROR(__xludf.DUMMYFUNCTION("""COMPUTED_VALUE"""),"Alba")</f>
        <v>Alba</v>
      </c>
      <c r="B26" t="str">
        <f ca="1">IFERROR(__xludf.DUMMYFUNCTION("""COMPUTED_VALUE"""),"RO121")</f>
        <v>RO121</v>
      </c>
    </row>
    <row r="27" spans="1:2" ht="12.5" x14ac:dyDescent="0.25">
      <c r="A27" t="str">
        <f ca="1">IFERROR(__xludf.DUMMYFUNCTION("""COMPUTED_VALUE"""),"Albacete")</f>
        <v>Albacete</v>
      </c>
      <c r="B27" t="str">
        <f ca="1">IFERROR(__xludf.DUMMYFUNCTION("""COMPUTED_VALUE"""),"ES421")</f>
        <v>ES421</v>
      </c>
    </row>
    <row r="28" spans="1:2" ht="12.5" x14ac:dyDescent="0.25">
      <c r="A28" t="str">
        <f ca="1">IFERROR(__xludf.DUMMYFUNCTION("""COMPUTED_VALUE"""),"Alentejo")</f>
        <v>Alentejo</v>
      </c>
      <c r="B28" t="str">
        <f ca="1">IFERROR(__xludf.DUMMYFUNCTION("""COMPUTED_VALUE"""),"PT18")</f>
        <v>PT18</v>
      </c>
    </row>
    <row r="29" spans="1:2" ht="12.5" x14ac:dyDescent="0.25">
      <c r="A29" t="str">
        <f ca="1">IFERROR(__xludf.DUMMYFUNCTION("""COMPUTED_VALUE"""),"Alentejo Central")</f>
        <v>Alentejo Central</v>
      </c>
      <c r="B29" t="str">
        <f ca="1">IFERROR(__xludf.DUMMYFUNCTION("""COMPUTED_VALUE"""),"PT183")</f>
        <v>PT183</v>
      </c>
    </row>
    <row r="30" spans="1:2" ht="12.5" x14ac:dyDescent="0.25">
      <c r="A30" t="str">
        <f ca="1">IFERROR(__xludf.DUMMYFUNCTION("""COMPUTED_VALUE"""),"Alentejo Litoral")</f>
        <v>Alentejo Litoral</v>
      </c>
      <c r="B30" t="str">
        <f ca="1">IFERROR(__xludf.DUMMYFUNCTION("""COMPUTED_VALUE"""),"PT181")</f>
        <v>PT181</v>
      </c>
    </row>
    <row r="31" spans="1:2" ht="12.5" x14ac:dyDescent="0.25">
      <c r="A31" t="str">
        <f ca="1">IFERROR(__xludf.DUMMYFUNCTION("""COMPUTED_VALUE"""),"Alessandria")</f>
        <v>Alessandria</v>
      </c>
      <c r="B31" t="str">
        <f ca="1">IFERROR(__xludf.DUMMYFUNCTION("""COMPUTED_VALUE"""),"ITC18")</f>
        <v>ITC18</v>
      </c>
    </row>
    <row r="32" spans="1:2" ht="12.5" x14ac:dyDescent="0.25">
      <c r="A32" t="str">
        <f ca="1">IFERROR(__xludf.DUMMYFUNCTION("""COMPUTED_VALUE"""),"Alfold Es Eszak")</f>
        <v>Alfold Es Eszak</v>
      </c>
      <c r="B32" t="str">
        <f ca="1">IFERROR(__xludf.DUMMYFUNCTION("""COMPUTED_VALUE"""),"HU3")</f>
        <v>HU3</v>
      </c>
    </row>
    <row r="33" spans="1:2" ht="12.5" x14ac:dyDescent="0.25">
      <c r="A33" t="str">
        <f ca="1">IFERROR(__xludf.DUMMYFUNCTION("""COMPUTED_VALUE"""),"Algarve")</f>
        <v>Algarve</v>
      </c>
      <c r="B33" t="str">
        <f ca="1">IFERROR(__xludf.DUMMYFUNCTION("""COMPUTED_VALUE"""),"PT15")</f>
        <v>PT15</v>
      </c>
    </row>
    <row r="34" spans="1:2" ht="12.5" x14ac:dyDescent="0.25">
      <c r="A34" t="str">
        <f ca="1">IFERROR(__xludf.DUMMYFUNCTION("""COMPUTED_VALUE"""),"Algarve (*)")</f>
        <v>Algarve (*)</v>
      </c>
      <c r="B34" t="str">
        <f ca="1">IFERROR(__xludf.DUMMYFUNCTION("""COMPUTED_VALUE"""),"PT150")</f>
        <v>PT150</v>
      </c>
    </row>
    <row r="35" spans="1:2" ht="12.5" x14ac:dyDescent="0.25">
      <c r="A35" t="str">
        <f ca="1">IFERROR(__xludf.DUMMYFUNCTION("""COMPUTED_VALUE"""),"Alicante - Alacant")</f>
        <v>Alicante - Alacant</v>
      </c>
      <c r="B35" t="str">
        <f ca="1">IFERROR(__xludf.DUMMYFUNCTION("""COMPUTED_VALUE"""),"ES521")</f>
        <v>ES521</v>
      </c>
    </row>
    <row r="36" spans="1:2" ht="12.5" x14ac:dyDescent="0.25">
      <c r="A36" t="str">
        <f ca="1">IFERROR(__xludf.DUMMYFUNCTION("""COMPUTED_VALUE"""),"Alkmaar En Omgeving")</f>
        <v>Alkmaar En Omgeving</v>
      </c>
      <c r="B36" t="str">
        <f ca="1">IFERROR(__xludf.DUMMYFUNCTION("""COMPUTED_VALUE"""),"NL322")</f>
        <v>NL322</v>
      </c>
    </row>
    <row r="37" spans="1:2" ht="12.5" x14ac:dyDescent="0.25">
      <c r="A37" t="str">
        <f ca="1">IFERROR(__xludf.DUMMYFUNCTION("""COMPUTED_VALUE"""),"Allier")</f>
        <v>Allier</v>
      </c>
      <c r="B37" t="str">
        <f ca="1">IFERROR(__xludf.DUMMYFUNCTION("""COMPUTED_VALUE"""),"FR721")</f>
        <v>FR721</v>
      </c>
    </row>
    <row r="38" spans="1:2" ht="12.5" x14ac:dyDescent="0.25">
      <c r="A38" t="str">
        <f ca="1">IFERROR(__xludf.DUMMYFUNCTION("""COMPUTED_VALUE"""),"Almería")</f>
        <v>Almería</v>
      </c>
      <c r="B38" t="str">
        <f ca="1">IFERROR(__xludf.DUMMYFUNCTION("""COMPUTED_VALUE"""),"ES611")</f>
        <v>ES611</v>
      </c>
    </row>
    <row r="39" spans="1:2" ht="12.5" x14ac:dyDescent="0.25">
      <c r="A39" t="str">
        <f ca="1">IFERROR(__xludf.DUMMYFUNCTION("""COMPUTED_VALUE"""),"Alpes-De-Haute-Provence")</f>
        <v>Alpes-De-Haute-Provence</v>
      </c>
      <c r="B39" t="str">
        <f ca="1">IFERROR(__xludf.DUMMYFUNCTION("""COMPUTED_VALUE"""),"FR821")</f>
        <v>FR821</v>
      </c>
    </row>
    <row r="40" spans="1:2" ht="12.5" x14ac:dyDescent="0.25">
      <c r="A40" t="str">
        <f ca="1">IFERROR(__xludf.DUMMYFUNCTION("""COMPUTED_VALUE"""),"Alpes-Maritimes")</f>
        <v>Alpes-Maritimes</v>
      </c>
      <c r="B40" t="str">
        <f ca="1">IFERROR(__xludf.DUMMYFUNCTION("""COMPUTED_VALUE"""),"FR823")</f>
        <v>FR823</v>
      </c>
    </row>
    <row r="41" spans="1:2" ht="12.5" x14ac:dyDescent="0.25">
      <c r="A41" t="str">
        <f ca="1">IFERROR(__xludf.DUMMYFUNCTION("""COMPUTED_VALUE"""),"Alsace")</f>
        <v>Alsace</v>
      </c>
      <c r="B41" t="str">
        <f ca="1">IFERROR(__xludf.DUMMYFUNCTION("""COMPUTED_VALUE"""),"FR42")</f>
        <v>FR42</v>
      </c>
    </row>
    <row r="42" spans="1:2" ht="12.5" x14ac:dyDescent="0.25">
      <c r="A42" t="str">
        <f ca="1">IFERROR(__xludf.DUMMYFUNCTION("""COMPUTED_VALUE"""),"Altenburger Land")</f>
        <v>Altenburger Land</v>
      </c>
      <c r="B42" t="str">
        <f ca="1">IFERROR(__xludf.DUMMYFUNCTION("""COMPUTED_VALUE"""),"DEG0M")</f>
        <v>DEG0M</v>
      </c>
    </row>
    <row r="43" spans="1:2" ht="12.5" x14ac:dyDescent="0.25">
      <c r="A43" t="str">
        <f ca="1">IFERROR(__xludf.DUMMYFUNCTION("""COMPUTED_VALUE"""),"Altenkirchen (Westerwald)")</f>
        <v>Altenkirchen (Westerwald)</v>
      </c>
      <c r="B43" t="str">
        <f ca="1">IFERROR(__xludf.DUMMYFUNCTION("""COMPUTED_VALUE"""),"DEB13")</f>
        <v>DEB13</v>
      </c>
    </row>
    <row r="44" spans="1:2" ht="12.5" x14ac:dyDescent="0.25">
      <c r="A44" t="str">
        <f ca="1">IFERROR(__xludf.DUMMYFUNCTION("""COMPUTED_VALUE"""),"Altmarkkreis Salzwedel")</f>
        <v>Altmarkkreis Salzwedel</v>
      </c>
      <c r="B44" t="str">
        <f ca="1">IFERROR(__xludf.DUMMYFUNCTION("""COMPUTED_VALUE"""),"DEE04")</f>
        <v>DEE04</v>
      </c>
    </row>
    <row r="45" spans="1:2" ht="12.5" x14ac:dyDescent="0.25">
      <c r="A45" t="str">
        <f ca="1">IFERROR(__xludf.DUMMYFUNCTION("""COMPUTED_VALUE"""),"Alto Alentejo")</f>
        <v>Alto Alentejo</v>
      </c>
      <c r="B45" t="str">
        <f ca="1">IFERROR(__xludf.DUMMYFUNCTION("""COMPUTED_VALUE"""),"PT182")</f>
        <v>PT182</v>
      </c>
    </row>
    <row r="46" spans="1:2" ht="12.5" x14ac:dyDescent="0.25">
      <c r="A46" t="str">
        <f ca="1">IFERROR(__xludf.DUMMYFUNCTION("""COMPUTED_VALUE"""),"Alto Trás-Os-Montes")</f>
        <v>Alto Trás-Os-Montes</v>
      </c>
      <c r="B46" t="str">
        <f ca="1">IFERROR(__xludf.DUMMYFUNCTION("""COMPUTED_VALUE"""),"PT118")</f>
        <v>PT118</v>
      </c>
    </row>
    <row r="47" spans="1:2" ht="12.5" x14ac:dyDescent="0.25">
      <c r="A47" t="str">
        <f ca="1">IFERROR(__xludf.DUMMYFUNCTION("""COMPUTED_VALUE"""),"Altötting")</f>
        <v>Altötting</v>
      </c>
      <c r="B47" t="str">
        <f ca="1">IFERROR(__xludf.DUMMYFUNCTION("""COMPUTED_VALUE"""),"DE214")</f>
        <v>DE214</v>
      </c>
    </row>
    <row r="48" spans="1:2" ht="12.5" x14ac:dyDescent="0.25">
      <c r="A48" t="str">
        <f ca="1">IFERROR(__xludf.DUMMYFUNCTION("""COMPUTED_VALUE"""),"Alytaus Apskritis")</f>
        <v>Alytaus Apskritis</v>
      </c>
      <c r="B48" t="str">
        <f ca="1">IFERROR(__xludf.DUMMYFUNCTION("""COMPUTED_VALUE"""),"LT001")</f>
        <v>LT001</v>
      </c>
    </row>
    <row r="49" spans="1:2" ht="12.5" x14ac:dyDescent="0.25">
      <c r="A49" t="str">
        <f ca="1">IFERROR(__xludf.DUMMYFUNCTION("""COMPUTED_VALUE"""),"Alzey-Worms")</f>
        <v>Alzey-Worms</v>
      </c>
      <c r="B49" t="str">
        <f ca="1">IFERROR(__xludf.DUMMYFUNCTION("""COMPUTED_VALUE"""),"DEB3B")</f>
        <v>DEB3B</v>
      </c>
    </row>
    <row r="50" spans="1:2" ht="12.5" x14ac:dyDescent="0.25">
      <c r="A50" t="str">
        <f ca="1">IFERROR(__xludf.DUMMYFUNCTION("""COMPUTED_VALUE"""),"Amberg-Sulzbach")</f>
        <v>Amberg-Sulzbach</v>
      </c>
      <c r="B50" t="str">
        <f ca="1">IFERROR(__xludf.DUMMYFUNCTION("""COMPUTED_VALUE"""),"DE234")</f>
        <v>DE234</v>
      </c>
    </row>
    <row r="51" spans="1:2" ht="12.5" x14ac:dyDescent="0.25">
      <c r="A51" t="str">
        <f ca="1">IFERROR(__xludf.DUMMYFUNCTION("""COMPUTED_VALUE"""),"Amberg, Kreisfreie Stadt")</f>
        <v>Amberg, Kreisfreie Stadt</v>
      </c>
      <c r="B51" t="str">
        <f ca="1">IFERROR(__xludf.DUMMYFUNCTION("""COMPUTED_VALUE"""),"DE231")</f>
        <v>DE231</v>
      </c>
    </row>
    <row r="52" spans="1:2" ht="12.5" x14ac:dyDescent="0.25">
      <c r="A52" t="str">
        <f ca="1">IFERROR(__xludf.DUMMYFUNCTION("""COMPUTED_VALUE"""),"Ammerland")</f>
        <v>Ammerland</v>
      </c>
      <c r="B52" t="str">
        <f ca="1">IFERROR(__xludf.DUMMYFUNCTION("""COMPUTED_VALUE"""),"DE946")</f>
        <v>DE946</v>
      </c>
    </row>
    <row r="53" spans="1:2" ht="12.5" x14ac:dyDescent="0.25">
      <c r="A53" t="str">
        <f ca="1">IFERROR(__xludf.DUMMYFUNCTION("""COMPUTED_VALUE"""),"Anatoliki Makedonia, Thraki")</f>
        <v>Anatoliki Makedonia, Thraki</v>
      </c>
      <c r="B53" t="str">
        <f ca="1">IFERROR(__xludf.DUMMYFUNCTION("""COMPUTED_VALUE"""),"GR11")</f>
        <v>GR11</v>
      </c>
    </row>
    <row r="54" spans="1:2" ht="12.5" x14ac:dyDescent="0.25">
      <c r="A54" t="str">
        <f ca="1">IFERROR(__xludf.DUMMYFUNCTION("""COMPUTED_VALUE"""),"Ancona")</f>
        <v>Ancona</v>
      </c>
      <c r="B54" t="str">
        <f ca="1">IFERROR(__xludf.DUMMYFUNCTION("""COMPUTED_VALUE"""),"ITE32")</f>
        <v>ITE32</v>
      </c>
    </row>
    <row r="55" spans="1:2" ht="12.5" x14ac:dyDescent="0.25">
      <c r="A55" t="str">
        <f ca="1">IFERROR(__xludf.DUMMYFUNCTION("""COMPUTED_VALUE"""),"Andalucía")</f>
        <v>Andalucía</v>
      </c>
      <c r="B55" t="str">
        <f ca="1">IFERROR(__xludf.DUMMYFUNCTION("""COMPUTED_VALUE"""),"ES61")</f>
        <v>ES61</v>
      </c>
    </row>
    <row r="56" spans="1:2" ht="12.5" x14ac:dyDescent="0.25">
      <c r="A56" t="str">
        <f ca="1">IFERROR(__xludf.DUMMYFUNCTION("""COMPUTED_VALUE"""),"Angus And Dundee City")</f>
        <v>Angus And Dundee City</v>
      </c>
      <c r="B56" t="str">
        <f ca="1">IFERROR(__xludf.DUMMYFUNCTION("""COMPUTED_VALUE"""),"UKM21")</f>
        <v>UKM21</v>
      </c>
    </row>
    <row r="57" spans="1:2" ht="12.5" x14ac:dyDescent="0.25">
      <c r="A57" t="str">
        <f ca="1">IFERROR(__xludf.DUMMYFUNCTION("""COMPUTED_VALUE"""),"Anhalt-Bitterfeld")</f>
        <v>Anhalt-Bitterfeld</v>
      </c>
      <c r="B57" t="str">
        <f ca="1">IFERROR(__xludf.DUMMYFUNCTION("""COMPUTED_VALUE"""),"DEE05")</f>
        <v>DEE05</v>
      </c>
    </row>
    <row r="58" spans="1:2" ht="12.5" x14ac:dyDescent="0.25">
      <c r="A58" t="str">
        <f ca="1">IFERROR(__xludf.DUMMYFUNCTION("""COMPUTED_VALUE"""),"Annaberg")</f>
        <v>Annaberg</v>
      </c>
      <c r="B58" t="str">
        <f ca="1">IFERROR(__xludf.DUMMYFUNCTION("""COMPUTED_VALUE"""),"DED14")</f>
        <v>DED14</v>
      </c>
    </row>
    <row r="59" spans="1:2" ht="12.5" x14ac:dyDescent="0.25">
      <c r="A59" t="str">
        <f ca="1">IFERROR(__xludf.DUMMYFUNCTION("""COMPUTED_VALUE"""),"Ansbach, Kreisfreie Stadt")</f>
        <v>Ansbach, Kreisfreie Stadt</v>
      </c>
      <c r="B59" t="str">
        <f ca="1">IFERROR(__xludf.DUMMYFUNCTION("""COMPUTED_VALUE"""),"DE251")</f>
        <v>DE251</v>
      </c>
    </row>
    <row r="60" spans="1:2" ht="12.5" x14ac:dyDescent="0.25">
      <c r="A60" t="str">
        <f ca="1">IFERROR(__xludf.DUMMYFUNCTION("""COMPUTED_VALUE"""),"Ansbach, Landkreis")</f>
        <v>Ansbach, Landkreis</v>
      </c>
      <c r="B60" t="str">
        <f ca="1">IFERROR(__xludf.DUMMYFUNCTION("""COMPUTED_VALUE"""),"DE256")</f>
        <v>DE256</v>
      </c>
    </row>
    <row r="61" spans="1:2" ht="12.5" x14ac:dyDescent="0.25">
      <c r="A61" t="str">
        <f ca="1">IFERROR(__xludf.DUMMYFUNCTION("""COMPUTED_VALUE"""),"Appenzell Ausserrhoden")</f>
        <v>Appenzell Ausserrhoden</v>
      </c>
      <c r="B61" t="str">
        <f ca="1">IFERROR(__xludf.DUMMYFUNCTION("""COMPUTED_VALUE"""),"CH053")</f>
        <v>CH053</v>
      </c>
    </row>
    <row r="62" spans="1:2" ht="12.5" x14ac:dyDescent="0.25">
      <c r="A62" t="str">
        <f ca="1">IFERROR(__xludf.DUMMYFUNCTION("""COMPUTED_VALUE"""),"Appenzell Innerrhoden")</f>
        <v>Appenzell Innerrhoden</v>
      </c>
      <c r="B62" t="str">
        <f ca="1">IFERROR(__xludf.DUMMYFUNCTION("""COMPUTED_VALUE"""),"CH054")</f>
        <v>CH054</v>
      </c>
    </row>
    <row r="63" spans="1:2" ht="12.5" x14ac:dyDescent="0.25">
      <c r="A63" t="str">
        <f ca="1">IFERROR(__xludf.DUMMYFUNCTION("""COMPUTED_VALUE"""),"Aquitaine")</f>
        <v>Aquitaine</v>
      </c>
      <c r="B63" t="str">
        <f ca="1">IFERROR(__xludf.DUMMYFUNCTION("""COMPUTED_VALUE"""),"FR61")</f>
        <v>FR61</v>
      </c>
    </row>
    <row r="64" spans="1:2" ht="12.5" x14ac:dyDescent="0.25">
      <c r="A64" t="str">
        <f ca="1">IFERROR(__xludf.DUMMYFUNCTION("""COMPUTED_VALUE"""),"Arad")</f>
        <v>Arad</v>
      </c>
      <c r="B64" t="str">
        <f ca="1">IFERROR(__xludf.DUMMYFUNCTION("""COMPUTED_VALUE"""),"RO421")</f>
        <v>RO421</v>
      </c>
    </row>
    <row r="65" spans="1:2" ht="12.5" x14ac:dyDescent="0.25">
      <c r="A65" t="str">
        <f ca="1">IFERROR(__xludf.DUMMYFUNCTION("""COMPUTED_VALUE"""),"Aragón")</f>
        <v>Aragón</v>
      </c>
      <c r="B65" t="str">
        <f ca="1">IFERROR(__xludf.DUMMYFUNCTION("""COMPUTED_VALUE"""),"ES24")</f>
        <v>ES24</v>
      </c>
    </row>
    <row r="66" spans="1:2" ht="12.5" x14ac:dyDescent="0.25">
      <c r="A66" t="str">
        <f ca="1">IFERROR(__xludf.DUMMYFUNCTION("""COMPUTED_VALUE"""),"Ardèche")</f>
        <v>Ardèche</v>
      </c>
      <c r="B66" t="str">
        <f ca="1">IFERROR(__xludf.DUMMYFUNCTION("""COMPUTED_VALUE"""),"FR712")</f>
        <v>FR712</v>
      </c>
    </row>
    <row r="67" spans="1:2" ht="12.5" x14ac:dyDescent="0.25">
      <c r="A67" t="str">
        <f ca="1">IFERROR(__xludf.DUMMYFUNCTION("""COMPUTED_VALUE"""),"Ardennes")</f>
        <v>Ardennes</v>
      </c>
      <c r="B67" t="str">
        <f ca="1">IFERROR(__xludf.DUMMYFUNCTION("""COMPUTED_VALUE"""),"FR211")</f>
        <v>FR211</v>
      </c>
    </row>
    <row r="68" spans="1:2" ht="12.5" x14ac:dyDescent="0.25">
      <c r="A68" t="str">
        <f ca="1">IFERROR(__xludf.DUMMYFUNCTION("""COMPUTED_VALUE"""),"Arezzo")</f>
        <v>Arezzo</v>
      </c>
      <c r="B68" t="str">
        <f ca="1">IFERROR(__xludf.DUMMYFUNCTION("""COMPUTED_VALUE"""),"ITE18")</f>
        <v>ITE18</v>
      </c>
    </row>
    <row r="69" spans="1:2" ht="12.5" x14ac:dyDescent="0.25">
      <c r="A69" t="str">
        <f ca="1">IFERROR(__xludf.DUMMYFUNCTION("""COMPUTED_VALUE"""),"Arges")</f>
        <v>Arges</v>
      </c>
      <c r="B69" t="str">
        <f ca="1">IFERROR(__xludf.DUMMYFUNCTION("""COMPUTED_VALUE"""),"RO311")</f>
        <v>RO311</v>
      </c>
    </row>
    <row r="70" spans="1:2" ht="12.5" x14ac:dyDescent="0.25">
      <c r="A70" t="str">
        <f ca="1">IFERROR(__xludf.DUMMYFUNCTION("""COMPUTED_VALUE"""),"Argolida")</f>
        <v>Argolida</v>
      </c>
      <c r="B70" t="str">
        <f ca="1">IFERROR(__xludf.DUMMYFUNCTION("""COMPUTED_VALUE"""),"GR251")</f>
        <v>GR251</v>
      </c>
    </row>
    <row r="71" spans="1:2" ht="12.5" x14ac:dyDescent="0.25">
      <c r="A71" t="str">
        <f ca="1">IFERROR(__xludf.DUMMYFUNCTION("""COMPUTED_VALUE"""),"Ariège")</f>
        <v>Ariège</v>
      </c>
      <c r="B71" t="str">
        <f ca="1">IFERROR(__xludf.DUMMYFUNCTION("""COMPUTED_VALUE"""),"FR621")</f>
        <v>FR621</v>
      </c>
    </row>
    <row r="72" spans="1:2" ht="12.5" x14ac:dyDescent="0.25">
      <c r="A72" t="str">
        <f ca="1">IFERROR(__xludf.DUMMYFUNCTION("""COMPUTED_VALUE"""),"Arkadia")</f>
        <v>Arkadia</v>
      </c>
      <c r="B72" t="str">
        <f ca="1">IFERROR(__xludf.DUMMYFUNCTION("""COMPUTED_VALUE"""),"GR252")</f>
        <v>GR252</v>
      </c>
    </row>
    <row r="73" spans="1:2" ht="12.5" x14ac:dyDescent="0.25">
      <c r="A73" t="str">
        <f ca="1">IFERROR(__xludf.DUMMYFUNCTION("""COMPUTED_VALUE"""),"Arnhem-Nijmegen")</f>
        <v>Arnhem-Nijmegen</v>
      </c>
      <c r="B73" t="str">
        <f ca="1">IFERROR(__xludf.DUMMYFUNCTION("""COMPUTED_VALUE"""),"NL226")</f>
        <v>NL226</v>
      </c>
    </row>
    <row r="74" spans="1:2" ht="12.5" x14ac:dyDescent="0.25">
      <c r="A74" t="str">
        <f ca="1">IFERROR(__xludf.DUMMYFUNCTION("""COMPUTED_VALUE"""),"Arnsberg")</f>
        <v>Arnsberg</v>
      </c>
      <c r="B74" t="str">
        <f ca="1">IFERROR(__xludf.DUMMYFUNCTION("""COMPUTED_VALUE"""),"DEA5")</f>
        <v>DEA5</v>
      </c>
    </row>
    <row r="75" spans="1:2" ht="12.5" x14ac:dyDescent="0.25">
      <c r="A75" t="str">
        <f ca="1">IFERROR(__xludf.DUMMYFUNCTION("""COMPUTED_VALUE"""),"Arr. Aalst")</f>
        <v>Arr. Aalst</v>
      </c>
      <c r="B75" t="str">
        <f ca="1">IFERROR(__xludf.DUMMYFUNCTION("""COMPUTED_VALUE"""),"BE231")</f>
        <v>BE231</v>
      </c>
    </row>
    <row r="76" spans="1:2" ht="12.5" x14ac:dyDescent="0.25">
      <c r="A76" t="str">
        <f ca="1">IFERROR(__xludf.DUMMYFUNCTION("""COMPUTED_VALUE"""),"Arr. Antwerpen")</f>
        <v>Arr. Antwerpen</v>
      </c>
      <c r="B76" t="str">
        <f ca="1">IFERROR(__xludf.DUMMYFUNCTION("""COMPUTED_VALUE"""),"BE211")</f>
        <v>BE211</v>
      </c>
    </row>
    <row r="77" spans="1:2" ht="12.5" x14ac:dyDescent="0.25">
      <c r="A77" t="str">
        <f ca="1">IFERROR(__xludf.DUMMYFUNCTION("""COMPUTED_VALUE"""),"Arr. Arlon")</f>
        <v>Arr. Arlon</v>
      </c>
      <c r="B77" t="str">
        <f ca="1">IFERROR(__xludf.DUMMYFUNCTION("""COMPUTED_VALUE"""),"BE341")</f>
        <v>BE341</v>
      </c>
    </row>
    <row r="78" spans="1:2" ht="12.5" x14ac:dyDescent="0.25">
      <c r="A78" t="str">
        <f ca="1">IFERROR(__xludf.DUMMYFUNCTION("""COMPUTED_VALUE"""),"Arr. Ath")</f>
        <v>Arr. Ath</v>
      </c>
      <c r="B78" t="str">
        <f ca="1">IFERROR(__xludf.DUMMYFUNCTION("""COMPUTED_VALUE"""),"BE321")</f>
        <v>BE321</v>
      </c>
    </row>
    <row r="79" spans="1:2" ht="12.5" x14ac:dyDescent="0.25">
      <c r="A79" t="str">
        <f ca="1">IFERROR(__xludf.DUMMYFUNCTION("""COMPUTED_VALUE"""),"Arr. Bastogne")</f>
        <v>Arr. Bastogne</v>
      </c>
      <c r="B79" t="str">
        <f ca="1">IFERROR(__xludf.DUMMYFUNCTION("""COMPUTED_VALUE"""),"BE342")</f>
        <v>BE342</v>
      </c>
    </row>
    <row r="80" spans="1:2" ht="12.5" x14ac:dyDescent="0.25">
      <c r="A80" t="str">
        <f ca="1">IFERROR(__xludf.DUMMYFUNCTION("""COMPUTED_VALUE"""),"Arr. Brugge")</f>
        <v>Arr. Brugge</v>
      </c>
      <c r="B80" t="str">
        <f ca="1">IFERROR(__xludf.DUMMYFUNCTION("""COMPUTED_VALUE"""),"BE251")</f>
        <v>BE251</v>
      </c>
    </row>
    <row r="81" spans="1:2" ht="12.5" x14ac:dyDescent="0.25">
      <c r="A81" t="str">
        <f ca="1">IFERROR(__xludf.DUMMYFUNCTION("""COMPUTED_VALUE"""),"Arr. Charleroi")</f>
        <v>Arr. Charleroi</v>
      </c>
      <c r="B81" t="str">
        <f ca="1">IFERROR(__xludf.DUMMYFUNCTION("""COMPUTED_VALUE"""),"BE322")</f>
        <v>BE322</v>
      </c>
    </row>
    <row r="82" spans="1:2" ht="12.5" x14ac:dyDescent="0.25">
      <c r="A82" t="str">
        <f ca="1">IFERROR(__xludf.DUMMYFUNCTION("""COMPUTED_VALUE"""),"Arr. De Bruxelles-Capitale - Arr. Van Brussel-Hoofdstad")</f>
        <v>Arr. De Bruxelles-Capitale - Arr. Van Brussel-Hoofdstad</v>
      </c>
      <c r="B82" t="str">
        <f ca="1">IFERROR(__xludf.DUMMYFUNCTION("""COMPUTED_VALUE"""),"BE100")</f>
        <v>BE100</v>
      </c>
    </row>
    <row r="83" spans="1:2" ht="12.5" x14ac:dyDescent="0.25">
      <c r="A83" t="str">
        <f ca="1">IFERROR(__xludf.DUMMYFUNCTION("""COMPUTED_VALUE"""),"Arr. Dendermonde")</f>
        <v>Arr. Dendermonde</v>
      </c>
      <c r="B83" t="str">
        <f ca="1">IFERROR(__xludf.DUMMYFUNCTION("""COMPUTED_VALUE"""),"BE232")</f>
        <v>BE232</v>
      </c>
    </row>
    <row r="84" spans="1:2" ht="12.5" x14ac:dyDescent="0.25">
      <c r="A84" t="str">
        <f ca="1">IFERROR(__xludf.DUMMYFUNCTION("""COMPUTED_VALUE"""),"Arr. Diksmuide")</f>
        <v>Arr. Diksmuide</v>
      </c>
      <c r="B84" t="str">
        <f ca="1">IFERROR(__xludf.DUMMYFUNCTION("""COMPUTED_VALUE"""),"BE252")</f>
        <v>BE252</v>
      </c>
    </row>
    <row r="85" spans="1:2" ht="12.5" x14ac:dyDescent="0.25">
      <c r="A85" t="str">
        <f ca="1">IFERROR(__xludf.DUMMYFUNCTION("""COMPUTED_VALUE"""),"Arr. Dinant")</f>
        <v>Arr. Dinant</v>
      </c>
      <c r="B85" t="str">
        <f ca="1">IFERROR(__xludf.DUMMYFUNCTION("""COMPUTED_VALUE"""),"BE351")</f>
        <v>BE351</v>
      </c>
    </row>
    <row r="86" spans="1:2" ht="12.5" x14ac:dyDescent="0.25">
      <c r="A86" t="str">
        <f ca="1">IFERROR(__xludf.DUMMYFUNCTION("""COMPUTED_VALUE"""),"Arr. Eeklo")</f>
        <v>Arr. Eeklo</v>
      </c>
      <c r="B86" t="str">
        <f ca="1">IFERROR(__xludf.DUMMYFUNCTION("""COMPUTED_VALUE"""),"BE233")</f>
        <v>BE233</v>
      </c>
    </row>
    <row r="87" spans="1:2" ht="12.5" x14ac:dyDescent="0.25">
      <c r="A87" t="str">
        <f ca="1">IFERROR(__xludf.DUMMYFUNCTION("""COMPUTED_VALUE"""),"Arr. Gent")</f>
        <v>Arr. Gent</v>
      </c>
      <c r="B87" t="str">
        <f ca="1">IFERROR(__xludf.DUMMYFUNCTION("""COMPUTED_VALUE"""),"BE234")</f>
        <v>BE234</v>
      </c>
    </row>
    <row r="88" spans="1:2" ht="12.5" x14ac:dyDescent="0.25">
      <c r="A88" t="str">
        <f ca="1">IFERROR(__xludf.DUMMYFUNCTION("""COMPUTED_VALUE"""),"Arr. Halle-Vilvoorde")</f>
        <v>Arr. Halle-Vilvoorde</v>
      </c>
      <c r="B88" t="str">
        <f ca="1">IFERROR(__xludf.DUMMYFUNCTION("""COMPUTED_VALUE"""),"BE241")</f>
        <v>BE241</v>
      </c>
    </row>
    <row r="89" spans="1:2" ht="12.5" x14ac:dyDescent="0.25">
      <c r="A89" t="str">
        <f ca="1">IFERROR(__xludf.DUMMYFUNCTION("""COMPUTED_VALUE"""),"Arr. Hasselt")</f>
        <v>Arr. Hasselt</v>
      </c>
      <c r="B89" t="str">
        <f ca="1">IFERROR(__xludf.DUMMYFUNCTION("""COMPUTED_VALUE"""),"BE221")</f>
        <v>BE221</v>
      </c>
    </row>
    <row r="90" spans="1:2" ht="12.5" x14ac:dyDescent="0.25">
      <c r="A90" t="str">
        <f ca="1">IFERROR(__xludf.DUMMYFUNCTION("""COMPUTED_VALUE"""),"Arr. Huy")</f>
        <v>Arr. Huy</v>
      </c>
      <c r="B90" t="str">
        <f ca="1">IFERROR(__xludf.DUMMYFUNCTION("""COMPUTED_VALUE"""),"BE331")</f>
        <v>BE331</v>
      </c>
    </row>
    <row r="91" spans="1:2" ht="12.5" x14ac:dyDescent="0.25">
      <c r="A91" t="str">
        <f ca="1">IFERROR(__xludf.DUMMYFUNCTION("""COMPUTED_VALUE"""),"Arr. Ieper")</f>
        <v>Arr. Ieper</v>
      </c>
      <c r="B91" t="str">
        <f ca="1">IFERROR(__xludf.DUMMYFUNCTION("""COMPUTED_VALUE"""),"BE253")</f>
        <v>BE253</v>
      </c>
    </row>
    <row r="92" spans="1:2" ht="12.5" x14ac:dyDescent="0.25">
      <c r="A92" t="str">
        <f ca="1">IFERROR(__xludf.DUMMYFUNCTION("""COMPUTED_VALUE"""),"Arr. Kortrijk")</f>
        <v>Arr. Kortrijk</v>
      </c>
      <c r="B92" t="str">
        <f ca="1">IFERROR(__xludf.DUMMYFUNCTION("""COMPUTED_VALUE"""),"BE254")</f>
        <v>BE254</v>
      </c>
    </row>
    <row r="93" spans="1:2" ht="12.5" x14ac:dyDescent="0.25">
      <c r="A93" t="str">
        <f ca="1">IFERROR(__xludf.DUMMYFUNCTION("""COMPUTED_VALUE"""),"Arr. Leuven")</f>
        <v>Arr. Leuven</v>
      </c>
      <c r="B93" t="str">
        <f ca="1">IFERROR(__xludf.DUMMYFUNCTION("""COMPUTED_VALUE"""),"BE242")</f>
        <v>BE242</v>
      </c>
    </row>
    <row r="94" spans="1:2" ht="12.5" x14ac:dyDescent="0.25">
      <c r="A94" t="str">
        <f ca="1">IFERROR(__xludf.DUMMYFUNCTION("""COMPUTED_VALUE"""),"Arr. Liège")</f>
        <v>Arr. Liège</v>
      </c>
      <c r="B94" t="str">
        <f ca="1">IFERROR(__xludf.DUMMYFUNCTION("""COMPUTED_VALUE"""),"BE332")</f>
        <v>BE332</v>
      </c>
    </row>
    <row r="95" spans="1:2" ht="12.5" x14ac:dyDescent="0.25">
      <c r="A95" t="str">
        <f ca="1">IFERROR(__xludf.DUMMYFUNCTION("""COMPUTED_VALUE"""),"Arr. Maaseik")</f>
        <v>Arr. Maaseik</v>
      </c>
      <c r="B95" t="str">
        <f ca="1">IFERROR(__xludf.DUMMYFUNCTION("""COMPUTED_VALUE"""),"BE222")</f>
        <v>BE222</v>
      </c>
    </row>
    <row r="96" spans="1:2" ht="12.5" x14ac:dyDescent="0.25">
      <c r="A96" t="str">
        <f ca="1">IFERROR(__xludf.DUMMYFUNCTION("""COMPUTED_VALUE"""),"Arr. Marche-En-Famenne")</f>
        <v>Arr. Marche-En-Famenne</v>
      </c>
      <c r="B96" t="str">
        <f ca="1">IFERROR(__xludf.DUMMYFUNCTION("""COMPUTED_VALUE"""),"BE343")</f>
        <v>BE343</v>
      </c>
    </row>
    <row r="97" spans="1:2" ht="12.5" x14ac:dyDescent="0.25">
      <c r="A97" t="str">
        <f ca="1">IFERROR(__xludf.DUMMYFUNCTION("""COMPUTED_VALUE"""),"Arr. Mechelen")</f>
        <v>Arr. Mechelen</v>
      </c>
      <c r="B97" t="str">
        <f ca="1">IFERROR(__xludf.DUMMYFUNCTION("""COMPUTED_VALUE"""),"BE212")</f>
        <v>BE212</v>
      </c>
    </row>
    <row r="98" spans="1:2" ht="12.5" x14ac:dyDescent="0.25">
      <c r="A98" t="str">
        <f ca="1">IFERROR(__xludf.DUMMYFUNCTION("""COMPUTED_VALUE"""),"Arr. Mons")</f>
        <v>Arr. Mons</v>
      </c>
      <c r="B98" t="str">
        <f ca="1">IFERROR(__xludf.DUMMYFUNCTION("""COMPUTED_VALUE"""),"BE323")</f>
        <v>BE323</v>
      </c>
    </row>
    <row r="99" spans="1:2" ht="12.5" x14ac:dyDescent="0.25">
      <c r="A99" t="str">
        <f ca="1">IFERROR(__xludf.DUMMYFUNCTION("""COMPUTED_VALUE"""),"Arr. Mouscron")</f>
        <v>Arr. Mouscron</v>
      </c>
      <c r="B99" t="str">
        <f ca="1">IFERROR(__xludf.DUMMYFUNCTION("""COMPUTED_VALUE"""),"BE324")</f>
        <v>BE324</v>
      </c>
    </row>
    <row r="100" spans="1:2" ht="12.5" x14ac:dyDescent="0.25">
      <c r="A100" t="str">
        <f ca="1">IFERROR(__xludf.DUMMYFUNCTION("""COMPUTED_VALUE"""),"Arr. Namur")</f>
        <v>Arr. Namur</v>
      </c>
      <c r="B100" t="str">
        <f ca="1">IFERROR(__xludf.DUMMYFUNCTION("""COMPUTED_VALUE"""),"BE352")</f>
        <v>BE352</v>
      </c>
    </row>
    <row r="101" spans="1:2" ht="12.5" x14ac:dyDescent="0.25">
      <c r="A101" t="str">
        <f ca="1">IFERROR(__xludf.DUMMYFUNCTION("""COMPUTED_VALUE"""),"Arr. Neufchâteau")</f>
        <v>Arr. Neufchâteau</v>
      </c>
      <c r="B101" t="str">
        <f ca="1">IFERROR(__xludf.DUMMYFUNCTION("""COMPUTED_VALUE"""),"BE344")</f>
        <v>BE344</v>
      </c>
    </row>
    <row r="102" spans="1:2" ht="12.5" x14ac:dyDescent="0.25">
      <c r="A102" t="str">
        <f ca="1">IFERROR(__xludf.DUMMYFUNCTION("""COMPUTED_VALUE"""),"Arr. Nivelles")</f>
        <v>Arr. Nivelles</v>
      </c>
      <c r="B102" t="str">
        <f ca="1">IFERROR(__xludf.DUMMYFUNCTION("""COMPUTED_VALUE"""),"BE310")</f>
        <v>BE310</v>
      </c>
    </row>
    <row r="103" spans="1:2" ht="12.5" x14ac:dyDescent="0.25">
      <c r="A103" t="str">
        <f ca="1">IFERROR(__xludf.DUMMYFUNCTION("""COMPUTED_VALUE"""),"Arr. Oostende")</f>
        <v>Arr. Oostende</v>
      </c>
      <c r="B103" t="str">
        <f ca="1">IFERROR(__xludf.DUMMYFUNCTION("""COMPUTED_VALUE"""),"BE255")</f>
        <v>BE255</v>
      </c>
    </row>
    <row r="104" spans="1:2" ht="12.5" x14ac:dyDescent="0.25">
      <c r="A104" t="str">
        <f ca="1">IFERROR(__xludf.DUMMYFUNCTION("""COMPUTED_VALUE"""),"Arr. Oudenaarde")</f>
        <v>Arr. Oudenaarde</v>
      </c>
      <c r="B104" t="str">
        <f ca="1">IFERROR(__xludf.DUMMYFUNCTION("""COMPUTED_VALUE"""),"BE235")</f>
        <v>BE235</v>
      </c>
    </row>
    <row r="105" spans="1:2" ht="12.5" x14ac:dyDescent="0.25">
      <c r="A105" t="str">
        <f ca="1">IFERROR(__xludf.DUMMYFUNCTION("""COMPUTED_VALUE"""),"Arr. Philippeville")</f>
        <v>Arr. Philippeville</v>
      </c>
      <c r="B105" t="str">
        <f ca="1">IFERROR(__xludf.DUMMYFUNCTION("""COMPUTED_VALUE"""),"BE353")</f>
        <v>BE353</v>
      </c>
    </row>
    <row r="106" spans="1:2" ht="12.5" x14ac:dyDescent="0.25">
      <c r="A106" t="str">
        <f ca="1">IFERROR(__xludf.DUMMYFUNCTION("""COMPUTED_VALUE"""),"Arr. Roeselare")</f>
        <v>Arr. Roeselare</v>
      </c>
      <c r="B106" t="str">
        <f ca="1">IFERROR(__xludf.DUMMYFUNCTION("""COMPUTED_VALUE"""),"BE256")</f>
        <v>BE256</v>
      </c>
    </row>
    <row r="107" spans="1:2" ht="12.5" x14ac:dyDescent="0.25">
      <c r="A107" t="str">
        <f ca="1">IFERROR(__xludf.DUMMYFUNCTION("""COMPUTED_VALUE"""),"Arr. Sint-Niklaas")</f>
        <v>Arr. Sint-Niklaas</v>
      </c>
      <c r="B107" t="str">
        <f ca="1">IFERROR(__xludf.DUMMYFUNCTION("""COMPUTED_VALUE"""),"BE236")</f>
        <v>BE236</v>
      </c>
    </row>
    <row r="108" spans="1:2" ht="12.5" x14ac:dyDescent="0.25">
      <c r="A108" t="str">
        <f ca="1">IFERROR(__xludf.DUMMYFUNCTION("""COMPUTED_VALUE"""),"Arr. Soignies")</f>
        <v>Arr. Soignies</v>
      </c>
      <c r="B108" t="str">
        <f ca="1">IFERROR(__xludf.DUMMYFUNCTION("""COMPUTED_VALUE"""),"BE325")</f>
        <v>BE325</v>
      </c>
    </row>
    <row r="109" spans="1:2" ht="12.5" x14ac:dyDescent="0.25">
      <c r="A109" t="str">
        <f ca="1">IFERROR(__xludf.DUMMYFUNCTION("""COMPUTED_VALUE"""),"Arr. Thuin")</f>
        <v>Arr. Thuin</v>
      </c>
      <c r="B109" t="str">
        <f ca="1">IFERROR(__xludf.DUMMYFUNCTION("""COMPUTED_VALUE"""),"BE326")</f>
        <v>BE326</v>
      </c>
    </row>
    <row r="110" spans="1:2" ht="12.5" x14ac:dyDescent="0.25">
      <c r="A110" t="str">
        <f ca="1">IFERROR(__xludf.DUMMYFUNCTION("""COMPUTED_VALUE"""),"Arr. Tielt")</f>
        <v>Arr. Tielt</v>
      </c>
      <c r="B110" t="str">
        <f ca="1">IFERROR(__xludf.DUMMYFUNCTION("""COMPUTED_VALUE"""),"BE257")</f>
        <v>BE257</v>
      </c>
    </row>
    <row r="111" spans="1:2" ht="12.5" x14ac:dyDescent="0.25">
      <c r="A111" t="str">
        <f ca="1">IFERROR(__xludf.DUMMYFUNCTION("""COMPUTED_VALUE"""),"Arr. Tongeren")</f>
        <v>Arr. Tongeren</v>
      </c>
      <c r="B111" t="str">
        <f ca="1">IFERROR(__xludf.DUMMYFUNCTION("""COMPUTED_VALUE"""),"BE223")</f>
        <v>BE223</v>
      </c>
    </row>
    <row r="112" spans="1:2" ht="12.5" x14ac:dyDescent="0.25">
      <c r="A112" t="str">
        <f ca="1">IFERROR(__xludf.DUMMYFUNCTION("""COMPUTED_VALUE"""),"Arr. Tournai")</f>
        <v>Arr. Tournai</v>
      </c>
      <c r="B112" t="str">
        <f ca="1">IFERROR(__xludf.DUMMYFUNCTION("""COMPUTED_VALUE"""),"BE327")</f>
        <v>BE327</v>
      </c>
    </row>
    <row r="113" spans="1:2" ht="12.5" x14ac:dyDescent="0.25">
      <c r="A113" t="str">
        <f ca="1">IFERROR(__xludf.DUMMYFUNCTION("""COMPUTED_VALUE"""),"Arr. Turnhout")</f>
        <v>Arr. Turnhout</v>
      </c>
      <c r="B113" t="str">
        <f ca="1">IFERROR(__xludf.DUMMYFUNCTION("""COMPUTED_VALUE"""),"BE213")</f>
        <v>BE213</v>
      </c>
    </row>
    <row r="114" spans="1:2" ht="12.5" x14ac:dyDescent="0.25">
      <c r="A114" t="str">
        <f ca="1">IFERROR(__xludf.DUMMYFUNCTION("""COMPUTED_VALUE"""),"Arr. Verviers - Communes Francophones")</f>
        <v>Arr. Verviers - Communes Francophones</v>
      </c>
      <c r="B114" t="str">
        <f ca="1">IFERROR(__xludf.DUMMYFUNCTION("""COMPUTED_VALUE"""),"BE335")</f>
        <v>BE335</v>
      </c>
    </row>
    <row r="115" spans="1:2" ht="12.5" x14ac:dyDescent="0.25">
      <c r="A115" t="str">
        <f ca="1">IFERROR(__xludf.DUMMYFUNCTION("""COMPUTED_VALUE"""),"Arr. Veurne")</f>
        <v>Arr. Veurne</v>
      </c>
      <c r="B115" t="str">
        <f ca="1">IFERROR(__xludf.DUMMYFUNCTION("""COMPUTED_VALUE"""),"BE258")</f>
        <v>BE258</v>
      </c>
    </row>
    <row r="116" spans="1:2" ht="12.5" x14ac:dyDescent="0.25">
      <c r="A116" t="str">
        <f ca="1">IFERROR(__xludf.DUMMYFUNCTION("""COMPUTED_VALUE"""),"Arr. Virton")</f>
        <v>Arr. Virton</v>
      </c>
      <c r="B116" t="str">
        <f ca="1">IFERROR(__xludf.DUMMYFUNCTION("""COMPUTED_VALUE"""),"BE345")</f>
        <v>BE345</v>
      </c>
    </row>
    <row r="117" spans="1:2" ht="12.5" x14ac:dyDescent="0.25">
      <c r="A117" t="str">
        <f ca="1">IFERROR(__xludf.DUMMYFUNCTION("""COMPUTED_VALUE"""),"Arr. Waremme")</f>
        <v>Arr. Waremme</v>
      </c>
      <c r="B117" t="str">
        <f ca="1">IFERROR(__xludf.DUMMYFUNCTION("""COMPUTED_VALUE"""),"BE334")</f>
        <v>BE334</v>
      </c>
    </row>
    <row r="118" spans="1:2" ht="12.5" x14ac:dyDescent="0.25">
      <c r="A118" t="str">
        <f ca="1">IFERROR(__xludf.DUMMYFUNCTION("""COMPUTED_VALUE"""),"Arta")</f>
        <v>Arta</v>
      </c>
      <c r="B118" t="str">
        <f ca="1">IFERROR(__xludf.DUMMYFUNCTION("""COMPUTED_VALUE"""),"GR211")</f>
        <v>GR211</v>
      </c>
    </row>
    <row r="119" spans="1:2" ht="12.5" x14ac:dyDescent="0.25">
      <c r="A119" t="str">
        <f ca="1">IFERROR(__xludf.DUMMYFUNCTION("""COMPUTED_VALUE"""),"Aschaffenburg, Kreisfreie Stadt")</f>
        <v>Aschaffenburg, Kreisfreie Stadt</v>
      </c>
      <c r="B119" t="str">
        <f ca="1">IFERROR(__xludf.DUMMYFUNCTION("""COMPUTED_VALUE"""),"DE261")</f>
        <v>DE261</v>
      </c>
    </row>
    <row r="120" spans="1:2" ht="12.5" x14ac:dyDescent="0.25">
      <c r="A120" t="str">
        <f ca="1">IFERROR(__xludf.DUMMYFUNCTION("""COMPUTED_VALUE"""),"Aschaffenburg, Landkreis")</f>
        <v>Aschaffenburg, Landkreis</v>
      </c>
      <c r="B120" t="str">
        <f ca="1">IFERROR(__xludf.DUMMYFUNCTION("""COMPUTED_VALUE"""),"DE264")</f>
        <v>DE264</v>
      </c>
    </row>
    <row r="121" spans="1:2" ht="12.5" x14ac:dyDescent="0.25">
      <c r="A121" t="str">
        <f ca="1">IFERROR(__xludf.DUMMYFUNCTION("""COMPUTED_VALUE"""),"Ascoli Piceno")</f>
        <v>Ascoli Piceno</v>
      </c>
      <c r="B121" t="str">
        <f ca="1">IFERROR(__xludf.DUMMYFUNCTION("""COMPUTED_VALUE"""),"ITE34")</f>
        <v>ITE34</v>
      </c>
    </row>
    <row r="122" spans="1:2" ht="12.5" x14ac:dyDescent="0.25">
      <c r="A122" t="str">
        <f ca="1">IFERROR(__xludf.DUMMYFUNCTION("""COMPUTED_VALUE"""),"Asti")</f>
        <v>Asti</v>
      </c>
      <c r="B122" t="str">
        <f ca="1">IFERROR(__xludf.DUMMYFUNCTION("""COMPUTED_VALUE"""),"ITC17")</f>
        <v>ITC17</v>
      </c>
    </row>
    <row r="123" spans="1:2" ht="12.5" x14ac:dyDescent="0.25">
      <c r="A123" t="str">
        <f ca="1">IFERROR(__xludf.DUMMYFUNCTION("""COMPUTED_VALUE"""),"Asturias")</f>
        <v>Asturias</v>
      </c>
      <c r="B123" t="str">
        <f ca="1">IFERROR(__xludf.DUMMYFUNCTION("""COMPUTED_VALUE"""),"ES120")</f>
        <v>ES120</v>
      </c>
    </row>
    <row r="124" spans="1:2" ht="12.5" x14ac:dyDescent="0.25">
      <c r="A124" t="str">
        <f ca="1">IFERROR(__xludf.DUMMYFUNCTION("""COMPUTED_VALUE"""),"Attiki")</f>
        <v>Attiki</v>
      </c>
      <c r="B124" t="str">
        <f ca="1">IFERROR(__xludf.DUMMYFUNCTION("""COMPUTED_VALUE"""),"GR3")</f>
        <v>GR3</v>
      </c>
    </row>
    <row r="125" spans="1:2" ht="12.5" x14ac:dyDescent="0.25">
      <c r="A125" t="str">
        <f ca="1">IFERROR(__xludf.DUMMYFUNCTION("""COMPUTED_VALUE"""),"Attiki (*)")</f>
        <v>Attiki (*)</v>
      </c>
      <c r="B125" t="str">
        <f ca="1">IFERROR(__xludf.DUMMYFUNCTION("""COMPUTED_VALUE"""),"GR30")</f>
        <v>GR30</v>
      </c>
    </row>
    <row r="126" spans="1:2" ht="12.5" x14ac:dyDescent="0.25">
      <c r="A126" t="str">
        <f ca="1">IFERROR(__xludf.DUMMYFUNCTION("""COMPUTED_VALUE"""),"Attiki (**)")</f>
        <v>Attiki (**)</v>
      </c>
      <c r="B126" t="str">
        <f ca="1">IFERROR(__xludf.DUMMYFUNCTION("""COMPUTED_VALUE"""),"GR300")</f>
        <v>GR300</v>
      </c>
    </row>
    <row r="127" spans="1:2" ht="12.5" x14ac:dyDescent="0.25">
      <c r="A127" t="str">
        <f ca="1">IFERROR(__xludf.DUMMYFUNCTION("""COMPUTED_VALUE"""),"Aube")</f>
        <v>Aube</v>
      </c>
      <c r="B127" t="str">
        <f ca="1">IFERROR(__xludf.DUMMYFUNCTION("""COMPUTED_VALUE"""),"FR212")</f>
        <v>FR212</v>
      </c>
    </row>
    <row r="128" spans="1:2" ht="12.5" x14ac:dyDescent="0.25">
      <c r="A128" t="str">
        <f ca="1">IFERROR(__xludf.DUMMYFUNCTION("""COMPUTED_VALUE"""),"Aude")</f>
        <v>Aude</v>
      </c>
      <c r="B128" t="str">
        <f ca="1">IFERROR(__xludf.DUMMYFUNCTION("""COMPUTED_VALUE"""),"FR811")</f>
        <v>FR811</v>
      </c>
    </row>
    <row r="129" spans="1:2" ht="12.5" x14ac:dyDescent="0.25">
      <c r="A129" t="str">
        <f ca="1">IFERROR(__xludf.DUMMYFUNCTION("""COMPUTED_VALUE"""),"Aue-Schwarzenberg")</f>
        <v>Aue-Schwarzenberg</v>
      </c>
      <c r="B129" t="str">
        <f ca="1">IFERROR(__xludf.DUMMYFUNCTION("""COMPUTED_VALUE"""),"DED1B")</f>
        <v>DED1B</v>
      </c>
    </row>
    <row r="130" spans="1:2" ht="12.5" x14ac:dyDescent="0.25">
      <c r="A130" t="str">
        <f ca="1">IFERROR(__xludf.DUMMYFUNCTION("""COMPUTED_VALUE"""),"Augsburg, Kreisfreie Stadt")</f>
        <v>Augsburg, Kreisfreie Stadt</v>
      </c>
      <c r="B130" t="str">
        <f ca="1">IFERROR(__xludf.DUMMYFUNCTION("""COMPUTED_VALUE"""),"DE271")</f>
        <v>DE271</v>
      </c>
    </row>
    <row r="131" spans="1:2" ht="12.5" x14ac:dyDescent="0.25">
      <c r="A131" t="str">
        <f ca="1">IFERROR(__xludf.DUMMYFUNCTION("""COMPUTED_VALUE"""),"Augsburg, Landkreis")</f>
        <v>Augsburg, Landkreis</v>
      </c>
      <c r="B131" t="str">
        <f ca="1">IFERROR(__xludf.DUMMYFUNCTION("""COMPUTED_VALUE"""),"DE276")</f>
        <v>DE276</v>
      </c>
    </row>
    <row r="132" spans="1:2" ht="12.5" x14ac:dyDescent="0.25">
      <c r="A132" t="str">
        <f ca="1">IFERROR(__xludf.DUMMYFUNCTION("""COMPUTED_VALUE"""),"Aurich")</f>
        <v>Aurich</v>
      </c>
      <c r="B132" t="str">
        <f ca="1">IFERROR(__xludf.DUMMYFUNCTION("""COMPUTED_VALUE"""),"DE947")</f>
        <v>DE947</v>
      </c>
    </row>
    <row r="133" spans="1:2" ht="12.5" x14ac:dyDescent="0.25">
      <c r="A133" t="str">
        <f ca="1">IFERROR(__xludf.DUMMYFUNCTION("""COMPUTED_VALUE"""),"Außerfern")</f>
        <v>Außerfern</v>
      </c>
      <c r="B133" t="str">
        <f ca="1">IFERROR(__xludf.DUMMYFUNCTION("""COMPUTED_VALUE"""),"AT331")</f>
        <v>AT331</v>
      </c>
    </row>
    <row r="134" spans="1:2" ht="12.5" x14ac:dyDescent="0.25">
      <c r="A134" t="str">
        <f ca="1">IFERROR(__xludf.DUMMYFUNCTION("""COMPUTED_VALUE"""),"Aust-Agder")</f>
        <v>Aust-Agder</v>
      </c>
      <c r="B134" t="str">
        <f ca="1">IFERROR(__xludf.DUMMYFUNCTION("""COMPUTED_VALUE"""),"NO041")</f>
        <v>NO041</v>
      </c>
    </row>
    <row r="135" spans="1:2" ht="12.5" x14ac:dyDescent="0.25">
      <c r="A135" t="str">
        <f ca="1">IFERROR(__xludf.DUMMYFUNCTION("""COMPUTED_VALUE"""),"Auvergne")</f>
        <v>Auvergne</v>
      </c>
      <c r="B135" t="str">
        <f ca="1">IFERROR(__xludf.DUMMYFUNCTION("""COMPUTED_VALUE"""),"FR72")</f>
        <v>FR72</v>
      </c>
    </row>
    <row r="136" spans="1:2" ht="12.5" x14ac:dyDescent="0.25">
      <c r="A136" t="str">
        <f ca="1">IFERROR(__xludf.DUMMYFUNCTION("""COMPUTED_VALUE"""),"Ave")</f>
        <v>Ave</v>
      </c>
      <c r="B136" t="str">
        <f ca="1">IFERROR(__xludf.DUMMYFUNCTION("""COMPUTED_VALUE"""),"PT113")</f>
        <v>PT113</v>
      </c>
    </row>
    <row r="137" spans="1:2" ht="12.5" x14ac:dyDescent="0.25">
      <c r="A137" t="str">
        <f ca="1">IFERROR(__xludf.DUMMYFUNCTION("""COMPUTED_VALUE"""),"Avellino")</f>
        <v>Avellino</v>
      </c>
      <c r="B137" t="str">
        <f ca="1">IFERROR(__xludf.DUMMYFUNCTION("""COMPUTED_VALUE"""),"ITF34")</f>
        <v>ITF34</v>
      </c>
    </row>
    <row r="138" spans="1:2" ht="12.5" x14ac:dyDescent="0.25">
      <c r="A138" t="str">
        <f ca="1">IFERROR(__xludf.DUMMYFUNCTION("""COMPUTED_VALUE"""),"Aveyron")</f>
        <v>Aveyron</v>
      </c>
      <c r="B138" t="str">
        <f ca="1">IFERROR(__xludf.DUMMYFUNCTION("""COMPUTED_VALUE"""),"FR622")</f>
        <v>FR622</v>
      </c>
    </row>
    <row r="139" spans="1:2" ht="12.5" x14ac:dyDescent="0.25">
      <c r="A139" t="str">
        <f ca="1">IFERROR(__xludf.DUMMYFUNCTION("""COMPUTED_VALUE"""),"Ávila")</f>
        <v>Ávila</v>
      </c>
      <c r="B139" t="str">
        <f ca="1">IFERROR(__xludf.DUMMYFUNCTION("""COMPUTED_VALUE"""),"ES411")</f>
        <v>ES411</v>
      </c>
    </row>
    <row r="140" spans="1:2" ht="12.5" x14ac:dyDescent="0.25">
      <c r="A140" t="str">
        <f ca="1">IFERROR(__xludf.DUMMYFUNCTION("""COMPUTED_VALUE"""),"Bacau")</f>
        <v>Bacau</v>
      </c>
      <c r="B140" t="str">
        <f ca="1">IFERROR(__xludf.DUMMYFUNCTION("""COMPUTED_VALUE"""),"RO211")</f>
        <v>RO211</v>
      </c>
    </row>
    <row r="141" spans="1:2" ht="12.5" x14ac:dyDescent="0.25">
      <c r="A141" t="str">
        <f ca="1">IFERROR(__xludf.DUMMYFUNCTION("""COMPUTED_VALUE"""),"Bacs-Kiskun")</f>
        <v>Bacs-Kiskun</v>
      </c>
      <c r="B141" t="str">
        <f ca="1">IFERROR(__xludf.DUMMYFUNCTION("""COMPUTED_VALUE"""),"HU331")</f>
        <v>HU331</v>
      </c>
    </row>
    <row r="142" spans="1:2" ht="12.5" x14ac:dyDescent="0.25">
      <c r="A142" t="str">
        <f ca="1">IFERROR(__xludf.DUMMYFUNCTION("""COMPUTED_VALUE"""),"Bad Doberan")</f>
        <v>Bad Doberan</v>
      </c>
      <c r="B142" t="str">
        <f ca="1">IFERROR(__xludf.DUMMYFUNCTION("""COMPUTED_VALUE"""),"DE807")</f>
        <v>DE807</v>
      </c>
    </row>
    <row r="143" spans="1:2" ht="12.5" x14ac:dyDescent="0.25">
      <c r="A143" t="str">
        <f ca="1">IFERROR(__xludf.DUMMYFUNCTION("""COMPUTED_VALUE"""),"Bad Dürkheim")</f>
        <v>Bad Dürkheim</v>
      </c>
      <c r="B143" t="str">
        <f ca="1">IFERROR(__xludf.DUMMYFUNCTION("""COMPUTED_VALUE"""),"DEB3C")</f>
        <v>DEB3C</v>
      </c>
    </row>
    <row r="144" spans="1:2" ht="12.5" x14ac:dyDescent="0.25">
      <c r="A144" t="str">
        <f ca="1">IFERROR(__xludf.DUMMYFUNCTION("""COMPUTED_VALUE"""),"Bad Kissingen")</f>
        <v>Bad Kissingen</v>
      </c>
      <c r="B144" t="str">
        <f ca="1">IFERROR(__xludf.DUMMYFUNCTION("""COMPUTED_VALUE"""),"DE265")</f>
        <v>DE265</v>
      </c>
    </row>
    <row r="145" spans="1:2" ht="12.5" x14ac:dyDescent="0.25">
      <c r="A145" t="str">
        <f ca="1">IFERROR(__xludf.DUMMYFUNCTION("""COMPUTED_VALUE"""),"Bad Kreuznach")</f>
        <v>Bad Kreuznach</v>
      </c>
      <c r="B145" t="str">
        <f ca="1">IFERROR(__xludf.DUMMYFUNCTION("""COMPUTED_VALUE"""),"DEB14")</f>
        <v>DEB14</v>
      </c>
    </row>
    <row r="146" spans="1:2" ht="12.5" x14ac:dyDescent="0.25">
      <c r="A146" t="str">
        <f ca="1">IFERROR(__xludf.DUMMYFUNCTION("""COMPUTED_VALUE"""),"Bad Tölz-Wolfratshausen")</f>
        <v>Bad Tölz-Wolfratshausen</v>
      </c>
      <c r="B146" t="str">
        <f ca="1">IFERROR(__xludf.DUMMYFUNCTION("""COMPUTED_VALUE"""),"DE216")</f>
        <v>DE216</v>
      </c>
    </row>
    <row r="147" spans="1:2" ht="12.5" x14ac:dyDescent="0.25">
      <c r="A147" t="str">
        <f ca="1">IFERROR(__xludf.DUMMYFUNCTION("""COMPUTED_VALUE"""),"Badajoz")</f>
        <v>Badajoz</v>
      </c>
      <c r="B147" t="str">
        <f ca="1">IFERROR(__xludf.DUMMYFUNCTION("""COMPUTED_VALUE"""),"ES431")</f>
        <v>ES431</v>
      </c>
    </row>
    <row r="148" spans="1:2" ht="12.5" x14ac:dyDescent="0.25">
      <c r="A148" t="str">
        <f ca="1">IFERROR(__xludf.DUMMYFUNCTION("""COMPUTED_VALUE"""),"Baden-Baden, Stadtkreis")</f>
        <v>Baden-Baden, Stadtkreis</v>
      </c>
      <c r="B148" t="str">
        <f ca="1">IFERROR(__xludf.DUMMYFUNCTION("""COMPUTED_VALUE"""),"DE121")</f>
        <v>DE121</v>
      </c>
    </row>
    <row r="149" spans="1:2" ht="12.5" x14ac:dyDescent="0.25">
      <c r="A149" t="str">
        <f ca="1">IFERROR(__xludf.DUMMYFUNCTION("""COMPUTED_VALUE"""),"Baden-Württemberg")</f>
        <v>Baden-Württemberg</v>
      </c>
      <c r="B149" t="str">
        <f ca="1">IFERROR(__xludf.DUMMYFUNCTION("""COMPUTED_VALUE"""),"DE1")</f>
        <v>DE1</v>
      </c>
    </row>
    <row r="150" spans="1:2" ht="12.5" x14ac:dyDescent="0.25">
      <c r="A150" t="str">
        <f ca="1">IFERROR(__xludf.DUMMYFUNCTION("""COMPUTED_VALUE"""),"Baixo Alentejo")</f>
        <v>Baixo Alentejo</v>
      </c>
      <c r="B150" t="str">
        <f ca="1">IFERROR(__xludf.DUMMYFUNCTION("""COMPUTED_VALUE"""),"PT184")</f>
        <v>PT184</v>
      </c>
    </row>
    <row r="151" spans="1:2" ht="12.5" x14ac:dyDescent="0.25">
      <c r="A151" t="str">
        <f ca="1">IFERROR(__xludf.DUMMYFUNCTION("""COMPUTED_VALUE"""),"Baixo Mondego")</f>
        <v>Baixo Mondego</v>
      </c>
      <c r="B151" t="str">
        <f ca="1">IFERROR(__xludf.DUMMYFUNCTION("""COMPUTED_VALUE"""),"PT162")</f>
        <v>PT162</v>
      </c>
    </row>
    <row r="152" spans="1:2" ht="12.5" x14ac:dyDescent="0.25">
      <c r="A152" t="str">
        <f ca="1">IFERROR(__xludf.DUMMYFUNCTION("""COMPUTED_VALUE"""),"Baixo Vouga")</f>
        <v>Baixo Vouga</v>
      </c>
      <c r="B152" t="str">
        <f ca="1">IFERROR(__xludf.DUMMYFUNCTION("""COMPUTED_VALUE"""),"PT161")</f>
        <v>PT161</v>
      </c>
    </row>
    <row r="153" spans="1:2" ht="12.5" x14ac:dyDescent="0.25">
      <c r="A153" t="str">
        <f ca="1">IFERROR(__xludf.DUMMYFUNCTION("""COMPUTED_VALUE"""),"Bamberg, Kreisfreie Stadt")</f>
        <v>Bamberg, Kreisfreie Stadt</v>
      </c>
      <c r="B153" t="str">
        <f ca="1">IFERROR(__xludf.DUMMYFUNCTION("""COMPUTED_VALUE"""),"DE241")</f>
        <v>DE241</v>
      </c>
    </row>
    <row r="154" spans="1:2" ht="12.5" x14ac:dyDescent="0.25">
      <c r="A154" t="str">
        <f ca="1">IFERROR(__xludf.DUMMYFUNCTION("""COMPUTED_VALUE"""),"Bamberg, Landkreis")</f>
        <v>Bamberg, Landkreis</v>
      </c>
      <c r="B154" t="str">
        <f ca="1">IFERROR(__xludf.DUMMYFUNCTION("""COMPUTED_VALUE"""),"DE245")</f>
        <v>DE245</v>
      </c>
    </row>
    <row r="155" spans="1:2" ht="12.5" x14ac:dyDescent="0.25">
      <c r="A155" t="str">
        <f ca="1">IFERROR(__xludf.DUMMYFUNCTION("""COMPUTED_VALUE"""),"Banskobystricky Kraj")</f>
        <v>Banskobystricky Kraj</v>
      </c>
      <c r="B155" t="str">
        <f ca="1">IFERROR(__xludf.DUMMYFUNCTION("""COMPUTED_VALUE"""),"SK032")</f>
        <v>SK032</v>
      </c>
    </row>
    <row r="156" spans="1:2" ht="12.5" x14ac:dyDescent="0.25">
      <c r="A156" t="str">
        <f ca="1">IFERROR(__xludf.DUMMYFUNCTION("""COMPUTED_VALUE"""),"Baranya")</f>
        <v>Baranya</v>
      </c>
      <c r="B156" t="str">
        <f ca="1">IFERROR(__xludf.DUMMYFUNCTION("""COMPUTED_VALUE"""),"HU231")</f>
        <v>HU231</v>
      </c>
    </row>
    <row r="157" spans="1:2" ht="12.5" x14ac:dyDescent="0.25">
      <c r="A157" t="str">
        <f ca="1">IFERROR(__xludf.DUMMYFUNCTION("""COMPUTED_VALUE"""),"Barcelona")</f>
        <v>Barcelona</v>
      </c>
      <c r="B157" t="str">
        <f ca="1">IFERROR(__xludf.DUMMYFUNCTION("""COMPUTED_VALUE"""),"ES511")</f>
        <v>ES511</v>
      </c>
    </row>
    <row r="158" spans="1:2" ht="12.5" x14ac:dyDescent="0.25">
      <c r="A158" t="str">
        <f ca="1">IFERROR(__xludf.DUMMYFUNCTION("""COMPUTED_VALUE"""),"Bari")</f>
        <v>Bari</v>
      </c>
      <c r="B158" t="str">
        <f ca="1">IFERROR(__xludf.DUMMYFUNCTION("""COMPUTED_VALUE"""),"ITF42")</f>
        <v>ITF42</v>
      </c>
    </row>
    <row r="159" spans="1:2" ht="12.5" x14ac:dyDescent="0.25">
      <c r="A159" t="str">
        <f ca="1">IFERROR(__xludf.DUMMYFUNCTION("""COMPUTED_VALUE"""),"Barnim")</f>
        <v>Barnim</v>
      </c>
      <c r="B159" t="str">
        <f ca="1">IFERROR(__xludf.DUMMYFUNCTION("""COMPUTED_VALUE"""),"DE412")</f>
        <v>DE412</v>
      </c>
    </row>
    <row r="160" spans="1:2" ht="12.5" x14ac:dyDescent="0.25">
      <c r="A160" t="str">
        <f ca="1">IFERROR(__xludf.DUMMYFUNCTION("""COMPUTED_VALUE"""),"Barnsley, Doncaster And Rotherham")</f>
        <v>Barnsley, Doncaster And Rotherham</v>
      </c>
      <c r="B160" t="str">
        <f ca="1">IFERROR(__xludf.DUMMYFUNCTION("""COMPUTED_VALUE"""),"UKE31")</f>
        <v>UKE31</v>
      </c>
    </row>
    <row r="161" spans="1:2" ht="12.5" x14ac:dyDescent="0.25">
      <c r="A161" t="str">
        <f ca="1">IFERROR(__xludf.DUMMYFUNCTION("""COMPUTED_VALUE"""),"Bas-Rhin")</f>
        <v>Bas-Rhin</v>
      </c>
      <c r="B161" t="str">
        <f ca="1">IFERROR(__xludf.DUMMYFUNCTION("""COMPUTED_VALUE"""),"FR421")</f>
        <v>FR421</v>
      </c>
    </row>
    <row r="162" spans="1:2" ht="12.5" x14ac:dyDescent="0.25">
      <c r="A162" t="str">
        <f ca="1">IFERROR(__xludf.DUMMYFUNCTION("""COMPUTED_VALUE"""),"Basel-Landschaft")</f>
        <v>Basel-Landschaft</v>
      </c>
      <c r="B162" t="str">
        <f ca="1">IFERROR(__xludf.DUMMYFUNCTION("""COMPUTED_VALUE"""),"CH032")</f>
        <v>CH032</v>
      </c>
    </row>
    <row r="163" spans="1:2" ht="12.5" x14ac:dyDescent="0.25">
      <c r="A163" t="str">
        <f ca="1">IFERROR(__xludf.DUMMYFUNCTION("""COMPUTED_VALUE"""),"Basel-Stadt")</f>
        <v>Basel-Stadt</v>
      </c>
      <c r="B163" t="str">
        <f ca="1">IFERROR(__xludf.DUMMYFUNCTION("""COMPUTED_VALUE"""),"CH031")</f>
        <v>CH031</v>
      </c>
    </row>
    <row r="164" spans="1:2" ht="12.5" x14ac:dyDescent="0.25">
      <c r="A164" t="str">
        <f ca="1">IFERROR(__xludf.DUMMYFUNCTION("""COMPUTED_VALUE"""),"Basilicata")</f>
        <v>Basilicata</v>
      </c>
      <c r="B164" t="str">
        <f ca="1">IFERROR(__xludf.DUMMYFUNCTION("""COMPUTED_VALUE"""),"ITF5")</f>
        <v>ITF5</v>
      </c>
    </row>
    <row r="165" spans="1:2" ht="12.5" x14ac:dyDescent="0.25">
      <c r="A165" t="str">
        <f ca="1">IFERROR(__xludf.DUMMYFUNCTION("""COMPUTED_VALUE"""),"Basse-Normandie")</f>
        <v>Basse-Normandie</v>
      </c>
      <c r="B165" t="str">
        <f ca="1">IFERROR(__xludf.DUMMYFUNCTION("""COMPUTED_VALUE"""),"FR25")</f>
        <v>FR25</v>
      </c>
    </row>
    <row r="166" spans="1:2" ht="12.5" x14ac:dyDescent="0.25">
      <c r="A166" t="str">
        <f ca="1">IFERROR(__xludf.DUMMYFUNCTION("""COMPUTED_VALUE"""),"Bassin Parisien")</f>
        <v>Bassin Parisien</v>
      </c>
      <c r="B166" t="str">
        <f ca="1">IFERROR(__xludf.DUMMYFUNCTION("""COMPUTED_VALUE"""),"FR2")</f>
        <v>FR2</v>
      </c>
    </row>
    <row r="167" spans="1:2" ht="12.5" x14ac:dyDescent="0.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x14ac:dyDescent="0.25">
      <c r="A168" t="str">
        <f ca="1">IFERROR(__xludf.DUMMYFUNCTION("""COMPUTED_VALUE"""),"Bautzen")</f>
        <v>Bautzen</v>
      </c>
      <c r="B168" t="str">
        <f ca="1">IFERROR(__xludf.DUMMYFUNCTION("""COMPUTED_VALUE"""),"DED24")</f>
        <v>DED24</v>
      </c>
    </row>
    <row r="169" spans="1:2" ht="12.5" x14ac:dyDescent="0.25">
      <c r="A169" t="str">
        <f ca="1">IFERROR(__xludf.DUMMYFUNCTION("""COMPUTED_VALUE"""),"Bayern")</f>
        <v>Bayern</v>
      </c>
      <c r="B169" t="str">
        <f ca="1">IFERROR(__xludf.DUMMYFUNCTION("""COMPUTED_VALUE"""),"DE2")</f>
        <v>DE2</v>
      </c>
    </row>
    <row r="170" spans="1:2" ht="12.5" x14ac:dyDescent="0.25">
      <c r="A170" t="str">
        <f ca="1">IFERROR(__xludf.DUMMYFUNCTION("""COMPUTED_VALUE"""),"Bayreuth, Kreisfreie Stadt")</f>
        <v>Bayreuth, Kreisfreie Stadt</v>
      </c>
      <c r="B170" t="str">
        <f ca="1">IFERROR(__xludf.DUMMYFUNCTION("""COMPUTED_VALUE"""),"DE242")</f>
        <v>DE242</v>
      </c>
    </row>
    <row r="171" spans="1:2" ht="12.5" x14ac:dyDescent="0.25">
      <c r="A171" t="str">
        <f ca="1">IFERROR(__xludf.DUMMYFUNCTION("""COMPUTED_VALUE"""),"Bayreuth, Landkreis")</f>
        <v>Bayreuth, Landkreis</v>
      </c>
      <c r="B171" t="str">
        <f ca="1">IFERROR(__xludf.DUMMYFUNCTION("""COMPUTED_VALUE"""),"DE246")</f>
        <v>DE246</v>
      </c>
    </row>
    <row r="172" spans="1:2" ht="12.5" x14ac:dyDescent="0.25">
      <c r="A172" t="str">
        <f ca="1">IFERROR(__xludf.DUMMYFUNCTION("""COMPUTED_VALUE"""),"Bedfordshire And Hertfordshire")</f>
        <v>Bedfordshire And Hertfordshire</v>
      </c>
      <c r="B172" t="str">
        <f ca="1">IFERROR(__xludf.DUMMYFUNCTION("""COMPUTED_VALUE"""),"UKH2")</f>
        <v>UKH2</v>
      </c>
    </row>
    <row r="173" spans="1:2" ht="12.5" x14ac:dyDescent="0.25">
      <c r="A173" t="str">
        <f ca="1">IFERROR(__xludf.DUMMYFUNCTION("""COMPUTED_VALUE"""),"Bedfordshire Cc")</f>
        <v>Bedfordshire Cc</v>
      </c>
      <c r="B173" t="str">
        <f ca="1">IFERROR(__xludf.DUMMYFUNCTION("""COMPUTED_VALUE"""),"UKH22")</f>
        <v>UKH22</v>
      </c>
    </row>
    <row r="174" spans="1:2" ht="12.5" x14ac:dyDescent="0.25">
      <c r="A174" t="str">
        <f ca="1">IFERROR(__xludf.DUMMYFUNCTION("""COMPUTED_VALUE"""),"Beira Interior Norte")</f>
        <v>Beira Interior Norte</v>
      </c>
      <c r="B174" t="str">
        <f ca="1">IFERROR(__xludf.DUMMYFUNCTION("""COMPUTED_VALUE"""),"PT168")</f>
        <v>PT168</v>
      </c>
    </row>
    <row r="175" spans="1:2" ht="12.5" x14ac:dyDescent="0.25">
      <c r="A175" t="str">
        <f ca="1">IFERROR(__xludf.DUMMYFUNCTION("""COMPUTED_VALUE"""),"Beira Interior Sul")</f>
        <v>Beira Interior Sul</v>
      </c>
      <c r="B175" t="str">
        <f ca="1">IFERROR(__xludf.DUMMYFUNCTION("""COMPUTED_VALUE"""),"PT169")</f>
        <v>PT169</v>
      </c>
    </row>
    <row r="176" spans="1:2" ht="12.5" x14ac:dyDescent="0.25">
      <c r="A176" t="str">
        <f ca="1">IFERROR(__xludf.DUMMYFUNCTION("""COMPUTED_VALUE"""),"Bekes")</f>
        <v>Bekes</v>
      </c>
      <c r="B176" t="str">
        <f ca="1">IFERROR(__xludf.DUMMYFUNCTION("""COMPUTED_VALUE"""),"HU332")</f>
        <v>HU332</v>
      </c>
    </row>
    <row r="177" spans="1:2" ht="12.5" x14ac:dyDescent="0.25">
      <c r="A177" t="str">
        <f ca="1">IFERROR(__xludf.DUMMYFUNCTION("""COMPUTED_VALUE"""),"Belfast")</f>
        <v>Belfast</v>
      </c>
      <c r="B177" t="str">
        <f ca="1">IFERROR(__xludf.DUMMYFUNCTION("""COMPUTED_VALUE"""),"UKN01")</f>
        <v>UKN01</v>
      </c>
    </row>
    <row r="178" spans="1:2" ht="12.5" x14ac:dyDescent="0.25">
      <c r="A178" t="str">
        <f ca="1">IFERROR(__xludf.DUMMYFUNCTION("""COMPUTED_VALUE"""),"Belgique-België")</f>
        <v>Belgique-België</v>
      </c>
      <c r="B178" t="str">
        <f ca="1">IFERROR(__xludf.DUMMYFUNCTION("""COMPUTED_VALUE"""),"BE")</f>
        <v>BE</v>
      </c>
    </row>
    <row r="179" spans="1:2" ht="12.5" x14ac:dyDescent="0.25">
      <c r="A179" t="str">
        <f ca="1">IFERROR(__xludf.DUMMYFUNCTION("""COMPUTED_VALUE"""),"Belluno")</f>
        <v>Belluno</v>
      </c>
      <c r="B179" t="str">
        <f ca="1">IFERROR(__xludf.DUMMYFUNCTION("""COMPUTED_VALUE"""),"ITD33")</f>
        <v>ITD33</v>
      </c>
    </row>
    <row r="180" spans="1:2" ht="12.5" x14ac:dyDescent="0.25">
      <c r="A180" t="str">
        <f ca="1">IFERROR(__xludf.DUMMYFUNCTION("""COMPUTED_VALUE"""),"Benevento")</f>
        <v>Benevento</v>
      </c>
      <c r="B180" t="str">
        <f ca="1">IFERROR(__xludf.DUMMYFUNCTION("""COMPUTED_VALUE"""),"ITF32")</f>
        <v>ITF32</v>
      </c>
    </row>
    <row r="181" spans="1:2" ht="12.5" x14ac:dyDescent="0.25">
      <c r="A181" t="str">
        <f ca="1">IFERROR(__xludf.DUMMYFUNCTION("""COMPUTED_VALUE"""),"Berchtesgadener Land")</f>
        <v>Berchtesgadener Land</v>
      </c>
      <c r="B181" t="str">
        <f ca="1">IFERROR(__xludf.DUMMYFUNCTION("""COMPUTED_VALUE"""),"DE215")</f>
        <v>DE215</v>
      </c>
    </row>
    <row r="182" spans="1:2" ht="12.5" x14ac:dyDescent="0.25">
      <c r="A182" t="str">
        <f ca="1">IFERROR(__xludf.DUMMYFUNCTION("""COMPUTED_VALUE"""),"Bergamo")</f>
        <v>Bergamo</v>
      </c>
      <c r="B182" t="str">
        <f ca="1">IFERROR(__xludf.DUMMYFUNCTION("""COMPUTED_VALUE"""),"ITC46")</f>
        <v>ITC46</v>
      </c>
    </row>
    <row r="183" spans="1:2" ht="12.5" x14ac:dyDescent="0.25">
      <c r="A183" t="str">
        <f ca="1">IFERROR(__xludf.DUMMYFUNCTION("""COMPUTED_VALUE"""),"Bergstraße")</f>
        <v>Bergstraße</v>
      </c>
      <c r="B183" t="str">
        <f ca="1">IFERROR(__xludf.DUMMYFUNCTION("""COMPUTED_VALUE"""),"DE715")</f>
        <v>DE715</v>
      </c>
    </row>
    <row r="184" spans="1:2" ht="12.5" x14ac:dyDescent="0.25">
      <c r="A184" t="str">
        <f ca="1">IFERROR(__xludf.DUMMYFUNCTION("""COMPUTED_VALUE"""),"Berkshire")</f>
        <v>Berkshire</v>
      </c>
      <c r="B184" t="str">
        <f ca="1">IFERROR(__xludf.DUMMYFUNCTION("""COMPUTED_VALUE"""),"UKJ11")</f>
        <v>UKJ11</v>
      </c>
    </row>
    <row r="185" spans="1:2" ht="12.5" x14ac:dyDescent="0.25">
      <c r="A185" t="str">
        <f ca="1">IFERROR(__xludf.DUMMYFUNCTION("""COMPUTED_VALUE"""),"Berkshire, Buckinghamshire And Oxfordshire")</f>
        <v>Berkshire, Buckinghamshire And Oxfordshire</v>
      </c>
      <c r="B185" t="str">
        <f ca="1">IFERROR(__xludf.DUMMYFUNCTION("""COMPUTED_VALUE"""),"UKJ1")</f>
        <v>UKJ1</v>
      </c>
    </row>
    <row r="186" spans="1:2" ht="12.5" x14ac:dyDescent="0.25">
      <c r="A186" t="str">
        <f ca="1">IFERROR(__xludf.DUMMYFUNCTION("""COMPUTED_VALUE"""),"Berlin")</f>
        <v>Berlin</v>
      </c>
      <c r="B186" t="str">
        <f ca="1">IFERROR(__xludf.DUMMYFUNCTION("""COMPUTED_VALUE"""),"DE3")</f>
        <v>DE3</v>
      </c>
    </row>
    <row r="187" spans="1:2" ht="12.5" x14ac:dyDescent="0.25">
      <c r="A187" t="str">
        <f ca="1">IFERROR(__xludf.DUMMYFUNCTION("""COMPUTED_VALUE"""),"Berlin (*)")</f>
        <v>Berlin (*)</v>
      </c>
      <c r="B187" t="str">
        <f ca="1">IFERROR(__xludf.DUMMYFUNCTION("""COMPUTED_VALUE"""),"DE30")</f>
        <v>DE30</v>
      </c>
    </row>
    <row r="188" spans="1:2" ht="12.5" x14ac:dyDescent="0.25">
      <c r="A188" t="str">
        <f ca="1">IFERROR(__xludf.DUMMYFUNCTION("""COMPUTED_VALUE"""),"Berlin (**)")</f>
        <v>Berlin (**)</v>
      </c>
      <c r="B188" t="str">
        <f ca="1">IFERROR(__xludf.DUMMYFUNCTION("""COMPUTED_VALUE"""),"DE300")</f>
        <v>DE300</v>
      </c>
    </row>
    <row r="189" spans="1:2" ht="12.5" x14ac:dyDescent="0.25">
      <c r="A189" t="str">
        <f ca="1">IFERROR(__xludf.DUMMYFUNCTION("""COMPUTED_VALUE"""),"Bern")</f>
        <v>Bern</v>
      </c>
      <c r="B189" t="str">
        <f ca="1">IFERROR(__xludf.DUMMYFUNCTION("""COMPUTED_VALUE"""),"CH021")</f>
        <v>CH021</v>
      </c>
    </row>
    <row r="190" spans="1:2" ht="12.5" x14ac:dyDescent="0.25">
      <c r="A190" t="str">
        <f ca="1">IFERROR(__xludf.DUMMYFUNCTION("""COMPUTED_VALUE"""),"Bernkastel-Wittlich")</f>
        <v>Bernkastel-Wittlich</v>
      </c>
      <c r="B190" t="str">
        <f ca="1">IFERROR(__xludf.DUMMYFUNCTION("""COMPUTED_VALUE"""),"DEB22")</f>
        <v>DEB22</v>
      </c>
    </row>
    <row r="191" spans="1:2" ht="12.5" x14ac:dyDescent="0.25">
      <c r="A191" t="str">
        <f ca="1">IFERROR(__xludf.DUMMYFUNCTION("""COMPUTED_VALUE"""),"Bezirk Verviers - Deutschsprachige Gemeinschaft")</f>
        <v>Bezirk Verviers - Deutschsprachige Gemeinschaft</v>
      </c>
      <c r="B191" t="str">
        <f ca="1">IFERROR(__xludf.DUMMYFUNCTION("""COMPUTED_VALUE"""),"BE336")</f>
        <v>BE336</v>
      </c>
    </row>
    <row r="192" spans="1:2" ht="12.5" x14ac:dyDescent="0.25">
      <c r="A192" t="str">
        <f ca="1">IFERROR(__xludf.DUMMYFUNCTION("""COMPUTED_VALUE"""),"Bialostocki")</f>
        <v>Bialostocki</v>
      </c>
      <c r="B192" t="str">
        <f ca="1">IFERROR(__xludf.DUMMYFUNCTION("""COMPUTED_VALUE"""),"PL343")</f>
        <v>PL343</v>
      </c>
    </row>
    <row r="193" spans="1:2" ht="12.5" x14ac:dyDescent="0.25">
      <c r="A193" t="str">
        <f ca="1">IFERROR(__xludf.DUMMYFUNCTION("""COMPUTED_VALUE"""),"Bialski")</f>
        <v>Bialski</v>
      </c>
      <c r="B193" t="str">
        <f ca="1">IFERROR(__xludf.DUMMYFUNCTION("""COMPUTED_VALUE"""),"PL311")</f>
        <v>PL311</v>
      </c>
    </row>
    <row r="194" spans="1:2" ht="12.5" x14ac:dyDescent="0.25">
      <c r="A194" t="str">
        <f ca="1">IFERROR(__xludf.DUMMYFUNCTION("""COMPUTED_VALUE"""),"Biberach")</f>
        <v>Biberach</v>
      </c>
      <c r="B194" t="str">
        <f ca="1">IFERROR(__xludf.DUMMYFUNCTION("""COMPUTED_VALUE"""),"DE146")</f>
        <v>DE146</v>
      </c>
    </row>
    <row r="195" spans="1:2" ht="12.5" x14ac:dyDescent="0.25">
      <c r="A195" t="str">
        <f ca="1">IFERROR(__xludf.DUMMYFUNCTION("""COMPUTED_VALUE"""),"Bielefeld, Kreisfreie Stadt")</f>
        <v>Bielefeld, Kreisfreie Stadt</v>
      </c>
      <c r="B195" t="str">
        <f ca="1">IFERROR(__xludf.DUMMYFUNCTION("""COMPUTED_VALUE"""),"DEA41")</f>
        <v>DEA41</v>
      </c>
    </row>
    <row r="196" spans="1:2" ht="12.5" x14ac:dyDescent="0.25">
      <c r="A196" t="str">
        <f ca="1">IFERROR(__xludf.DUMMYFUNCTION("""COMPUTED_VALUE"""),"Biella")</f>
        <v>Biella</v>
      </c>
      <c r="B196" t="str">
        <f ca="1">IFERROR(__xludf.DUMMYFUNCTION("""COMPUTED_VALUE"""),"ITC13")</f>
        <v>ITC13</v>
      </c>
    </row>
    <row r="197" spans="1:2" ht="12.5" x14ac:dyDescent="0.25">
      <c r="A197" t="str">
        <f ca="1">IFERROR(__xludf.DUMMYFUNCTION("""COMPUTED_VALUE"""),"Bielski")</f>
        <v>Bielski</v>
      </c>
      <c r="B197" t="str">
        <f ca="1">IFERROR(__xludf.DUMMYFUNCTION("""COMPUTED_VALUE"""),"PL225")</f>
        <v>PL225</v>
      </c>
    </row>
    <row r="198" spans="1:2" ht="12.5" x14ac:dyDescent="0.25">
      <c r="A198" t="str">
        <f ca="1">IFERROR(__xludf.DUMMYFUNCTION("""COMPUTED_VALUE"""),"Bihor")</f>
        <v>Bihor</v>
      </c>
      <c r="B198" t="str">
        <f ca="1">IFERROR(__xludf.DUMMYFUNCTION("""COMPUTED_VALUE"""),"RO111")</f>
        <v>RO111</v>
      </c>
    </row>
    <row r="199" spans="1:2" ht="12.5" x14ac:dyDescent="0.25">
      <c r="A199" t="str">
        <f ca="1">IFERROR(__xludf.DUMMYFUNCTION("""COMPUTED_VALUE"""),"Birkenfeld")</f>
        <v>Birkenfeld</v>
      </c>
      <c r="B199" t="str">
        <f ca="1">IFERROR(__xludf.DUMMYFUNCTION("""COMPUTED_VALUE"""),"DEB15")</f>
        <v>DEB15</v>
      </c>
    </row>
    <row r="200" spans="1:2" ht="12.5" x14ac:dyDescent="0.25">
      <c r="A200" t="str">
        <f ca="1">IFERROR(__xludf.DUMMYFUNCTION("""COMPUTED_VALUE"""),"Birmingham")</f>
        <v>Birmingham</v>
      </c>
      <c r="B200" t="str">
        <f ca="1">IFERROR(__xludf.DUMMYFUNCTION("""COMPUTED_VALUE"""),"UKG31")</f>
        <v>UKG31</v>
      </c>
    </row>
    <row r="201" spans="1:2" ht="12.5" x14ac:dyDescent="0.25">
      <c r="A201" t="str">
        <f ca="1">IFERROR(__xludf.DUMMYFUNCTION("""COMPUTED_VALUE"""),"Bistrita-Nasaud")</f>
        <v>Bistrita-Nasaud</v>
      </c>
      <c r="B201" t="str">
        <f ca="1">IFERROR(__xludf.DUMMYFUNCTION("""COMPUTED_VALUE"""),"RO112")</f>
        <v>RO112</v>
      </c>
    </row>
    <row r="202" spans="1:2" ht="12.5" x14ac:dyDescent="0.25">
      <c r="A202" t="str">
        <f ca="1">IFERROR(__xludf.DUMMYFUNCTION("""COMPUTED_VALUE"""),"Bitburg-Prüm")</f>
        <v>Bitburg-Prüm</v>
      </c>
      <c r="B202" t="str">
        <f ca="1">IFERROR(__xludf.DUMMYFUNCTION("""COMPUTED_VALUE"""),"DEB23")</f>
        <v>DEB23</v>
      </c>
    </row>
    <row r="203" spans="1:2" ht="12.5" x14ac:dyDescent="0.25">
      <c r="A203" t="str">
        <f ca="1">IFERROR(__xludf.DUMMYFUNCTION("""COMPUTED_VALUE"""),"Blackburn With Darwen")</f>
        <v>Blackburn With Darwen</v>
      </c>
      <c r="B203" t="str">
        <f ca="1">IFERROR(__xludf.DUMMYFUNCTION("""COMPUTED_VALUE"""),"UKD41")</f>
        <v>UKD41</v>
      </c>
    </row>
    <row r="204" spans="1:2" ht="12.5" x14ac:dyDescent="0.25">
      <c r="A204" t="str">
        <f ca="1">IFERROR(__xludf.DUMMYFUNCTION("""COMPUTED_VALUE"""),"Blackpool")</f>
        <v>Blackpool</v>
      </c>
      <c r="B204" t="str">
        <f ca="1">IFERROR(__xludf.DUMMYFUNCTION("""COMPUTED_VALUE"""),"UKD42")</f>
        <v>UKD42</v>
      </c>
    </row>
    <row r="205" spans="1:2" ht="12.5" x14ac:dyDescent="0.25">
      <c r="A205" t="str">
        <f ca="1">IFERROR(__xludf.DUMMYFUNCTION("""COMPUTED_VALUE"""),"Blagoevgrad")</f>
        <v>Blagoevgrad</v>
      </c>
      <c r="B205" t="str">
        <f ca="1">IFERROR(__xludf.DUMMYFUNCTION("""COMPUTED_VALUE"""),"BG413")</f>
        <v>BG413</v>
      </c>
    </row>
    <row r="206" spans="1:2" ht="12.5" x14ac:dyDescent="0.25">
      <c r="A206" t="str">
        <f ca="1">IFERROR(__xludf.DUMMYFUNCTION("""COMPUTED_VALUE"""),"Blekinge Län")</f>
        <v>Blekinge Län</v>
      </c>
      <c r="B206" t="str">
        <f ca="1">IFERROR(__xludf.DUMMYFUNCTION("""COMPUTED_VALUE"""),"SE221")</f>
        <v>SE221</v>
      </c>
    </row>
    <row r="207" spans="1:2" ht="12.5" x14ac:dyDescent="0.25">
      <c r="A207" t="str">
        <f ca="1">IFERROR(__xludf.DUMMYFUNCTION("""COMPUTED_VALUE"""),"Bludenz-Bregenzer Wald")</f>
        <v>Bludenz-Bregenzer Wald</v>
      </c>
      <c r="B207" t="str">
        <f ca="1">IFERROR(__xludf.DUMMYFUNCTION("""COMPUTED_VALUE"""),"AT341")</f>
        <v>AT341</v>
      </c>
    </row>
    <row r="208" spans="1:2" ht="12.5" x14ac:dyDescent="0.25">
      <c r="A208" t="str">
        <f ca="1">IFERROR(__xludf.DUMMYFUNCTION("""COMPUTED_VALUE"""),"Böblingen")</f>
        <v>Böblingen</v>
      </c>
      <c r="B208" t="str">
        <f ca="1">IFERROR(__xludf.DUMMYFUNCTION("""COMPUTED_VALUE"""),"DE112")</f>
        <v>DE112</v>
      </c>
    </row>
    <row r="209" spans="1:2" ht="12.5" x14ac:dyDescent="0.25">
      <c r="A209" t="str">
        <f ca="1">IFERROR(__xludf.DUMMYFUNCTION("""COMPUTED_VALUE"""),"Bochum, Kreisfreie Stadt")</f>
        <v>Bochum, Kreisfreie Stadt</v>
      </c>
      <c r="B209" t="str">
        <f ca="1">IFERROR(__xludf.DUMMYFUNCTION("""COMPUTED_VALUE"""),"DEA51")</f>
        <v>DEA51</v>
      </c>
    </row>
    <row r="210" spans="1:2" ht="12.5" x14ac:dyDescent="0.25">
      <c r="A210" t="str">
        <f ca="1">IFERROR(__xludf.DUMMYFUNCTION("""COMPUTED_VALUE"""),"Bodenseekreis")</f>
        <v>Bodenseekreis</v>
      </c>
      <c r="B210" t="str">
        <f ca="1">IFERROR(__xludf.DUMMYFUNCTION("""COMPUTED_VALUE"""),"DE147")</f>
        <v>DE147</v>
      </c>
    </row>
    <row r="211" spans="1:2" ht="12.5" x14ac:dyDescent="0.25">
      <c r="A211" t="str">
        <f ca="1">IFERROR(__xludf.DUMMYFUNCTION("""COMPUTED_VALUE"""),"Bologna")</f>
        <v>Bologna</v>
      </c>
      <c r="B211" t="str">
        <f ca="1">IFERROR(__xludf.DUMMYFUNCTION("""COMPUTED_VALUE"""),"ITD55")</f>
        <v>ITD55</v>
      </c>
    </row>
    <row r="212" spans="1:2" ht="12.5" x14ac:dyDescent="0.25">
      <c r="A212" t="str">
        <f ca="1">IFERROR(__xludf.DUMMYFUNCTION("""COMPUTED_VALUE"""),"Bolzano-Bozen")</f>
        <v>Bolzano-Bozen</v>
      </c>
      <c r="B212" t="str">
        <f ca="1">IFERROR(__xludf.DUMMYFUNCTION("""COMPUTED_VALUE"""),"ITD10")</f>
        <v>ITD10</v>
      </c>
    </row>
    <row r="213" spans="1:2" ht="12.5" x14ac:dyDescent="0.25">
      <c r="A213" t="str">
        <f ca="1">IFERROR(__xludf.DUMMYFUNCTION("""COMPUTED_VALUE"""),"Bonn, Kreisfreie Stadt")</f>
        <v>Bonn, Kreisfreie Stadt</v>
      </c>
      <c r="B213" t="str">
        <f ca="1">IFERROR(__xludf.DUMMYFUNCTION("""COMPUTED_VALUE"""),"DEA22")</f>
        <v>DEA22</v>
      </c>
    </row>
    <row r="214" spans="1:2" ht="12.5" x14ac:dyDescent="0.25">
      <c r="A214" t="str">
        <f ca="1">IFERROR(__xludf.DUMMYFUNCTION("""COMPUTED_VALUE"""),"Börde")</f>
        <v>Börde</v>
      </c>
      <c r="B214" t="str">
        <f ca="1">IFERROR(__xludf.DUMMYFUNCTION("""COMPUTED_VALUE"""),"DEE07")</f>
        <v>DEE07</v>
      </c>
    </row>
    <row r="215" spans="1:2" ht="12.5" x14ac:dyDescent="0.25">
      <c r="A215" t="str">
        <f ca="1">IFERROR(__xludf.DUMMYFUNCTION("""COMPUTED_VALUE"""),"Border")</f>
        <v>Border</v>
      </c>
      <c r="B215" t="str">
        <f ca="1">IFERROR(__xludf.DUMMYFUNCTION("""COMPUTED_VALUE"""),"IE011")</f>
        <v>IE011</v>
      </c>
    </row>
    <row r="216" spans="1:2" ht="12.5" x14ac:dyDescent="0.25">
      <c r="A216" t="str">
        <f ca="1">IFERROR(__xludf.DUMMYFUNCTION("""COMPUTED_VALUE"""),"Border, Midland And Western")</f>
        <v>Border, Midland And Western</v>
      </c>
      <c r="B216" t="str">
        <f ca="1">IFERROR(__xludf.DUMMYFUNCTION("""COMPUTED_VALUE"""),"IE01")</f>
        <v>IE01</v>
      </c>
    </row>
    <row r="217" spans="1:2" ht="12.5" x14ac:dyDescent="0.25">
      <c r="A217" t="str">
        <f ca="1">IFERROR(__xludf.DUMMYFUNCTION("""COMPUTED_VALUE"""),"Borken")</f>
        <v>Borken</v>
      </c>
      <c r="B217" t="str">
        <f ca="1">IFERROR(__xludf.DUMMYFUNCTION("""COMPUTED_VALUE"""),"DEA34")</f>
        <v>DEA34</v>
      </c>
    </row>
    <row r="218" spans="1:2" ht="12.5" x14ac:dyDescent="0.25">
      <c r="A218" t="str">
        <f ca="1">IFERROR(__xludf.DUMMYFUNCTION("""COMPUTED_VALUE"""),"Bornholm")</f>
        <v>Bornholm</v>
      </c>
      <c r="B218" t="str">
        <f ca="1">IFERROR(__xludf.DUMMYFUNCTION("""COMPUTED_VALUE"""),"DK014")</f>
        <v>DK014</v>
      </c>
    </row>
    <row r="219" spans="1:2" ht="12.5" x14ac:dyDescent="0.25">
      <c r="A219" t="str">
        <f ca="1">IFERROR(__xludf.DUMMYFUNCTION("""COMPUTED_VALUE"""),"Borsod-Abauj-Zemplen")</f>
        <v>Borsod-Abauj-Zemplen</v>
      </c>
      <c r="B219" t="str">
        <f ca="1">IFERROR(__xludf.DUMMYFUNCTION("""COMPUTED_VALUE"""),"HU311")</f>
        <v>HU311</v>
      </c>
    </row>
    <row r="220" spans="1:2" ht="12.5" x14ac:dyDescent="0.25">
      <c r="A220" t="str">
        <f ca="1">IFERROR(__xludf.DUMMYFUNCTION("""COMPUTED_VALUE"""),"Botosani")</f>
        <v>Botosani</v>
      </c>
      <c r="B220" t="str">
        <f ca="1">IFERROR(__xludf.DUMMYFUNCTION("""COMPUTED_VALUE"""),"RO212")</f>
        <v>RO212</v>
      </c>
    </row>
    <row r="221" spans="1:2" ht="12.5" x14ac:dyDescent="0.25">
      <c r="A221" t="str">
        <f ca="1">IFERROR(__xludf.DUMMYFUNCTION("""COMPUTED_VALUE"""),"Bottrop, Kreisfreie Stadt")</f>
        <v>Bottrop, Kreisfreie Stadt</v>
      </c>
      <c r="B221" t="str">
        <f ca="1">IFERROR(__xludf.DUMMYFUNCTION("""COMPUTED_VALUE"""),"DEA31")</f>
        <v>DEA31</v>
      </c>
    </row>
    <row r="222" spans="1:2" ht="12.5" x14ac:dyDescent="0.25">
      <c r="A222" t="str">
        <f ca="1">IFERROR(__xludf.DUMMYFUNCTION("""COMPUTED_VALUE"""),"Bouches-Du-Rhône")</f>
        <v>Bouches-Du-Rhône</v>
      </c>
      <c r="B222" t="str">
        <f ca="1">IFERROR(__xludf.DUMMYFUNCTION("""COMPUTED_VALUE"""),"FR824")</f>
        <v>FR824</v>
      </c>
    </row>
    <row r="223" spans="1:2" ht="12.5" x14ac:dyDescent="0.25">
      <c r="A223" t="str">
        <f ca="1">IFERROR(__xludf.DUMMYFUNCTION("""COMPUTED_VALUE"""),"Bourgogne")</f>
        <v>Bourgogne</v>
      </c>
      <c r="B223" t="str">
        <f ca="1">IFERROR(__xludf.DUMMYFUNCTION("""COMPUTED_VALUE"""),"FR26")</f>
        <v>FR26</v>
      </c>
    </row>
    <row r="224" spans="1:2" ht="12.5" x14ac:dyDescent="0.25">
      <c r="A224" t="str">
        <f ca="1">IFERROR(__xludf.DUMMYFUNCTION("""COMPUTED_VALUE"""),"Bournemouth And Poole")</f>
        <v>Bournemouth And Poole</v>
      </c>
      <c r="B224" t="str">
        <f ca="1">IFERROR(__xludf.DUMMYFUNCTION("""COMPUTED_VALUE"""),"UKK21")</f>
        <v>UKK21</v>
      </c>
    </row>
    <row r="225" spans="1:2" ht="12.5" x14ac:dyDescent="0.25">
      <c r="A225" t="str">
        <f ca="1">IFERROR(__xludf.DUMMYFUNCTION("""COMPUTED_VALUE"""),"Bradford")</f>
        <v>Bradford</v>
      </c>
      <c r="B225" t="str">
        <f ca="1">IFERROR(__xludf.DUMMYFUNCTION("""COMPUTED_VALUE"""),"UKE41")</f>
        <v>UKE41</v>
      </c>
    </row>
    <row r="226" spans="1:2" ht="12.5" x14ac:dyDescent="0.25">
      <c r="A226" t="str">
        <f ca="1">IFERROR(__xludf.DUMMYFUNCTION("""COMPUTED_VALUE"""),"Braila")</f>
        <v>Braila</v>
      </c>
      <c r="B226" t="str">
        <f ca="1">IFERROR(__xludf.DUMMYFUNCTION("""COMPUTED_VALUE"""),"RO221")</f>
        <v>RO221</v>
      </c>
    </row>
    <row r="227" spans="1:2" ht="12.5" x14ac:dyDescent="0.25">
      <c r="A227" t="str">
        <f ca="1">IFERROR(__xludf.DUMMYFUNCTION("""COMPUTED_VALUE"""),"Brandenburg")</f>
        <v>Brandenburg</v>
      </c>
      <c r="B227" t="str">
        <f ca="1">IFERROR(__xludf.DUMMYFUNCTION("""COMPUTED_VALUE"""),"DE4")</f>
        <v>DE4</v>
      </c>
    </row>
    <row r="228" spans="1:2" ht="12.5" x14ac:dyDescent="0.25">
      <c r="A228" t="str">
        <f ca="1">IFERROR(__xludf.DUMMYFUNCTION("""COMPUTED_VALUE"""),"Brandenburg - Nordost")</f>
        <v>Brandenburg - Nordost</v>
      </c>
      <c r="B228" t="str">
        <f ca="1">IFERROR(__xludf.DUMMYFUNCTION("""COMPUTED_VALUE"""),"DE41")</f>
        <v>DE41</v>
      </c>
    </row>
    <row r="229" spans="1:2" ht="12.5" x14ac:dyDescent="0.25">
      <c r="A229" t="str">
        <f ca="1">IFERROR(__xludf.DUMMYFUNCTION("""COMPUTED_VALUE"""),"Brandenburg - Südwest")</f>
        <v>Brandenburg - Südwest</v>
      </c>
      <c r="B229" t="str">
        <f ca="1">IFERROR(__xludf.DUMMYFUNCTION("""COMPUTED_VALUE"""),"DE42")</f>
        <v>DE42</v>
      </c>
    </row>
    <row r="230" spans="1:2" ht="12.5" x14ac:dyDescent="0.25">
      <c r="A230" t="str">
        <f ca="1">IFERROR(__xludf.DUMMYFUNCTION("""COMPUTED_VALUE"""),"Brandenburg An Der Havel, Kreisfreie Stadt")</f>
        <v>Brandenburg An Der Havel, Kreisfreie Stadt</v>
      </c>
      <c r="B230" t="str">
        <f ca="1">IFERROR(__xludf.DUMMYFUNCTION("""COMPUTED_VALUE"""),"DE421")</f>
        <v>DE421</v>
      </c>
    </row>
    <row r="231" spans="1:2" ht="12.5" x14ac:dyDescent="0.25">
      <c r="A231" t="str">
        <f ca="1">IFERROR(__xludf.DUMMYFUNCTION("""COMPUTED_VALUE"""),"Brasov")</f>
        <v>Brasov</v>
      </c>
      <c r="B231" t="str">
        <f ca="1">IFERROR(__xludf.DUMMYFUNCTION("""COMPUTED_VALUE"""),"RO122")</f>
        <v>RO122</v>
      </c>
    </row>
    <row r="232" spans="1:2" ht="12.5" x14ac:dyDescent="0.25">
      <c r="A232" t="str">
        <f ca="1">IFERROR(__xludf.DUMMYFUNCTION("""COMPUTED_VALUE"""),"Bratislavsky Kraj")</f>
        <v>Bratislavsky Kraj</v>
      </c>
      <c r="B232" t="str">
        <f ca="1">IFERROR(__xludf.DUMMYFUNCTION("""COMPUTED_VALUE"""),"SK01")</f>
        <v>SK01</v>
      </c>
    </row>
    <row r="233" spans="1:2" ht="12.5" x14ac:dyDescent="0.25">
      <c r="A233" t="str">
        <f ca="1">IFERROR(__xludf.DUMMYFUNCTION("""COMPUTED_VALUE"""),"Bratislavsky Kraj (*)")</f>
        <v>Bratislavsky Kraj (*)</v>
      </c>
      <c r="B233" t="str">
        <f ca="1">IFERROR(__xludf.DUMMYFUNCTION("""COMPUTED_VALUE"""),"SK010")</f>
        <v>SK010</v>
      </c>
    </row>
    <row r="234" spans="1:2" ht="12.5" x14ac:dyDescent="0.25">
      <c r="A234" t="str">
        <f ca="1">IFERROR(__xludf.DUMMYFUNCTION("""COMPUTED_VALUE"""),"Braunschweig")</f>
        <v>Braunschweig</v>
      </c>
      <c r="B234" t="str">
        <f ca="1">IFERROR(__xludf.DUMMYFUNCTION("""COMPUTED_VALUE"""),"DE91")</f>
        <v>DE91</v>
      </c>
    </row>
    <row r="235" spans="1:2" ht="12.5" x14ac:dyDescent="0.25">
      <c r="A235" t="str">
        <f ca="1">IFERROR(__xludf.DUMMYFUNCTION("""COMPUTED_VALUE"""),"Braunschweig, Kreisfreie Stadt")</f>
        <v>Braunschweig, Kreisfreie Stadt</v>
      </c>
      <c r="B235" t="str">
        <f ca="1">IFERROR(__xludf.DUMMYFUNCTION("""COMPUTED_VALUE"""),"DE911")</f>
        <v>DE911</v>
      </c>
    </row>
    <row r="236" spans="1:2" ht="12.5" x14ac:dyDescent="0.25">
      <c r="A236" t="str">
        <f ca="1">IFERROR(__xludf.DUMMYFUNCTION("""COMPUTED_VALUE"""),"Breisgau-Hochschwarzwald")</f>
        <v>Breisgau-Hochschwarzwald</v>
      </c>
      <c r="B236" t="str">
        <f ca="1">IFERROR(__xludf.DUMMYFUNCTION("""COMPUTED_VALUE"""),"DE132")</f>
        <v>DE132</v>
      </c>
    </row>
    <row r="237" spans="1:2" ht="12.5" x14ac:dyDescent="0.25">
      <c r="A237" t="str">
        <f ca="1">IFERROR(__xludf.DUMMYFUNCTION("""COMPUTED_VALUE"""),"Bremen")</f>
        <v>Bremen</v>
      </c>
      <c r="B237" t="str">
        <f ca="1">IFERROR(__xludf.DUMMYFUNCTION("""COMPUTED_VALUE"""),"DE5")</f>
        <v>DE5</v>
      </c>
    </row>
    <row r="238" spans="1:2" ht="12.5" x14ac:dyDescent="0.25">
      <c r="A238" t="str">
        <f ca="1">IFERROR(__xludf.DUMMYFUNCTION("""COMPUTED_VALUE"""),"Bremen (*)")</f>
        <v>Bremen (*)</v>
      </c>
      <c r="B238" t="str">
        <f ca="1">IFERROR(__xludf.DUMMYFUNCTION("""COMPUTED_VALUE"""),"DE50")</f>
        <v>DE50</v>
      </c>
    </row>
    <row r="239" spans="1:2" ht="12.5" x14ac:dyDescent="0.25">
      <c r="A239" t="str">
        <f ca="1">IFERROR(__xludf.DUMMYFUNCTION("""COMPUTED_VALUE"""),"Bremen, Kreisfreie Stadt")</f>
        <v>Bremen, Kreisfreie Stadt</v>
      </c>
      <c r="B239" t="str">
        <f ca="1">IFERROR(__xludf.DUMMYFUNCTION("""COMPUTED_VALUE"""),"DE501")</f>
        <v>DE501</v>
      </c>
    </row>
    <row r="240" spans="1:2" ht="12.5" x14ac:dyDescent="0.25">
      <c r="A240" t="str">
        <f ca="1">IFERROR(__xludf.DUMMYFUNCTION("""COMPUTED_VALUE"""),"Bremerhaven, Kreisfreie Stadt")</f>
        <v>Bremerhaven, Kreisfreie Stadt</v>
      </c>
      <c r="B240" t="str">
        <f ca="1">IFERROR(__xludf.DUMMYFUNCTION("""COMPUTED_VALUE"""),"DE502")</f>
        <v>DE502</v>
      </c>
    </row>
    <row r="241" spans="1:2" ht="12.5" x14ac:dyDescent="0.25">
      <c r="A241" t="str">
        <f ca="1">IFERROR(__xludf.DUMMYFUNCTION("""COMPUTED_VALUE"""),"Brescia")</f>
        <v>Brescia</v>
      </c>
      <c r="B241" t="str">
        <f ca="1">IFERROR(__xludf.DUMMYFUNCTION("""COMPUTED_VALUE"""),"ITC47")</f>
        <v>ITC47</v>
      </c>
    </row>
    <row r="242" spans="1:2" ht="12.5" x14ac:dyDescent="0.25">
      <c r="A242" t="str">
        <f ca="1">IFERROR(__xludf.DUMMYFUNCTION("""COMPUTED_VALUE"""),"Bretagne")</f>
        <v>Bretagne</v>
      </c>
      <c r="B242" t="str">
        <f ca="1">IFERROR(__xludf.DUMMYFUNCTION("""COMPUTED_VALUE"""),"FR52")</f>
        <v>FR52</v>
      </c>
    </row>
    <row r="243" spans="1:2" ht="12.5" x14ac:dyDescent="0.25">
      <c r="A243" t="str">
        <f ca="1">IFERROR(__xludf.DUMMYFUNCTION("""COMPUTED_VALUE"""),"Bridgend And Neath Port Talbot")</f>
        <v>Bridgend And Neath Port Talbot</v>
      </c>
      <c r="B243" t="str">
        <f ca="1">IFERROR(__xludf.DUMMYFUNCTION("""COMPUTED_VALUE"""),"UKL17")</f>
        <v>UKL17</v>
      </c>
    </row>
    <row r="244" spans="1:2" ht="12.5" x14ac:dyDescent="0.25">
      <c r="A244" t="str">
        <f ca="1">IFERROR(__xludf.DUMMYFUNCTION("""COMPUTED_VALUE"""),"Brighton And Hove")</f>
        <v>Brighton And Hove</v>
      </c>
      <c r="B244" t="str">
        <f ca="1">IFERROR(__xludf.DUMMYFUNCTION("""COMPUTED_VALUE"""),"UKJ21")</f>
        <v>UKJ21</v>
      </c>
    </row>
    <row r="245" spans="1:2" ht="12.5" x14ac:dyDescent="0.25">
      <c r="A245" t="str">
        <f ca="1">IFERROR(__xludf.DUMMYFUNCTION("""COMPUTED_VALUE"""),"Brindisi")</f>
        <v>Brindisi</v>
      </c>
      <c r="B245" t="str">
        <f ca="1">IFERROR(__xludf.DUMMYFUNCTION("""COMPUTED_VALUE"""),"ITF44")</f>
        <v>ITF44</v>
      </c>
    </row>
    <row r="246" spans="1:2" ht="12.5" x14ac:dyDescent="0.25">
      <c r="A246" t="str">
        <f ca="1">IFERROR(__xludf.DUMMYFUNCTION("""COMPUTED_VALUE"""),"Bristol, City Of")</f>
        <v>Bristol, City Of</v>
      </c>
      <c r="B246" t="str">
        <f ca="1">IFERROR(__xludf.DUMMYFUNCTION("""COMPUTED_VALUE"""),"UKK11")</f>
        <v>UKK11</v>
      </c>
    </row>
    <row r="247" spans="1:2" ht="12.5" x14ac:dyDescent="0.25">
      <c r="A247" t="str">
        <f ca="1">IFERROR(__xludf.DUMMYFUNCTION("""COMPUTED_VALUE"""),"Buckinghamshire Cc")</f>
        <v>Buckinghamshire Cc</v>
      </c>
      <c r="B247" t="str">
        <f ca="1">IFERROR(__xludf.DUMMYFUNCTION("""COMPUTED_VALUE"""),"UKJ13")</f>
        <v>UKJ13</v>
      </c>
    </row>
    <row r="248" spans="1:2" ht="12.5" x14ac:dyDescent="0.25">
      <c r="A248" t="str">
        <f ca="1">IFERROR(__xludf.DUMMYFUNCTION("""COMPUTED_VALUE"""),"Bucuresti")</f>
        <v>Bucuresti</v>
      </c>
      <c r="B248" t="str">
        <f ca="1">IFERROR(__xludf.DUMMYFUNCTION("""COMPUTED_VALUE"""),"RO321")</f>
        <v>RO321</v>
      </c>
    </row>
    <row r="249" spans="1:2" ht="12.5" x14ac:dyDescent="0.25">
      <c r="A249" t="str">
        <f ca="1">IFERROR(__xludf.DUMMYFUNCTION("""COMPUTED_VALUE"""),"Bucuresti - Ilfov")</f>
        <v>Bucuresti - Ilfov</v>
      </c>
      <c r="B249" t="str">
        <f ca="1">IFERROR(__xludf.DUMMYFUNCTION("""COMPUTED_VALUE"""),"RO32")</f>
        <v>RO32</v>
      </c>
    </row>
    <row r="250" spans="1:2" ht="12.5" x14ac:dyDescent="0.25">
      <c r="A250" t="str">
        <f ca="1">IFERROR(__xludf.DUMMYFUNCTION("""COMPUTED_VALUE"""),"Budapest")</f>
        <v>Budapest</v>
      </c>
      <c r="B250" t="str">
        <f ca="1">IFERROR(__xludf.DUMMYFUNCTION("""COMPUTED_VALUE"""),"HU101")</f>
        <v>HU101</v>
      </c>
    </row>
    <row r="251" spans="1:2" ht="12.5" x14ac:dyDescent="0.25">
      <c r="A251" t="str">
        <f ca="1">IFERROR(__xludf.DUMMYFUNCTION("""COMPUTED_VALUE"""),"Bulgaria")</f>
        <v>Bulgaria</v>
      </c>
      <c r="B251" t="str">
        <f ca="1">IFERROR(__xludf.DUMMYFUNCTION("""COMPUTED_VALUE"""),"BG")</f>
        <v>BG</v>
      </c>
    </row>
    <row r="252" spans="1:2" ht="12.5" x14ac:dyDescent="0.25">
      <c r="A252" t="str">
        <f ca="1">IFERROR(__xludf.DUMMYFUNCTION("""COMPUTED_VALUE"""),"Burgas")</f>
        <v>Burgas</v>
      </c>
      <c r="B252" t="str">
        <f ca="1">IFERROR(__xludf.DUMMYFUNCTION("""COMPUTED_VALUE"""),"BG341")</f>
        <v>BG341</v>
      </c>
    </row>
    <row r="253" spans="1:2" ht="12.5" x14ac:dyDescent="0.25">
      <c r="A253" t="str">
        <f ca="1">IFERROR(__xludf.DUMMYFUNCTION("""COMPUTED_VALUE"""),"Burgenland (A)")</f>
        <v>Burgenland (A)</v>
      </c>
      <c r="B253" t="str">
        <f ca="1">IFERROR(__xludf.DUMMYFUNCTION("""COMPUTED_VALUE"""),"AT11")</f>
        <v>AT11</v>
      </c>
    </row>
    <row r="254" spans="1:2" ht="12.5" x14ac:dyDescent="0.25">
      <c r="A254" t="str">
        <f ca="1">IFERROR(__xludf.DUMMYFUNCTION("""COMPUTED_VALUE"""),"Burgenland (D)")</f>
        <v>Burgenland (D)</v>
      </c>
      <c r="B254" t="str">
        <f ca="1">IFERROR(__xludf.DUMMYFUNCTION("""COMPUTED_VALUE"""),"DEE08")</f>
        <v>DEE08</v>
      </c>
    </row>
    <row r="255" spans="1:2" ht="12.5" x14ac:dyDescent="0.25">
      <c r="A255" t="str">
        <f ca="1">IFERROR(__xludf.DUMMYFUNCTION("""COMPUTED_VALUE"""),"Burgos")</f>
        <v>Burgos</v>
      </c>
      <c r="B255" t="str">
        <f ca="1">IFERROR(__xludf.DUMMYFUNCTION("""COMPUTED_VALUE"""),"ES412")</f>
        <v>ES412</v>
      </c>
    </row>
    <row r="256" spans="1:2" ht="12.5" x14ac:dyDescent="0.25">
      <c r="A256" t="str">
        <f ca="1">IFERROR(__xludf.DUMMYFUNCTION("""COMPUTED_VALUE"""),"Buskerud")</f>
        <v>Buskerud</v>
      </c>
      <c r="B256" t="str">
        <f ca="1">IFERROR(__xludf.DUMMYFUNCTION("""COMPUTED_VALUE"""),"NO032")</f>
        <v>NO032</v>
      </c>
    </row>
    <row r="257" spans="1:2" ht="12.5" x14ac:dyDescent="0.25">
      <c r="A257" t="str">
        <f ca="1">IFERROR(__xludf.DUMMYFUNCTION("""COMPUTED_VALUE"""),"Buzau")</f>
        <v>Buzau</v>
      </c>
      <c r="B257" t="str">
        <f ca="1">IFERROR(__xludf.DUMMYFUNCTION("""COMPUTED_VALUE"""),"RO222")</f>
        <v>RO222</v>
      </c>
    </row>
    <row r="258" spans="1:2" ht="12.5" x14ac:dyDescent="0.25">
      <c r="A258" t="str">
        <f ca="1">IFERROR(__xludf.DUMMYFUNCTION("""COMPUTED_VALUE"""),"Bydgosko-Torunski")</f>
        <v>Bydgosko-Torunski</v>
      </c>
      <c r="B258" t="str">
        <f ca="1">IFERROR(__xludf.DUMMYFUNCTION("""COMPUTED_VALUE"""),"PL613")</f>
        <v>PL613</v>
      </c>
    </row>
    <row r="259" spans="1:2" ht="12.5" x14ac:dyDescent="0.25">
      <c r="A259" t="str">
        <f ca="1">IFERROR(__xludf.DUMMYFUNCTION("""COMPUTED_VALUE"""),"Byen København")</f>
        <v>Byen København</v>
      </c>
      <c r="B259" t="str">
        <f ca="1">IFERROR(__xludf.DUMMYFUNCTION("""COMPUTED_VALUE"""),"DK011")</f>
        <v>DK011</v>
      </c>
    </row>
    <row r="260" spans="1:2" ht="12.5" x14ac:dyDescent="0.25">
      <c r="A260" t="str">
        <f ca="1">IFERROR(__xludf.DUMMYFUNCTION("""COMPUTED_VALUE"""),"Bytomski")</f>
        <v>Bytomski</v>
      </c>
      <c r="B260" t="str">
        <f ca="1">IFERROR(__xludf.DUMMYFUNCTION("""COMPUTED_VALUE"""),"PL228")</f>
        <v>PL228</v>
      </c>
    </row>
    <row r="261" spans="1:2" ht="12.5" x14ac:dyDescent="0.25">
      <c r="A261" t="str">
        <f ca="1">IFERROR(__xludf.DUMMYFUNCTION("""COMPUTED_VALUE"""),"Cáceres")</f>
        <v>Cáceres</v>
      </c>
      <c r="B261" t="str">
        <f ca="1">IFERROR(__xludf.DUMMYFUNCTION("""COMPUTED_VALUE"""),"ES432")</f>
        <v>ES432</v>
      </c>
    </row>
    <row r="262" spans="1:2" ht="12.5" x14ac:dyDescent="0.25">
      <c r="A262" t="str">
        <f ca="1">IFERROR(__xludf.DUMMYFUNCTION("""COMPUTED_VALUE"""),"Cádiz")</f>
        <v>Cádiz</v>
      </c>
      <c r="B262" t="str">
        <f ca="1">IFERROR(__xludf.DUMMYFUNCTION("""COMPUTED_VALUE"""),"ES612")</f>
        <v>ES612</v>
      </c>
    </row>
    <row r="263" spans="1:2" ht="12.5" x14ac:dyDescent="0.25">
      <c r="A263" t="str">
        <f ca="1">IFERROR(__xludf.DUMMYFUNCTION("""COMPUTED_VALUE"""),"Cagliari")</f>
        <v>Cagliari</v>
      </c>
      <c r="B263" t="str">
        <f ca="1">IFERROR(__xludf.DUMMYFUNCTION("""COMPUTED_VALUE"""),"ITG27")</f>
        <v>ITG27</v>
      </c>
    </row>
    <row r="264" spans="1:2" ht="12.5" x14ac:dyDescent="0.25">
      <c r="A264" t="str">
        <f ca="1">IFERROR(__xludf.DUMMYFUNCTION("""COMPUTED_VALUE"""),"Caithness &amp; Sutherland And Ross &amp; Cromarty")</f>
        <v>Caithness &amp; Sutherland And Ross &amp; Cromarty</v>
      </c>
      <c r="B264" t="str">
        <f ca="1">IFERROR(__xludf.DUMMYFUNCTION("""COMPUTED_VALUE"""),"UKM61")</f>
        <v>UKM61</v>
      </c>
    </row>
    <row r="265" spans="1:2" ht="12.5" x14ac:dyDescent="0.25">
      <c r="A265" t="str">
        <f ca="1">IFERROR(__xludf.DUMMYFUNCTION("""COMPUTED_VALUE"""),"Calabria")</f>
        <v>Calabria</v>
      </c>
      <c r="B265" t="str">
        <f ca="1">IFERROR(__xludf.DUMMYFUNCTION("""COMPUTED_VALUE"""),"ITF6")</f>
        <v>ITF6</v>
      </c>
    </row>
    <row r="266" spans="1:2" ht="12.5" x14ac:dyDescent="0.25">
      <c r="A266" t="str">
        <f ca="1">IFERROR(__xludf.DUMMYFUNCTION("""COMPUTED_VALUE"""),"Calarasi")</f>
        <v>Calarasi</v>
      </c>
      <c r="B266" t="str">
        <f ca="1">IFERROR(__xludf.DUMMYFUNCTION("""COMPUTED_VALUE"""),"RO312")</f>
        <v>RO312</v>
      </c>
    </row>
    <row r="267" spans="1:2" ht="12.5" x14ac:dyDescent="0.25">
      <c r="A267" t="str">
        <f ca="1">IFERROR(__xludf.DUMMYFUNCTION("""COMPUTED_VALUE"""),"Calderdale, Kirklees And Wakefield")</f>
        <v>Calderdale, Kirklees And Wakefield</v>
      </c>
      <c r="B267" t="str">
        <f ca="1">IFERROR(__xludf.DUMMYFUNCTION("""COMPUTED_VALUE"""),"UKE43")</f>
        <v>UKE43</v>
      </c>
    </row>
    <row r="268" spans="1:2" ht="12.5" x14ac:dyDescent="0.25">
      <c r="A268" t="str">
        <f ca="1">IFERROR(__xludf.DUMMYFUNCTION("""COMPUTED_VALUE"""),"Caltanissetta")</f>
        <v>Caltanissetta</v>
      </c>
      <c r="B268" t="str">
        <f ca="1">IFERROR(__xludf.DUMMYFUNCTION("""COMPUTED_VALUE"""),"ITG15")</f>
        <v>ITG15</v>
      </c>
    </row>
    <row r="269" spans="1:2" ht="12.5" x14ac:dyDescent="0.25">
      <c r="A269" t="str">
        <f ca="1">IFERROR(__xludf.DUMMYFUNCTION("""COMPUTED_VALUE"""),"Calvados")</f>
        <v>Calvados</v>
      </c>
      <c r="B269" t="str">
        <f ca="1">IFERROR(__xludf.DUMMYFUNCTION("""COMPUTED_VALUE"""),"FR251")</f>
        <v>FR251</v>
      </c>
    </row>
    <row r="270" spans="1:2" ht="12.5" x14ac:dyDescent="0.25">
      <c r="A270" t="str">
        <f ca="1">IFERROR(__xludf.DUMMYFUNCTION("""COMPUTED_VALUE"""),"Calw")</f>
        <v>Calw</v>
      </c>
      <c r="B270" t="str">
        <f ca="1">IFERROR(__xludf.DUMMYFUNCTION("""COMPUTED_VALUE"""),"DE12A")</f>
        <v>DE12A</v>
      </c>
    </row>
    <row r="271" spans="1:2" ht="12.5" x14ac:dyDescent="0.25">
      <c r="A271" t="str">
        <f ca="1">IFERROR(__xludf.DUMMYFUNCTION("""COMPUTED_VALUE"""),"Cambridgeshire Cc")</f>
        <v>Cambridgeshire Cc</v>
      </c>
      <c r="B271" t="str">
        <f ca="1">IFERROR(__xludf.DUMMYFUNCTION("""COMPUTED_VALUE"""),"UKH12")</f>
        <v>UKH12</v>
      </c>
    </row>
    <row r="272" spans="1:2" ht="12.5" x14ac:dyDescent="0.25">
      <c r="A272" t="str">
        <f ca="1">IFERROR(__xludf.DUMMYFUNCTION("""COMPUTED_VALUE"""),"Campania")</f>
        <v>Campania</v>
      </c>
      <c r="B272" t="str">
        <f ca="1">IFERROR(__xludf.DUMMYFUNCTION("""COMPUTED_VALUE"""),"ITF3")</f>
        <v>ITF3</v>
      </c>
    </row>
    <row r="273" spans="1:2" ht="12.5" x14ac:dyDescent="0.25">
      <c r="A273" t="str">
        <f ca="1">IFERROR(__xludf.DUMMYFUNCTION("""COMPUTED_VALUE"""),"Campobasso")</f>
        <v>Campobasso</v>
      </c>
      <c r="B273" t="str">
        <f ca="1">IFERROR(__xludf.DUMMYFUNCTION("""COMPUTED_VALUE"""),"ITF22")</f>
        <v>ITF22</v>
      </c>
    </row>
    <row r="274" spans="1:2" ht="12.5" x14ac:dyDescent="0.25">
      <c r="A274" t="str">
        <f ca="1">IFERROR(__xludf.DUMMYFUNCTION("""COMPUTED_VALUE"""),"Canarias")</f>
        <v>Canarias</v>
      </c>
      <c r="B274" t="str">
        <f ca="1">IFERROR(__xludf.DUMMYFUNCTION("""COMPUTED_VALUE"""),"ES7")</f>
        <v>ES7</v>
      </c>
    </row>
    <row r="275" spans="1:2" ht="12.5" x14ac:dyDescent="0.25">
      <c r="A275" t="str">
        <f ca="1">IFERROR(__xludf.DUMMYFUNCTION("""COMPUTED_VALUE"""),"Canarias (*)")</f>
        <v>Canarias (*)</v>
      </c>
      <c r="B275" t="str">
        <f ca="1">IFERROR(__xludf.DUMMYFUNCTION("""COMPUTED_VALUE"""),"ES70")</f>
        <v>ES70</v>
      </c>
    </row>
    <row r="276" spans="1:2" ht="12.5" x14ac:dyDescent="0.25">
      <c r="A276" t="str">
        <f ca="1">IFERROR(__xludf.DUMMYFUNCTION("""COMPUTED_VALUE"""),"Cantabria")</f>
        <v>Cantabria</v>
      </c>
      <c r="B276" t="str">
        <f ca="1">IFERROR(__xludf.DUMMYFUNCTION("""COMPUTED_VALUE"""),"ES13")</f>
        <v>ES13</v>
      </c>
    </row>
    <row r="277" spans="1:2" ht="12.5" x14ac:dyDescent="0.25">
      <c r="A277" t="str">
        <f ca="1">IFERROR(__xludf.DUMMYFUNCTION("""COMPUTED_VALUE"""),"Cantabria (*)")</f>
        <v>Cantabria (*)</v>
      </c>
      <c r="B277" t="str">
        <f ca="1">IFERROR(__xludf.DUMMYFUNCTION("""COMPUTED_VALUE"""),"ES130")</f>
        <v>ES130</v>
      </c>
    </row>
    <row r="278" spans="1:2" ht="12.5" x14ac:dyDescent="0.25">
      <c r="A278" t="str">
        <f ca="1">IFERROR(__xludf.DUMMYFUNCTION("""COMPUTED_VALUE"""),"Cantal")</f>
        <v>Cantal</v>
      </c>
      <c r="B278" t="str">
        <f ca="1">IFERROR(__xludf.DUMMYFUNCTION("""COMPUTED_VALUE"""),"FR722")</f>
        <v>FR722</v>
      </c>
    </row>
    <row r="279" spans="1:2" ht="12.5" x14ac:dyDescent="0.25">
      <c r="A279" t="str">
        <f ca="1">IFERROR(__xludf.DUMMYFUNCTION("""COMPUTED_VALUE"""),"Caras-Severin")</f>
        <v>Caras-Severin</v>
      </c>
      <c r="B279" t="str">
        <f ca="1">IFERROR(__xludf.DUMMYFUNCTION("""COMPUTED_VALUE"""),"RO422")</f>
        <v>RO422</v>
      </c>
    </row>
    <row r="280" spans="1:2" ht="12.5" x14ac:dyDescent="0.25">
      <c r="A280" t="str">
        <f ca="1">IFERROR(__xludf.DUMMYFUNCTION("""COMPUTED_VALUE"""),"Carbonia-Iglesias")</f>
        <v>Carbonia-Iglesias</v>
      </c>
      <c r="B280" t="str">
        <f ca="1">IFERROR(__xludf.DUMMYFUNCTION("""COMPUTED_VALUE"""),"ITG2C")</f>
        <v>ITG2C</v>
      </c>
    </row>
    <row r="281" spans="1:2" ht="12.5" x14ac:dyDescent="0.25">
      <c r="A281" t="str">
        <f ca="1">IFERROR(__xludf.DUMMYFUNCTION("""COMPUTED_VALUE"""),"Cardiff And Vale Of Glamorgan")</f>
        <v>Cardiff And Vale Of Glamorgan</v>
      </c>
      <c r="B281" t="str">
        <f ca="1">IFERROR(__xludf.DUMMYFUNCTION("""COMPUTED_VALUE"""),"UKL22")</f>
        <v>UKL22</v>
      </c>
    </row>
    <row r="282" spans="1:2" ht="12.5" x14ac:dyDescent="0.25">
      <c r="A282" t="str">
        <f ca="1">IFERROR(__xludf.DUMMYFUNCTION("""COMPUTED_VALUE"""),"Caserta")</f>
        <v>Caserta</v>
      </c>
      <c r="B282" t="str">
        <f ca="1">IFERROR(__xludf.DUMMYFUNCTION("""COMPUTED_VALUE"""),"ITF31")</f>
        <v>ITF31</v>
      </c>
    </row>
    <row r="283" spans="1:2" ht="12.5" x14ac:dyDescent="0.25">
      <c r="A283" t="str">
        <f ca="1">IFERROR(__xludf.DUMMYFUNCTION("""COMPUTED_VALUE"""),"Castellón - Castelló")</f>
        <v>Castellón - Castelló</v>
      </c>
      <c r="B283" t="str">
        <f ca="1">IFERROR(__xludf.DUMMYFUNCTION("""COMPUTED_VALUE"""),"ES522")</f>
        <v>ES522</v>
      </c>
    </row>
    <row r="284" spans="1:2" ht="12.5" x14ac:dyDescent="0.25">
      <c r="A284" t="str">
        <f ca="1">IFERROR(__xludf.DUMMYFUNCTION("""COMPUTED_VALUE"""),"Castilla Y León")</f>
        <v>Castilla Y León</v>
      </c>
      <c r="B284" t="str">
        <f ca="1">IFERROR(__xludf.DUMMYFUNCTION("""COMPUTED_VALUE"""),"ES41")</f>
        <v>ES41</v>
      </c>
    </row>
    <row r="285" spans="1:2" ht="12.5" x14ac:dyDescent="0.25">
      <c r="A285" t="str">
        <f ca="1">IFERROR(__xludf.DUMMYFUNCTION("""COMPUTED_VALUE"""),"Castilla-La Mancha")</f>
        <v>Castilla-La Mancha</v>
      </c>
      <c r="B285" t="str">
        <f ca="1">IFERROR(__xludf.DUMMYFUNCTION("""COMPUTED_VALUE"""),"ES42")</f>
        <v>ES42</v>
      </c>
    </row>
    <row r="286" spans="1:2" ht="12.5" x14ac:dyDescent="0.25">
      <c r="A286" t="str">
        <f ca="1">IFERROR(__xludf.DUMMYFUNCTION("""COMPUTED_VALUE"""),"Cataluña")</f>
        <v>Cataluña</v>
      </c>
      <c r="B286" t="str">
        <f ca="1">IFERROR(__xludf.DUMMYFUNCTION("""COMPUTED_VALUE"""),"ES51")</f>
        <v>ES51</v>
      </c>
    </row>
    <row r="287" spans="1:2" ht="12.5" x14ac:dyDescent="0.25">
      <c r="A287" t="str">
        <f ca="1">IFERROR(__xludf.DUMMYFUNCTION("""COMPUTED_VALUE"""),"Catania")</f>
        <v>Catania</v>
      </c>
      <c r="B287" t="str">
        <f ca="1">IFERROR(__xludf.DUMMYFUNCTION("""COMPUTED_VALUE"""),"ITG17")</f>
        <v>ITG17</v>
      </c>
    </row>
    <row r="288" spans="1:2" ht="12.5" x14ac:dyDescent="0.25">
      <c r="A288" t="str">
        <f ca="1">IFERROR(__xludf.DUMMYFUNCTION("""COMPUTED_VALUE"""),"Catanzaro")</f>
        <v>Catanzaro</v>
      </c>
      <c r="B288" t="str">
        <f ca="1">IFERROR(__xludf.DUMMYFUNCTION("""COMPUTED_VALUE"""),"ITF63")</f>
        <v>ITF63</v>
      </c>
    </row>
    <row r="289" spans="1:2" ht="12.5" x14ac:dyDescent="0.25">
      <c r="A289" t="str">
        <f ca="1">IFERROR(__xludf.DUMMYFUNCTION("""COMPUTED_VALUE"""),"Cávado")</f>
        <v>Cávado</v>
      </c>
      <c r="B289" t="str">
        <f ca="1">IFERROR(__xludf.DUMMYFUNCTION("""COMPUTED_VALUE"""),"PT112")</f>
        <v>PT112</v>
      </c>
    </row>
    <row r="290" spans="1:2" ht="12.5" x14ac:dyDescent="0.25">
      <c r="A290" t="str">
        <f ca="1">IFERROR(__xludf.DUMMYFUNCTION("""COMPUTED_VALUE"""),"Celle")</f>
        <v>Celle</v>
      </c>
      <c r="B290" t="str">
        <f ca="1">IFERROR(__xludf.DUMMYFUNCTION("""COMPUTED_VALUE"""),"DE931")</f>
        <v>DE931</v>
      </c>
    </row>
    <row r="291" spans="1:2" ht="12.5" x14ac:dyDescent="0.25">
      <c r="A291" t="str">
        <f ca="1">IFERROR(__xludf.DUMMYFUNCTION("""COMPUTED_VALUE"""),"Central Valleys")</f>
        <v>Central Valleys</v>
      </c>
      <c r="B291" t="str">
        <f ca="1">IFERROR(__xludf.DUMMYFUNCTION("""COMPUTED_VALUE"""),"UKL15")</f>
        <v>UKL15</v>
      </c>
    </row>
    <row r="292" spans="1:2" ht="12.5" x14ac:dyDescent="0.25">
      <c r="A292" t="str">
        <f ca="1">IFERROR(__xludf.DUMMYFUNCTION("""COMPUTED_VALUE"""),"Centre")</f>
        <v>Centre</v>
      </c>
      <c r="B292" t="str">
        <f ca="1">IFERROR(__xludf.DUMMYFUNCTION("""COMPUTED_VALUE"""),"FR24")</f>
        <v>FR24</v>
      </c>
    </row>
    <row r="293" spans="1:2" ht="12.5" x14ac:dyDescent="0.25">
      <c r="A293" t="str">
        <f ca="1">IFERROR(__xludf.DUMMYFUNCTION("""COMPUTED_VALUE"""),"Centre-Est")</f>
        <v>Centre-Est</v>
      </c>
      <c r="B293" t="str">
        <f ca="1">IFERROR(__xludf.DUMMYFUNCTION("""COMPUTED_VALUE"""),"FR7")</f>
        <v>FR7</v>
      </c>
    </row>
    <row r="294" spans="1:2" ht="12.5" x14ac:dyDescent="0.25">
      <c r="A294" t="str">
        <f ca="1">IFERROR(__xludf.DUMMYFUNCTION("""COMPUTED_VALUE"""),"Centro (E)")</f>
        <v>Centro (E)</v>
      </c>
      <c r="B294" t="str">
        <f ca="1">IFERROR(__xludf.DUMMYFUNCTION("""COMPUTED_VALUE"""),"ES4")</f>
        <v>ES4</v>
      </c>
    </row>
    <row r="295" spans="1:2" ht="12.5" x14ac:dyDescent="0.25">
      <c r="A295" t="str">
        <f ca="1">IFERROR(__xludf.DUMMYFUNCTION("""COMPUTED_VALUE"""),"Centro (I)")</f>
        <v>Centro (I)</v>
      </c>
      <c r="B295" t="str">
        <f ca="1">IFERROR(__xludf.DUMMYFUNCTION("""COMPUTED_VALUE"""),"ITE")</f>
        <v>ITE</v>
      </c>
    </row>
    <row r="296" spans="1:2" ht="12.5" x14ac:dyDescent="0.25">
      <c r="A296" t="str">
        <f ca="1">IFERROR(__xludf.DUMMYFUNCTION("""COMPUTED_VALUE"""),"Centro (P)")</f>
        <v>Centro (P)</v>
      </c>
      <c r="B296" t="str">
        <f ca="1">IFERROR(__xludf.DUMMYFUNCTION("""COMPUTED_VALUE"""),"PT16")</f>
        <v>PT16</v>
      </c>
    </row>
    <row r="297" spans="1:2" ht="12.5" x14ac:dyDescent="0.25">
      <c r="A297" t="str">
        <f ca="1">IFERROR(__xludf.DUMMYFUNCTION("""COMPUTED_VALUE"""),"Centru")</f>
        <v>Centru</v>
      </c>
      <c r="B297" t="str">
        <f ca="1">IFERROR(__xludf.DUMMYFUNCTION("""COMPUTED_VALUE"""),"RO12")</f>
        <v>RO12</v>
      </c>
    </row>
    <row r="298" spans="1:2" ht="12.5" x14ac:dyDescent="0.25">
      <c r="A298" t="str">
        <f ca="1">IFERROR(__xludf.DUMMYFUNCTION("""COMPUTED_VALUE"""),"Ceska Republika")</f>
        <v>Ceska Republika</v>
      </c>
      <c r="B298" t="str">
        <f ca="1">IFERROR(__xludf.DUMMYFUNCTION("""COMPUTED_VALUE"""),"CZ")</f>
        <v>CZ</v>
      </c>
    </row>
    <row r="299" spans="1:2" ht="12.5" x14ac:dyDescent="0.25">
      <c r="A299" t="str">
        <f ca="1">IFERROR(__xludf.DUMMYFUNCTION("""COMPUTED_VALUE"""),"Ceska Republika (*)")</f>
        <v>Ceska Republika (*)</v>
      </c>
      <c r="B299" t="str">
        <f ca="1">IFERROR(__xludf.DUMMYFUNCTION("""COMPUTED_VALUE"""),"CZ0")</f>
        <v>CZ0</v>
      </c>
    </row>
    <row r="300" spans="1:2" ht="12.5" x14ac:dyDescent="0.25">
      <c r="A300" t="str">
        <f ca="1">IFERROR(__xludf.DUMMYFUNCTION("""COMPUTED_VALUE"""),"Ceuta")</f>
        <v>Ceuta</v>
      </c>
      <c r="B300" t="str">
        <f ca="1">IFERROR(__xludf.DUMMYFUNCTION("""COMPUTED_VALUE"""),"ES630")</f>
        <v>ES630</v>
      </c>
    </row>
    <row r="301" spans="1:2" ht="12.5" x14ac:dyDescent="0.25">
      <c r="A301" t="str">
        <f ca="1">IFERROR(__xludf.DUMMYFUNCTION("""COMPUTED_VALUE"""),"Chalkidiki")</f>
        <v>Chalkidiki</v>
      </c>
      <c r="B301" t="str">
        <f ca="1">IFERROR(__xludf.DUMMYFUNCTION("""COMPUTED_VALUE"""),"GR127")</f>
        <v>GR127</v>
      </c>
    </row>
    <row r="302" spans="1:2" ht="12.5" x14ac:dyDescent="0.25">
      <c r="A302" t="str">
        <f ca="1">IFERROR(__xludf.DUMMYFUNCTION("""COMPUTED_VALUE"""),"Cham")</f>
        <v>Cham</v>
      </c>
      <c r="B302" t="str">
        <f ca="1">IFERROR(__xludf.DUMMYFUNCTION("""COMPUTED_VALUE"""),"DE235")</f>
        <v>DE235</v>
      </c>
    </row>
    <row r="303" spans="1:2" ht="12.5" x14ac:dyDescent="0.25">
      <c r="A303" t="str">
        <f ca="1">IFERROR(__xludf.DUMMYFUNCTION("""COMPUTED_VALUE"""),"Champagne-Ardenne")</f>
        <v>Champagne-Ardenne</v>
      </c>
      <c r="B303" t="str">
        <f ca="1">IFERROR(__xludf.DUMMYFUNCTION("""COMPUTED_VALUE"""),"FR21")</f>
        <v>FR21</v>
      </c>
    </row>
    <row r="304" spans="1:2" ht="12.5" x14ac:dyDescent="0.25">
      <c r="A304" t="str">
        <f ca="1">IFERROR(__xludf.DUMMYFUNCTION("""COMPUTED_VALUE"""),"Chania")</f>
        <v>Chania</v>
      </c>
      <c r="B304" t="str">
        <f ca="1">IFERROR(__xludf.DUMMYFUNCTION("""COMPUTED_VALUE"""),"GR434")</f>
        <v>GR434</v>
      </c>
    </row>
    <row r="305" spans="1:2" ht="12.5" x14ac:dyDescent="0.25">
      <c r="A305" t="str">
        <f ca="1">IFERROR(__xludf.DUMMYFUNCTION("""COMPUTED_VALUE"""),"Charente")</f>
        <v>Charente</v>
      </c>
      <c r="B305" t="str">
        <f ca="1">IFERROR(__xludf.DUMMYFUNCTION("""COMPUTED_VALUE"""),"FR531")</f>
        <v>FR531</v>
      </c>
    </row>
    <row r="306" spans="1:2" ht="12.5" x14ac:dyDescent="0.25">
      <c r="A306" t="str">
        <f ca="1">IFERROR(__xludf.DUMMYFUNCTION("""COMPUTED_VALUE"""),"Charente-Maritime")</f>
        <v>Charente-Maritime</v>
      </c>
      <c r="B306" t="str">
        <f ca="1">IFERROR(__xludf.DUMMYFUNCTION("""COMPUTED_VALUE"""),"FR532")</f>
        <v>FR532</v>
      </c>
    </row>
    <row r="307" spans="1:2" ht="12.5" x14ac:dyDescent="0.25">
      <c r="A307" t="str">
        <f ca="1">IFERROR(__xludf.DUMMYFUNCTION("""COMPUTED_VALUE"""),"Chelmsko-Zamojski")</f>
        <v>Chelmsko-Zamojski</v>
      </c>
      <c r="B307" t="str">
        <f ca="1">IFERROR(__xludf.DUMMYFUNCTION("""COMPUTED_VALUE"""),"PL312")</f>
        <v>PL312</v>
      </c>
    </row>
    <row r="308" spans="1:2" ht="12.5" x14ac:dyDescent="0.25">
      <c r="A308" t="str">
        <f ca="1">IFERROR(__xludf.DUMMYFUNCTION("""COMPUTED_VALUE"""),"Chemnitz")</f>
        <v>Chemnitz</v>
      </c>
      <c r="B308" t="str">
        <f ca="1">IFERROR(__xludf.DUMMYFUNCTION("""COMPUTED_VALUE"""),"DED1")</f>
        <v>DED1</v>
      </c>
    </row>
    <row r="309" spans="1:2" ht="12.5" x14ac:dyDescent="0.25">
      <c r="A309" t="str">
        <f ca="1">IFERROR(__xludf.DUMMYFUNCTION("""COMPUTED_VALUE"""),"Chemnitz, Kreisfreie Stadt")</f>
        <v>Chemnitz, Kreisfreie Stadt</v>
      </c>
      <c r="B309" t="str">
        <f ca="1">IFERROR(__xludf.DUMMYFUNCTION("""COMPUTED_VALUE"""),"DED11")</f>
        <v>DED11</v>
      </c>
    </row>
    <row r="310" spans="1:2" ht="12.5" x14ac:dyDescent="0.25">
      <c r="A310" t="str">
        <f ca="1">IFERROR(__xludf.DUMMYFUNCTION("""COMPUTED_VALUE"""),"Chemnitzer Land")</f>
        <v>Chemnitzer Land</v>
      </c>
      <c r="B310" t="str">
        <f ca="1">IFERROR(__xludf.DUMMYFUNCTION("""COMPUTED_VALUE"""),"DED15")</f>
        <v>DED15</v>
      </c>
    </row>
    <row r="311" spans="1:2" ht="12.5" x14ac:dyDescent="0.25">
      <c r="A311" t="str">
        <f ca="1">IFERROR(__xludf.DUMMYFUNCTION("""COMPUTED_VALUE"""),"Cher")</f>
        <v>Cher</v>
      </c>
      <c r="B311" t="str">
        <f ca="1">IFERROR(__xludf.DUMMYFUNCTION("""COMPUTED_VALUE"""),"FR241")</f>
        <v>FR241</v>
      </c>
    </row>
    <row r="312" spans="1:2" ht="12.5" x14ac:dyDescent="0.25">
      <c r="A312" t="str">
        <f ca="1">IFERROR(__xludf.DUMMYFUNCTION("""COMPUTED_VALUE"""),"Cheshire")</f>
        <v>Cheshire</v>
      </c>
      <c r="B312" t="str">
        <f ca="1">IFERROR(__xludf.DUMMYFUNCTION("""COMPUTED_VALUE"""),"UKD2")</f>
        <v>UKD2</v>
      </c>
    </row>
    <row r="313" spans="1:2" ht="12.5" x14ac:dyDescent="0.25">
      <c r="A313" t="str">
        <f ca="1">IFERROR(__xludf.DUMMYFUNCTION("""COMPUTED_VALUE"""),"Cheshire Cc")</f>
        <v>Cheshire Cc</v>
      </c>
      <c r="B313" t="str">
        <f ca="1">IFERROR(__xludf.DUMMYFUNCTION("""COMPUTED_VALUE"""),"UKD22")</f>
        <v>UKD22</v>
      </c>
    </row>
    <row r="314" spans="1:2" ht="12.5" x14ac:dyDescent="0.25">
      <c r="A314" t="str">
        <f ca="1">IFERROR(__xludf.DUMMYFUNCTION("""COMPUTED_VALUE"""),"Chieti")</f>
        <v>Chieti</v>
      </c>
      <c r="B314" t="str">
        <f ca="1">IFERROR(__xludf.DUMMYFUNCTION("""COMPUTED_VALUE"""),"ITF14")</f>
        <v>ITF14</v>
      </c>
    </row>
    <row r="315" spans="1:2" ht="12.5" x14ac:dyDescent="0.25">
      <c r="A315" t="str">
        <f ca="1">IFERROR(__xludf.DUMMYFUNCTION("""COMPUTED_VALUE"""),"Chios")</f>
        <v>Chios</v>
      </c>
      <c r="B315" t="str">
        <f ca="1">IFERROR(__xludf.DUMMYFUNCTION("""COMPUTED_VALUE"""),"GR413")</f>
        <v>GR413</v>
      </c>
    </row>
    <row r="316" spans="1:2" ht="12.5" x14ac:dyDescent="0.25">
      <c r="A316" t="str">
        <f ca="1">IFERROR(__xludf.DUMMYFUNCTION("""COMPUTED_VALUE"""),"Ciechanowsko-Plocki")</f>
        <v>Ciechanowsko-Plocki</v>
      </c>
      <c r="B316" t="str">
        <f ca="1">IFERROR(__xludf.DUMMYFUNCTION("""COMPUTED_VALUE"""),"PL121")</f>
        <v>PL121</v>
      </c>
    </row>
    <row r="317" spans="1:2" ht="12.5" x14ac:dyDescent="0.25">
      <c r="A317" t="str">
        <f ca="1">IFERROR(__xludf.DUMMYFUNCTION("""COMPUTED_VALUE"""),"Ciudad Autónoma De Ceuta")</f>
        <v>Ciudad Autónoma De Ceuta</v>
      </c>
      <c r="B317" t="str">
        <f ca="1">IFERROR(__xludf.DUMMYFUNCTION("""COMPUTED_VALUE"""),"ES63")</f>
        <v>ES63</v>
      </c>
    </row>
    <row r="318" spans="1:2" ht="12.5" x14ac:dyDescent="0.25">
      <c r="A318" t="str">
        <f ca="1">IFERROR(__xludf.DUMMYFUNCTION("""COMPUTED_VALUE"""),"Ciudad Autónoma De Melilla")</f>
        <v>Ciudad Autónoma De Melilla</v>
      </c>
      <c r="B318" t="str">
        <f ca="1">IFERROR(__xludf.DUMMYFUNCTION("""COMPUTED_VALUE"""),"ES64")</f>
        <v>ES64</v>
      </c>
    </row>
    <row r="319" spans="1:2" ht="12.5" x14ac:dyDescent="0.25">
      <c r="A319" t="str">
        <f ca="1">IFERROR(__xludf.DUMMYFUNCTION("""COMPUTED_VALUE"""),"Ciudad Real")</f>
        <v>Ciudad Real</v>
      </c>
      <c r="B319" t="str">
        <f ca="1">IFERROR(__xludf.DUMMYFUNCTION("""COMPUTED_VALUE"""),"ES422")</f>
        <v>ES422</v>
      </c>
    </row>
    <row r="320" spans="1:2" ht="12.5" x14ac:dyDescent="0.25">
      <c r="A320" t="str">
        <f ca="1">IFERROR(__xludf.DUMMYFUNCTION("""COMPUTED_VALUE"""),"Clackmannanshire And Fife")</f>
        <v>Clackmannanshire And Fife</v>
      </c>
      <c r="B320" t="str">
        <f ca="1">IFERROR(__xludf.DUMMYFUNCTION("""COMPUTED_VALUE"""),"UKM22")</f>
        <v>UKM22</v>
      </c>
    </row>
    <row r="321" spans="1:2" ht="12.5" x14ac:dyDescent="0.25">
      <c r="A321" t="str">
        <f ca="1">IFERROR(__xludf.DUMMYFUNCTION("""COMPUTED_VALUE"""),"Cloppenburg")</f>
        <v>Cloppenburg</v>
      </c>
      <c r="B321" t="str">
        <f ca="1">IFERROR(__xludf.DUMMYFUNCTION("""COMPUTED_VALUE"""),"DE948")</f>
        <v>DE948</v>
      </c>
    </row>
    <row r="322" spans="1:2" ht="12.5" x14ac:dyDescent="0.25">
      <c r="A322" t="str">
        <f ca="1">IFERROR(__xludf.DUMMYFUNCTION("""COMPUTED_VALUE"""),"Cluj")</f>
        <v>Cluj</v>
      </c>
      <c r="B322" t="str">
        <f ca="1">IFERROR(__xludf.DUMMYFUNCTION("""COMPUTED_VALUE"""),"RO113")</f>
        <v>RO113</v>
      </c>
    </row>
    <row r="323" spans="1:2" ht="12.5" x14ac:dyDescent="0.25">
      <c r="A323" t="str">
        <f ca="1">IFERROR(__xludf.DUMMYFUNCTION("""COMPUTED_VALUE"""),"Coburg, Kreisfreie Stadt")</f>
        <v>Coburg, Kreisfreie Stadt</v>
      </c>
      <c r="B323" t="str">
        <f ca="1">IFERROR(__xludf.DUMMYFUNCTION("""COMPUTED_VALUE"""),"DE243")</f>
        <v>DE243</v>
      </c>
    </row>
    <row r="324" spans="1:2" ht="12.5" x14ac:dyDescent="0.25">
      <c r="A324" t="str">
        <f ca="1">IFERROR(__xludf.DUMMYFUNCTION("""COMPUTED_VALUE"""),"Coburg, Landkreis")</f>
        <v>Coburg, Landkreis</v>
      </c>
      <c r="B324" t="str">
        <f ca="1">IFERROR(__xludf.DUMMYFUNCTION("""COMPUTED_VALUE"""),"DE247")</f>
        <v>DE247</v>
      </c>
    </row>
    <row r="325" spans="1:2" ht="12.5" x14ac:dyDescent="0.25">
      <c r="A325" t="str">
        <f ca="1">IFERROR(__xludf.DUMMYFUNCTION("""COMPUTED_VALUE"""),"Cochem-Zell")</f>
        <v>Cochem-Zell</v>
      </c>
      <c r="B325" t="str">
        <f ca="1">IFERROR(__xludf.DUMMYFUNCTION("""COMPUTED_VALUE"""),"DEB16")</f>
        <v>DEB16</v>
      </c>
    </row>
    <row r="326" spans="1:2" ht="12.5" x14ac:dyDescent="0.25">
      <c r="A326" t="str">
        <f ca="1">IFERROR(__xludf.DUMMYFUNCTION("""COMPUTED_VALUE"""),"Coesfeld")</f>
        <v>Coesfeld</v>
      </c>
      <c r="B326" t="str">
        <f ca="1">IFERROR(__xludf.DUMMYFUNCTION("""COMPUTED_VALUE"""),"DEA35")</f>
        <v>DEA35</v>
      </c>
    </row>
    <row r="327" spans="1:2" ht="12.5" x14ac:dyDescent="0.25">
      <c r="A327" t="str">
        <f ca="1">IFERROR(__xludf.DUMMYFUNCTION("""COMPUTED_VALUE"""),"Como")</f>
        <v>Como</v>
      </c>
      <c r="B327" t="str">
        <f ca="1">IFERROR(__xludf.DUMMYFUNCTION("""COMPUTED_VALUE"""),"ITC42")</f>
        <v>ITC42</v>
      </c>
    </row>
    <row r="328" spans="1:2" ht="12.5" x14ac:dyDescent="0.25">
      <c r="A328" t="str">
        <f ca="1">IFERROR(__xludf.DUMMYFUNCTION("""COMPUTED_VALUE"""),"Comunidad De Madrid")</f>
        <v>Comunidad De Madrid</v>
      </c>
      <c r="B328" t="str">
        <f ca="1">IFERROR(__xludf.DUMMYFUNCTION("""COMPUTED_VALUE"""),"ES3")</f>
        <v>ES3</v>
      </c>
    </row>
    <row r="329" spans="1:2" ht="12.5" x14ac:dyDescent="0.25">
      <c r="A329" t="str">
        <f ca="1">IFERROR(__xludf.DUMMYFUNCTION("""COMPUTED_VALUE"""),"Comunidad De Madrid (*)")</f>
        <v>Comunidad De Madrid (*)</v>
      </c>
      <c r="B329" t="str">
        <f ca="1">IFERROR(__xludf.DUMMYFUNCTION("""COMPUTED_VALUE"""),"ES30")</f>
        <v>ES30</v>
      </c>
    </row>
    <row r="330" spans="1:2" ht="12.5" x14ac:dyDescent="0.25">
      <c r="A330" t="str">
        <f ca="1">IFERROR(__xludf.DUMMYFUNCTION("""COMPUTED_VALUE"""),"Comunidad Foral De Navarra")</f>
        <v>Comunidad Foral De Navarra</v>
      </c>
      <c r="B330" t="str">
        <f ca="1">IFERROR(__xludf.DUMMYFUNCTION("""COMPUTED_VALUE"""),"ES22")</f>
        <v>ES22</v>
      </c>
    </row>
    <row r="331" spans="1:2" ht="12.5" x14ac:dyDescent="0.25">
      <c r="A331" t="str">
        <f ca="1">IFERROR(__xludf.DUMMYFUNCTION("""COMPUTED_VALUE"""),"Comunidad Valenciana")</f>
        <v>Comunidad Valenciana</v>
      </c>
      <c r="B331" t="str">
        <f ca="1">IFERROR(__xludf.DUMMYFUNCTION("""COMPUTED_VALUE"""),"ES52")</f>
        <v>ES52</v>
      </c>
    </row>
    <row r="332" spans="1:2" ht="12.5" x14ac:dyDescent="0.25">
      <c r="A332" t="str">
        <f ca="1">IFERROR(__xludf.DUMMYFUNCTION("""COMPUTED_VALUE"""),"Constanta")</f>
        <v>Constanta</v>
      </c>
      <c r="B332" t="str">
        <f ca="1">IFERROR(__xludf.DUMMYFUNCTION("""COMPUTED_VALUE"""),"RO223")</f>
        <v>RO223</v>
      </c>
    </row>
    <row r="333" spans="1:2" ht="12.5" x14ac:dyDescent="0.25">
      <c r="A333" t="str">
        <f ca="1">IFERROR(__xludf.DUMMYFUNCTION("""COMPUTED_VALUE"""),"Continente")</f>
        <v>Continente</v>
      </c>
      <c r="B333" t="str">
        <f ca="1">IFERROR(__xludf.DUMMYFUNCTION("""COMPUTED_VALUE"""),"PT1")</f>
        <v>PT1</v>
      </c>
    </row>
    <row r="334" spans="1:2" ht="12.5" x14ac:dyDescent="0.25">
      <c r="A334" t="str">
        <f ca="1">IFERROR(__xludf.DUMMYFUNCTION("""COMPUTED_VALUE"""),"Conwy And Denbighshire")</f>
        <v>Conwy And Denbighshire</v>
      </c>
      <c r="B334" t="str">
        <f ca="1">IFERROR(__xludf.DUMMYFUNCTION("""COMPUTED_VALUE"""),"UKL13")</f>
        <v>UKL13</v>
      </c>
    </row>
    <row r="335" spans="1:2" ht="12.5" x14ac:dyDescent="0.25">
      <c r="A335" t="str">
        <f ca="1">IFERROR(__xludf.DUMMYFUNCTION("""COMPUTED_VALUE"""),"Córdoba")</f>
        <v>Córdoba</v>
      </c>
      <c r="B335" t="str">
        <f ca="1">IFERROR(__xludf.DUMMYFUNCTION("""COMPUTED_VALUE"""),"ES613")</f>
        <v>ES613</v>
      </c>
    </row>
    <row r="336" spans="1:2" ht="12.5" x14ac:dyDescent="0.25">
      <c r="A336" t="str">
        <f ca="1">IFERROR(__xludf.DUMMYFUNCTION("""COMPUTED_VALUE"""),"Cornwall And Isles Of Scilly")</f>
        <v>Cornwall And Isles Of Scilly</v>
      </c>
      <c r="B336" t="str">
        <f ca="1">IFERROR(__xludf.DUMMYFUNCTION("""COMPUTED_VALUE"""),"UKK3")</f>
        <v>UKK3</v>
      </c>
    </row>
    <row r="337" spans="1:2" ht="12.5" x14ac:dyDescent="0.25">
      <c r="A337" t="str">
        <f ca="1">IFERROR(__xludf.DUMMYFUNCTION("""COMPUTED_VALUE"""),"Cornwall And Isles Of Scilly (*)")</f>
        <v>Cornwall And Isles Of Scilly (*)</v>
      </c>
      <c r="B337" t="str">
        <f ca="1">IFERROR(__xludf.DUMMYFUNCTION("""COMPUTED_VALUE"""),"UKK30")</f>
        <v>UKK30</v>
      </c>
    </row>
    <row r="338" spans="1:2" ht="12.5" x14ac:dyDescent="0.25">
      <c r="A338" t="str">
        <f ca="1">IFERROR(__xludf.DUMMYFUNCTION("""COMPUTED_VALUE"""),"Corrèze")</f>
        <v>Corrèze</v>
      </c>
      <c r="B338" t="str">
        <f ca="1">IFERROR(__xludf.DUMMYFUNCTION("""COMPUTED_VALUE"""),"FR631")</f>
        <v>FR631</v>
      </c>
    </row>
    <row r="339" spans="1:2" ht="12.5" x14ac:dyDescent="0.25">
      <c r="A339" t="str">
        <f ca="1">IFERROR(__xludf.DUMMYFUNCTION("""COMPUTED_VALUE"""),"Corse")</f>
        <v>Corse</v>
      </c>
      <c r="B339" t="str">
        <f ca="1">IFERROR(__xludf.DUMMYFUNCTION("""COMPUTED_VALUE"""),"FR83")</f>
        <v>FR83</v>
      </c>
    </row>
    <row r="340" spans="1:2" ht="12.5" x14ac:dyDescent="0.25">
      <c r="A340" t="str">
        <f ca="1">IFERROR(__xludf.DUMMYFUNCTION("""COMPUTED_VALUE"""),"Corse-Du-Sud")</f>
        <v>Corse-Du-Sud</v>
      </c>
      <c r="B340" t="str">
        <f ca="1">IFERROR(__xludf.DUMMYFUNCTION("""COMPUTED_VALUE"""),"FR831")</f>
        <v>FR831</v>
      </c>
    </row>
    <row r="341" spans="1:2" ht="12.5" x14ac:dyDescent="0.25">
      <c r="A341" t="str">
        <f ca="1">IFERROR(__xludf.DUMMYFUNCTION("""COMPUTED_VALUE"""),"Cosenza")</f>
        <v>Cosenza</v>
      </c>
      <c r="B341" t="str">
        <f ca="1">IFERROR(__xludf.DUMMYFUNCTION("""COMPUTED_VALUE"""),"ITF61")</f>
        <v>ITF61</v>
      </c>
    </row>
    <row r="342" spans="1:2" ht="12.5" x14ac:dyDescent="0.25">
      <c r="A342" t="str">
        <f ca="1">IFERROR(__xludf.DUMMYFUNCTION("""COMPUTED_VALUE"""),"Côte-D'Or")</f>
        <v>Côte-D'Or</v>
      </c>
      <c r="B342" t="str">
        <f ca="1">IFERROR(__xludf.DUMMYFUNCTION("""COMPUTED_VALUE"""),"FR261")</f>
        <v>FR261</v>
      </c>
    </row>
    <row r="343" spans="1:2" ht="12.5" x14ac:dyDescent="0.25">
      <c r="A343" t="str">
        <f ca="1">IFERROR(__xludf.DUMMYFUNCTION("""COMPUTED_VALUE"""),"Côtes-D'Armor")</f>
        <v>Côtes-D'Armor</v>
      </c>
      <c r="B343" t="str">
        <f ca="1">IFERROR(__xludf.DUMMYFUNCTION("""COMPUTED_VALUE"""),"FR521")</f>
        <v>FR521</v>
      </c>
    </row>
    <row r="344" spans="1:2" ht="12.5" x14ac:dyDescent="0.25">
      <c r="A344" t="str">
        <f ca="1">IFERROR(__xludf.DUMMYFUNCTION("""COMPUTED_VALUE"""),"Cottbus, Kreisfreie Stadt")</f>
        <v>Cottbus, Kreisfreie Stadt</v>
      </c>
      <c r="B344" t="str">
        <f ca="1">IFERROR(__xludf.DUMMYFUNCTION("""COMPUTED_VALUE"""),"DE422")</f>
        <v>DE422</v>
      </c>
    </row>
    <row r="345" spans="1:2" ht="12.5" x14ac:dyDescent="0.25">
      <c r="A345" t="str">
        <f ca="1">IFERROR(__xludf.DUMMYFUNCTION("""COMPUTED_VALUE"""),"Cova Da Beira")</f>
        <v>Cova Da Beira</v>
      </c>
      <c r="B345" t="str">
        <f ca="1">IFERROR(__xludf.DUMMYFUNCTION("""COMPUTED_VALUE"""),"PT16A")</f>
        <v>PT16A</v>
      </c>
    </row>
    <row r="346" spans="1:2" ht="12.5" x14ac:dyDescent="0.25">
      <c r="A346" t="str">
        <f ca="1">IFERROR(__xludf.DUMMYFUNCTION("""COMPUTED_VALUE"""),"Covasna")</f>
        <v>Covasna</v>
      </c>
      <c r="B346" t="str">
        <f ca="1">IFERROR(__xludf.DUMMYFUNCTION("""COMPUTED_VALUE"""),"RO123")</f>
        <v>RO123</v>
      </c>
    </row>
    <row r="347" spans="1:2" ht="12.5" x14ac:dyDescent="0.25">
      <c r="A347" t="str">
        <f ca="1">IFERROR(__xludf.DUMMYFUNCTION("""COMPUTED_VALUE"""),"Coventry")</f>
        <v>Coventry</v>
      </c>
      <c r="B347" t="str">
        <f ca="1">IFERROR(__xludf.DUMMYFUNCTION("""COMPUTED_VALUE"""),"UKG33")</f>
        <v>UKG33</v>
      </c>
    </row>
    <row r="348" spans="1:2" ht="12.5" x14ac:dyDescent="0.25">
      <c r="A348" t="str">
        <f ca="1">IFERROR(__xludf.DUMMYFUNCTION("""COMPUTED_VALUE"""),"Cremona")</f>
        <v>Cremona</v>
      </c>
      <c r="B348" t="str">
        <f ca="1">IFERROR(__xludf.DUMMYFUNCTION("""COMPUTED_VALUE"""),"ITC4A")</f>
        <v>ITC4A</v>
      </c>
    </row>
    <row r="349" spans="1:2" ht="12.5" x14ac:dyDescent="0.25">
      <c r="A349" t="str">
        <f ca="1">IFERROR(__xludf.DUMMYFUNCTION("""COMPUTED_VALUE"""),"Creuse")</f>
        <v>Creuse</v>
      </c>
      <c r="B349" t="str">
        <f ca="1">IFERROR(__xludf.DUMMYFUNCTION("""COMPUTED_VALUE"""),"FR632")</f>
        <v>FR632</v>
      </c>
    </row>
    <row r="350" spans="1:2" ht="12.5" x14ac:dyDescent="0.25">
      <c r="A350" t="str">
        <f ca="1">IFERROR(__xludf.DUMMYFUNCTION("""COMPUTED_VALUE"""),"Crotone")</f>
        <v>Crotone</v>
      </c>
      <c r="B350" t="str">
        <f ca="1">IFERROR(__xludf.DUMMYFUNCTION("""COMPUTED_VALUE"""),"ITF62")</f>
        <v>ITF62</v>
      </c>
    </row>
    <row r="351" spans="1:2" ht="12.5" x14ac:dyDescent="0.25">
      <c r="A351" t="str">
        <f ca="1">IFERROR(__xludf.DUMMYFUNCTION("""COMPUTED_VALUE"""),"Csongrad")</f>
        <v>Csongrad</v>
      </c>
      <c r="B351" t="str">
        <f ca="1">IFERROR(__xludf.DUMMYFUNCTION("""COMPUTED_VALUE"""),"HU333")</f>
        <v>HU333</v>
      </c>
    </row>
    <row r="352" spans="1:2" ht="12.5" x14ac:dyDescent="0.25">
      <c r="A352" t="str">
        <f ca="1">IFERROR(__xludf.DUMMYFUNCTION("""COMPUTED_VALUE"""),"Cuenca")</f>
        <v>Cuenca</v>
      </c>
      <c r="B352" t="str">
        <f ca="1">IFERROR(__xludf.DUMMYFUNCTION("""COMPUTED_VALUE"""),"ES423")</f>
        <v>ES423</v>
      </c>
    </row>
    <row r="353" spans="1:2" ht="12.5" x14ac:dyDescent="0.25">
      <c r="A353" t="str">
        <f ca="1">IFERROR(__xludf.DUMMYFUNCTION("""COMPUTED_VALUE"""),"Cumbria")</f>
        <v>Cumbria</v>
      </c>
      <c r="B353" t="str">
        <f ca="1">IFERROR(__xludf.DUMMYFUNCTION("""COMPUTED_VALUE"""),"UKD1")</f>
        <v>UKD1</v>
      </c>
    </row>
    <row r="354" spans="1:2" ht="12.5" x14ac:dyDescent="0.25">
      <c r="A354" t="str">
        <f ca="1">IFERROR(__xludf.DUMMYFUNCTION("""COMPUTED_VALUE"""),"Cuneo")</f>
        <v>Cuneo</v>
      </c>
      <c r="B354" t="str">
        <f ca="1">IFERROR(__xludf.DUMMYFUNCTION("""COMPUTED_VALUE"""),"ITC16")</f>
        <v>ITC16</v>
      </c>
    </row>
    <row r="355" spans="1:2" ht="12.5" x14ac:dyDescent="0.25">
      <c r="A355" t="str">
        <f ca="1">IFERROR(__xludf.DUMMYFUNCTION("""COMPUTED_VALUE"""),"Cuxhaven")</f>
        <v>Cuxhaven</v>
      </c>
      <c r="B355" t="str">
        <f ca="1">IFERROR(__xludf.DUMMYFUNCTION("""COMPUTED_VALUE"""),"DE932")</f>
        <v>DE932</v>
      </c>
    </row>
    <row r="356" spans="1:2" ht="12.5" x14ac:dyDescent="0.25">
      <c r="A356" t="str">
        <f ca="1">IFERROR(__xludf.DUMMYFUNCTION("""COMPUTED_VALUE"""),"Czestochowski")</f>
        <v>Czestochowski</v>
      </c>
      <c r="B356" t="str">
        <f ca="1">IFERROR(__xludf.DUMMYFUNCTION("""COMPUTED_VALUE"""),"PL224")</f>
        <v>PL224</v>
      </c>
    </row>
    <row r="357" spans="1:2" ht="12.5" x14ac:dyDescent="0.25">
      <c r="A357" t="str">
        <f ca="1">IFERROR(__xludf.DUMMYFUNCTION("""COMPUTED_VALUE"""),"Dachau")</f>
        <v>Dachau</v>
      </c>
      <c r="B357" t="str">
        <f ca="1">IFERROR(__xludf.DUMMYFUNCTION("""COMPUTED_VALUE"""),"DE217")</f>
        <v>DE217</v>
      </c>
    </row>
    <row r="358" spans="1:2" ht="12.5" x14ac:dyDescent="0.25">
      <c r="A358" t="str">
        <f ca="1">IFERROR(__xludf.DUMMYFUNCTION("""COMPUTED_VALUE"""),"Dahme-Spreewald")</f>
        <v>Dahme-Spreewald</v>
      </c>
      <c r="B358" t="str">
        <f ca="1">IFERROR(__xludf.DUMMYFUNCTION("""COMPUTED_VALUE"""),"DE424")</f>
        <v>DE424</v>
      </c>
    </row>
    <row r="359" spans="1:2" ht="12.5" x14ac:dyDescent="0.25">
      <c r="A359" t="str">
        <f ca="1">IFERROR(__xludf.DUMMYFUNCTION("""COMPUTED_VALUE"""),"Dalarnas Län")</f>
        <v>Dalarnas Län</v>
      </c>
      <c r="B359" t="str">
        <f ca="1">IFERROR(__xludf.DUMMYFUNCTION("""COMPUTED_VALUE"""),"SE312")</f>
        <v>SE312</v>
      </c>
    </row>
    <row r="360" spans="1:2" ht="12.5" x14ac:dyDescent="0.25">
      <c r="A360" t="str">
        <f ca="1">IFERROR(__xludf.DUMMYFUNCTION("""COMPUTED_VALUE"""),"Dambovita")</f>
        <v>Dambovita</v>
      </c>
      <c r="B360" t="str">
        <f ca="1">IFERROR(__xludf.DUMMYFUNCTION("""COMPUTED_VALUE"""),"RO313")</f>
        <v>RO313</v>
      </c>
    </row>
    <row r="361" spans="1:2" ht="12.5" x14ac:dyDescent="0.25">
      <c r="A361" t="str">
        <f ca="1">IFERROR(__xludf.DUMMYFUNCTION("""COMPUTED_VALUE"""),"Danmark")</f>
        <v>Danmark</v>
      </c>
      <c r="B361" t="str">
        <f ca="1">IFERROR(__xludf.DUMMYFUNCTION("""COMPUTED_VALUE"""),"DK")</f>
        <v>DK</v>
      </c>
    </row>
    <row r="362" spans="1:2" ht="12.5" x14ac:dyDescent="0.25">
      <c r="A362" t="str">
        <f ca="1">IFERROR(__xludf.DUMMYFUNCTION("""COMPUTED_VALUE"""),"Danmark (*)")</f>
        <v>Danmark (*)</v>
      </c>
      <c r="B362" t="str">
        <f ca="1">IFERROR(__xludf.DUMMYFUNCTION("""COMPUTED_VALUE"""),"DK0")</f>
        <v>DK0</v>
      </c>
    </row>
    <row r="363" spans="1:2" ht="12.5" x14ac:dyDescent="0.25">
      <c r="A363" t="str">
        <f ca="1">IFERROR(__xludf.DUMMYFUNCTION("""COMPUTED_VALUE"""),"Dâo-Lafôes")</f>
        <v>Dâo-Lafôes</v>
      </c>
      <c r="B363" t="str">
        <f ca="1">IFERROR(__xludf.DUMMYFUNCTION("""COMPUTED_VALUE"""),"PT165")</f>
        <v>PT165</v>
      </c>
    </row>
    <row r="364" spans="1:2" ht="12.5" x14ac:dyDescent="0.25">
      <c r="A364" t="str">
        <f ca="1">IFERROR(__xludf.DUMMYFUNCTION("""COMPUTED_VALUE"""),"Darlington")</f>
        <v>Darlington</v>
      </c>
      <c r="B364" t="str">
        <f ca="1">IFERROR(__xludf.DUMMYFUNCTION("""COMPUTED_VALUE"""),"UKC13")</f>
        <v>UKC13</v>
      </c>
    </row>
    <row r="365" spans="1:2" ht="12.5" x14ac:dyDescent="0.25">
      <c r="A365" t="str">
        <f ca="1">IFERROR(__xludf.DUMMYFUNCTION("""COMPUTED_VALUE"""),"Darmstadt")</f>
        <v>Darmstadt</v>
      </c>
      <c r="B365" t="str">
        <f ca="1">IFERROR(__xludf.DUMMYFUNCTION("""COMPUTED_VALUE"""),"DE71")</f>
        <v>DE71</v>
      </c>
    </row>
    <row r="366" spans="1:2" ht="12.5" x14ac:dyDescent="0.25">
      <c r="A366" t="str">
        <f ca="1">IFERROR(__xludf.DUMMYFUNCTION("""COMPUTED_VALUE"""),"Darmstadt-Dieburg")</f>
        <v>Darmstadt-Dieburg</v>
      </c>
      <c r="B366" t="str">
        <f ca="1">IFERROR(__xludf.DUMMYFUNCTION("""COMPUTED_VALUE"""),"DE716")</f>
        <v>DE716</v>
      </c>
    </row>
    <row r="367" spans="1:2" ht="12.5" x14ac:dyDescent="0.25">
      <c r="A367" t="str">
        <f ca="1">IFERROR(__xludf.DUMMYFUNCTION("""COMPUTED_VALUE"""),"Darmstadt, Kreisfreie Stadt")</f>
        <v>Darmstadt, Kreisfreie Stadt</v>
      </c>
      <c r="B367" t="str">
        <f ca="1">IFERROR(__xludf.DUMMYFUNCTION("""COMPUTED_VALUE"""),"DE711")</f>
        <v>DE711</v>
      </c>
    </row>
    <row r="368" spans="1:2" ht="12.5" x14ac:dyDescent="0.25">
      <c r="A368" t="str">
        <f ca="1">IFERROR(__xludf.DUMMYFUNCTION("""COMPUTED_VALUE"""),"Daun")</f>
        <v>Daun</v>
      </c>
      <c r="B368" t="str">
        <f ca="1">IFERROR(__xludf.DUMMYFUNCTION("""COMPUTED_VALUE"""),"DEB24")</f>
        <v>DEB24</v>
      </c>
    </row>
    <row r="369" spans="1:2" ht="12.5" x14ac:dyDescent="0.25">
      <c r="A369" t="str">
        <f ca="1">IFERROR(__xludf.DUMMYFUNCTION("""COMPUTED_VALUE"""),"Deggendorf")</f>
        <v>Deggendorf</v>
      </c>
      <c r="B369" t="str">
        <f ca="1">IFERROR(__xludf.DUMMYFUNCTION("""COMPUTED_VALUE"""),"DE224")</f>
        <v>DE224</v>
      </c>
    </row>
    <row r="370" spans="1:2" ht="12.5" x14ac:dyDescent="0.25">
      <c r="A370" t="str">
        <f ca="1">IFERROR(__xludf.DUMMYFUNCTION("""COMPUTED_VALUE"""),"Del-Alfold")</f>
        <v>Del-Alfold</v>
      </c>
      <c r="B370" t="str">
        <f ca="1">IFERROR(__xludf.DUMMYFUNCTION("""COMPUTED_VALUE"""),"HU33")</f>
        <v>HU33</v>
      </c>
    </row>
    <row r="371" spans="1:2" ht="12.5" x14ac:dyDescent="0.25">
      <c r="A371" t="str">
        <f ca="1">IFERROR(__xludf.DUMMYFUNCTION("""COMPUTED_VALUE"""),"Del-Dunantul")</f>
        <v>Del-Dunantul</v>
      </c>
      <c r="B371" t="str">
        <f ca="1">IFERROR(__xludf.DUMMYFUNCTION("""COMPUTED_VALUE"""),"HU23")</f>
        <v>HU23</v>
      </c>
    </row>
    <row r="372" spans="1:2" ht="12.5" x14ac:dyDescent="0.25">
      <c r="A372" t="str">
        <f ca="1">IFERROR(__xludf.DUMMYFUNCTION("""COMPUTED_VALUE"""),"Delft En Westland")</f>
        <v>Delft En Westland</v>
      </c>
      <c r="B372" t="str">
        <f ca="1">IFERROR(__xludf.DUMMYFUNCTION("""COMPUTED_VALUE"""),"NL333")</f>
        <v>NL333</v>
      </c>
    </row>
    <row r="373" spans="1:2" ht="12.5" x14ac:dyDescent="0.25">
      <c r="A373" t="str">
        <f ca="1">IFERROR(__xludf.DUMMYFUNCTION("""COMPUTED_VALUE"""),"Delfzijl En Omgeving")</f>
        <v>Delfzijl En Omgeving</v>
      </c>
      <c r="B373" t="str">
        <f ca="1">IFERROR(__xludf.DUMMYFUNCTION("""COMPUTED_VALUE"""),"NL112")</f>
        <v>NL112</v>
      </c>
    </row>
    <row r="374" spans="1:2" ht="12.5" x14ac:dyDescent="0.25">
      <c r="A374" t="str">
        <f ca="1">IFERROR(__xludf.DUMMYFUNCTION("""COMPUTED_VALUE"""),"Delitzsch")</f>
        <v>Delitzsch</v>
      </c>
      <c r="B374" t="str">
        <f ca="1">IFERROR(__xludf.DUMMYFUNCTION("""COMPUTED_VALUE"""),"DED32")</f>
        <v>DED32</v>
      </c>
    </row>
    <row r="375" spans="1:2" ht="12.5" x14ac:dyDescent="0.25">
      <c r="A375" t="str">
        <f ca="1">IFERROR(__xludf.DUMMYFUNCTION("""COMPUTED_VALUE"""),"Delmenhorst, Kreisfreie Stadt")</f>
        <v>Delmenhorst, Kreisfreie Stadt</v>
      </c>
      <c r="B375" t="str">
        <f ca="1">IFERROR(__xludf.DUMMYFUNCTION("""COMPUTED_VALUE"""),"DE941")</f>
        <v>DE941</v>
      </c>
    </row>
    <row r="376" spans="1:2" ht="12.5" x14ac:dyDescent="0.25">
      <c r="A376" t="str">
        <f ca="1">IFERROR(__xludf.DUMMYFUNCTION("""COMPUTED_VALUE"""),"Demmin")</f>
        <v>Demmin</v>
      </c>
      <c r="B376" t="str">
        <f ca="1">IFERROR(__xludf.DUMMYFUNCTION("""COMPUTED_VALUE"""),"DE808")</f>
        <v>DE808</v>
      </c>
    </row>
    <row r="377" spans="1:2" ht="12.5" x14ac:dyDescent="0.25">
      <c r="A377" t="str">
        <f ca="1">IFERROR(__xludf.DUMMYFUNCTION("""COMPUTED_VALUE"""),"Départements D'Outre-Mer")</f>
        <v>Départements D'Outre-Mer</v>
      </c>
      <c r="B377" t="str">
        <f ca="1">IFERROR(__xludf.DUMMYFUNCTION("""COMPUTED_VALUE"""),"FR9")</f>
        <v>FR9</v>
      </c>
    </row>
    <row r="378" spans="1:2" ht="12.5" x14ac:dyDescent="0.25">
      <c r="A378" t="str">
        <f ca="1">IFERROR(__xludf.DUMMYFUNCTION("""COMPUTED_VALUE"""),"Derby")</f>
        <v>Derby</v>
      </c>
      <c r="B378" t="str">
        <f ca="1">IFERROR(__xludf.DUMMYFUNCTION("""COMPUTED_VALUE"""),"UKF11")</f>
        <v>UKF11</v>
      </c>
    </row>
    <row r="379" spans="1:2" ht="12.5" x14ac:dyDescent="0.25">
      <c r="A379" t="str">
        <f ca="1">IFERROR(__xludf.DUMMYFUNCTION("""COMPUTED_VALUE"""),"Derbyshire And Nottinghamshire")</f>
        <v>Derbyshire And Nottinghamshire</v>
      </c>
      <c r="B379" t="str">
        <f ca="1">IFERROR(__xludf.DUMMYFUNCTION("""COMPUTED_VALUE"""),"UKF1")</f>
        <v>UKF1</v>
      </c>
    </row>
    <row r="380" spans="1:2" ht="12.5" x14ac:dyDescent="0.25">
      <c r="A380" t="str">
        <f ca="1">IFERROR(__xludf.DUMMYFUNCTION("""COMPUTED_VALUE"""),"Dessau-Roßlau, Kreisfreie Stadt")</f>
        <v>Dessau-Roßlau, Kreisfreie Stadt</v>
      </c>
      <c r="B380" t="str">
        <f ca="1">IFERROR(__xludf.DUMMYFUNCTION("""COMPUTED_VALUE"""),"DEE01")</f>
        <v>DEE01</v>
      </c>
    </row>
    <row r="381" spans="1:2" ht="12.5" x14ac:dyDescent="0.25">
      <c r="A381" t="str">
        <f ca="1">IFERROR(__xludf.DUMMYFUNCTION("""COMPUTED_VALUE"""),"Detmold")</f>
        <v>Detmold</v>
      </c>
      <c r="B381" t="str">
        <f ca="1">IFERROR(__xludf.DUMMYFUNCTION("""COMPUTED_VALUE"""),"DEA4")</f>
        <v>DEA4</v>
      </c>
    </row>
    <row r="382" spans="1:2" ht="12.5" x14ac:dyDescent="0.25">
      <c r="A382" t="str">
        <f ca="1">IFERROR(__xludf.DUMMYFUNCTION("""COMPUTED_VALUE"""),"Deutschland")</f>
        <v>Deutschland</v>
      </c>
      <c r="B382" t="str">
        <f ca="1">IFERROR(__xludf.DUMMYFUNCTION("""COMPUTED_VALUE"""),"DE")</f>
        <v>DE</v>
      </c>
    </row>
    <row r="383" spans="1:2" ht="12.5" x14ac:dyDescent="0.25">
      <c r="A383" t="str">
        <f ca="1">IFERROR(__xludf.DUMMYFUNCTION("""COMPUTED_VALUE"""),"Deux-Sèvres")</f>
        <v>Deux-Sèvres</v>
      </c>
      <c r="B383" t="str">
        <f ca="1">IFERROR(__xludf.DUMMYFUNCTION("""COMPUTED_VALUE"""),"FR533")</f>
        <v>FR533</v>
      </c>
    </row>
    <row r="384" spans="1:2" ht="12.5" x14ac:dyDescent="0.25">
      <c r="A384" t="str">
        <f ca="1">IFERROR(__xludf.DUMMYFUNCTION("""COMPUTED_VALUE"""),"Devon")</f>
        <v>Devon</v>
      </c>
      <c r="B384" t="str">
        <f ca="1">IFERROR(__xludf.DUMMYFUNCTION("""COMPUTED_VALUE"""),"UKK4")</f>
        <v>UKK4</v>
      </c>
    </row>
    <row r="385" spans="1:2" ht="12.5" x14ac:dyDescent="0.25">
      <c r="A385" t="str">
        <f ca="1">IFERROR(__xludf.DUMMYFUNCTION("""COMPUTED_VALUE"""),"Devon Cc")</f>
        <v>Devon Cc</v>
      </c>
      <c r="B385" t="str">
        <f ca="1">IFERROR(__xludf.DUMMYFUNCTION("""COMPUTED_VALUE"""),"UKK43")</f>
        <v>UKK43</v>
      </c>
    </row>
    <row r="386" spans="1:2" ht="12.5" x14ac:dyDescent="0.25">
      <c r="A386" t="str">
        <f ca="1">IFERROR(__xludf.DUMMYFUNCTION("""COMPUTED_VALUE"""),"Diepholz")</f>
        <v>Diepholz</v>
      </c>
      <c r="B386" t="str">
        <f ca="1">IFERROR(__xludf.DUMMYFUNCTION("""COMPUTED_VALUE"""),"DE922")</f>
        <v>DE922</v>
      </c>
    </row>
    <row r="387" spans="1:2" ht="12.5" x14ac:dyDescent="0.25">
      <c r="A387" t="str">
        <f ca="1">IFERROR(__xludf.DUMMYFUNCTION("""COMPUTED_VALUE"""),"Dillingen A.D. Donau")</f>
        <v>Dillingen A.D. Donau</v>
      </c>
      <c r="B387" t="str">
        <f ca="1">IFERROR(__xludf.DUMMYFUNCTION("""COMPUTED_VALUE"""),"DE277")</f>
        <v>DE277</v>
      </c>
    </row>
    <row r="388" spans="1:2" ht="12.5" x14ac:dyDescent="0.25">
      <c r="A388" t="str">
        <f ca="1">IFERROR(__xludf.DUMMYFUNCTION("""COMPUTED_VALUE"""),"Dingolfing-Landau")</f>
        <v>Dingolfing-Landau</v>
      </c>
      <c r="B388" t="str">
        <f ca="1">IFERROR(__xludf.DUMMYFUNCTION("""COMPUTED_VALUE"""),"DE22C")</f>
        <v>DE22C</v>
      </c>
    </row>
    <row r="389" spans="1:2" ht="12.5" x14ac:dyDescent="0.25">
      <c r="A389" t="str">
        <f ca="1">IFERROR(__xludf.DUMMYFUNCTION("""COMPUTED_VALUE"""),"Dithmarschen")</f>
        <v>Dithmarschen</v>
      </c>
      <c r="B389" t="str">
        <f ca="1">IFERROR(__xludf.DUMMYFUNCTION("""COMPUTED_VALUE"""),"DEF05")</f>
        <v>DEF05</v>
      </c>
    </row>
    <row r="390" spans="1:2" ht="12.5" x14ac:dyDescent="0.25">
      <c r="A390" t="str">
        <f ca="1">IFERROR(__xludf.DUMMYFUNCTION("""COMPUTED_VALUE"""),"Döbeln")</f>
        <v>Döbeln</v>
      </c>
      <c r="B390" t="str">
        <f ca="1">IFERROR(__xludf.DUMMYFUNCTION("""COMPUTED_VALUE"""),"DED33")</f>
        <v>DED33</v>
      </c>
    </row>
    <row r="391" spans="1:2" ht="12.5" x14ac:dyDescent="0.25">
      <c r="A391" t="str">
        <f ca="1">IFERROR(__xludf.DUMMYFUNCTION("""COMPUTED_VALUE"""),"Dobrich")</f>
        <v>Dobrich</v>
      </c>
      <c r="B391" t="str">
        <f ca="1">IFERROR(__xludf.DUMMYFUNCTION("""COMPUTED_VALUE"""),"BG332")</f>
        <v>BG332</v>
      </c>
    </row>
    <row r="392" spans="1:2" ht="12.5" x14ac:dyDescent="0.25">
      <c r="A392" t="str">
        <f ca="1">IFERROR(__xludf.DUMMYFUNCTION("""COMPUTED_VALUE"""),"Dodekanisos")</f>
        <v>Dodekanisos</v>
      </c>
      <c r="B392" t="str">
        <f ca="1">IFERROR(__xludf.DUMMYFUNCTION("""COMPUTED_VALUE"""),"GR421")</f>
        <v>GR421</v>
      </c>
    </row>
    <row r="393" spans="1:2" ht="12.5" x14ac:dyDescent="0.25">
      <c r="A393" t="str">
        <f ca="1">IFERROR(__xludf.DUMMYFUNCTION("""COMPUTED_VALUE"""),"Dolj")</f>
        <v>Dolj</v>
      </c>
      <c r="B393" t="str">
        <f ca="1">IFERROR(__xludf.DUMMYFUNCTION("""COMPUTED_VALUE"""),"RO411")</f>
        <v>RO411</v>
      </c>
    </row>
    <row r="394" spans="1:2" ht="12.5" x14ac:dyDescent="0.25">
      <c r="A394" t="str">
        <f ca="1">IFERROR(__xludf.DUMMYFUNCTION("""COMPUTED_VALUE"""),"Dolnoslaskie")</f>
        <v>Dolnoslaskie</v>
      </c>
      <c r="B394" t="str">
        <f ca="1">IFERROR(__xludf.DUMMYFUNCTION("""COMPUTED_VALUE"""),"PL51")</f>
        <v>PL51</v>
      </c>
    </row>
    <row r="395" spans="1:2" ht="12.5" x14ac:dyDescent="0.25">
      <c r="A395" t="str">
        <f ca="1">IFERROR(__xludf.DUMMYFUNCTION("""COMPUTED_VALUE"""),"Donau-Ries")</f>
        <v>Donau-Ries</v>
      </c>
      <c r="B395" t="str">
        <f ca="1">IFERROR(__xludf.DUMMYFUNCTION("""COMPUTED_VALUE"""),"DE27D")</f>
        <v>DE27D</v>
      </c>
    </row>
    <row r="396" spans="1:2" ht="12.5" x14ac:dyDescent="0.25">
      <c r="A396" t="str">
        <f ca="1">IFERROR(__xludf.DUMMYFUNCTION("""COMPUTED_VALUE"""),"Donnersbergkreis")</f>
        <v>Donnersbergkreis</v>
      </c>
      <c r="B396" t="str">
        <f ca="1">IFERROR(__xludf.DUMMYFUNCTION("""COMPUTED_VALUE"""),"DEB3D")</f>
        <v>DEB3D</v>
      </c>
    </row>
    <row r="397" spans="1:2" ht="12.5" x14ac:dyDescent="0.25">
      <c r="A397" t="str">
        <f ca="1">IFERROR(__xludf.DUMMYFUNCTION("""COMPUTED_VALUE"""),"Dordogne")</f>
        <v>Dordogne</v>
      </c>
      <c r="B397" t="str">
        <f ca="1">IFERROR(__xludf.DUMMYFUNCTION("""COMPUTED_VALUE"""),"FR611")</f>
        <v>FR611</v>
      </c>
    </row>
    <row r="398" spans="1:2" ht="12.5" x14ac:dyDescent="0.25">
      <c r="A398" t="str">
        <f ca="1">IFERROR(__xludf.DUMMYFUNCTION("""COMPUTED_VALUE"""),"Dorset And Somerset")</f>
        <v>Dorset And Somerset</v>
      </c>
      <c r="B398" t="str">
        <f ca="1">IFERROR(__xludf.DUMMYFUNCTION("""COMPUTED_VALUE"""),"UKK2")</f>
        <v>UKK2</v>
      </c>
    </row>
    <row r="399" spans="1:2" ht="12.5" x14ac:dyDescent="0.25">
      <c r="A399" t="str">
        <f ca="1">IFERROR(__xludf.DUMMYFUNCTION("""COMPUTED_VALUE"""),"Dorset Cc")</f>
        <v>Dorset Cc</v>
      </c>
      <c r="B399" t="str">
        <f ca="1">IFERROR(__xludf.DUMMYFUNCTION("""COMPUTED_VALUE"""),"UKK22")</f>
        <v>UKK22</v>
      </c>
    </row>
    <row r="400" spans="1:2" ht="12.5" x14ac:dyDescent="0.25">
      <c r="A400" t="str">
        <f ca="1">IFERROR(__xludf.DUMMYFUNCTION("""COMPUTED_VALUE"""),"Dortmund, Kreisfreie Stadt")</f>
        <v>Dortmund, Kreisfreie Stadt</v>
      </c>
      <c r="B400" t="str">
        <f ca="1">IFERROR(__xludf.DUMMYFUNCTION("""COMPUTED_VALUE"""),"DEA52")</f>
        <v>DEA52</v>
      </c>
    </row>
    <row r="401" spans="1:2" ht="12.5" x14ac:dyDescent="0.25">
      <c r="A401" t="str">
        <f ca="1">IFERROR(__xludf.DUMMYFUNCTION("""COMPUTED_VALUE"""),"Doubs")</f>
        <v>Doubs</v>
      </c>
      <c r="B401" t="str">
        <f ca="1">IFERROR(__xludf.DUMMYFUNCTION("""COMPUTED_VALUE"""),"FR431")</f>
        <v>FR431</v>
      </c>
    </row>
    <row r="402" spans="1:2" ht="12.5" x14ac:dyDescent="0.25">
      <c r="A402" t="str">
        <f ca="1">IFERROR(__xludf.DUMMYFUNCTION("""COMPUTED_VALUE"""),"Douro")</f>
        <v>Douro</v>
      </c>
      <c r="B402" t="str">
        <f ca="1">IFERROR(__xludf.DUMMYFUNCTION("""COMPUTED_VALUE"""),"PT117")</f>
        <v>PT117</v>
      </c>
    </row>
    <row r="403" spans="1:2" ht="12.5" x14ac:dyDescent="0.25">
      <c r="A403" t="str">
        <f ca="1">IFERROR(__xludf.DUMMYFUNCTION("""COMPUTED_VALUE"""),"Drama")</f>
        <v>Drama</v>
      </c>
      <c r="B403" t="str">
        <f ca="1">IFERROR(__xludf.DUMMYFUNCTION("""COMPUTED_VALUE"""),"GR114")</f>
        <v>GR114</v>
      </c>
    </row>
    <row r="404" spans="1:2" ht="12.5" x14ac:dyDescent="0.25">
      <c r="A404" t="str">
        <f ca="1">IFERROR(__xludf.DUMMYFUNCTION("""COMPUTED_VALUE"""),"Drenthe")</f>
        <v>Drenthe</v>
      </c>
      <c r="B404" t="str">
        <f ca="1">IFERROR(__xludf.DUMMYFUNCTION("""COMPUTED_VALUE"""),"NL13")</f>
        <v>NL13</v>
      </c>
    </row>
    <row r="405" spans="1:2" ht="12.5" x14ac:dyDescent="0.25">
      <c r="A405" t="str">
        <f ca="1">IFERROR(__xludf.DUMMYFUNCTION("""COMPUTED_VALUE"""),"Dresden")</f>
        <v>Dresden</v>
      </c>
      <c r="B405" t="str">
        <f ca="1">IFERROR(__xludf.DUMMYFUNCTION("""COMPUTED_VALUE"""),"DED2")</f>
        <v>DED2</v>
      </c>
    </row>
    <row r="406" spans="1:2" ht="12.5" x14ac:dyDescent="0.25">
      <c r="A406" t="str">
        <f ca="1">IFERROR(__xludf.DUMMYFUNCTION("""COMPUTED_VALUE"""),"Dresden, Kreisfreie Stadt")</f>
        <v>Dresden, Kreisfreie Stadt</v>
      </c>
      <c r="B406" t="str">
        <f ca="1">IFERROR(__xludf.DUMMYFUNCTION("""COMPUTED_VALUE"""),"DED21")</f>
        <v>DED21</v>
      </c>
    </row>
    <row r="407" spans="1:2" ht="12.5" x14ac:dyDescent="0.25">
      <c r="A407" t="str">
        <f ca="1">IFERROR(__xludf.DUMMYFUNCTION("""COMPUTED_VALUE"""),"Drôme")</f>
        <v>Drôme</v>
      </c>
      <c r="B407" t="str">
        <f ca="1">IFERROR(__xludf.DUMMYFUNCTION("""COMPUTED_VALUE"""),"FR713")</f>
        <v>FR713</v>
      </c>
    </row>
    <row r="408" spans="1:2" ht="12.5" x14ac:dyDescent="0.25">
      <c r="A408" t="str">
        <f ca="1">IFERROR(__xludf.DUMMYFUNCTION("""COMPUTED_VALUE"""),"Dublin")</f>
        <v>Dublin</v>
      </c>
      <c r="B408" t="str">
        <f ca="1">IFERROR(__xludf.DUMMYFUNCTION("""COMPUTED_VALUE"""),"IE021")</f>
        <v>IE021</v>
      </c>
    </row>
    <row r="409" spans="1:2" ht="12.5" x14ac:dyDescent="0.25">
      <c r="A409" t="str">
        <f ca="1">IFERROR(__xludf.DUMMYFUNCTION("""COMPUTED_VALUE"""),"Dudley And Sandwell")</f>
        <v>Dudley And Sandwell</v>
      </c>
      <c r="B409" t="str">
        <f ca="1">IFERROR(__xludf.DUMMYFUNCTION("""COMPUTED_VALUE"""),"UKG34")</f>
        <v>UKG34</v>
      </c>
    </row>
    <row r="410" spans="1:2" ht="12.5" x14ac:dyDescent="0.25">
      <c r="A410" t="str">
        <f ca="1">IFERROR(__xludf.DUMMYFUNCTION("""COMPUTED_VALUE"""),"Duisburg, Kreisfreie Stadt")</f>
        <v>Duisburg, Kreisfreie Stadt</v>
      </c>
      <c r="B410" t="str">
        <f ca="1">IFERROR(__xludf.DUMMYFUNCTION("""COMPUTED_VALUE"""),"DEA12")</f>
        <v>DEA12</v>
      </c>
    </row>
    <row r="411" spans="1:2" ht="12.5" x14ac:dyDescent="0.25">
      <c r="A411" t="str">
        <f ca="1">IFERROR(__xludf.DUMMYFUNCTION("""COMPUTED_VALUE"""),"Dumfries &amp; Galloway")</f>
        <v>Dumfries &amp; Galloway</v>
      </c>
      <c r="B411" t="str">
        <f ca="1">IFERROR(__xludf.DUMMYFUNCTION("""COMPUTED_VALUE"""),"UKM32")</f>
        <v>UKM32</v>
      </c>
    </row>
    <row r="412" spans="1:2" ht="12.5" x14ac:dyDescent="0.25">
      <c r="A412" t="str">
        <f ca="1">IFERROR(__xludf.DUMMYFUNCTION("""COMPUTED_VALUE"""),"Dunantul")</f>
        <v>Dunantul</v>
      </c>
      <c r="B412" t="str">
        <f ca="1">IFERROR(__xludf.DUMMYFUNCTION("""COMPUTED_VALUE"""),"HU2")</f>
        <v>HU2</v>
      </c>
    </row>
    <row r="413" spans="1:2" ht="12.5" x14ac:dyDescent="0.25">
      <c r="A413" t="str">
        <f ca="1">IFERROR(__xludf.DUMMYFUNCTION("""COMPUTED_VALUE"""),"Düren")</f>
        <v>Düren</v>
      </c>
      <c r="B413" t="str">
        <f ca="1">IFERROR(__xludf.DUMMYFUNCTION("""COMPUTED_VALUE"""),"DEA26")</f>
        <v>DEA26</v>
      </c>
    </row>
    <row r="414" spans="1:2" ht="12.5" x14ac:dyDescent="0.25">
      <c r="A414" t="str">
        <f ca="1">IFERROR(__xludf.DUMMYFUNCTION("""COMPUTED_VALUE"""),"Durham Cc")</f>
        <v>Durham Cc</v>
      </c>
      <c r="B414" t="str">
        <f ca="1">IFERROR(__xludf.DUMMYFUNCTION("""COMPUTED_VALUE"""),"UKC14")</f>
        <v>UKC14</v>
      </c>
    </row>
    <row r="415" spans="1:2" ht="12.5" x14ac:dyDescent="0.25">
      <c r="A415" t="str">
        <f ca="1">IFERROR(__xludf.DUMMYFUNCTION("""COMPUTED_VALUE"""),"Düsseldorf")</f>
        <v>Düsseldorf</v>
      </c>
      <c r="B415" t="str">
        <f ca="1">IFERROR(__xludf.DUMMYFUNCTION("""COMPUTED_VALUE"""),"DEA1")</f>
        <v>DEA1</v>
      </c>
    </row>
    <row r="416" spans="1:2" ht="12.5" x14ac:dyDescent="0.25">
      <c r="A416" t="str">
        <f ca="1">IFERROR(__xludf.DUMMYFUNCTION("""COMPUTED_VALUE"""),"Düsseldorf, Kreisfreie Stadt")</f>
        <v>Düsseldorf, Kreisfreie Stadt</v>
      </c>
      <c r="B416" t="str">
        <f ca="1">IFERROR(__xludf.DUMMYFUNCTION("""COMPUTED_VALUE"""),"DEA11")</f>
        <v>DEA11</v>
      </c>
    </row>
    <row r="417" spans="1:2" ht="12.5" x14ac:dyDescent="0.25">
      <c r="A417" t="str">
        <f ca="1">IFERROR(__xludf.DUMMYFUNCTION("""COMPUTED_VALUE"""),"Dytiki Ellada")</f>
        <v>Dytiki Ellada</v>
      </c>
      <c r="B417" t="str">
        <f ca="1">IFERROR(__xludf.DUMMYFUNCTION("""COMPUTED_VALUE"""),"GR23")</f>
        <v>GR23</v>
      </c>
    </row>
    <row r="418" spans="1:2" ht="12.5" x14ac:dyDescent="0.25">
      <c r="A418" t="str">
        <f ca="1">IFERROR(__xludf.DUMMYFUNCTION("""COMPUTED_VALUE"""),"Dytiki Makedonia")</f>
        <v>Dytiki Makedonia</v>
      </c>
      <c r="B418" t="str">
        <f ca="1">IFERROR(__xludf.DUMMYFUNCTION("""COMPUTED_VALUE"""),"GR13")</f>
        <v>GR13</v>
      </c>
    </row>
    <row r="419" spans="1:2" ht="12.5" x14ac:dyDescent="0.25">
      <c r="A419" t="str">
        <f ca="1">IFERROR(__xludf.DUMMYFUNCTION("""COMPUTED_VALUE"""),"East Anglia")</f>
        <v>East Anglia</v>
      </c>
      <c r="B419" t="str">
        <f ca="1">IFERROR(__xludf.DUMMYFUNCTION("""COMPUTED_VALUE"""),"UKH1")</f>
        <v>UKH1</v>
      </c>
    </row>
    <row r="420" spans="1:2" ht="12.5" x14ac:dyDescent="0.25">
      <c r="A420" t="str">
        <f ca="1">IFERROR(__xludf.DUMMYFUNCTION("""COMPUTED_VALUE"""),"East Ayrshire And North Ayrshire Mainland")</f>
        <v>East Ayrshire And North Ayrshire Mainland</v>
      </c>
      <c r="B420" t="str">
        <f ca="1">IFERROR(__xludf.DUMMYFUNCTION("""COMPUTED_VALUE"""),"UKM33")</f>
        <v>UKM33</v>
      </c>
    </row>
    <row r="421" spans="1:2" ht="12.5" x14ac:dyDescent="0.25">
      <c r="A421" t="str">
        <f ca="1">IFERROR(__xludf.DUMMYFUNCTION("""COMPUTED_VALUE"""),"East Cumbria")</f>
        <v>East Cumbria</v>
      </c>
      <c r="B421" t="str">
        <f ca="1">IFERROR(__xludf.DUMMYFUNCTION("""COMPUTED_VALUE"""),"UKD12")</f>
        <v>UKD12</v>
      </c>
    </row>
    <row r="422" spans="1:2" ht="12.5" x14ac:dyDescent="0.25">
      <c r="A422" t="str">
        <f ca="1">IFERROR(__xludf.DUMMYFUNCTION("""COMPUTED_VALUE"""),"East Derbyshire")</f>
        <v>East Derbyshire</v>
      </c>
      <c r="B422" t="str">
        <f ca="1">IFERROR(__xludf.DUMMYFUNCTION("""COMPUTED_VALUE"""),"UKF12")</f>
        <v>UKF12</v>
      </c>
    </row>
    <row r="423" spans="1:2" ht="12.5" x14ac:dyDescent="0.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x14ac:dyDescent="0.25">
      <c r="A424" t="str">
        <f ca="1">IFERROR(__xludf.DUMMYFUNCTION("""COMPUTED_VALUE"""),"East Lothian And Midlothian")</f>
        <v>East Lothian And Midlothian</v>
      </c>
      <c r="B424" t="str">
        <f ca="1">IFERROR(__xludf.DUMMYFUNCTION("""COMPUTED_VALUE"""),"UKM23")</f>
        <v>UKM23</v>
      </c>
    </row>
    <row r="425" spans="1:2" ht="12.5" x14ac:dyDescent="0.25">
      <c r="A425" t="str">
        <f ca="1">IFERROR(__xludf.DUMMYFUNCTION("""COMPUTED_VALUE"""),"East Merseyside")</f>
        <v>East Merseyside</v>
      </c>
      <c r="B425" t="str">
        <f ca="1">IFERROR(__xludf.DUMMYFUNCTION("""COMPUTED_VALUE"""),"UKD51")</f>
        <v>UKD51</v>
      </c>
    </row>
    <row r="426" spans="1:2" ht="12.5" x14ac:dyDescent="0.25">
      <c r="A426" t="str">
        <f ca="1">IFERROR(__xludf.DUMMYFUNCTION("""COMPUTED_VALUE"""),"East Midlands (England)")</f>
        <v>East Midlands (England)</v>
      </c>
      <c r="B426" t="str">
        <f ca="1">IFERROR(__xludf.DUMMYFUNCTION("""COMPUTED_VALUE"""),"UKF")</f>
        <v>UKF</v>
      </c>
    </row>
    <row r="427" spans="1:2" ht="12.5" x14ac:dyDescent="0.25">
      <c r="A427" t="str">
        <f ca="1">IFERROR(__xludf.DUMMYFUNCTION("""COMPUTED_VALUE"""),"East Of England")</f>
        <v>East Of England</v>
      </c>
      <c r="B427" t="str">
        <f ca="1">IFERROR(__xludf.DUMMYFUNCTION("""COMPUTED_VALUE"""),"UKH")</f>
        <v>UKH</v>
      </c>
    </row>
    <row r="428" spans="1:2" ht="12.5" x14ac:dyDescent="0.25">
      <c r="A428" t="str">
        <f ca="1">IFERROR(__xludf.DUMMYFUNCTION("""COMPUTED_VALUE"""),"East Of Northern Ireland")</f>
        <v>East Of Northern Ireland</v>
      </c>
      <c r="B428" t="str">
        <f ca="1">IFERROR(__xludf.DUMMYFUNCTION("""COMPUTED_VALUE"""),"UKN03")</f>
        <v>UKN03</v>
      </c>
    </row>
    <row r="429" spans="1:2" ht="12.5" x14ac:dyDescent="0.25">
      <c r="A429" t="str">
        <f ca="1">IFERROR(__xludf.DUMMYFUNCTION("""COMPUTED_VALUE"""),"East Riding Of Yorkshire")</f>
        <v>East Riding Of Yorkshire</v>
      </c>
      <c r="B429" t="str">
        <f ca="1">IFERROR(__xludf.DUMMYFUNCTION("""COMPUTED_VALUE"""),"UKE12")</f>
        <v>UKE12</v>
      </c>
    </row>
    <row r="430" spans="1:2" ht="12.5" x14ac:dyDescent="0.25">
      <c r="A430" t="str">
        <f ca="1">IFERROR(__xludf.DUMMYFUNCTION("""COMPUTED_VALUE"""),"East Sussex Cc")</f>
        <v>East Sussex Cc</v>
      </c>
      <c r="B430" t="str">
        <f ca="1">IFERROR(__xludf.DUMMYFUNCTION("""COMPUTED_VALUE"""),"UKJ22")</f>
        <v>UKJ22</v>
      </c>
    </row>
    <row r="431" spans="1:2" ht="12.5" x14ac:dyDescent="0.25">
      <c r="A431" t="str">
        <f ca="1">IFERROR(__xludf.DUMMYFUNCTION("""COMPUTED_VALUE"""),"East Wales")</f>
        <v>East Wales</v>
      </c>
      <c r="B431" t="str">
        <f ca="1">IFERROR(__xludf.DUMMYFUNCTION("""COMPUTED_VALUE"""),"UKL2")</f>
        <v>UKL2</v>
      </c>
    </row>
    <row r="432" spans="1:2" ht="12.5" x14ac:dyDescent="0.25">
      <c r="A432" t="str">
        <f ca="1">IFERROR(__xludf.DUMMYFUNCTION("""COMPUTED_VALUE"""),"East Yorkshire And Northern Lincolnshire")</f>
        <v>East Yorkshire And Northern Lincolnshire</v>
      </c>
      <c r="B432" t="str">
        <f ca="1">IFERROR(__xludf.DUMMYFUNCTION("""COMPUTED_VALUE"""),"UKE1")</f>
        <v>UKE1</v>
      </c>
    </row>
    <row r="433" spans="1:2" ht="12.5" x14ac:dyDescent="0.25">
      <c r="A433" t="str">
        <f ca="1">IFERROR(__xludf.DUMMYFUNCTION("""COMPUTED_VALUE"""),"Eastern Scotland")</f>
        <v>Eastern Scotland</v>
      </c>
      <c r="B433" t="str">
        <f ca="1">IFERROR(__xludf.DUMMYFUNCTION("""COMPUTED_VALUE"""),"UKM2")</f>
        <v>UKM2</v>
      </c>
    </row>
    <row r="434" spans="1:2" ht="12.5" x14ac:dyDescent="0.25">
      <c r="A434" t="str">
        <f ca="1">IFERROR(__xludf.DUMMYFUNCTION("""COMPUTED_VALUE"""),"Ebersberg")</f>
        <v>Ebersberg</v>
      </c>
      <c r="B434" t="str">
        <f ca="1">IFERROR(__xludf.DUMMYFUNCTION("""COMPUTED_VALUE"""),"DE218")</f>
        <v>DE218</v>
      </c>
    </row>
    <row r="435" spans="1:2" ht="12.5" x14ac:dyDescent="0.25">
      <c r="A435" t="str">
        <f ca="1">IFERROR(__xludf.DUMMYFUNCTION("""COMPUTED_VALUE"""),"Edinburgh, City Of")</f>
        <v>Edinburgh, City Of</v>
      </c>
      <c r="B435" t="str">
        <f ca="1">IFERROR(__xludf.DUMMYFUNCTION("""COMPUTED_VALUE"""),"UKM25")</f>
        <v>UKM25</v>
      </c>
    </row>
    <row r="436" spans="1:2" ht="12.5" x14ac:dyDescent="0.25">
      <c r="A436" t="str">
        <f ca="1">IFERROR(__xludf.DUMMYFUNCTION("""COMPUTED_VALUE"""),"Eesti")</f>
        <v>Eesti</v>
      </c>
      <c r="B436" t="str">
        <f ca="1">IFERROR(__xludf.DUMMYFUNCTION("""COMPUTED_VALUE"""),"EE")</f>
        <v>EE</v>
      </c>
    </row>
    <row r="437" spans="1:2" ht="12.5" x14ac:dyDescent="0.25">
      <c r="A437" t="str">
        <f ca="1">IFERROR(__xludf.DUMMYFUNCTION("""COMPUTED_VALUE"""),"Eesti (*)")</f>
        <v>Eesti (*)</v>
      </c>
      <c r="B437" t="str">
        <f ca="1">IFERROR(__xludf.DUMMYFUNCTION("""COMPUTED_VALUE"""),"EE0")</f>
        <v>EE0</v>
      </c>
    </row>
    <row r="438" spans="1:2" ht="12.5" x14ac:dyDescent="0.25">
      <c r="A438" t="str">
        <f ca="1">IFERROR(__xludf.DUMMYFUNCTION("""COMPUTED_VALUE"""),"Eesti (**)")</f>
        <v>Eesti (**)</v>
      </c>
      <c r="B438" t="str">
        <f ca="1">IFERROR(__xludf.DUMMYFUNCTION("""COMPUTED_VALUE"""),"EE00")</f>
        <v>EE00</v>
      </c>
    </row>
    <row r="439" spans="1:2" ht="12.5" x14ac:dyDescent="0.25">
      <c r="A439" t="str">
        <f ca="1">IFERROR(__xludf.DUMMYFUNCTION("""COMPUTED_VALUE"""),"Eichsfeld")</f>
        <v>Eichsfeld</v>
      </c>
      <c r="B439" t="str">
        <f ca="1">IFERROR(__xludf.DUMMYFUNCTION("""COMPUTED_VALUE"""),"DEG06")</f>
        <v>DEG06</v>
      </c>
    </row>
    <row r="440" spans="1:2" ht="12.5" x14ac:dyDescent="0.25">
      <c r="A440" t="str">
        <f ca="1">IFERROR(__xludf.DUMMYFUNCTION("""COMPUTED_VALUE"""),"Eichstätt")</f>
        <v>Eichstätt</v>
      </c>
      <c r="B440" t="str">
        <f ca="1">IFERROR(__xludf.DUMMYFUNCTION("""COMPUTED_VALUE"""),"DE219")</f>
        <v>DE219</v>
      </c>
    </row>
    <row r="441" spans="1:2" ht="12.5" x14ac:dyDescent="0.25">
      <c r="A441" t="str">
        <f ca="1">IFERROR(__xludf.DUMMYFUNCTION("""COMPUTED_VALUE"""),"Eilean Siar (Western Isles)")</f>
        <v>Eilean Siar (Western Isles)</v>
      </c>
      <c r="B441" t="str">
        <f ca="1">IFERROR(__xludf.DUMMYFUNCTION("""COMPUTED_VALUE"""),"UKM64")</f>
        <v>UKM64</v>
      </c>
    </row>
    <row r="442" spans="1:2" ht="12.5" x14ac:dyDescent="0.25">
      <c r="A442" t="str">
        <f ca="1">IFERROR(__xludf.DUMMYFUNCTION("""COMPUTED_VALUE"""),"Eisenach, Kreisfreie Stadt")</f>
        <v>Eisenach, Kreisfreie Stadt</v>
      </c>
      <c r="B442" t="str">
        <f ca="1">IFERROR(__xludf.DUMMYFUNCTION("""COMPUTED_VALUE"""),"DEG0N")</f>
        <v>DEG0N</v>
      </c>
    </row>
    <row r="443" spans="1:2" ht="12.5" x14ac:dyDescent="0.25">
      <c r="A443" t="str">
        <f ca="1">IFERROR(__xludf.DUMMYFUNCTION("""COMPUTED_VALUE"""),"Eivissa Y Formentera")</f>
        <v>Eivissa Y Formentera</v>
      </c>
      <c r="B443" t="str">
        <f ca="1">IFERROR(__xludf.DUMMYFUNCTION("""COMPUTED_VALUE"""),"ES531")</f>
        <v>ES531</v>
      </c>
    </row>
    <row r="444" spans="1:2" ht="12.5" x14ac:dyDescent="0.25">
      <c r="A444" t="str">
        <f ca="1">IFERROR(__xludf.DUMMYFUNCTION("""COMPUTED_VALUE"""),"El Hierro")</f>
        <v>El Hierro</v>
      </c>
      <c r="B444" t="str">
        <f ca="1">IFERROR(__xludf.DUMMYFUNCTION("""COMPUTED_VALUE"""),"ES703")</f>
        <v>ES703</v>
      </c>
    </row>
    <row r="445" spans="1:2" ht="12.5" x14ac:dyDescent="0.25">
      <c r="A445" t="str">
        <f ca="1">IFERROR(__xludf.DUMMYFUNCTION("""COMPUTED_VALUE"""),"Elbe-Elster")</f>
        <v>Elbe-Elster</v>
      </c>
      <c r="B445" t="str">
        <f ca="1">IFERROR(__xludf.DUMMYFUNCTION("""COMPUTED_VALUE"""),"DE425")</f>
        <v>DE425</v>
      </c>
    </row>
    <row r="446" spans="1:2" ht="12.5" x14ac:dyDescent="0.25">
      <c r="A446" t="str">
        <f ca="1">IFERROR(__xludf.DUMMYFUNCTION("""COMPUTED_VALUE"""),"Elblaski")</f>
        <v>Elblaski</v>
      </c>
      <c r="B446" t="str">
        <f ca="1">IFERROR(__xludf.DUMMYFUNCTION("""COMPUTED_VALUE"""),"PL621")</f>
        <v>PL621</v>
      </c>
    </row>
    <row r="447" spans="1:2" ht="12.5" x14ac:dyDescent="0.25">
      <c r="A447" t="str">
        <f ca="1">IFERROR(__xludf.DUMMYFUNCTION("""COMPUTED_VALUE"""),"Elcki")</f>
        <v>Elcki</v>
      </c>
      <c r="B447" t="str">
        <f ca="1">IFERROR(__xludf.DUMMYFUNCTION("""COMPUTED_VALUE"""),"PL623")</f>
        <v>PL623</v>
      </c>
    </row>
    <row r="448" spans="1:2" ht="12.5" x14ac:dyDescent="0.25">
      <c r="A448" t="str">
        <f ca="1">IFERROR(__xludf.DUMMYFUNCTION("""COMPUTED_VALUE"""),"Ellada")</f>
        <v>Ellada</v>
      </c>
      <c r="B448" t="str">
        <f ca="1">IFERROR(__xludf.DUMMYFUNCTION("""COMPUTED_VALUE"""),"GR")</f>
        <v>GR</v>
      </c>
    </row>
    <row r="449" spans="1:2" ht="12.5" x14ac:dyDescent="0.25">
      <c r="A449" t="str">
        <f ca="1">IFERROR(__xludf.DUMMYFUNCTION("""COMPUTED_VALUE"""),"Emden, Kreisfreie Stadt")</f>
        <v>Emden, Kreisfreie Stadt</v>
      </c>
      <c r="B449" t="str">
        <f ca="1">IFERROR(__xludf.DUMMYFUNCTION("""COMPUTED_VALUE"""),"DE942")</f>
        <v>DE942</v>
      </c>
    </row>
    <row r="450" spans="1:2" ht="12.5" x14ac:dyDescent="0.25">
      <c r="A450" t="str">
        <f ca="1">IFERROR(__xludf.DUMMYFUNCTION("""COMPUTED_VALUE"""),"Emilia-Romagna")</f>
        <v>Emilia-Romagna</v>
      </c>
      <c r="B450" t="str">
        <f ca="1">IFERROR(__xludf.DUMMYFUNCTION("""COMPUTED_VALUE"""),"ITD5")</f>
        <v>ITD5</v>
      </c>
    </row>
    <row r="451" spans="1:2" ht="12.5" x14ac:dyDescent="0.25">
      <c r="A451" t="str">
        <f ca="1">IFERROR(__xludf.DUMMYFUNCTION("""COMPUTED_VALUE"""),"Emmendingen")</f>
        <v>Emmendingen</v>
      </c>
      <c r="B451" t="str">
        <f ca="1">IFERROR(__xludf.DUMMYFUNCTION("""COMPUTED_VALUE"""),"DE133")</f>
        <v>DE133</v>
      </c>
    </row>
    <row r="452" spans="1:2" ht="12.5" x14ac:dyDescent="0.25">
      <c r="A452" t="str">
        <f ca="1">IFERROR(__xludf.DUMMYFUNCTION("""COMPUTED_VALUE"""),"Emsland")</f>
        <v>Emsland</v>
      </c>
      <c r="B452" t="str">
        <f ca="1">IFERROR(__xludf.DUMMYFUNCTION("""COMPUTED_VALUE"""),"DE949")</f>
        <v>DE949</v>
      </c>
    </row>
    <row r="453" spans="1:2" ht="12.5" x14ac:dyDescent="0.25">
      <c r="A453" t="str">
        <f ca="1">IFERROR(__xludf.DUMMYFUNCTION("""COMPUTED_VALUE"""),"Enna")</f>
        <v>Enna</v>
      </c>
      <c r="B453" t="str">
        <f ca="1">IFERROR(__xludf.DUMMYFUNCTION("""COMPUTED_VALUE"""),"ITG16")</f>
        <v>ITG16</v>
      </c>
    </row>
    <row r="454" spans="1:2" ht="12.5" x14ac:dyDescent="0.25">
      <c r="A454" t="str">
        <f ca="1">IFERROR(__xludf.DUMMYFUNCTION("""COMPUTED_VALUE"""),"Ennepe-Ruhr-Kreis")</f>
        <v>Ennepe-Ruhr-Kreis</v>
      </c>
      <c r="B454" t="str">
        <f ca="1">IFERROR(__xludf.DUMMYFUNCTION("""COMPUTED_VALUE"""),"DEA56")</f>
        <v>DEA56</v>
      </c>
    </row>
    <row r="455" spans="1:2" ht="12.5" x14ac:dyDescent="0.25">
      <c r="A455" t="str">
        <f ca="1">IFERROR(__xludf.DUMMYFUNCTION("""COMPUTED_VALUE"""),"Entre Douro E Vouga")</f>
        <v>Entre Douro E Vouga</v>
      </c>
      <c r="B455" t="str">
        <f ca="1">IFERROR(__xludf.DUMMYFUNCTION("""COMPUTED_VALUE"""),"PT116")</f>
        <v>PT116</v>
      </c>
    </row>
    <row r="456" spans="1:2" ht="12.5" x14ac:dyDescent="0.25">
      <c r="A456" t="str">
        <f ca="1">IFERROR(__xludf.DUMMYFUNCTION("""COMPUTED_VALUE"""),"Enzkreis")</f>
        <v>Enzkreis</v>
      </c>
      <c r="B456" t="str">
        <f ca="1">IFERROR(__xludf.DUMMYFUNCTION("""COMPUTED_VALUE"""),"DE12B")</f>
        <v>DE12B</v>
      </c>
    </row>
    <row r="457" spans="1:2" ht="12.5" x14ac:dyDescent="0.25">
      <c r="A457" t="str">
        <f ca="1">IFERROR(__xludf.DUMMYFUNCTION("""COMPUTED_VALUE"""),"Erding")</f>
        <v>Erding</v>
      </c>
      <c r="B457" t="str">
        <f ca="1">IFERROR(__xludf.DUMMYFUNCTION("""COMPUTED_VALUE"""),"DE21A")</f>
        <v>DE21A</v>
      </c>
    </row>
    <row r="458" spans="1:2" ht="12.5" x14ac:dyDescent="0.25">
      <c r="A458" t="str">
        <f ca="1">IFERROR(__xludf.DUMMYFUNCTION("""COMPUTED_VALUE"""),"Erfurt, Kreisfreie Stadt")</f>
        <v>Erfurt, Kreisfreie Stadt</v>
      </c>
      <c r="B458" t="str">
        <f ca="1">IFERROR(__xludf.DUMMYFUNCTION("""COMPUTED_VALUE"""),"DEG01")</f>
        <v>DEG01</v>
      </c>
    </row>
    <row r="459" spans="1:2" ht="12.5" x14ac:dyDescent="0.25">
      <c r="A459" t="str">
        <f ca="1">IFERROR(__xludf.DUMMYFUNCTION("""COMPUTED_VALUE"""),"Erlangen-Höchstadt")</f>
        <v>Erlangen-Höchstadt</v>
      </c>
      <c r="B459" t="str">
        <f ca="1">IFERROR(__xludf.DUMMYFUNCTION("""COMPUTED_VALUE"""),"DE257")</f>
        <v>DE257</v>
      </c>
    </row>
    <row r="460" spans="1:2" ht="12.5" x14ac:dyDescent="0.25">
      <c r="A460" t="str">
        <f ca="1">IFERROR(__xludf.DUMMYFUNCTION("""COMPUTED_VALUE"""),"Erlangen, Kreisfreie Stadt")</f>
        <v>Erlangen, Kreisfreie Stadt</v>
      </c>
      <c r="B460" t="str">
        <f ca="1">IFERROR(__xludf.DUMMYFUNCTION("""COMPUTED_VALUE"""),"DE252")</f>
        <v>DE252</v>
      </c>
    </row>
    <row r="461" spans="1:2" ht="12.5" x14ac:dyDescent="0.25">
      <c r="A461" t="str">
        <f ca="1">IFERROR(__xludf.DUMMYFUNCTION("""COMPUTED_VALUE"""),"Espace Mittelland")</f>
        <v>Espace Mittelland</v>
      </c>
      <c r="B461" t="str">
        <f ca="1">IFERROR(__xludf.DUMMYFUNCTION("""COMPUTED_VALUE"""),"CH02")</f>
        <v>CH02</v>
      </c>
    </row>
    <row r="462" spans="1:2" ht="12.5" x14ac:dyDescent="0.25">
      <c r="A462" t="str">
        <f ca="1">IFERROR(__xludf.DUMMYFUNCTION("""COMPUTED_VALUE"""),"España")</f>
        <v>España</v>
      </c>
      <c r="B462" t="str">
        <f ca="1">IFERROR(__xludf.DUMMYFUNCTION("""COMPUTED_VALUE"""),"ES")</f>
        <v>ES</v>
      </c>
    </row>
    <row r="463" spans="1:2" ht="12.5" x14ac:dyDescent="0.25">
      <c r="A463" t="str">
        <f ca="1">IFERROR(__xludf.DUMMYFUNCTION("""COMPUTED_VALUE"""),"Essen, Kreisfreie Stadt")</f>
        <v>Essen, Kreisfreie Stadt</v>
      </c>
      <c r="B463" t="str">
        <f ca="1">IFERROR(__xludf.DUMMYFUNCTION("""COMPUTED_VALUE"""),"DEA13")</f>
        <v>DEA13</v>
      </c>
    </row>
    <row r="464" spans="1:2" ht="12.5" x14ac:dyDescent="0.25">
      <c r="A464" t="str">
        <f ca="1">IFERROR(__xludf.DUMMYFUNCTION("""COMPUTED_VALUE"""),"Essex")</f>
        <v>Essex</v>
      </c>
      <c r="B464" t="str">
        <f ca="1">IFERROR(__xludf.DUMMYFUNCTION("""COMPUTED_VALUE"""),"UKH3")</f>
        <v>UKH3</v>
      </c>
    </row>
    <row r="465" spans="1:2" ht="12.5" x14ac:dyDescent="0.25">
      <c r="A465" t="str">
        <f ca="1">IFERROR(__xludf.DUMMYFUNCTION("""COMPUTED_VALUE"""),"Essex Cc")</f>
        <v>Essex Cc</v>
      </c>
      <c r="B465" t="str">
        <f ca="1">IFERROR(__xludf.DUMMYFUNCTION("""COMPUTED_VALUE"""),"UKH33")</f>
        <v>UKH33</v>
      </c>
    </row>
    <row r="466" spans="1:2" ht="12.5" x14ac:dyDescent="0.25">
      <c r="A466" t="str">
        <f ca="1">IFERROR(__xludf.DUMMYFUNCTION("""COMPUTED_VALUE"""),"Esslingen")</f>
        <v>Esslingen</v>
      </c>
      <c r="B466" t="str">
        <f ca="1">IFERROR(__xludf.DUMMYFUNCTION("""COMPUTED_VALUE"""),"DE113")</f>
        <v>DE113</v>
      </c>
    </row>
    <row r="467" spans="1:2" ht="12.5" x14ac:dyDescent="0.25">
      <c r="A467" t="str">
        <f ca="1">IFERROR(__xludf.DUMMYFUNCTION("""COMPUTED_VALUE"""),"Essonne")</f>
        <v>Essonne</v>
      </c>
      <c r="B467" t="str">
        <f ca="1">IFERROR(__xludf.DUMMYFUNCTION("""COMPUTED_VALUE"""),"FR104")</f>
        <v>FR104</v>
      </c>
    </row>
    <row r="468" spans="1:2" ht="12.5" x14ac:dyDescent="0.25">
      <c r="A468" t="str">
        <f ca="1">IFERROR(__xludf.DUMMYFUNCTION("""COMPUTED_VALUE"""),"Est")</f>
        <v>Est</v>
      </c>
      <c r="B468" t="str">
        <f ca="1">IFERROR(__xludf.DUMMYFUNCTION("""COMPUTED_VALUE"""),"FR4")</f>
        <v>FR4</v>
      </c>
    </row>
    <row r="469" spans="1:2" ht="12.5" x14ac:dyDescent="0.25">
      <c r="A469" t="str">
        <f ca="1">IFERROR(__xludf.DUMMYFUNCTION("""COMPUTED_VALUE"""),"Este")</f>
        <v>Este</v>
      </c>
      <c r="B469" t="str">
        <f ca="1">IFERROR(__xludf.DUMMYFUNCTION("""COMPUTED_VALUE"""),"ES5")</f>
        <v>ES5</v>
      </c>
    </row>
    <row r="470" spans="1:2" ht="12.5" x14ac:dyDescent="0.25">
      <c r="A470" t="str">
        <f ca="1">IFERROR(__xludf.DUMMYFUNCTION("""COMPUTED_VALUE"""),"Eszak-Alfold")</f>
        <v>Eszak-Alfold</v>
      </c>
      <c r="B470" t="str">
        <f ca="1">IFERROR(__xludf.DUMMYFUNCTION("""COMPUTED_VALUE"""),"HU32")</f>
        <v>HU32</v>
      </c>
    </row>
    <row r="471" spans="1:2" ht="12.5" x14ac:dyDescent="0.25">
      <c r="A471" t="str">
        <f ca="1">IFERROR(__xludf.DUMMYFUNCTION("""COMPUTED_VALUE"""),"Eszak-Magyarorszag")</f>
        <v>Eszak-Magyarorszag</v>
      </c>
      <c r="B471" t="str">
        <f ca="1">IFERROR(__xludf.DUMMYFUNCTION("""COMPUTED_VALUE"""),"HU31")</f>
        <v>HU31</v>
      </c>
    </row>
    <row r="472" spans="1:2" ht="12.5" x14ac:dyDescent="0.25">
      <c r="A472" t="str">
        <f ca="1">IFERROR(__xludf.DUMMYFUNCTION("""COMPUTED_VALUE"""),"Etelä-Karjala")</f>
        <v>Etelä-Karjala</v>
      </c>
      <c r="B472" t="str">
        <f ca="1">IFERROR(__xludf.DUMMYFUNCTION("""COMPUTED_VALUE"""),"FI187")</f>
        <v>FI187</v>
      </c>
    </row>
    <row r="473" spans="1:2" ht="12.5" x14ac:dyDescent="0.25">
      <c r="A473" t="str">
        <f ca="1">IFERROR(__xludf.DUMMYFUNCTION("""COMPUTED_VALUE"""),"Etelä-Pohjanmaa")</f>
        <v>Etelä-Pohjanmaa</v>
      </c>
      <c r="B473" t="str">
        <f ca="1">IFERROR(__xludf.DUMMYFUNCTION("""COMPUTED_VALUE"""),"FI194")</f>
        <v>FI194</v>
      </c>
    </row>
    <row r="474" spans="1:2" ht="12.5" x14ac:dyDescent="0.25">
      <c r="A474" t="str">
        <f ca="1">IFERROR(__xludf.DUMMYFUNCTION("""COMPUTED_VALUE"""),"Etelä-Savo")</f>
        <v>Etelä-Savo</v>
      </c>
      <c r="B474" t="str">
        <f ca="1">IFERROR(__xludf.DUMMYFUNCTION("""COMPUTED_VALUE"""),"FI131")</f>
        <v>FI131</v>
      </c>
    </row>
    <row r="475" spans="1:2" ht="12.5" x14ac:dyDescent="0.25">
      <c r="A475" t="str">
        <f ca="1">IFERROR(__xludf.DUMMYFUNCTION("""COMPUTED_VALUE"""),"Etelä-Suomi")</f>
        <v>Etelä-Suomi</v>
      </c>
      <c r="B475" t="str">
        <f ca="1">IFERROR(__xludf.DUMMYFUNCTION("""COMPUTED_VALUE"""),"FI18")</f>
        <v>FI18</v>
      </c>
    </row>
    <row r="476" spans="1:2" ht="12.5" x14ac:dyDescent="0.25">
      <c r="A476" t="str">
        <f ca="1">IFERROR(__xludf.DUMMYFUNCTION("""COMPUTED_VALUE"""),"Eure")</f>
        <v>Eure</v>
      </c>
      <c r="B476" t="str">
        <f ca="1">IFERROR(__xludf.DUMMYFUNCTION("""COMPUTED_VALUE"""),"FR231")</f>
        <v>FR231</v>
      </c>
    </row>
    <row r="477" spans="1:2" ht="12.5" x14ac:dyDescent="0.25">
      <c r="A477" t="str">
        <f ca="1">IFERROR(__xludf.DUMMYFUNCTION("""COMPUTED_VALUE"""),"Eure-Et-Loir")</f>
        <v>Eure-Et-Loir</v>
      </c>
      <c r="B477" t="str">
        <f ca="1">IFERROR(__xludf.DUMMYFUNCTION("""COMPUTED_VALUE"""),"FR242")</f>
        <v>FR242</v>
      </c>
    </row>
    <row r="478" spans="1:2" ht="12.5" x14ac:dyDescent="0.25">
      <c r="A478" t="str">
        <f ca="1">IFERROR(__xludf.DUMMYFUNCTION("""COMPUTED_VALUE"""),"Euskirchen")</f>
        <v>Euskirchen</v>
      </c>
      <c r="B478" t="str">
        <f ca="1">IFERROR(__xludf.DUMMYFUNCTION("""COMPUTED_VALUE"""),"DEA28")</f>
        <v>DEA28</v>
      </c>
    </row>
    <row r="479" spans="1:2" ht="12.5" x14ac:dyDescent="0.25">
      <c r="A479" t="str">
        <f ca="1">IFERROR(__xludf.DUMMYFUNCTION("""COMPUTED_VALUE"""),"Evros")</f>
        <v>Evros</v>
      </c>
      <c r="B479" t="str">
        <f ca="1">IFERROR(__xludf.DUMMYFUNCTION("""COMPUTED_VALUE"""),"GR111")</f>
        <v>GR111</v>
      </c>
    </row>
    <row r="480" spans="1:2" ht="12.5" x14ac:dyDescent="0.25">
      <c r="A480" t="str">
        <f ca="1">IFERROR(__xludf.DUMMYFUNCTION("""COMPUTED_VALUE"""),"Evrytania")</f>
        <v>Evrytania</v>
      </c>
      <c r="B480" t="str">
        <f ca="1">IFERROR(__xludf.DUMMYFUNCTION("""COMPUTED_VALUE"""),"GR243")</f>
        <v>GR243</v>
      </c>
    </row>
    <row r="481" spans="1:2" ht="12.5" x14ac:dyDescent="0.25">
      <c r="A481" t="str">
        <f ca="1">IFERROR(__xludf.DUMMYFUNCTION("""COMPUTED_VALUE"""),"Evvoia")</f>
        <v>Evvoia</v>
      </c>
      <c r="B481" t="str">
        <f ca="1">IFERROR(__xludf.DUMMYFUNCTION("""COMPUTED_VALUE"""),"GR242")</f>
        <v>GR242</v>
      </c>
    </row>
    <row r="482" spans="1:2" ht="12.5" x14ac:dyDescent="0.25">
      <c r="A482" t="str">
        <f ca="1">IFERROR(__xludf.DUMMYFUNCTION("""COMPUTED_VALUE"""),"Extra-Regio (ATZ)")</f>
        <v>Extra-Regio (ATZ)</v>
      </c>
      <c r="B482" t="str">
        <f ca="1">IFERROR(__xludf.DUMMYFUNCTION("""COMPUTED_VALUE"""),"ATZ")</f>
        <v>ATZ</v>
      </c>
    </row>
    <row r="483" spans="1:2" ht="12.5" x14ac:dyDescent="0.25">
      <c r="A483" t="str">
        <f ca="1">IFERROR(__xludf.DUMMYFUNCTION("""COMPUTED_VALUE"""),"Extra-Regio (ATZZ)")</f>
        <v>Extra-Regio (ATZZ)</v>
      </c>
      <c r="B483" t="str">
        <f ca="1">IFERROR(__xludf.DUMMYFUNCTION("""COMPUTED_VALUE"""),"ATZZ")</f>
        <v>ATZZ</v>
      </c>
    </row>
    <row r="484" spans="1:2" ht="12.5" x14ac:dyDescent="0.25">
      <c r="A484" t="str">
        <f ca="1">IFERROR(__xludf.DUMMYFUNCTION("""COMPUTED_VALUE"""),"Extra-Regio (ATZZZ)")</f>
        <v>Extra-Regio (ATZZZ)</v>
      </c>
      <c r="B484" t="str">
        <f ca="1">IFERROR(__xludf.DUMMYFUNCTION("""COMPUTED_VALUE"""),"ATZZZ")</f>
        <v>ATZZZ</v>
      </c>
    </row>
    <row r="485" spans="1:2" ht="12.5" x14ac:dyDescent="0.25">
      <c r="A485" t="str">
        <f ca="1">IFERROR(__xludf.DUMMYFUNCTION("""COMPUTED_VALUE"""),"Extra-Regio (BEZ)")</f>
        <v>Extra-Regio (BEZ)</v>
      </c>
      <c r="B485" t="str">
        <f ca="1">IFERROR(__xludf.DUMMYFUNCTION("""COMPUTED_VALUE"""),"BEZ")</f>
        <v>BEZ</v>
      </c>
    </row>
    <row r="486" spans="1:2" ht="12.5" x14ac:dyDescent="0.25">
      <c r="A486" t="str">
        <f ca="1">IFERROR(__xludf.DUMMYFUNCTION("""COMPUTED_VALUE"""),"Extra-Regio (BEZZ)")</f>
        <v>Extra-Regio (BEZZ)</v>
      </c>
      <c r="B486" t="str">
        <f ca="1">IFERROR(__xludf.DUMMYFUNCTION("""COMPUTED_VALUE"""),"BEZZ")</f>
        <v>BEZZ</v>
      </c>
    </row>
    <row r="487" spans="1:2" ht="12.5" x14ac:dyDescent="0.25">
      <c r="A487" t="str">
        <f ca="1">IFERROR(__xludf.DUMMYFUNCTION("""COMPUTED_VALUE"""),"Extra-Regio (BEZZZ)")</f>
        <v>Extra-Regio (BEZZZ)</v>
      </c>
      <c r="B487" t="str">
        <f ca="1">IFERROR(__xludf.DUMMYFUNCTION("""COMPUTED_VALUE"""),"BEZZZ")</f>
        <v>BEZZZ</v>
      </c>
    </row>
    <row r="488" spans="1:2" ht="12.5" x14ac:dyDescent="0.25">
      <c r="A488" t="str">
        <f ca="1">IFERROR(__xludf.DUMMYFUNCTION("""COMPUTED_VALUE"""),"Extra-Regio (BGZ)")</f>
        <v>Extra-Regio (BGZ)</v>
      </c>
      <c r="B488" t="str">
        <f ca="1">IFERROR(__xludf.DUMMYFUNCTION("""COMPUTED_VALUE"""),"BGZ")</f>
        <v>BGZ</v>
      </c>
    </row>
    <row r="489" spans="1:2" ht="12.5" x14ac:dyDescent="0.25">
      <c r="A489" t="str">
        <f ca="1">IFERROR(__xludf.DUMMYFUNCTION("""COMPUTED_VALUE"""),"Extra-Regio (BGZZ)")</f>
        <v>Extra-Regio (BGZZ)</v>
      </c>
      <c r="B489" t="str">
        <f ca="1">IFERROR(__xludf.DUMMYFUNCTION("""COMPUTED_VALUE"""),"BGZZ")</f>
        <v>BGZZ</v>
      </c>
    </row>
    <row r="490" spans="1:2" ht="12.5" x14ac:dyDescent="0.25">
      <c r="A490" t="str">
        <f ca="1">IFERROR(__xludf.DUMMYFUNCTION("""COMPUTED_VALUE"""),"Extra-Regio (BGZZZ)")</f>
        <v>Extra-Regio (BGZZZ)</v>
      </c>
      <c r="B490" t="str">
        <f ca="1">IFERROR(__xludf.DUMMYFUNCTION("""COMPUTED_VALUE"""),"BGZZZ")</f>
        <v>BGZZZ</v>
      </c>
    </row>
    <row r="491" spans="1:2" ht="12.5" x14ac:dyDescent="0.25">
      <c r="A491" t="str">
        <f ca="1">IFERROR(__xludf.DUMMYFUNCTION("""COMPUTED_VALUE"""),"Extra-Regio (CYZ)")</f>
        <v>Extra-Regio (CYZ)</v>
      </c>
      <c r="B491" t="str">
        <f ca="1">IFERROR(__xludf.DUMMYFUNCTION("""COMPUTED_VALUE"""),"CYZ")</f>
        <v>CYZ</v>
      </c>
    </row>
    <row r="492" spans="1:2" ht="12.5" x14ac:dyDescent="0.25">
      <c r="A492" t="str">
        <f ca="1">IFERROR(__xludf.DUMMYFUNCTION("""COMPUTED_VALUE"""),"Extra-Regio (CYZZ)")</f>
        <v>Extra-Regio (CYZZ)</v>
      </c>
      <c r="B492" t="str">
        <f ca="1">IFERROR(__xludf.DUMMYFUNCTION("""COMPUTED_VALUE"""),"CYZZ")</f>
        <v>CYZZ</v>
      </c>
    </row>
    <row r="493" spans="1:2" ht="12.5" x14ac:dyDescent="0.25">
      <c r="A493" t="str">
        <f ca="1">IFERROR(__xludf.DUMMYFUNCTION("""COMPUTED_VALUE"""),"Extra-Regio (CYZZZ)")</f>
        <v>Extra-Regio (CYZZZ)</v>
      </c>
      <c r="B493" t="str">
        <f ca="1">IFERROR(__xludf.DUMMYFUNCTION("""COMPUTED_VALUE"""),"CYZZZ")</f>
        <v>CYZZZ</v>
      </c>
    </row>
    <row r="494" spans="1:2" ht="12.5" x14ac:dyDescent="0.25">
      <c r="A494" t="str">
        <f ca="1">IFERROR(__xludf.DUMMYFUNCTION("""COMPUTED_VALUE"""),"Extra-Regio (CZZ)")</f>
        <v>Extra-Regio (CZZ)</v>
      </c>
      <c r="B494" t="str">
        <f ca="1">IFERROR(__xludf.DUMMYFUNCTION("""COMPUTED_VALUE"""),"CZZ")</f>
        <v>CZZ</v>
      </c>
    </row>
    <row r="495" spans="1:2" ht="12.5" x14ac:dyDescent="0.25">
      <c r="A495" t="str">
        <f ca="1">IFERROR(__xludf.DUMMYFUNCTION("""COMPUTED_VALUE"""),"Extra-Regio (CZZZ)")</f>
        <v>Extra-Regio (CZZZ)</v>
      </c>
      <c r="B495" t="str">
        <f ca="1">IFERROR(__xludf.DUMMYFUNCTION("""COMPUTED_VALUE"""),"CZZZ")</f>
        <v>CZZZ</v>
      </c>
    </row>
    <row r="496" spans="1:2" ht="12.5" x14ac:dyDescent="0.25">
      <c r="A496" t="str">
        <f ca="1">IFERROR(__xludf.DUMMYFUNCTION("""COMPUTED_VALUE"""),"Extra-Regio (CZZZZ)")</f>
        <v>Extra-Regio (CZZZZ)</v>
      </c>
      <c r="B496" t="str">
        <f ca="1">IFERROR(__xludf.DUMMYFUNCTION("""COMPUTED_VALUE"""),"CZZZZ")</f>
        <v>CZZZZ</v>
      </c>
    </row>
    <row r="497" spans="1:2" ht="12.5" x14ac:dyDescent="0.25">
      <c r="A497" t="str">
        <f ca="1">IFERROR(__xludf.DUMMYFUNCTION("""COMPUTED_VALUE"""),"Extra-Regio (DEZ)")</f>
        <v>Extra-Regio (DEZ)</v>
      </c>
      <c r="B497" t="str">
        <f ca="1">IFERROR(__xludf.DUMMYFUNCTION("""COMPUTED_VALUE"""),"DEZ")</f>
        <v>DEZ</v>
      </c>
    </row>
    <row r="498" spans="1:2" ht="12.5" x14ac:dyDescent="0.25">
      <c r="A498" t="str">
        <f ca="1">IFERROR(__xludf.DUMMYFUNCTION("""COMPUTED_VALUE"""),"Extra-Regio (DEZZ)")</f>
        <v>Extra-Regio (DEZZ)</v>
      </c>
      <c r="B498" t="str">
        <f ca="1">IFERROR(__xludf.DUMMYFUNCTION("""COMPUTED_VALUE"""),"DEZZ")</f>
        <v>DEZZ</v>
      </c>
    </row>
    <row r="499" spans="1:2" ht="12.5" x14ac:dyDescent="0.25">
      <c r="A499" t="str">
        <f ca="1">IFERROR(__xludf.DUMMYFUNCTION("""COMPUTED_VALUE"""),"Extra-Regio (DEZZZ)")</f>
        <v>Extra-Regio (DEZZZ)</v>
      </c>
      <c r="B499" t="str">
        <f ca="1">IFERROR(__xludf.DUMMYFUNCTION("""COMPUTED_VALUE"""),"DEZZZ")</f>
        <v>DEZZZ</v>
      </c>
    </row>
    <row r="500" spans="1:2" ht="12.5" x14ac:dyDescent="0.25">
      <c r="A500" t="str">
        <f ca="1">IFERROR(__xludf.DUMMYFUNCTION("""COMPUTED_VALUE"""),"Extra-Regio (DKZ)")</f>
        <v>Extra-Regio (DKZ)</v>
      </c>
      <c r="B500" t="str">
        <f ca="1">IFERROR(__xludf.DUMMYFUNCTION("""COMPUTED_VALUE"""),"DKZ")</f>
        <v>DKZ</v>
      </c>
    </row>
    <row r="501" spans="1:2" ht="12.5" x14ac:dyDescent="0.25">
      <c r="A501" t="str">
        <f ca="1">IFERROR(__xludf.DUMMYFUNCTION("""COMPUTED_VALUE"""),"Extra-Regio (DKZZ)")</f>
        <v>Extra-Regio (DKZZ)</v>
      </c>
      <c r="B501" t="str">
        <f ca="1">IFERROR(__xludf.DUMMYFUNCTION("""COMPUTED_VALUE"""),"DKZZ")</f>
        <v>DKZZ</v>
      </c>
    </row>
    <row r="502" spans="1:2" ht="12.5" x14ac:dyDescent="0.25">
      <c r="A502" t="str">
        <f ca="1">IFERROR(__xludf.DUMMYFUNCTION("""COMPUTED_VALUE"""),"Extra-Regio (DKZZZ)")</f>
        <v>Extra-Regio (DKZZZ)</v>
      </c>
      <c r="B502" t="str">
        <f ca="1">IFERROR(__xludf.DUMMYFUNCTION("""COMPUTED_VALUE"""),"DKZZZ")</f>
        <v>DKZZZ</v>
      </c>
    </row>
    <row r="503" spans="1:2" ht="12.5" x14ac:dyDescent="0.25">
      <c r="A503" t="str">
        <f ca="1">IFERROR(__xludf.DUMMYFUNCTION("""COMPUTED_VALUE"""),"Extra-Regio (EEZ)")</f>
        <v>Extra-Regio (EEZ)</v>
      </c>
      <c r="B503" t="str">
        <f ca="1">IFERROR(__xludf.DUMMYFUNCTION("""COMPUTED_VALUE"""),"EEZ")</f>
        <v>EEZ</v>
      </c>
    </row>
    <row r="504" spans="1:2" ht="12.5" x14ac:dyDescent="0.25">
      <c r="A504" t="str">
        <f ca="1">IFERROR(__xludf.DUMMYFUNCTION("""COMPUTED_VALUE"""),"Extra-Regio (EEZZ)")</f>
        <v>Extra-Regio (EEZZ)</v>
      </c>
      <c r="B504" t="str">
        <f ca="1">IFERROR(__xludf.DUMMYFUNCTION("""COMPUTED_VALUE"""),"EEZZ")</f>
        <v>EEZZ</v>
      </c>
    </row>
    <row r="505" spans="1:2" ht="12.5" x14ac:dyDescent="0.25">
      <c r="A505" t="str">
        <f ca="1">IFERROR(__xludf.DUMMYFUNCTION("""COMPUTED_VALUE"""),"Extra-Regio (EEZZZ)")</f>
        <v>Extra-Regio (EEZZZ)</v>
      </c>
      <c r="B505" t="str">
        <f ca="1">IFERROR(__xludf.DUMMYFUNCTION("""COMPUTED_VALUE"""),"EEZZZ")</f>
        <v>EEZZZ</v>
      </c>
    </row>
    <row r="506" spans="1:2" ht="12.5" x14ac:dyDescent="0.25">
      <c r="A506" t="str">
        <f ca="1">IFERROR(__xludf.DUMMYFUNCTION("""COMPUTED_VALUE"""),"Extra-Regio (ESZ)")</f>
        <v>Extra-Regio (ESZ)</v>
      </c>
      <c r="B506" t="str">
        <f ca="1">IFERROR(__xludf.DUMMYFUNCTION("""COMPUTED_VALUE"""),"ESZ")</f>
        <v>ESZ</v>
      </c>
    </row>
    <row r="507" spans="1:2" ht="12.5" x14ac:dyDescent="0.25">
      <c r="A507" t="str">
        <f ca="1">IFERROR(__xludf.DUMMYFUNCTION("""COMPUTED_VALUE"""),"Extra-Regio (ESZZ)")</f>
        <v>Extra-Regio (ESZZ)</v>
      </c>
      <c r="B507" t="str">
        <f ca="1">IFERROR(__xludf.DUMMYFUNCTION("""COMPUTED_VALUE"""),"ESZZ")</f>
        <v>ESZZ</v>
      </c>
    </row>
    <row r="508" spans="1:2" ht="12.5" x14ac:dyDescent="0.25">
      <c r="A508" t="str">
        <f ca="1">IFERROR(__xludf.DUMMYFUNCTION("""COMPUTED_VALUE"""),"Extra-Regio (ESZZZ)")</f>
        <v>Extra-Regio (ESZZZ)</v>
      </c>
      <c r="B508" t="str">
        <f ca="1">IFERROR(__xludf.DUMMYFUNCTION("""COMPUTED_VALUE"""),"ESZZZ")</f>
        <v>ESZZZ</v>
      </c>
    </row>
    <row r="509" spans="1:2" ht="12.5" x14ac:dyDescent="0.25">
      <c r="A509" t="str">
        <f ca="1">IFERROR(__xludf.DUMMYFUNCTION("""COMPUTED_VALUE"""),"Extra-Regio (FIZ)")</f>
        <v>Extra-Regio (FIZ)</v>
      </c>
      <c r="B509" t="str">
        <f ca="1">IFERROR(__xludf.DUMMYFUNCTION("""COMPUTED_VALUE"""),"FIZ")</f>
        <v>FIZ</v>
      </c>
    </row>
    <row r="510" spans="1:2" ht="12.5" x14ac:dyDescent="0.25">
      <c r="A510" t="str">
        <f ca="1">IFERROR(__xludf.DUMMYFUNCTION("""COMPUTED_VALUE"""),"Extra-Regio (FIZZ)")</f>
        <v>Extra-Regio (FIZZ)</v>
      </c>
      <c r="B510" t="str">
        <f ca="1">IFERROR(__xludf.DUMMYFUNCTION("""COMPUTED_VALUE"""),"FIZZ")</f>
        <v>FIZZ</v>
      </c>
    </row>
    <row r="511" spans="1:2" ht="12.5" x14ac:dyDescent="0.25">
      <c r="A511" t="str">
        <f ca="1">IFERROR(__xludf.DUMMYFUNCTION("""COMPUTED_VALUE"""),"Extra-Regio (FIZZZ)")</f>
        <v>Extra-Regio (FIZZZ)</v>
      </c>
      <c r="B511" t="str">
        <f ca="1">IFERROR(__xludf.DUMMYFUNCTION("""COMPUTED_VALUE"""),"FIZZZ")</f>
        <v>FIZZZ</v>
      </c>
    </row>
    <row r="512" spans="1:2" ht="12.5" x14ac:dyDescent="0.25">
      <c r="A512" t="str">
        <f ca="1">IFERROR(__xludf.DUMMYFUNCTION("""COMPUTED_VALUE"""),"Extra-Regio (FRZ)")</f>
        <v>Extra-Regio (FRZ)</v>
      </c>
      <c r="B512" t="str">
        <f ca="1">IFERROR(__xludf.DUMMYFUNCTION("""COMPUTED_VALUE"""),"FRZ")</f>
        <v>FRZ</v>
      </c>
    </row>
    <row r="513" spans="1:2" ht="12.5" x14ac:dyDescent="0.25">
      <c r="A513" t="str">
        <f ca="1">IFERROR(__xludf.DUMMYFUNCTION("""COMPUTED_VALUE"""),"Extra-Regio (FRZZ)")</f>
        <v>Extra-Regio (FRZZ)</v>
      </c>
      <c r="B513" t="str">
        <f ca="1">IFERROR(__xludf.DUMMYFUNCTION("""COMPUTED_VALUE"""),"FRZZ")</f>
        <v>FRZZ</v>
      </c>
    </row>
    <row r="514" spans="1:2" ht="12.5" x14ac:dyDescent="0.25">
      <c r="A514" t="str">
        <f ca="1">IFERROR(__xludf.DUMMYFUNCTION("""COMPUTED_VALUE"""),"Extra-Regio (FRZZZ)")</f>
        <v>Extra-Regio (FRZZZ)</v>
      </c>
      <c r="B514" t="str">
        <f ca="1">IFERROR(__xludf.DUMMYFUNCTION("""COMPUTED_VALUE"""),"FRZZZ")</f>
        <v>FRZZZ</v>
      </c>
    </row>
    <row r="515" spans="1:2" ht="12.5" x14ac:dyDescent="0.25">
      <c r="A515" t="str">
        <f ca="1">IFERROR(__xludf.DUMMYFUNCTION("""COMPUTED_VALUE"""),"Extra-Regio (GRZ)")</f>
        <v>Extra-Regio (GRZ)</v>
      </c>
      <c r="B515" t="str">
        <f ca="1">IFERROR(__xludf.DUMMYFUNCTION("""COMPUTED_VALUE"""),"GRZ")</f>
        <v>GRZ</v>
      </c>
    </row>
    <row r="516" spans="1:2" ht="12.5" x14ac:dyDescent="0.25">
      <c r="A516" t="str">
        <f ca="1">IFERROR(__xludf.DUMMYFUNCTION("""COMPUTED_VALUE"""),"Extra-Regio (GRZZ)")</f>
        <v>Extra-Regio (GRZZ)</v>
      </c>
      <c r="B516" t="str">
        <f ca="1">IFERROR(__xludf.DUMMYFUNCTION("""COMPUTED_VALUE"""),"GRZZ")</f>
        <v>GRZZ</v>
      </c>
    </row>
    <row r="517" spans="1:2" ht="12.5" x14ac:dyDescent="0.25">
      <c r="A517" t="str">
        <f ca="1">IFERROR(__xludf.DUMMYFUNCTION("""COMPUTED_VALUE"""),"Extra-Regio (GRZZZ)")</f>
        <v>Extra-Regio (GRZZZ)</v>
      </c>
      <c r="B517" t="str">
        <f ca="1">IFERROR(__xludf.DUMMYFUNCTION("""COMPUTED_VALUE"""),"GRZZZ")</f>
        <v>GRZZZ</v>
      </c>
    </row>
    <row r="518" spans="1:2" ht="12.5" x14ac:dyDescent="0.25">
      <c r="A518" t="str">
        <f ca="1">IFERROR(__xludf.DUMMYFUNCTION("""COMPUTED_VALUE"""),"Extra-Regio (HUZ)")</f>
        <v>Extra-Regio (HUZ)</v>
      </c>
      <c r="B518" t="str">
        <f ca="1">IFERROR(__xludf.DUMMYFUNCTION("""COMPUTED_VALUE"""),"HUZ")</f>
        <v>HUZ</v>
      </c>
    </row>
    <row r="519" spans="1:2" ht="12.5" x14ac:dyDescent="0.25">
      <c r="A519" t="str">
        <f ca="1">IFERROR(__xludf.DUMMYFUNCTION("""COMPUTED_VALUE"""),"Extra-Regio (HUZZ)")</f>
        <v>Extra-Regio (HUZZ)</v>
      </c>
      <c r="B519" t="str">
        <f ca="1">IFERROR(__xludf.DUMMYFUNCTION("""COMPUTED_VALUE"""),"HUZZ")</f>
        <v>HUZZ</v>
      </c>
    </row>
    <row r="520" spans="1:2" ht="12.5" x14ac:dyDescent="0.25">
      <c r="A520" t="str">
        <f ca="1">IFERROR(__xludf.DUMMYFUNCTION("""COMPUTED_VALUE"""),"Extra-Regio (HUZZZ)")</f>
        <v>Extra-Regio (HUZZZ)</v>
      </c>
      <c r="B520" t="str">
        <f ca="1">IFERROR(__xludf.DUMMYFUNCTION("""COMPUTED_VALUE"""),"HUZZZ")</f>
        <v>HUZZZ</v>
      </c>
    </row>
    <row r="521" spans="1:2" ht="12.5" x14ac:dyDescent="0.25">
      <c r="A521" t="str">
        <f ca="1">IFERROR(__xludf.DUMMYFUNCTION("""COMPUTED_VALUE"""),"Extra-Regio (IEZ)")</f>
        <v>Extra-Regio (IEZ)</v>
      </c>
      <c r="B521" t="str">
        <f ca="1">IFERROR(__xludf.DUMMYFUNCTION("""COMPUTED_VALUE"""),"IEZ")</f>
        <v>IEZ</v>
      </c>
    </row>
    <row r="522" spans="1:2" ht="12.5" x14ac:dyDescent="0.25">
      <c r="A522" t="str">
        <f ca="1">IFERROR(__xludf.DUMMYFUNCTION("""COMPUTED_VALUE"""),"Extra-Regio (IEZZ)")</f>
        <v>Extra-Regio (IEZZ)</v>
      </c>
      <c r="B522" t="str">
        <f ca="1">IFERROR(__xludf.DUMMYFUNCTION("""COMPUTED_VALUE"""),"IEZZ")</f>
        <v>IEZZ</v>
      </c>
    </row>
    <row r="523" spans="1:2" ht="12.5" x14ac:dyDescent="0.25">
      <c r="A523" t="str">
        <f ca="1">IFERROR(__xludf.DUMMYFUNCTION("""COMPUTED_VALUE"""),"Extra-Regio (IEZZZ)")</f>
        <v>Extra-Regio (IEZZZ)</v>
      </c>
      <c r="B523" t="str">
        <f ca="1">IFERROR(__xludf.DUMMYFUNCTION("""COMPUTED_VALUE"""),"IEZZZ")</f>
        <v>IEZZZ</v>
      </c>
    </row>
    <row r="524" spans="1:2" ht="12.5" x14ac:dyDescent="0.25">
      <c r="A524" t="str">
        <f ca="1">IFERROR(__xludf.DUMMYFUNCTION("""COMPUTED_VALUE"""),"Extra-Regio (ITZ)")</f>
        <v>Extra-Regio (ITZ)</v>
      </c>
      <c r="B524" t="str">
        <f ca="1">IFERROR(__xludf.DUMMYFUNCTION("""COMPUTED_VALUE"""),"ITZ")</f>
        <v>ITZ</v>
      </c>
    </row>
    <row r="525" spans="1:2" ht="12.5" x14ac:dyDescent="0.25">
      <c r="A525" t="str">
        <f ca="1">IFERROR(__xludf.DUMMYFUNCTION("""COMPUTED_VALUE"""),"Extra-Regio (ITZZ)")</f>
        <v>Extra-Regio (ITZZ)</v>
      </c>
      <c r="B525" t="str">
        <f ca="1">IFERROR(__xludf.DUMMYFUNCTION("""COMPUTED_VALUE"""),"ITZZ")</f>
        <v>ITZZ</v>
      </c>
    </row>
    <row r="526" spans="1:2" ht="12.5" x14ac:dyDescent="0.25">
      <c r="A526" t="str">
        <f ca="1">IFERROR(__xludf.DUMMYFUNCTION("""COMPUTED_VALUE"""),"Extra-Regio (ITZZZ)")</f>
        <v>Extra-Regio (ITZZZ)</v>
      </c>
      <c r="B526" t="str">
        <f ca="1">IFERROR(__xludf.DUMMYFUNCTION("""COMPUTED_VALUE"""),"ITZZZ")</f>
        <v>ITZZZ</v>
      </c>
    </row>
    <row r="527" spans="1:2" ht="12.5" x14ac:dyDescent="0.25">
      <c r="A527" t="str">
        <f ca="1">IFERROR(__xludf.DUMMYFUNCTION("""COMPUTED_VALUE"""),"Extra-Regio (LTZ)")</f>
        <v>Extra-Regio (LTZ)</v>
      </c>
      <c r="B527" t="str">
        <f ca="1">IFERROR(__xludf.DUMMYFUNCTION("""COMPUTED_VALUE"""),"LTZ")</f>
        <v>LTZ</v>
      </c>
    </row>
    <row r="528" spans="1:2" ht="12.5" x14ac:dyDescent="0.25">
      <c r="A528" t="str">
        <f ca="1">IFERROR(__xludf.DUMMYFUNCTION("""COMPUTED_VALUE"""),"Extra-Regio (LTZZ)")</f>
        <v>Extra-Regio (LTZZ)</v>
      </c>
      <c r="B528" t="str">
        <f ca="1">IFERROR(__xludf.DUMMYFUNCTION("""COMPUTED_VALUE"""),"LTZZ")</f>
        <v>LTZZ</v>
      </c>
    </row>
    <row r="529" spans="1:2" ht="12.5" x14ac:dyDescent="0.25">
      <c r="A529" t="str">
        <f ca="1">IFERROR(__xludf.DUMMYFUNCTION("""COMPUTED_VALUE"""),"Extra-Regio (LTZZZ)")</f>
        <v>Extra-Regio (LTZZZ)</v>
      </c>
      <c r="B529" t="str">
        <f ca="1">IFERROR(__xludf.DUMMYFUNCTION("""COMPUTED_VALUE"""),"LTZZZ")</f>
        <v>LTZZZ</v>
      </c>
    </row>
    <row r="530" spans="1:2" ht="12.5" x14ac:dyDescent="0.25">
      <c r="A530" t="str">
        <f ca="1">IFERROR(__xludf.DUMMYFUNCTION("""COMPUTED_VALUE"""),"Extra-Regio (LUZ)")</f>
        <v>Extra-Regio (LUZ)</v>
      </c>
      <c r="B530" t="str">
        <f ca="1">IFERROR(__xludf.DUMMYFUNCTION("""COMPUTED_VALUE"""),"LUZ")</f>
        <v>LUZ</v>
      </c>
    </row>
    <row r="531" spans="1:2" ht="12.5" x14ac:dyDescent="0.25">
      <c r="A531" t="str">
        <f ca="1">IFERROR(__xludf.DUMMYFUNCTION("""COMPUTED_VALUE"""),"Extra-Regio (LUZZ)")</f>
        <v>Extra-Regio (LUZZ)</v>
      </c>
      <c r="B531" t="str">
        <f ca="1">IFERROR(__xludf.DUMMYFUNCTION("""COMPUTED_VALUE"""),"LUZZ")</f>
        <v>LUZZ</v>
      </c>
    </row>
    <row r="532" spans="1:2" ht="12.5" x14ac:dyDescent="0.25">
      <c r="A532" t="str">
        <f ca="1">IFERROR(__xludf.DUMMYFUNCTION("""COMPUTED_VALUE"""),"Extra-Regio (LUZZZ)")</f>
        <v>Extra-Regio (LUZZZ)</v>
      </c>
      <c r="B532" t="str">
        <f ca="1">IFERROR(__xludf.DUMMYFUNCTION("""COMPUTED_VALUE"""),"LUZZZ")</f>
        <v>LUZZZ</v>
      </c>
    </row>
    <row r="533" spans="1:2" ht="12.5" x14ac:dyDescent="0.25">
      <c r="A533" t="str">
        <f ca="1">IFERROR(__xludf.DUMMYFUNCTION("""COMPUTED_VALUE"""),"Extra-Regio (LVZ)")</f>
        <v>Extra-Regio (LVZ)</v>
      </c>
      <c r="B533" t="str">
        <f ca="1">IFERROR(__xludf.DUMMYFUNCTION("""COMPUTED_VALUE"""),"LVZ")</f>
        <v>LVZ</v>
      </c>
    </row>
    <row r="534" spans="1:2" ht="12.5" x14ac:dyDescent="0.25">
      <c r="A534" t="str">
        <f ca="1">IFERROR(__xludf.DUMMYFUNCTION("""COMPUTED_VALUE"""),"Extra-Regio (LVZZ)")</f>
        <v>Extra-Regio (LVZZ)</v>
      </c>
      <c r="B534" t="str">
        <f ca="1">IFERROR(__xludf.DUMMYFUNCTION("""COMPUTED_VALUE"""),"LVZZ")</f>
        <v>LVZZ</v>
      </c>
    </row>
    <row r="535" spans="1:2" ht="12.5" x14ac:dyDescent="0.25">
      <c r="A535" t="str">
        <f ca="1">IFERROR(__xludf.DUMMYFUNCTION("""COMPUTED_VALUE"""),"Extra-Regio (LVZZZ)")</f>
        <v>Extra-Regio (LVZZZ)</v>
      </c>
      <c r="B535" t="str">
        <f ca="1">IFERROR(__xludf.DUMMYFUNCTION("""COMPUTED_VALUE"""),"LVZZZ")</f>
        <v>LVZZZ</v>
      </c>
    </row>
    <row r="536" spans="1:2" ht="12.5" x14ac:dyDescent="0.25">
      <c r="A536" t="str">
        <f ca="1">IFERROR(__xludf.DUMMYFUNCTION("""COMPUTED_VALUE"""),"Extra-Regio (MTZ)")</f>
        <v>Extra-Regio (MTZ)</v>
      </c>
      <c r="B536" t="str">
        <f ca="1">IFERROR(__xludf.DUMMYFUNCTION("""COMPUTED_VALUE"""),"MTZ")</f>
        <v>MTZ</v>
      </c>
    </row>
    <row r="537" spans="1:2" ht="12.5" x14ac:dyDescent="0.25">
      <c r="A537" t="str">
        <f ca="1">IFERROR(__xludf.DUMMYFUNCTION("""COMPUTED_VALUE"""),"Extra-Regio (MTZZ)")</f>
        <v>Extra-Regio (MTZZ)</v>
      </c>
      <c r="B537" t="str">
        <f ca="1">IFERROR(__xludf.DUMMYFUNCTION("""COMPUTED_VALUE"""),"MTZZ")</f>
        <v>MTZZ</v>
      </c>
    </row>
    <row r="538" spans="1:2" ht="12.5" x14ac:dyDescent="0.25">
      <c r="A538" t="str">
        <f ca="1">IFERROR(__xludf.DUMMYFUNCTION("""COMPUTED_VALUE"""),"Extra-Regio (MTZZZ)")</f>
        <v>Extra-Regio (MTZZZ)</v>
      </c>
      <c r="B538" t="str">
        <f ca="1">IFERROR(__xludf.DUMMYFUNCTION("""COMPUTED_VALUE"""),"MTZZZ")</f>
        <v>MTZZZ</v>
      </c>
    </row>
    <row r="539" spans="1:2" ht="12.5" x14ac:dyDescent="0.25">
      <c r="A539" t="str">
        <f ca="1">IFERROR(__xludf.DUMMYFUNCTION("""COMPUTED_VALUE"""),"Extra-Regio (NLZ)")</f>
        <v>Extra-Regio (NLZ)</v>
      </c>
      <c r="B539" t="str">
        <f ca="1">IFERROR(__xludf.DUMMYFUNCTION("""COMPUTED_VALUE"""),"NLZ")</f>
        <v>NLZ</v>
      </c>
    </row>
    <row r="540" spans="1:2" ht="12.5" x14ac:dyDescent="0.25">
      <c r="A540" t="str">
        <f ca="1">IFERROR(__xludf.DUMMYFUNCTION("""COMPUTED_VALUE"""),"Extra-Regio (NLZZ)")</f>
        <v>Extra-Regio (NLZZ)</v>
      </c>
      <c r="B540" t="str">
        <f ca="1">IFERROR(__xludf.DUMMYFUNCTION("""COMPUTED_VALUE"""),"NLZZ")</f>
        <v>NLZZ</v>
      </c>
    </row>
    <row r="541" spans="1:2" ht="12.5" x14ac:dyDescent="0.25">
      <c r="A541" t="str">
        <f ca="1">IFERROR(__xludf.DUMMYFUNCTION("""COMPUTED_VALUE"""),"Extra-Regio (NLZZZ)")</f>
        <v>Extra-Regio (NLZZZ)</v>
      </c>
      <c r="B541" t="str">
        <f ca="1">IFERROR(__xludf.DUMMYFUNCTION("""COMPUTED_VALUE"""),"NLZZZ")</f>
        <v>NLZZZ</v>
      </c>
    </row>
    <row r="542" spans="1:2" ht="12.5" x14ac:dyDescent="0.25">
      <c r="A542" t="str">
        <f ca="1">IFERROR(__xludf.DUMMYFUNCTION("""COMPUTED_VALUE"""),"Extra-Regio (PLZ)")</f>
        <v>Extra-Regio (PLZ)</v>
      </c>
      <c r="B542" t="str">
        <f ca="1">IFERROR(__xludf.DUMMYFUNCTION("""COMPUTED_VALUE"""),"PLZ")</f>
        <v>PLZ</v>
      </c>
    </row>
    <row r="543" spans="1:2" ht="12.5" x14ac:dyDescent="0.25">
      <c r="A543" t="str">
        <f ca="1">IFERROR(__xludf.DUMMYFUNCTION("""COMPUTED_VALUE"""),"Extra-Regio (PLZZ)")</f>
        <v>Extra-Regio (PLZZ)</v>
      </c>
      <c r="B543" t="str">
        <f ca="1">IFERROR(__xludf.DUMMYFUNCTION("""COMPUTED_VALUE"""),"PLZZ")</f>
        <v>PLZZ</v>
      </c>
    </row>
    <row r="544" spans="1:2" ht="12.5" x14ac:dyDescent="0.25">
      <c r="A544" t="str">
        <f ca="1">IFERROR(__xludf.DUMMYFUNCTION("""COMPUTED_VALUE"""),"Extra-Regio (PLZZZ)")</f>
        <v>Extra-Regio (PLZZZ)</v>
      </c>
      <c r="B544" t="str">
        <f ca="1">IFERROR(__xludf.DUMMYFUNCTION("""COMPUTED_VALUE"""),"PLZZZ")</f>
        <v>PLZZZ</v>
      </c>
    </row>
    <row r="545" spans="1:2" ht="12.5" x14ac:dyDescent="0.25">
      <c r="A545" t="str">
        <f ca="1">IFERROR(__xludf.DUMMYFUNCTION("""COMPUTED_VALUE"""),"Extra-Regio (PTZ)")</f>
        <v>Extra-Regio (PTZ)</v>
      </c>
      <c r="B545" t="str">
        <f ca="1">IFERROR(__xludf.DUMMYFUNCTION("""COMPUTED_VALUE"""),"PTZ")</f>
        <v>PTZ</v>
      </c>
    </row>
    <row r="546" spans="1:2" ht="12.5" x14ac:dyDescent="0.25">
      <c r="A546" t="str">
        <f ca="1">IFERROR(__xludf.DUMMYFUNCTION("""COMPUTED_VALUE"""),"Extra-Regio (PTZZ)")</f>
        <v>Extra-Regio (PTZZ)</v>
      </c>
      <c r="B546" t="str">
        <f ca="1">IFERROR(__xludf.DUMMYFUNCTION("""COMPUTED_VALUE"""),"PTZZ")</f>
        <v>PTZZ</v>
      </c>
    </row>
    <row r="547" spans="1:2" ht="12.5" x14ac:dyDescent="0.25">
      <c r="A547" t="str">
        <f ca="1">IFERROR(__xludf.DUMMYFUNCTION("""COMPUTED_VALUE"""),"Extra-Regio (PTZZZ)")</f>
        <v>Extra-Regio (PTZZZ)</v>
      </c>
      <c r="B547" t="str">
        <f ca="1">IFERROR(__xludf.DUMMYFUNCTION("""COMPUTED_VALUE"""),"PTZZZ")</f>
        <v>PTZZZ</v>
      </c>
    </row>
    <row r="548" spans="1:2" ht="12.5" x14ac:dyDescent="0.25">
      <c r="A548" t="str">
        <f ca="1">IFERROR(__xludf.DUMMYFUNCTION("""COMPUTED_VALUE"""),"Extra-Regio (ROZ)")</f>
        <v>Extra-Regio (ROZ)</v>
      </c>
      <c r="B548" t="str">
        <f ca="1">IFERROR(__xludf.DUMMYFUNCTION("""COMPUTED_VALUE"""),"ROZ")</f>
        <v>ROZ</v>
      </c>
    </row>
    <row r="549" spans="1:2" ht="12.5" x14ac:dyDescent="0.25">
      <c r="A549" t="str">
        <f ca="1">IFERROR(__xludf.DUMMYFUNCTION("""COMPUTED_VALUE"""),"Extra-Regio (ROZZ)")</f>
        <v>Extra-Regio (ROZZ)</v>
      </c>
      <c r="B549" t="str">
        <f ca="1">IFERROR(__xludf.DUMMYFUNCTION("""COMPUTED_VALUE"""),"ROZZ")</f>
        <v>ROZZ</v>
      </c>
    </row>
    <row r="550" spans="1:2" ht="12.5" x14ac:dyDescent="0.25">
      <c r="A550" t="str">
        <f ca="1">IFERROR(__xludf.DUMMYFUNCTION("""COMPUTED_VALUE"""),"Extra-Regio (ROZZZ)")</f>
        <v>Extra-Regio (ROZZZ)</v>
      </c>
      <c r="B550" t="str">
        <f ca="1">IFERROR(__xludf.DUMMYFUNCTION("""COMPUTED_VALUE"""),"ROZZZ")</f>
        <v>ROZZZ</v>
      </c>
    </row>
    <row r="551" spans="1:2" ht="12.5" x14ac:dyDescent="0.25">
      <c r="A551" t="str">
        <f ca="1">IFERROR(__xludf.DUMMYFUNCTION("""COMPUTED_VALUE"""),"Extra-Regio (SEZ)")</f>
        <v>Extra-Regio (SEZ)</v>
      </c>
      <c r="B551" t="str">
        <f ca="1">IFERROR(__xludf.DUMMYFUNCTION("""COMPUTED_VALUE"""),"SEZ")</f>
        <v>SEZ</v>
      </c>
    </row>
    <row r="552" spans="1:2" ht="12.5" x14ac:dyDescent="0.25">
      <c r="A552" t="str">
        <f ca="1">IFERROR(__xludf.DUMMYFUNCTION("""COMPUTED_VALUE"""),"Extra-Regio (SEZZ)")</f>
        <v>Extra-Regio (SEZZ)</v>
      </c>
      <c r="B552" t="str">
        <f ca="1">IFERROR(__xludf.DUMMYFUNCTION("""COMPUTED_VALUE"""),"SEZZ")</f>
        <v>SEZZ</v>
      </c>
    </row>
    <row r="553" spans="1:2" ht="12.5" x14ac:dyDescent="0.25">
      <c r="A553" t="str">
        <f ca="1">IFERROR(__xludf.DUMMYFUNCTION("""COMPUTED_VALUE"""),"Extra-Regio (SEZZZ)")</f>
        <v>Extra-Regio (SEZZZ)</v>
      </c>
      <c r="B553" t="str">
        <f ca="1">IFERROR(__xludf.DUMMYFUNCTION("""COMPUTED_VALUE"""),"SEZZZ")</f>
        <v>SEZZZ</v>
      </c>
    </row>
    <row r="554" spans="1:2" ht="12.5" x14ac:dyDescent="0.25">
      <c r="A554" t="str">
        <f ca="1">IFERROR(__xludf.DUMMYFUNCTION("""COMPUTED_VALUE"""),"Extra-Regio (SIZ)")</f>
        <v>Extra-Regio (SIZ)</v>
      </c>
      <c r="B554" t="str">
        <f ca="1">IFERROR(__xludf.DUMMYFUNCTION("""COMPUTED_VALUE"""),"SIZ")</f>
        <v>SIZ</v>
      </c>
    </row>
    <row r="555" spans="1:2" ht="12.5" x14ac:dyDescent="0.25">
      <c r="A555" t="str">
        <f ca="1">IFERROR(__xludf.DUMMYFUNCTION("""COMPUTED_VALUE"""),"Extra-Regio (SIZZ)")</f>
        <v>Extra-Regio (SIZZ)</v>
      </c>
      <c r="B555" t="str">
        <f ca="1">IFERROR(__xludf.DUMMYFUNCTION("""COMPUTED_VALUE"""),"SIZZ")</f>
        <v>SIZZ</v>
      </c>
    </row>
    <row r="556" spans="1:2" ht="12.5" x14ac:dyDescent="0.25">
      <c r="A556" t="str">
        <f ca="1">IFERROR(__xludf.DUMMYFUNCTION("""COMPUTED_VALUE"""),"Extra-Regio (SIZZZ)")</f>
        <v>Extra-Regio (SIZZZ)</v>
      </c>
      <c r="B556" t="str">
        <f ca="1">IFERROR(__xludf.DUMMYFUNCTION("""COMPUTED_VALUE"""),"SIZZZ")</f>
        <v>SIZZZ</v>
      </c>
    </row>
    <row r="557" spans="1:2" ht="12.5" x14ac:dyDescent="0.25">
      <c r="A557" t="str">
        <f ca="1">IFERROR(__xludf.DUMMYFUNCTION("""COMPUTED_VALUE"""),"Extra-Regio (SKZ)")</f>
        <v>Extra-Regio (SKZ)</v>
      </c>
      <c r="B557" t="str">
        <f ca="1">IFERROR(__xludf.DUMMYFUNCTION("""COMPUTED_VALUE"""),"SKZ")</f>
        <v>SKZ</v>
      </c>
    </row>
    <row r="558" spans="1:2" ht="12.5" x14ac:dyDescent="0.25">
      <c r="A558" t="str">
        <f ca="1">IFERROR(__xludf.DUMMYFUNCTION("""COMPUTED_VALUE"""),"Extra-Regio (SKZZ)")</f>
        <v>Extra-Regio (SKZZ)</v>
      </c>
      <c r="B558" t="str">
        <f ca="1">IFERROR(__xludf.DUMMYFUNCTION("""COMPUTED_VALUE"""),"SKZZ")</f>
        <v>SKZZ</v>
      </c>
    </row>
    <row r="559" spans="1:2" ht="12.5" x14ac:dyDescent="0.25">
      <c r="A559" t="str">
        <f ca="1">IFERROR(__xludf.DUMMYFUNCTION("""COMPUTED_VALUE"""),"Extra-Regio (SKZZZ)")</f>
        <v>Extra-Regio (SKZZZ)</v>
      </c>
      <c r="B559" t="str">
        <f ca="1">IFERROR(__xludf.DUMMYFUNCTION("""COMPUTED_VALUE"""),"SKZZZ")</f>
        <v>SKZZZ</v>
      </c>
    </row>
    <row r="560" spans="1:2" ht="12.5" x14ac:dyDescent="0.25">
      <c r="A560" t="str">
        <f ca="1">IFERROR(__xludf.DUMMYFUNCTION("""COMPUTED_VALUE"""),"Extra-Regio (UKZ)")</f>
        <v>Extra-Regio (UKZ)</v>
      </c>
      <c r="B560" t="str">
        <f ca="1">IFERROR(__xludf.DUMMYFUNCTION("""COMPUTED_VALUE"""),"UKZ")</f>
        <v>UKZ</v>
      </c>
    </row>
    <row r="561" spans="1:2" ht="12.5" x14ac:dyDescent="0.25">
      <c r="A561" t="str">
        <f ca="1">IFERROR(__xludf.DUMMYFUNCTION("""COMPUTED_VALUE"""),"Extra-Regio (UKZZ)")</f>
        <v>Extra-Regio (UKZZ)</v>
      </c>
      <c r="B561" t="str">
        <f ca="1">IFERROR(__xludf.DUMMYFUNCTION("""COMPUTED_VALUE"""),"UKZZ")</f>
        <v>UKZZ</v>
      </c>
    </row>
    <row r="562" spans="1:2" ht="12.5" x14ac:dyDescent="0.25">
      <c r="A562" t="str">
        <f ca="1">IFERROR(__xludf.DUMMYFUNCTION("""COMPUTED_VALUE"""),"Extra-Regio (UKZZZ)")</f>
        <v>Extra-Regio (UKZZZ)</v>
      </c>
      <c r="B562" t="str">
        <f ca="1">IFERROR(__xludf.DUMMYFUNCTION("""COMPUTED_VALUE"""),"UKZZZ")</f>
        <v>UKZZZ</v>
      </c>
    </row>
    <row r="563" spans="1:2" ht="12.5" x14ac:dyDescent="0.25">
      <c r="A563" t="str">
        <f ca="1">IFERROR(__xludf.DUMMYFUNCTION("""COMPUTED_VALUE"""),"Extremadura")</f>
        <v>Extremadura</v>
      </c>
      <c r="B563" t="str">
        <f ca="1">IFERROR(__xludf.DUMMYFUNCTION("""COMPUTED_VALUE"""),"ES43")</f>
        <v>ES43</v>
      </c>
    </row>
    <row r="564" spans="1:2" ht="12.5" x14ac:dyDescent="0.25">
      <c r="A564" t="str">
        <f ca="1">IFERROR(__xludf.DUMMYFUNCTION("""COMPUTED_VALUE"""),"Falkirk")</f>
        <v>Falkirk</v>
      </c>
      <c r="B564" t="str">
        <f ca="1">IFERROR(__xludf.DUMMYFUNCTION("""COMPUTED_VALUE"""),"UKM26")</f>
        <v>UKM26</v>
      </c>
    </row>
    <row r="565" spans="1:2" ht="12.5" x14ac:dyDescent="0.25">
      <c r="A565" t="str">
        <f ca="1">IFERROR(__xludf.DUMMYFUNCTION("""COMPUTED_VALUE"""),"Fejer")</f>
        <v>Fejer</v>
      </c>
      <c r="B565" t="str">
        <f ca="1">IFERROR(__xludf.DUMMYFUNCTION("""COMPUTED_VALUE"""),"HU211")</f>
        <v>HU211</v>
      </c>
    </row>
    <row r="566" spans="1:2" ht="12.5" x14ac:dyDescent="0.25">
      <c r="A566" t="str">
        <f ca="1">IFERROR(__xludf.DUMMYFUNCTION("""COMPUTED_VALUE"""),"Ferrara")</f>
        <v>Ferrara</v>
      </c>
      <c r="B566" t="str">
        <f ca="1">IFERROR(__xludf.DUMMYFUNCTION("""COMPUTED_VALUE"""),"ITD56")</f>
        <v>ITD56</v>
      </c>
    </row>
    <row r="567" spans="1:2" ht="12.5" x14ac:dyDescent="0.25">
      <c r="A567" t="str">
        <f ca="1">IFERROR(__xludf.DUMMYFUNCTION("""COMPUTED_VALUE"""),"Finistère")</f>
        <v>Finistère</v>
      </c>
      <c r="B567" t="str">
        <f ca="1">IFERROR(__xludf.DUMMYFUNCTION("""COMPUTED_VALUE"""),"FR522")</f>
        <v>FR522</v>
      </c>
    </row>
    <row r="568" spans="1:2" ht="12.5" x14ac:dyDescent="0.25">
      <c r="A568" t="str">
        <f ca="1">IFERROR(__xludf.DUMMYFUNCTION("""COMPUTED_VALUE"""),"Finnmark")</f>
        <v>Finnmark</v>
      </c>
      <c r="B568" t="str">
        <f ca="1">IFERROR(__xludf.DUMMYFUNCTION("""COMPUTED_VALUE"""),"NO073")</f>
        <v>NO073</v>
      </c>
    </row>
    <row r="569" spans="1:2" ht="12.5" x14ac:dyDescent="0.25">
      <c r="A569" t="str">
        <f ca="1">IFERROR(__xludf.DUMMYFUNCTION("""COMPUTED_VALUE"""),"Firenze")</f>
        <v>Firenze</v>
      </c>
      <c r="B569" t="str">
        <f ca="1">IFERROR(__xludf.DUMMYFUNCTION("""COMPUTED_VALUE"""),"ITE14")</f>
        <v>ITE14</v>
      </c>
    </row>
    <row r="570" spans="1:2" ht="12.5" x14ac:dyDescent="0.25">
      <c r="A570" t="str">
        <f ca="1">IFERROR(__xludf.DUMMYFUNCTION("""COMPUTED_VALUE"""),"Flensburg, Kreisfreie Stadt")</f>
        <v>Flensburg, Kreisfreie Stadt</v>
      </c>
      <c r="B570" t="str">
        <f ca="1">IFERROR(__xludf.DUMMYFUNCTION("""COMPUTED_VALUE"""),"DEF01")</f>
        <v>DEF01</v>
      </c>
    </row>
    <row r="571" spans="1:2" ht="12.5" x14ac:dyDescent="0.25">
      <c r="A571" t="str">
        <f ca="1">IFERROR(__xludf.DUMMYFUNCTION("""COMPUTED_VALUE"""),"Flevoland")</f>
        <v>Flevoland</v>
      </c>
      <c r="B571" t="str">
        <f ca="1">IFERROR(__xludf.DUMMYFUNCTION("""COMPUTED_VALUE"""),"NL23")</f>
        <v>NL23</v>
      </c>
    </row>
    <row r="572" spans="1:2" ht="12.5" x14ac:dyDescent="0.25">
      <c r="A572" t="str">
        <f ca="1">IFERROR(__xludf.DUMMYFUNCTION("""COMPUTED_VALUE"""),"Flevoland (*)")</f>
        <v>Flevoland (*)</v>
      </c>
      <c r="B572" t="str">
        <f ca="1">IFERROR(__xludf.DUMMYFUNCTION("""COMPUTED_VALUE"""),"NL230")</f>
        <v>NL230</v>
      </c>
    </row>
    <row r="573" spans="1:2" ht="12.5" x14ac:dyDescent="0.25">
      <c r="A573" t="str">
        <f ca="1">IFERROR(__xludf.DUMMYFUNCTION("""COMPUTED_VALUE"""),"Flintshire And Wrexham")</f>
        <v>Flintshire And Wrexham</v>
      </c>
      <c r="B573" t="str">
        <f ca="1">IFERROR(__xludf.DUMMYFUNCTION("""COMPUTED_VALUE"""),"UKL23")</f>
        <v>UKL23</v>
      </c>
    </row>
    <row r="574" spans="1:2" ht="12.5" x14ac:dyDescent="0.25">
      <c r="A574" t="str">
        <f ca="1">IFERROR(__xludf.DUMMYFUNCTION("""COMPUTED_VALUE"""),"Florina")</f>
        <v>Florina</v>
      </c>
      <c r="B574" t="str">
        <f ca="1">IFERROR(__xludf.DUMMYFUNCTION("""COMPUTED_VALUE"""),"GR134")</f>
        <v>GR134</v>
      </c>
    </row>
    <row r="575" spans="1:2" ht="12.5" x14ac:dyDescent="0.25">
      <c r="A575" t="str">
        <f ca="1">IFERROR(__xludf.DUMMYFUNCTION("""COMPUTED_VALUE"""),"Foggia")</f>
        <v>Foggia</v>
      </c>
      <c r="B575" t="str">
        <f ca="1">IFERROR(__xludf.DUMMYFUNCTION("""COMPUTED_VALUE"""),"ITF41")</f>
        <v>ITF41</v>
      </c>
    </row>
    <row r="576" spans="1:2" ht="12.5" x14ac:dyDescent="0.25">
      <c r="A576" t="str">
        <f ca="1">IFERROR(__xludf.DUMMYFUNCTION("""COMPUTED_VALUE"""),"Fokida")</f>
        <v>Fokida</v>
      </c>
      <c r="B576" t="str">
        <f ca="1">IFERROR(__xludf.DUMMYFUNCTION("""COMPUTED_VALUE"""),"GR245")</f>
        <v>GR245</v>
      </c>
    </row>
    <row r="577" spans="1:2" ht="12.5" x14ac:dyDescent="0.25">
      <c r="A577" t="str">
        <f ca="1">IFERROR(__xludf.DUMMYFUNCTION("""COMPUTED_VALUE"""),"Forchheim")</f>
        <v>Forchheim</v>
      </c>
      <c r="B577" t="str">
        <f ca="1">IFERROR(__xludf.DUMMYFUNCTION("""COMPUTED_VALUE"""),"DE248")</f>
        <v>DE248</v>
      </c>
    </row>
    <row r="578" spans="1:2" ht="12.5" x14ac:dyDescent="0.25">
      <c r="A578" t="str">
        <f ca="1">IFERROR(__xludf.DUMMYFUNCTION("""COMPUTED_VALUE"""),"Forlì-Cesena")</f>
        <v>Forlì-Cesena</v>
      </c>
      <c r="B578" t="str">
        <f ca="1">IFERROR(__xludf.DUMMYFUNCTION("""COMPUTED_VALUE"""),"ITD58")</f>
        <v>ITD58</v>
      </c>
    </row>
    <row r="579" spans="1:2" ht="12.5" x14ac:dyDescent="0.25">
      <c r="A579" t="str">
        <f ca="1">IFERROR(__xludf.DUMMYFUNCTION("""COMPUTED_VALUE"""),"France")</f>
        <v>France</v>
      </c>
      <c r="B579" t="str">
        <f ca="1">IFERROR(__xludf.DUMMYFUNCTION("""COMPUTED_VALUE"""),"FR")</f>
        <v>FR</v>
      </c>
    </row>
    <row r="580" spans="1:2" ht="12.5" x14ac:dyDescent="0.25">
      <c r="A580" t="str">
        <f ca="1">IFERROR(__xludf.DUMMYFUNCTION("""COMPUTED_VALUE"""),"Franche-Comté")</f>
        <v>Franche-Comté</v>
      </c>
      <c r="B580" t="str">
        <f ca="1">IFERROR(__xludf.DUMMYFUNCTION("""COMPUTED_VALUE"""),"FR43")</f>
        <v>FR43</v>
      </c>
    </row>
    <row r="581" spans="1:2" ht="12.5" x14ac:dyDescent="0.25">
      <c r="A581" t="str">
        <f ca="1">IFERROR(__xludf.DUMMYFUNCTION("""COMPUTED_VALUE"""),"Frankenthal (Pfalz), Kreisfreie Stadt")</f>
        <v>Frankenthal (Pfalz), Kreisfreie Stadt</v>
      </c>
      <c r="B581" t="str">
        <f ca="1">IFERROR(__xludf.DUMMYFUNCTION("""COMPUTED_VALUE"""),"DEB31")</f>
        <v>DEB31</v>
      </c>
    </row>
    <row r="582" spans="1:2" ht="12.5" x14ac:dyDescent="0.25">
      <c r="A582" t="str">
        <f ca="1">IFERROR(__xludf.DUMMYFUNCTION("""COMPUTED_VALUE"""),"Frankfurt (Oder), Kreisfreie Stadt")</f>
        <v>Frankfurt (Oder), Kreisfreie Stadt</v>
      </c>
      <c r="B582" t="str">
        <f ca="1">IFERROR(__xludf.DUMMYFUNCTION("""COMPUTED_VALUE"""),"DE411")</f>
        <v>DE411</v>
      </c>
    </row>
    <row r="583" spans="1:2" ht="12.5" x14ac:dyDescent="0.25">
      <c r="A583" t="str">
        <f ca="1">IFERROR(__xludf.DUMMYFUNCTION("""COMPUTED_VALUE"""),"Frankfurt Am Main, Kreisfreie Stadt")</f>
        <v>Frankfurt Am Main, Kreisfreie Stadt</v>
      </c>
      <c r="B583" t="str">
        <f ca="1">IFERROR(__xludf.DUMMYFUNCTION("""COMPUTED_VALUE"""),"DE712")</f>
        <v>DE712</v>
      </c>
    </row>
    <row r="584" spans="1:2" ht="12.5" x14ac:dyDescent="0.25">
      <c r="A584" t="str">
        <f ca="1">IFERROR(__xludf.DUMMYFUNCTION("""COMPUTED_VALUE"""),"Freiberg")</f>
        <v>Freiberg</v>
      </c>
      <c r="B584" t="str">
        <f ca="1">IFERROR(__xludf.DUMMYFUNCTION("""COMPUTED_VALUE"""),"DED16")</f>
        <v>DED16</v>
      </c>
    </row>
    <row r="585" spans="1:2" ht="12.5" x14ac:dyDescent="0.25">
      <c r="A585" t="str">
        <f ca="1">IFERROR(__xludf.DUMMYFUNCTION("""COMPUTED_VALUE"""),"Freiburg")</f>
        <v>Freiburg</v>
      </c>
      <c r="B585" t="str">
        <f ca="1">IFERROR(__xludf.DUMMYFUNCTION("""COMPUTED_VALUE"""),"CH022")</f>
        <v>CH022</v>
      </c>
    </row>
    <row r="586" spans="1:2" ht="12.5" x14ac:dyDescent="0.25">
      <c r="A586" t="str">
        <f ca="1">IFERROR(__xludf.DUMMYFUNCTION("""COMPUTED_VALUE"""),"Freiburg (*)")</f>
        <v>Freiburg (*)</v>
      </c>
      <c r="B586" t="str">
        <f ca="1">IFERROR(__xludf.DUMMYFUNCTION("""COMPUTED_VALUE"""),"DE13")</f>
        <v>DE13</v>
      </c>
    </row>
    <row r="587" spans="1:2" ht="12.5" x14ac:dyDescent="0.25">
      <c r="A587" t="str">
        <f ca="1">IFERROR(__xludf.DUMMYFUNCTION("""COMPUTED_VALUE"""),"Freiburg Im Breisgau, Stadtkreis")</f>
        <v>Freiburg Im Breisgau, Stadtkreis</v>
      </c>
      <c r="B587" t="str">
        <f ca="1">IFERROR(__xludf.DUMMYFUNCTION("""COMPUTED_VALUE"""),"DE131")</f>
        <v>DE131</v>
      </c>
    </row>
    <row r="588" spans="1:2" ht="12.5" x14ac:dyDescent="0.25">
      <c r="A588" t="str">
        <f ca="1">IFERROR(__xludf.DUMMYFUNCTION("""COMPUTED_VALUE"""),"Freising")</f>
        <v>Freising</v>
      </c>
      <c r="B588" t="str">
        <f ca="1">IFERROR(__xludf.DUMMYFUNCTION("""COMPUTED_VALUE"""),"DE21B")</f>
        <v>DE21B</v>
      </c>
    </row>
    <row r="589" spans="1:2" ht="12.5" x14ac:dyDescent="0.25">
      <c r="A589" t="str">
        <f ca="1">IFERROR(__xludf.DUMMYFUNCTION("""COMPUTED_VALUE"""),"Freudenstadt")</f>
        <v>Freudenstadt</v>
      </c>
      <c r="B589" t="str">
        <f ca="1">IFERROR(__xludf.DUMMYFUNCTION("""COMPUTED_VALUE"""),"DE12C")</f>
        <v>DE12C</v>
      </c>
    </row>
    <row r="590" spans="1:2" ht="12.5" x14ac:dyDescent="0.25">
      <c r="A590" t="str">
        <f ca="1">IFERROR(__xludf.DUMMYFUNCTION("""COMPUTED_VALUE"""),"Freyung-Grafenau")</f>
        <v>Freyung-Grafenau</v>
      </c>
      <c r="B590" t="str">
        <f ca="1">IFERROR(__xludf.DUMMYFUNCTION("""COMPUTED_VALUE"""),"DE225")</f>
        <v>DE225</v>
      </c>
    </row>
    <row r="591" spans="1:2" ht="12.5" x14ac:dyDescent="0.25">
      <c r="A591" t="str">
        <f ca="1">IFERROR(__xludf.DUMMYFUNCTION("""COMPUTED_VALUE"""),"Friesland (D)")</f>
        <v>Friesland (D)</v>
      </c>
      <c r="B591" t="str">
        <f ca="1">IFERROR(__xludf.DUMMYFUNCTION("""COMPUTED_VALUE"""),"DE94A")</f>
        <v>DE94A</v>
      </c>
    </row>
    <row r="592" spans="1:2" ht="12.5" x14ac:dyDescent="0.25">
      <c r="A592" t="str">
        <f ca="1">IFERROR(__xludf.DUMMYFUNCTION("""COMPUTED_VALUE"""),"Friesland (Nl)")</f>
        <v>Friesland (Nl)</v>
      </c>
      <c r="B592" t="str">
        <f ca="1">IFERROR(__xludf.DUMMYFUNCTION("""COMPUTED_VALUE"""),"NL12")</f>
        <v>NL12</v>
      </c>
    </row>
    <row r="593" spans="1:2" ht="12.5" x14ac:dyDescent="0.25">
      <c r="A593" t="str">
        <f ca="1">IFERROR(__xludf.DUMMYFUNCTION("""COMPUTED_VALUE"""),"Friuli-Venezia Giulia")</f>
        <v>Friuli-Venezia Giulia</v>
      </c>
      <c r="B593" t="str">
        <f ca="1">IFERROR(__xludf.DUMMYFUNCTION("""COMPUTED_VALUE"""),"ITD4")</f>
        <v>ITD4</v>
      </c>
    </row>
    <row r="594" spans="1:2" ht="12.5" x14ac:dyDescent="0.25">
      <c r="A594" t="str">
        <f ca="1">IFERROR(__xludf.DUMMYFUNCTION("""COMPUTED_VALUE"""),"Frosinone")</f>
        <v>Frosinone</v>
      </c>
      <c r="B594" t="str">
        <f ca="1">IFERROR(__xludf.DUMMYFUNCTION("""COMPUTED_VALUE"""),"ITE45")</f>
        <v>ITE45</v>
      </c>
    </row>
    <row r="595" spans="1:2" ht="12.5" x14ac:dyDescent="0.25">
      <c r="A595" t="str">
        <f ca="1">IFERROR(__xludf.DUMMYFUNCTION("""COMPUTED_VALUE"""),"Fthiotida")</f>
        <v>Fthiotida</v>
      </c>
      <c r="B595" t="str">
        <f ca="1">IFERROR(__xludf.DUMMYFUNCTION("""COMPUTED_VALUE"""),"GR244")</f>
        <v>GR244</v>
      </c>
    </row>
    <row r="596" spans="1:2" ht="12.5" x14ac:dyDescent="0.25">
      <c r="A596" t="str">
        <f ca="1">IFERROR(__xludf.DUMMYFUNCTION("""COMPUTED_VALUE"""),"Fuerteventura")</f>
        <v>Fuerteventura</v>
      </c>
      <c r="B596" t="str">
        <f ca="1">IFERROR(__xludf.DUMMYFUNCTION("""COMPUTED_VALUE"""),"ES704")</f>
        <v>ES704</v>
      </c>
    </row>
    <row r="597" spans="1:2" ht="12.5" x14ac:dyDescent="0.25">
      <c r="A597" t="str">
        <f ca="1">IFERROR(__xludf.DUMMYFUNCTION("""COMPUTED_VALUE"""),"Fulda")</f>
        <v>Fulda</v>
      </c>
      <c r="B597" t="str">
        <f ca="1">IFERROR(__xludf.DUMMYFUNCTION("""COMPUTED_VALUE"""),"DE732")</f>
        <v>DE732</v>
      </c>
    </row>
    <row r="598" spans="1:2" ht="12.5" x14ac:dyDescent="0.25">
      <c r="A598" t="str">
        <f ca="1">IFERROR(__xludf.DUMMYFUNCTION("""COMPUTED_VALUE"""),"Fürstenfeldbruck")</f>
        <v>Fürstenfeldbruck</v>
      </c>
      <c r="B598" t="str">
        <f ca="1">IFERROR(__xludf.DUMMYFUNCTION("""COMPUTED_VALUE"""),"DE21C")</f>
        <v>DE21C</v>
      </c>
    </row>
    <row r="599" spans="1:2" ht="12.5" x14ac:dyDescent="0.25">
      <c r="A599" t="str">
        <f ca="1">IFERROR(__xludf.DUMMYFUNCTION("""COMPUTED_VALUE"""),"Fürth, Kreisfreie Stadt")</f>
        <v>Fürth, Kreisfreie Stadt</v>
      </c>
      <c r="B599" t="str">
        <f ca="1">IFERROR(__xludf.DUMMYFUNCTION("""COMPUTED_VALUE"""),"DE253")</f>
        <v>DE253</v>
      </c>
    </row>
    <row r="600" spans="1:2" ht="12.5" x14ac:dyDescent="0.25">
      <c r="A600" t="str">
        <f ca="1">IFERROR(__xludf.DUMMYFUNCTION("""COMPUTED_VALUE"""),"Fürth, Landkreis")</f>
        <v>Fürth, Landkreis</v>
      </c>
      <c r="B600" t="str">
        <f ca="1">IFERROR(__xludf.DUMMYFUNCTION("""COMPUTED_VALUE"""),"DE258")</f>
        <v>DE258</v>
      </c>
    </row>
    <row r="601" spans="1:2" ht="12.5" x14ac:dyDescent="0.25">
      <c r="A601" t="str">
        <f ca="1">IFERROR(__xludf.DUMMYFUNCTION("""COMPUTED_VALUE"""),"Fyn")</f>
        <v>Fyn</v>
      </c>
      <c r="B601" t="str">
        <f ca="1">IFERROR(__xludf.DUMMYFUNCTION("""COMPUTED_VALUE"""),"DK031")</f>
        <v>DK031</v>
      </c>
    </row>
    <row r="602" spans="1:2" ht="12.5" x14ac:dyDescent="0.25">
      <c r="A602" t="str">
        <f ca="1">IFERROR(__xludf.DUMMYFUNCTION("""COMPUTED_VALUE"""),"Gabrovo")</f>
        <v>Gabrovo</v>
      </c>
      <c r="B602" t="str">
        <f ca="1">IFERROR(__xludf.DUMMYFUNCTION("""COMPUTED_VALUE"""),"BG322")</f>
        <v>BG322</v>
      </c>
    </row>
    <row r="603" spans="1:2" ht="12.5" x14ac:dyDescent="0.25">
      <c r="A603" t="str">
        <f ca="1">IFERROR(__xludf.DUMMYFUNCTION("""COMPUTED_VALUE"""),"Galati")</f>
        <v>Galati</v>
      </c>
      <c r="B603" t="str">
        <f ca="1">IFERROR(__xludf.DUMMYFUNCTION("""COMPUTED_VALUE"""),"RO224")</f>
        <v>RO224</v>
      </c>
    </row>
    <row r="604" spans="1:2" ht="12.5" x14ac:dyDescent="0.25">
      <c r="A604" t="str">
        <f ca="1">IFERROR(__xludf.DUMMYFUNCTION("""COMPUTED_VALUE"""),"Galicia")</f>
        <v>Galicia</v>
      </c>
      <c r="B604" t="str">
        <f ca="1">IFERROR(__xludf.DUMMYFUNCTION("""COMPUTED_VALUE"""),"ES11")</f>
        <v>ES11</v>
      </c>
    </row>
    <row r="605" spans="1:2" ht="12.5" x14ac:dyDescent="0.25">
      <c r="A605" t="str">
        <f ca="1">IFERROR(__xludf.DUMMYFUNCTION("""COMPUTED_VALUE"""),"Gard")</f>
        <v>Gard</v>
      </c>
      <c r="B605" t="str">
        <f ca="1">IFERROR(__xludf.DUMMYFUNCTION("""COMPUTED_VALUE"""),"FR812")</f>
        <v>FR812</v>
      </c>
    </row>
    <row r="606" spans="1:2" ht="12.5" x14ac:dyDescent="0.25">
      <c r="A606" t="str">
        <f ca="1">IFERROR(__xludf.DUMMYFUNCTION("""COMPUTED_VALUE"""),"Garmisch-Partenkirchen")</f>
        <v>Garmisch-Partenkirchen</v>
      </c>
      <c r="B606" t="str">
        <f ca="1">IFERROR(__xludf.DUMMYFUNCTION("""COMPUTED_VALUE"""),"DE21D")</f>
        <v>DE21D</v>
      </c>
    </row>
    <row r="607" spans="1:2" ht="12.5" x14ac:dyDescent="0.25">
      <c r="A607" t="str">
        <f ca="1">IFERROR(__xludf.DUMMYFUNCTION("""COMPUTED_VALUE"""),"Gävleborgs Län")</f>
        <v>Gävleborgs Län</v>
      </c>
      <c r="B607" t="str">
        <f ca="1">IFERROR(__xludf.DUMMYFUNCTION("""COMPUTED_VALUE"""),"SE313")</f>
        <v>SE313</v>
      </c>
    </row>
    <row r="608" spans="1:2" ht="12.5" x14ac:dyDescent="0.25">
      <c r="A608" t="str">
        <f ca="1">IFERROR(__xludf.DUMMYFUNCTION("""COMPUTED_VALUE"""),"Gdanski")</f>
        <v>Gdanski</v>
      </c>
      <c r="B608" t="str">
        <f ca="1">IFERROR(__xludf.DUMMYFUNCTION("""COMPUTED_VALUE"""),"PL634")</f>
        <v>PL634</v>
      </c>
    </row>
    <row r="609" spans="1:2" ht="12.5" x14ac:dyDescent="0.25">
      <c r="A609" t="str">
        <f ca="1">IFERROR(__xludf.DUMMYFUNCTION("""COMPUTED_VALUE"""),"Gelderland")</f>
        <v>Gelderland</v>
      </c>
      <c r="B609" t="str">
        <f ca="1">IFERROR(__xludf.DUMMYFUNCTION("""COMPUTED_VALUE"""),"NL22")</f>
        <v>NL22</v>
      </c>
    </row>
    <row r="610" spans="1:2" ht="12.5" x14ac:dyDescent="0.25">
      <c r="A610" t="str">
        <f ca="1">IFERROR(__xludf.DUMMYFUNCTION("""COMPUTED_VALUE"""),"Gelsenkirchen, Kreisfreie Stadt")</f>
        <v>Gelsenkirchen, Kreisfreie Stadt</v>
      </c>
      <c r="B610" t="str">
        <f ca="1">IFERROR(__xludf.DUMMYFUNCTION("""COMPUTED_VALUE"""),"DEA32")</f>
        <v>DEA32</v>
      </c>
    </row>
    <row r="611" spans="1:2" ht="12.5" x14ac:dyDescent="0.25">
      <c r="A611" t="str">
        <f ca="1">IFERROR(__xludf.DUMMYFUNCTION("""COMPUTED_VALUE"""),"Genève")</f>
        <v>Genève</v>
      </c>
      <c r="B611" t="str">
        <f ca="1">IFERROR(__xludf.DUMMYFUNCTION("""COMPUTED_VALUE"""),"CH013")</f>
        <v>CH013</v>
      </c>
    </row>
    <row r="612" spans="1:2" ht="12.5" x14ac:dyDescent="0.25">
      <c r="A612" t="str">
        <f ca="1">IFERROR(__xludf.DUMMYFUNCTION("""COMPUTED_VALUE"""),"Genova")</f>
        <v>Genova</v>
      </c>
      <c r="B612" t="str">
        <f ca="1">IFERROR(__xludf.DUMMYFUNCTION("""COMPUTED_VALUE"""),"ITC33")</f>
        <v>ITC33</v>
      </c>
    </row>
    <row r="613" spans="1:2" ht="12.5" x14ac:dyDescent="0.25">
      <c r="A613" t="str">
        <f ca="1">IFERROR(__xludf.DUMMYFUNCTION("""COMPUTED_VALUE"""),"Gera, Kreisfreie Stadt")</f>
        <v>Gera, Kreisfreie Stadt</v>
      </c>
      <c r="B613" t="str">
        <f ca="1">IFERROR(__xludf.DUMMYFUNCTION("""COMPUTED_VALUE"""),"DEG02")</f>
        <v>DEG02</v>
      </c>
    </row>
    <row r="614" spans="1:2" ht="12.5" x14ac:dyDescent="0.25">
      <c r="A614" t="str">
        <f ca="1">IFERROR(__xludf.DUMMYFUNCTION("""COMPUTED_VALUE"""),"Germersheim")</f>
        <v>Germersheim</v>
      </c>
      <c r="B614" t="str">
        <f ca="1">IFERROR(__xludf.DUMMYFUNCTION("""COMPUTED_VALUE"""),"DEB3E")</f>
        <v>DEB3E</v>
      </c>
    </row>
    <row r="615" spans="1:2" ht="12.5" x14ac:dyDescent="0.25">
      <c r="A615" t="str">
        <f ca="1">IFERROR(__xludf.DUMMYFUNCTION("""COMPUTED_VALUE"""),"Gers")</f>
        <v>Gers</v>
      </c>
      <c r="B615" t="str">
        <f ca="1">IFERROR(__xludf.DUMMYFUNCTION("""COMPUTED_VALUE"""),"FR624")</f>
        <v>FR624</v>
      </c>
    </row>
    <row r="616" spans="1:2" ht="12.5" x14ac:dyDescent="0.25">
      <c r="A616" t="str">
        <f ca="1">IFERROR(__xludf.DUMMYFUNCTION("""COMPUTED_VALUE"""),"Gießen")</f>
        <v>Gießen</v>
      </c>
      <c r="B616" t="str">
        <f ca="1">IFERROR(__xludf.DUMMYFUNCTION("""COMPUTED_VALUE"""),"DE72")</f>
        <v>DE72</v>
      </c>
    </row>
    <row r="617" spans="1:2" ht="12.5" x14ac:dyDescent="0.25">
      <c r="A617" t="str">
        <f ca="1">IFERROR(__xludf.DUMMYFUNCTION("""COMPUTED_VALUE"""),"Gießen, Landkreis")</f>
        <v>Gießen, Landkreis</v>
      </c>
      <c r="B617" t="str">
        <f ca="1">IFERROR(__xludf.DUMMYFUNCTION("""COMPUTED_VALUE"""),"DE721")</f>
        <v>DE721</v>
      </c>
    </row>
    <row r="618" spans="1:2" ht="12.5" x14ac:dyDescent="0.25">
      <c r="A618" t="str">
        <f ca="1">IFERROR(__xludf.DUMMYFUNCTION("""COMPUTED_VALUE"""),"Gifhorn")</f>
        <v>Gifhorn</v>
      </c>
      <c r="B618" t="str">
        <f ca="1">IFERROR(__xludf.DUMMYFUNCTION("""COMPUTED_VALUE"""),"DE914")</f>
        <v>DE914</v>
      </c>
    </row>
    <row r="619" spans="1:2" ht="12.5" x14ac:dyDescent="0.25">
      <c r="A619" t="str">
        <f ca="1">IFERROR(__xludf.DUMMYFUNCTION("""COMPUTED_VALUE"""),"Girona")</f>
        <v>Girona</v>
      </c>
      <c r="B619" t="str">
        <f ca="1">IFERROR(__xludf.DUMMYFUNCTION("""COMPUTED_VALUE"""),"ES512")</f>
        <v>ES512</v>
      </c>
    </row>
    <row r="620" spans="1:2" ht="12.5" x14ac:dyDescent="0.25">
      <c r="A620" t="str">
        <f ca="1">IFERROR(__xludf.DUMMYFUNCTION("""COMPUTED_VALUE"""),"Gironde")</f>
        <v>Gironde</v>
      </c>
      <c r="B620" t="str">
        <f ca="1">IFERROR(__xludf.DUMMYFUNCTION("""COMPUTED_VALUE"""),"FR612")</f>
        <v>FR612</v>
      </c>
    </row>
    <row r="621" spans="1:2" ht="12.5" x14ac:dyDescent="0.25">
      <c r="A621" t="str">
        <f ca="1">IFERROR(__xludf.DUMMYFUNCTION("""COMPUTED_VALUE"""),"Giurgiu")</f>
        <v>Giurgiu</v>
      </c>
      <c r="B621" t="str">
        <f ca="1">IFERROR(__xludf.DUMMYFUNCTION("""COMPUTED_VALUE"""),"RO314")</f>
        <v>RO314</v>
      </c>
    </row>
    <row r="622" spans="1:2" ht="12.5" x14ac:dyDescent="0.25">
      <c r="A622" t="str">
        <f ca="1">IFERROR(__xludf.DUMMYFUNCTION("""COMPUTED_VALUE"""),"Glarus")</f>
        <v>Glarus</v>
      </c>
      <c r="B622" t="str">
        <f ca="1">IFERROR(__xludf.DUMMYFUNCTION("""COMPUTED_VALUE"""),"CH051")</f>
        <v>CH051</v>
      </c>
    </row>
    <row r="623" spans="1:2" ht="12.5" x14ac:dyDescent="0.25">
      <c r="A623" t="str">
        <f ca="1">IFERROR(__xludf.DUMMYFUNCTION("""COMPUTED_VALUE"""),"Glasgow City")</f>
        <v>Glasgow City</v>
      </c>
      <c r="B623" t="str">
        <f ca="1">IFERROR(__xludf.DUMMYFUNCTION("""COMPUTED_VALUE"""),"UKM34")</f>
        <v>UKM34</v>
      </c>
    </row>
    <row r="624" spans="1:2" ht="12.5" x14ac:dyDescent="0.25">
      <c r="A624" t="str">
        <f ca="1">IFERROR(__xludf.DUMMYFUNCTION("""COMPUTED_VALUE"""),"Gliwicki")</f>
        <v>Gliwicki</v>
      </c>
      <c r="B624" t="str">
        <f ca="1">IFERROR(__xludf.DUMMYFUNCTION("""COMPUTED_VALUE"""),"PL229")</f>
        <v>PL229</v>
      </c>
    </row>
    <row r="625" spans="1:2" ht="12.5" x14ac:dyDescent="0.25">
      <c r="A625" t="str">
        <f ca="1">IFERROR(__xludf.DUMMYFUNCTION("""COMPUTED_VALUE"""),"Gloucestershire")</f>
        <v>Gloucestershire</v>
      </c>
      <c r="B625" t="str">
        <f ca="1">IFERROR(__xludf.DUMMYFUNCTION("""COMPUTED_VALUE"""),"UKK13")</f>
        <v>UKK13</v>
      </c>
    </row>
    <row r="626" spans="1:2" ht="12.5" x14ac:dyDescent="0.25">
      <c r="A626" t="str">
        <f ca="1">IFERROR(__xludf.DUMMYFUNCTION("""COMPUTED_VALUE"""),"Gloucestershire, Wiltshire And Bristol-Bath Area")</f>
        <v>Gloucestershire, Wiltshire And Bristol-Bath Area</v>
      </c>
      <c r="B626" t="str">
        <f ca="1">IFERROR(__xludf.DUMMYFUNCTION("""COMPUTED_VALUE"""),"UKK1")</f>
        <v>UKK1</v>
      </c>
    </row>
    <row r="627" spans="1:2" ht="12.5" x14ac:dyDescent="0.25">
      <c r="A627" t="str">
        <f ca="1">IFERROR(__xludf.DUMMYFUNCTION("""COMPUTED_VALUE"""),"Göppingen")</f>
        <v>Göppingen</v>
      </c>
      <c r="B627" t="str">
        <f ca="1">IFERROR(__xludf.DUMMYFUNCTION("""COMPUTED_VALUE"""),"DE114")</f>
        <v>DE114</v>
      </c>
    </row>
    <row r="628" spans="1:2" ht="12.5" x14ac:dyDescent="0.25">
      <c r="A628" t="str">
        <f ca="1">IFERROR(__xludf.DUMMYFUNCTION("""COMPUTED_VALUE"""),"Gorenjska")</f>
        <v>Gorenjska</v>
      </c>
      <c r="B628" t="str">
        <f ca="1">IFERROR(__xludf.DUMMYFUNCTION("""COMPUTED_VALUE"""),"SI022")</f>
        <v>SI022</v>
      </c>
    </row>
    <row r="629" spans="1:2" ht="12.5" x14ac:dyDescent="0.25">
      <c r="A629" t="str">
        <f ca="1">IFERROR(__xludf.DUMMYFUNCTION("""COMPUTED_VALUE"""),"Goriska")</f>
        <v>Goriska</v>
      </c>
      <c r="B629" t="str">
        <f ca="1">IFERROR(__xludf.DUMMYFUNCTION("""COMPUTED_VALUE"""),"SI023")</f>
        <v>SI023</v>
      </c>
    </row>
    <row r="630" spans="1:2" ht="12.5" x14ac:dyDescent="0.25">
      <c r="A630" t="str">
        <f ca="1">IFERROR(__xludf.DUMMYFUNCTION("""COMPUTED_VALUE"""),"Gorizia")</f>
        <v>Gorizia</v>
      </c>
      <c r="B630" t="str">
        <f ca="1">IFERROR(__xludf.DUMMYFUNCTION("""COMPUTED_VALUE"""),"ITD43")</f>
        <v>ITD43</v>
      </c>
    </row>
    <row r="631" spans="1:2" ht="12.5" x14ac:dyDescent="0.25">
      <c r="A631" t="str">
        <f ca="1">IFERROR(__xludf.DUMMYFUNCTION("""COMPUTED_VALUE"""),"Gorj")</f>
        <v>Gorj</v>
      </c>
      <c r="B631" t="str">
        <f ca="1">IFERROR(__xludf.DUMMYFUNCTION("""COMPUTED_VALUE"""),"RO412")</f>
        <v>RO412</v>
      </c>
    </row>
    <row r="632" spans="1:2" ht="12.5" x14ac:dyDescent="0.25">
      <c r="A632" t="str">
        <f ca="1">IFERROR(__xludf.DUMMYFUNCTION("""COMPUTED_VALUE"""),"Görlitz, Kreisfreie Stadt")</f>
        <v>Görlitz, Kreisfreie Stadt</v>
      </c>
      <c r="B632" t="str">
        <f ca="1">IFERROR(__xludf.DUMMYFUNCTION("""COMPUTED_VALUE"""),"DED22")</f>
        <v>DED22</v>
      </c>
    </row>
    <row r="633" spans="1:2" ht="12.5" x14ac:dyDescent="0.25">
      <c r="A633" t="str">
        <f ca="1">IFERROR(__xludf.DUMMYFUNCTION("""COMPUTED_VALUE"""),"Gorzowski")</f>
        <v>Gorzowski</v>
      </c>
      <c r="B633" t="str">
        <f ca="1">IFERROR(__xludf.DUMMYFUNCTION("""COMPUTED_VALUE"""),"PL431")</f>
        <v>PL431</v>
      </c>
    </row>
    <row r="634" spans="1:2" ht="12.5" x14ac:dyDescent="0.25">
      <c r="A634" t="str">
        <f ca="1">IFERROR(__xludf.DUMMYFUNCTION("""COMPUTED_VALUE"""),"Goslar")</f>
        <v>Goslar</v>
      </c>
      <c r="B634" t="str">
        <f ca="1">IFERROR(__xludf.DUMMYFUNCTION("""COMPUTED_VALUE"""),"DE916")</f>
        <v>DE916</v>
      </c>
    </row>
    <row r="635" spans="1:2" ht="12.5" x14ac:dyDescent="0.25">
      <c r="A635" t="str">
        <f ca="1">IFERROR(__xludf.DUMMYFUNCTION("""COMPUTED_VALUE"""),"Gotha")</f>
        <v>Gotha</v>
      </c>
      <c r="B635" t="str">
        <f ca="1">IFERROR(__xludf.DUMMYFUNCTION("""COMPUTED_VALUE"""),"DEG0C")</f>
        <v>DEG0C</v>
      </c>
    </row>
    <row r="636" spans="1:2" ht="12.5" x14ac:dyDescent="0.25">
      <c r="A636" t="str">
        <f ca="1">IFERROR(__xludf.DUMMYFUNCTION("""COMPUTED_VALUE"""),"Gotlands Län")</f>
        <v>Gotlands Län</v>
      </c>
      <c r="B636" t="str">
        <f ca="1">IFERROR(__xludf.DUMMYFUNCTION("""COMPUTED_VALUE"""),"SE214")</f>
        <v>SE214</v>
      </c>
    </row>
    <row r="637" spans="1:2" ht="12.5" x14ac:dyDescent="0.25">
      <c r="A637" t="str">
        <f ca="1">IFERROR(__xludf.DUMMYFUNCTION("""COMPUTED_VALUE"""),"Göttingen")</f>
        <v>Göttingen</v>
      </c>
      <c r="B637" t="str">
        <f ca="1">IFERROR(__xludf.DUMMYFUNCTION("""COMPUTED_VALUE"""),"DE915")</f>
        <v>DE915</v>
      </c>
    </row>
    <row r="638" spans="1:2" ht="12.5" x14ac:dyDescent="0.25">
      <c r="A638" t="str">
        <f ca="1">IFERROR(__xludf.DUMMYFUNCTION("""COMPUTED_VALUE"""),"Gozo And Comino-Ghawdex U Kemmuna")</f>
        <v>Gozo And Comino-Ghawdex U Kemmuna</v>
      </c>
      <c r="B638" t="str">
        <f ca="1">IFERROR(__xludf.DUMMYFUNCTION("""COMPUTED_VALUE"""),"MT002")</f>
        <v>MT002</v>
      </c>
    </row>
    <row r="639" spans="1:2" ht="12.5" x14ac:dyDescent="0.25">
      <c r="A639" t="str">
        <f ca="1">IFERROR(__xludf.DUMMYFUNCTION("""COMPUTED_VALUE"""),"Grafschaft Bentheim")</f>
        <v>Grafschaft Bentheim</v>
      </c>
      <c r="B639" t="str">
        <f ca="1">IFERROR(__xludf.DUMMYFUNCTION("""COMPUTED_VALUE"""),"DE94B")</f>
        <v>DE94B</v>
      </c>
    </row>
    <row r="640" spans="1:2" ht="12.5" x14ac:dyDescent="0.25">
      <c r="A640" t="str">
        <f ca="1">IFERROR(__xludf.DUMMYFUNCTION("""COMPUTED_VALUE"""),"Gran Canaria")</f>
        <v>Gran Canaria</v>
      </c>
      <c r="B640" t="str">
        <f ca="1">IFERROR(__xludf.DUMMYFUNCTION("""COMPUTED_VALUE"""),"ES705")</f>
        <v>ES705</v>
      </c>
    </row>
    <row r="641" spans="1:2" ht="12.5" x14ac:dyDescent="0.25">
      <c r="A641" t="str">
        <f ca="1">IFERROR(__xludf.DUMMYFUNCTION("""COMPUTED_VALUE"""),"Granada")</f>
        <v>Granada</v>
      </c>
      <c r="B641" t="str">
        <f ca="1">IFERROR(__xludf.DUMMYFUNCTION("""COMPUTED_VALUE"""),"ES614")</f>
        <v>ES614</v>
      </c>
    </row>
    <row r="642" spans="1:2" ht="12.5" x14ac:dyDescent="0.25">
      <c r="A642" t="str">
        <f ca="1">IFERROR(__xludf.DUMMYFUNCTION("""COMPUTED_VALUE"""),"Grande Lisboa")</f>
        <v>Grande Lisboa</v>
      </c>
      <c r="B642" t="str">
        <f ca="1">IFERROR(__xludf.DUMMYFUNCTION("""COMPUTED_VALUE"""),"PT171")</f>
        <v>PT171</v>
      </c>
    </row>
    <row r="643" spans="1:2" ht="12.5" x14ac:dyDescent="0.25">
      <c r="A643" t="str">
        <f ca="1">IFERROR(__xludf.DUMMYFUNCTION("""COMPUTED_VALUE"""),"Grande Porto")</f>
        <v>Grande Porto</v>
      </c>
      <c r="B643" t="str">
        <f ca="1">IFERROR(__xludf.DUMMYFUNCTION("""COMPUTED_VALUE"""),"PT114")</f>
        <v>PT114</v>
      </c>
    </row>
    <row r="644" spans="1:2" ht="12.5" x14ac:dyDescent="0.25">
      <c r="A644" t="str">
        <f ca="1">IFERROR(__xludf.DUMMYFUNCTION("""COMPUTED_VALUE"""),"Graubünden")</f>
        <v>Graubünden</v>
      </c>
      <c r="B644" t="str">
        <f ca="1">IFERROR(__xludf.DUMMYFUNCTION("""COMPUTED_VALUE"""),"CH056")</f>
        <v>CH056</v>
      </c>
    </row>
    <row r="645" spans="1:2" ht="12.5" x14ac:dyDescent="0.25">
      <c r="A645" t="str">
        <f ca="1">IFERROR(__xludf.DUMMYFUNCTION("""COMPUTED_VALUE"""),"Graz")</f>
        <v>Graz</v>
      </c>
      <c r="B645" t="str">
        <f ca="1">IFERROR(__xludf.DUMMYFUNCTION("""COMPUTED_VALUE"""),"AT221")</f>
        <v>AT221</v>
      </c>
    </row>
    <row r="646" spans="1:2" ht="12.5" x14ac:dyDescent="0.25">
      <c r="A646" t="str">
        <f ca="1">IFERROR(__xludf.DUMMYFUNCTION("""COMPUTED_VALUE"""),"Greater Manchester")</f>
        <v>Greater Manchester</v>
      </c>
      <c r="B646" t="str">
        <f ca="1">IFERROR(__xludf.DUMMYFUNCTION("""COMPUTED_VALUE"""),"UKD3")</f>
        <v>UKD3</v>
      </c>
    </row>
    <row r="647" spans="1:2" ht="12.5" x14ac:dyDescent="0.25">
      <c r="A647" t="str">
        <f ca="1">IFERROR(__xludf.DUMMYFUNCTION("""COMPUTED_VALUE"""),"Greater Manchester North")</f>
        <v>Greater Manchester North</v>
      </c>
      <c r="B647" t="str">
        <f ca="1">IFERROR(__xludf.DUMMYFUNCTION("""COMPUTED_VALUE"""),"UKD32")</f>
        <v>UKD32</v>
      </c>
    </row>
    <row r="648" spans="1:2" ht="12.5" x14ac:dyDescent="0.25">
      <c r="A648" t="str">
        <f ca="1">IFERROR(__xludf.DUMMYFUNCTION("""COMPUTED_VALUE"""),"Greater Manchester South")</f>
        <v>Greater Manchester South</v>
      </c>
      <c r="B648" t="str">
        <f ca="1">IFERROR(__xludf.DUMMYFUNCTION("""COMPUTED_VALUE"""),"UKD31")</f>
        <v>UKD31</v>
      </c>
    </row>
    <row r="649" spans="1:2" ht="12.5" x14ac:dyDescent="0.25">
      <c r="A649" t="str">
        <f ca="1">IFERROR(__xludf.DUMMYFUNCTION("""COMPUTED_VALUE"""),"Greifswald, Kreisfreie Stadt")</f>
        <v>Greifswald, Kreisfreie Stadt</v>
      </c>
      <c r="B649" t="str">
        <f ca="1">IFERROR(__xludf.DUMMYFUNCTION("""COMPUTED_VALUE"""),"DE801")</f>
        <v>DE801</v>
      </c>
    </row>
    <row r="650" spans="1:2" ht="12.5" x14ac:dyDescent="0.25">
      <c r="A650" t="str">
        <f ca="1">IFERROR(__xludf.DUMMYFUNCTION("""COMPUTED_VALUE"""),"Greiz")</f>
        <v>Greiz</v>
      </c>
      <c r="B650" t="str">
        <f ca="1">IFERROR(__xludf.DUMMYFUNCTION("""COMPUTED_VALUE"""),"DEG0L")</f>
        <v>DEG0L</v>
      </c>
    </row>
    <row r="651" spans="1:2" ht="12.5" x14ac:dyDescent="0.25">
      <c r="A651" t="str">
        <f ca="1">IFERROR(__xludf.DUMMYFUNCTION("""COMPUTED_VALUE"""),"Grevena")</f>
        <v>Grevena</v>
      </c>
      <c r="B651" t="str">
        <f ca="1">IFERROR(__xludf.DUMMYFUNCTION("""COMPUTED_VALUE"""),"GR131")</f>
        <v>GR131</v>
      </c>
    </row>
    <row r="652" spans="1:2" ht="12.5" x14ac:dyDescent="0.25">
      <c r="A652" t="str">
        <f ca="1">IFERROR(__xludf.DUMMYFUNCTION("""COMPUTED_VALUE"""),"Groningen")</f>
        <v>Groningen</v>
      </c>
      <c r="B652" t="str">
        <f ca="1">IFERROR(__xludf.DUMMYFUNCTION("""COMPUTED_VALUE"""),"NL11")</f>
        <v>NL11</v>
      </c>
    </row>
    <row r="653" spans="1:2" ht="12.5" x14ac:dyDescent="0.25">
      <c r="A653" t="str">
        <f ca="1">IFERROR(__xludf.DUMMYFUNCTION("""COMPUTED_VALUE"""),"Groot-Amsterdam")</f>
        <v>Groot-Amsterdam</v>
      </c>
      <c r="B653" t="str">
        <f ca="1">IFERROR(__xludf.DUMMYFUNCTION("""COMPUTED_VALUE"""),"NL326")</f>
        <v>NL326</v>
      </c>
    </row>
    <row r="654" spans="1:2" ht="12.5" x14ac:dyDescent="0.25">
      <c r="A654" t="str">
        <f ca="1">IFERROR(__xludf.DUMMYFUNCTION("""COMPUTED_VALUE"""),"Groot-Rijnmond")</f>
        <v>Groot-Rijnmond</v>
      </c>
      <c r="B654" t="str">
        <f ca="1">IFERROR(__xludf.DUMMYFUNCTION("""COMPUTED_VALUE"""),"NL335")</f>
        <v>NL335</v>
      </c>
    </row>
    <row r="655" spans="1:2" ht="12.5" x14ac:dyDescent="0.25">
      <c r="A655" t="str">
        <f ca="1">IFERROR(__xludf.DUMMYFUNCTION("""COMPUTED_VALUE"""),"Groß-Gerau")</f>
        <v>Groß-Gerau</v>
      </c>
      <c r="B655" t="str">
        <f ca="1">IFERROR(__xludf.DUMMYFUNCTION("""COMPUTED_VALUE"""),"DE717")</f>
        <v>DE717</v>
      </c>
    </row>
    <row r="656" spans="1:2" ht="12.5" x14ac:dyDescent="0.25">
      <c r="A656" t="str">
        <f ca="1">IFERROR(__xludf.DUMMYFUNCTION("""COMPUTED_VALUE"""),"Grosseto")</f>
        <v>Grosseto</v>
      </c>
      <c r="B656" t="str">
        <f ca="1">IFERROR(__xludf.DUMMYFUNCTION("""COMPUTED_VALUE"""),"ITE1A")</f>
        <v>ITE1A</v>
      </c>
    </row>
    <row r="657" spans="1:2" ht="12.5" x14ac:dyDescent="0.25">
      <c r="A657" t="str">
        <f ca="1">IFERROR(__xludf.DUMMYFUNCTION("""COMPUTED_VALUE"""),"Grudziadzki")</f>
        <v>Grudziadzki</v>
      </c>
      <c r="B657" t="str">
        <f ca="1">IFERROR(__xludf.DUMMYFUNCTION("""COMPUTED_VALUE"""),"PL614")</f>
        <v>PL614</v>
      </c>
    </row>
    <row r="658" spans="1:2" ht="12.5" x14ac:dyDescent="0.25">
      <c r="A658" t="str">
        <f ca="1">IFERROR(__xludf.DUMMYFUNCTION("""COMPUTED_VALUE"""),"Guadalajara")</f>
        <v>Guadalajara</v>
      </c>
      <c r="B658" t="str">
        <f ca="1">IFERROR(__xludf.DUMMYFUNCTION("""COMPUTED_VALUE"""),"ES424")</f>
        <v>ES424</v>
      </c>
    </row>
    <row r="659" spans="1:2" ht="12.5" x14ac:dyDescent="0.25">
      <c r="A659" t="str">
        <f ca="1">IFERROR(__xludf.DUMMYFUNCTION("""COMPUTED_VALUE"""),"Guadeloupe")</f>
        <v>Guadeloupe</v>
      </c>
      <c r="B659" t="str">
        <f ca="1">IFERROR(__xludf.DUMMYFUNCTION("""COMPUTED_VALUE"""),"FR91")</f>
        <v>FR91</v>
      </c>
    </row>
    <row r="660" spans="1:2" ht="12.5" x14ac:dyDescent="0.25">
      <c r="A660" t="str">
        <f ca="1">IFERROR(__xludf.DUMMYFUNCTION("""COMPUTED_VALUE"""),"Guadeloupe (*)")</f>
        <v>Guadeloupe (*)</v>
      </c>
      <c r="B660" t="str">
        <f ca="1">IFERROR(__xludf.DUMMYFUNCTION("""COMPUTED_VALUE"""),"FR910")</f>
        <v>FR910</v>
      </c>
    </row>
    <row r="661" spans="1:2" ht="12.5" x14ac:dyDescent="0.25">
      <c r="A661" t="str">
        <f ca="1">IFERROR(__xludf.DUMMYFUNCTION("""COMPUTED_VALUE"""),"Guipúzcoa")</f>
        <v>Guipúzcoa</v>
      </c>
      <c r="B661" t="str">
        <f ca="1">IFERROR(__xludf.DUMMYFUNCTION("""COMPUTED_VALUE"""),"ES212")</f>
        <v>ES212</v>
      </c>
    </row>
    <row r="662" spans="1:2" ht="12.5" x14ac:dyDescent="0.25">
      <c r="A662" t="str">
        <f ca="1">IFERROR(__xludf.DUMMYFUNCTION("""COMPUTED_VALUE"""),"Günzburg")</f>
        <v>Günzburg</v>
      </c>
      <c r="B662" t="str">
        <f ca="1">IFERROR(__xludf.DUMMYFUNCTION("""COMPUTED_VALUE"""),"DE278")</f>
        <v>DE278</v>
      </c>
    </row>
    <row r="663" spans="1:2" ht="12.5" x14ac:dyDescent="0.25">
      <c r="A663" t="str">
        <f ca="1">IFERROR(__xludf.DUMMYFUNCTION("""COMPUTED_VALUE"""),"Güstrow")</f>
        <v>Güstrow</v>
      </c>
      <c r="B663" t="str">
        <f ca="1">IFERROR(__xludf.DUMMYFUNCTION("""COMPUTED_VALUE"""),"DE809")</f>
        <v>DE809</v>
      </c>
    </row>
    <row r="664" spans="1:2" ht="12.5" x14ac:dyDescent="0.25">
      <c r="A664" t="str">
        <f ca="1">IFERROR(__xludf.DUMMYFUNCTION("""COMPUTED_VALUE"""),"Gütersloh")</f>
        <v>Gütersloh</v>
      </c>
      <c r="B664" t="str">
        <f ca="1">IFERROR(__xludf.DUMMYFUNCTION("""COMPUTED_VALUE"""),"DEA42")</f>
        <v>DEA42</v>
      </c>
    </row>
    <row r="665" spans="1:2" ht="12.5" x14ac:dyDescent="0.25">
      <c r="A665" t="str">
        <f ca="1">IFERROR(__xludf.DUMMYFUNCTION("""COMPUTED_VALUE"""),"Guyane")</f>
        <v>Guyane</v>
      </c>
      <c r="B665" t="str">
        <f ca="1">IFERROR(__xludf.DUMMYFUNCTION("""COMPUTED_VALUE"""),"FR93")</f>
        <v>FR93</v>
      </c>
    </row>
    <row r="666" spans="1:2" ht="12.5" x14ac:dyDescent="0.25">
      <c r="A666" t="str">
        <f ca="1">IFERROR(__xludf.DUMMYFUNCTION("""COMPUTED_VALUE"""),"Guyane (*)")</f>
        <v>Guyane (*)</v>
      </c>
      <c r="B666" t="str">
        <f ca="1">IFERROR(__xludf.DUMMYFUNCTION("""COMPUTED_VALUE"""),"FR930")</f>
        <v>FR930</v>
      </c>
    </row>
    <row r="667" spans="1:2" ht="12.5" x14ac:dyDescent="0.25">
      <c r="A667" t="str">
        <f ca="1">IFERROR(__xludf.DUMMYFUNCTION("""COMPUTED_VALUE"""),"Gwent Valleys")</f>
        <v>Gwent Valleys</v>
      </c>
      <c r="B667" t="str">
        <f ca="1">IFERROR(__xludf.DUMMYFUNCTION("""COMPUTED_VALUE"""),"UKL16")</f>
        <v>UKL16</v>
      </c>
    </row>
    <row r="668" spans="1:2" ht="12.5" x14ac:dyDescent="0.25">
      <c r="A668" t="str">
        <f ca="1">IFERROR(__xludf.DUMMYFUNCTION("""COMPUTED_VALUE"""),"Gwynedd")</f>
        <v>Gwynedd</v>
      </c>
      <c r="B668" t="str">
        <f ca="1">IFERROR(__xludf.DUMMYFUNCTION("""COMPUTED_VALUE"""),"UKL12")</f>
        <v>UKL12</v>
      </c>
    </row>
    <row r="669" spans="1:2" ht="12.5" x14ac:dyDescent="0.25">
      <c r="A669" t="str">
        <f ca="1">IFERROR(__xludf.DUMMYFUNCTION("""COMPUTED_VALUE"""),"Gyor-Moson-Sopron")</f>
        <v>Gyor-Moson-Sopron</v>
      </c>
      <c r="B669" t="str">
        <f ca="1">IFERROR(__xludf.DUMMYFUNCTION("""COMPUTED_VALUE"""),"HU221")</f>
        <v>HU221</v>
      </c>
    </row>
    <row r="670" spans="1:2" ht="12.5" x14ac:dyDescent="0.25">
      <c r="A670" t="str">
        <f ca="1">IFERROR(__xludf.DUMMYFUNCTION("""COMPUTED_VALUE"""),"Hagen, Kreisfreie Stadt")</f>
        <v>Hagen, Kreisfreie Stadt</v>
      </c>
      <c r="B670" t="str">
        <f ca="1">IFERROR(__xludf.DUMMYFUNCTION("""COMPUTED_VALUE"""),"DEA53")</f>
        <v>DEA53</v>
      </c>
    </row>
    <row r="671" spans="1:2" ht="12.5" x14ac:dyDescent="0.25">
      <c r="A671" t="str">
        <f ca="1">IFERROR(__xludf.DUMMYFUNCTION("""COMPUTED_VALUE"""),"Hajdu-Bihar")</f>
        <v>Hajdu-Bihar</v>
      </c>
      <c r="B671" t="str">
        <f ca="1">IFERROR(__xludf.DUMMYFUNCTION("""COMPUTED_VALUE"""),"HU321")</f>
        <v>HU321</v>
      </c>
    </row>
    <row r="672" spans="1:2" ht="12.5" x14ac:dyDescent="0.25">
      <c r="A672" t="str">
        <f ca="1">IFERROR(__xludf.DUMMYFUNCTION("""COMPUTED_VALUE"""),"Hallands Län")</f>
        <v>Hallands Län</v>
      </c>
      <c r="B672" t="str">
        <f ca="1">IFERROR(__xludf.DUMMYFUNCTION("""COMPUTED_VALUE"""),"SE231")</f>
        <v>SE231</v>
      </c>
    </row>
    <row r="673" spans="1:2" ht="12.5" x14ac:dyDescent="0.25">
      <c r="A673" t="str">
        <f ca="1">IFERROR(__xludf.DUMMYFUNCTION("""COMPUTED_VALUE"""),"Halle (Saale), Kreisfreie Stadt")</f>
        <v>Halle (Saale), Kreisfreie Stadt</v>
      </c>
      <c r="B673" t="str">
        <f ca="1">IFERROR(__xludf.DUMMYFUNCTION("""COMPUTED_VALUE"""),"DEE02")</f>
        <v>DEE02</v>
      </c>
    </row>
    <row r="674" spans="1:2" ht="12.5" x14ac:dyDescent="0.25">
      <c r="A674" t="str">
        <f ca="1">IFERROR(__xludf.DUMMYFUNCTION("""COMPUTED_VALUE"""),"Halton And Warrington")</f>
        <v>Halton And Warrington</v>
      </c>
      <c r="B674" t="str">
        <f ca="1">IFERROR(__xludf.DUMMYFUNCTION("""COMPUTED_VALUE"""),"UKD21")</f>
        <v>UKD21</v>
      </c>
    </row>
    <row r="675" spans="1:2" ht="12.5" x14ac:dyDescent="0.25">
      <c r="A675" t="str">
        <f ca="1">IFERROR(__xludf.DUMMYFUNCTION("""COMPUTED_VALUE"""),"Hamburg")</f>
        <v>Hamburg</v>
      </c>
      <c r="B675" t="str">
        <f ca="1">IFERROR(__xludf.DUMMYFUNCTION("""COMPUTED_VALUE"""),"DE6")</f>
        <v>DE6</v>
      </c>
    </row>
    <row r="676" spans="1:2" ht="12.5" x14ac:dyDescent="0.25">
      <c r="A676" t="str">
        <f ca="1">IFERROR(__xludf.DUMMYFUNCTION("""COMPUTED_VALUE"""),"Hamburg (*)")</f>
        <v>Hamburg (*)</v>
      </c>
      <c r="B676" t="str">
        <f ca="1">IFERROR(__xludf.DUMMYFUNCTION("""COMPUTED_VALUE"""),"DE60")</f>
        <v>DE60</v>
      </c>
    </row>
    <row r="677" spans="1:2" ht="12.5" x14ac:dyDescent="0.25">
      <c r="A677" t="str">
        <f ca="1">IFERROR(__xludf.DUMMYFUNCTION("""COMPUTED_VALUE"""),"Hamburg (**)")</f>
        <v>Hamburg (**)</v>
      </c>
      <c r="B677" t="str">
        <f ca="1">IFERROR(__xludf.DUMMYFUNCTION("""COMPUTED_VALUE"""),"DE600")</f>
        <v>DE600</v>
      </c>
    </row>
    <row r="678" spans="1:2" ht="12.5" x14ac:dyDescent="0.25">
      <c r="A678" t="str">
        <f ca="1">IFERROR(__xludf.DUMMYFUNCTION("""COMPUTED_VALUE"""),"Hameln-Pyrmont")</f>
        <v>Hameln-Pyrmont</v>
      </c>
      <c r="B678" t="str">
        <f ca="1">IFERROR(__xludf.DUMMYFUNCTION("""COMPUTED_VALUE"""),"DE923")</f>
        <v>DE923</v>
      </c>
    </row>
    <row r="679" spans="1:2" ht="12.5" x14ac:dyDescent="0.25">
      <c r="A679" t="str">
        <f ca="1">IFERROR(__xludf.DUMMYFUNCTION("""COMPUTED_VALUE"""),"Hamm, Kreisfreie Stadt")</f>
        <v>Hamm, Kreisfreie Stadt</v>
      </c>
      <c r="B679" t="str">
        <f ca="1">IFERROR(__xludf.DUMMYFUNCTION("""COMPUTED_VALUE"""),"DEA54")</f>
        <v>DEA54</v>
      </c>
    </row>
    <row r="680" spans="1:2" ht="12.5" x14ac:dyDescent="0.25">
      <c r="A680" t="str">
        <f ca="1">IFERROR(__xludf.DUMMYFUNCTION("""COMPUTED_VALUE"""),"Hampshire And Isle Of Wight")</f>
        <v>Hampshire And Isle Of Wight</v>
      </c>
      <c r="B680" t="str">
        <f ca="1">IFERROR(__xludf.DUMMYFUNCTION("""COMPUTED_VALUE"""),"UKJ3")</f>
        <v>UKJ3</v>
      </c>
    </row>
    <row r="681" spans="1:2" ht="12.5" x14ac:dyDescent="0.25">
      <c r="A681" t="str">
        <f ca="1">IFERROR(__xludf.DUMMYFUNCTION("""COMPUTED_VALUE"""),"Hampshire Cc")</f>
        <v>Hampshire Cc</v>
      </c>
      <c r="B681" t="str">
        <f ca="1">IFERROR(__xludf.DUMMYFUNCTION("""COMPUTED_VALUE"""),"UKJ33")</f>
        <v>UKJ33</v>
      </c>
    </row>
    <row r="682" spans="1:2" ht="12.5" x14ac:dyDescent="0.25">
      <c r="A682" t="str">
        <f ca="1">IFERROR(__xludf.DUMMYFUNCTION("""COMPUTED_VALUE"""),"Hannover")</f>
        <v>Hannover</v>
      </c>
      <c r="B682" t="str">
        <f ca="1">IFERROR(__xludf.DUMMYFUNCTION("""COMPUTED_VALUE"""),"DE92")</f>
        <v>DE92</v>
      </c>
    </row>
    <row r="683" spans="1:2" ht="12.5" x14ac:dyDescent="0.25">
      <c r="A683" t="str">
        <f ca="1">IFERROR(__xludf.DUMMYFUNCTION("""COMPUTED_VALUE"""),"Harburg")</f>
        <v>Harburg</v>
      </c>
      <c r="B683" t="str">
        <f ca="1">IFERROR(__xludf.DUMMYFUNCTION("""COMPUTED_VALUE"""),"DE933")</f>
        <v>DE933</v>
      </c>
    </row>
    <row r="684" spans="1:2" ht="12.5" x14ac:dyDescent="0.25">
      <c r="A684" t="str">
        <f ca="1">IFERROR(__xludf.DUMMYFUNCTION("""COMPUTED_VALUE"""),"Harghita")</f>
        <v>Harghita</v>
      </c>
      <c r="B684" t="str">
        <f ca="1">IFERROR(__xludf.DUMMYFUNCTION("""COMPUTED_VALUE"""),"RO124")</f>
        <v>RO124</v>
      </c>
    </row>
    <row r="685" spans="1:2" ht="12.5" x14ac:dyDescent="0.25">
      <c r="A685" t="str">
        <f ca="1">IFERROR(__xludf.DUMMYFUNCTION("""COMPUTED_VALUE"""),"Hartlepool And Stockton-On-Tees")</f>
        <v>Hartlepool And Stockton-On-Tees</v>
      </c>
      <c r="B685" t="str">
        <f ca="1">IFERROR(__xludf.DUMMYFUNCTION("""COMPUTED_VALUE"""),"UKC11")</f>
        <v>UKC11</v>
      </c>
    </row>
    <row r="686" spans="1:2" ht="12.5" x14ac:dyDescent="0.25">
      <c r="A686" t="str">
        <f ca="1">IFERROR(__xludf.DUMMYFUNCTION("""COMPUTED_VALUE"""),"Harz")</f>
        <v>Harz</v>
      </c>
      <c r="B686" t="str">
        <f ca="1">IFERROR(__xludf.DUMMYFUNCTION("""COMPUTED_VALUE"""),"DEE09")</f>
        <v>DEE09</v>
      </c>
    </row>
    <row r="687" spans="1:2" ht="12.5" x14ac:dyDescent="0.25">
      <c r="A687" t="str">
        <f ca="1">IFERROR(__xludf.DUMMYFUNCTION("""COMPUTED_VALUE"""),"Haskovo")</f>
        <v>Haskovo</v>
      </c>
      <c r="B687" t="str">
        <f ca="1">IFERROR(__xludf.DUMMYFUNCTION("""COMPUTED_VALUE"""),"BG422")</f>
        <v>BG422</v>
      </c>
    </row>
    <row r="688" spans="1:2" ht="12.5" x14ac:dyDescent="0.25">
      <c r="A688" t="str">
        <f ca="1">IFERROR(__xludf.DUMMYFUNCTION("""COMPUTED_VALUE"""),"Haßberge")</f>
        <v>Haßberge</v>
      </c>
      <c r="B688" t="str">
        <f ca="1">IFERROR(__xludf.DUMMYFUNCTION("""COMPUTED_VALUE"""),"DE267")</f>
        <v>DE267</v>
      </c>
    </row>
    <row r="689" spans="1:2" ht="12.5" x14ac:dyDescent="0.25">
      <c r="A689" t="str">
        <f ca="1">IFERROR(__xludf.DUMMYFUNCTION("""COMPUTED_VALUE"""),"Haut-Rhin")</f>
        <v>Haut-Rhin</v>
      </c>
      <c r="B689" t="str">
        <f ca="1">IFERROR(__xludf.DUMMYFUNCTION("""COMPUTED_VALUE"""),"FR422")</f>
        <v>FR422</v>
      </c>
    </row>
    <row r="690" spans="1:2" ht="12.5" x14ac:dyDescent="0.25">
      <c r="A690" t="str">
        <f ca="1">IFERROR(__xludf.DUMMYFUNCTION("""COMPUTED_VALUE"""),"Haute-Corse")</f>
        <v>Haute-Corse</v>
      </c>
      <c r="B690" t="str">
        <f ca="1">IFERROR(__xludf.DUMMYFUNCTION("""COMPUTED_VALUE"""),"FR832")</f>
        <v>FR832</v>
      </c>
    </row>
    <row r="691" spans="1:2" ht="12.5" x14ac:dyDescent="0.25">
      <c r="A691" t="str">
        <f ca="1">IFERROR(__xludf.DUMMYFUNCTION("""COMPUTED_VALUE"""),"Haute-Garonne")</f>
        <v>Haute-Garonne</v>
      </c>
      <c r="B691" t="str">
        <f ca="1">IFERROR(__xludf.DUMMYFUNCTION("""COMPUTED_VALUE"""),"FR623")</f>
        <v>FR623</v>
      </c>
    </row>
    <row r="692" spans="1:2" ht="12.5" x14ac:dyDescent="0.25">
      <c r="A692" t="str">
        <f ca="1">IFERROR(__xludf.DUMMYFUNCTION("""COMPUTED_VALUE"""),"Haute-Loire")</f>
        <v>Haute-Loire</v>
      </c>
      <c r="B692" t="str">
        <f ca="1">IFERROR(__xludf.DUMMYFUNCTION("""COMPUTED_VALUE"""),"FR723")</f>
        <v>FR723</v>
      </c>
    </row>
    <row r="693" spans="1:2" ht="12.5" x14ac:dyDescent="0.25">
      <c r="A693" t="str">
        <f ca="1">IFERROR(__xludf.DUMMYFUNCTION("""COMPUTED_VALUE"""),"Haute-Marne")</f>
        <v>Haute-Marne</v>
      </c>
      <c r="B693" t="str">
        <f ca="1">IFERROR(__xludf.DUMMYFUNCTION("""COMPUTED_VALUE"""),"FR214")</f>
        <v>FR214</v>
      </c>
    </row>
    <row r="694" spans="1:2" ht="12.5" x14ac:dyDescent="0.25">
      <c r="A694" t="str">
        <f ca="1">IFERROR(__xludf.DUMMYFUNCTION("""COMPUTED_VALUE"""),"Haute-Normandie")</f>
        <v>Haute-Normandie</v>
      </c>
      <c r="B694" t="str">
        <f ca="1">IFERROR(__xludf.DUMMYFUNCTION("""COMPUTED_VALUE"""),"FR23")</f>
        <v>FR23</v>
      </c>
    </row>
    <row r="695" spans="1:2" ht="12.5" x14ac:dyDescent="0.25">
      <c r="A695" t="str">
        <f ca="1">IFERROR(__xludf.DUMMYFUNCTION("""COMPUTED_VALUE"""),"Haute-Saône")</f>
        <v>Haute-Saône</v>
      </c>
      <c r="B695" t="str">
        <f ca="1">IFERROR(__xludf.DUMMYFUNCTION("""COMPUTED_VALUE"""),"FR433")</f>
        <v>FR433</v>
      </c>
    </row>
    <row r="696" spans="1:2" ht="12.5" x14ac:dyDescent="0.25">
      <c r="A696" t="str">
        <f ca="1">IFERROR(__xludf.DUMMYFUNCTION("""COMPUTED_VALUE"""),"Haute-Savoie")</f>
        <v>Haute-Savoie</v>
      </c>
      <c r="B696" t="str">
        <f ca="1">IFERROR(__xludf.DUMMYFUNCTION("""COMPUTED_VALUE"""),"FR718")</f>
        <v>FR718</v>
      </c>
    </row>
    <row r="697" spans="1:2" ht="12.5" x14ac:dyDescent="0.25">
      <c r="A697" t="str">
        <f ca="1">IFERROR(__xludf.DUMMYFUNCTION("""COMPUTED_VALUE"""),"Haute-Vienne")</f>
        <v>Haute-Vienne</v>
      </c>
      <c r="B697" t="str">
        <f ca="1">IFERROR(__xludf.DUMMYFUNCTION("""COMPUTED_VALUE"""),"FR633")</f>
        <v>FR633</v>
      </c>
    </row>
    <row r="698" spans="1:2" ht="12.5" x14ac:dyDescent="0.25">
      <c r="A698" t="str">
        <f ca="1">IFERROR(__xludf.DUMMYFUNCTION("""COMPUTED_VALUE"""),"Hautes-Alpes")</f>
        <v>Hautes-Alpes</v>
      </c>
      <c r="B698" t="str">
        <f ca="1">IFERROR(__xludf.DUMMYFUNCTION("""COMPUTED_VALUE"""),"FR822")</f>
        <v>FR822</v>
      </c>
    </row>
    <row r="699" spans="1:2" ht="12.5" x14ac:dyDescent="0.25">
      <c r="A699" t="str">
        <f ca="1">IFERROR(__xludf.DUMMYFUNCTION("""COMPUTED_VALUE"""),"Hautes-Pyrénées")</f>
        <v>Hautes-Pyrénées</v>
      </c>
      <c r="B699" t="str">
        <f ca="1">IFERROR(__xludf.DUMMYFUNCTION("""COMPUTED_VALUE"""),"FR626")</f>
        <v>FR626</v>
      </c>
    </row>
    <row r="700" spans="1:2" ht="12.5" x14ac:dyDescent="0.25">
      <c r="A700" t="str">
        <f ca="1">IFERROR(__xludf.DUMMYFUNCTION("""COMPUTED_VALUE"""),"Hauts-De-Seine")</f>
        <v>Hauts-De-Seine</v>
      </c>
      <c r="B700" t="str">
        <f ca="1">IFERROR(__xludf.DUMMYFUNCTION("""COMPUTED_VALUE"""),"FR105")</f>
        <v>FR105</v>
      </c>
    </row>
    <row r="701" spans="1:2" ht="12.5" x14ac:dyDescent="0.25">
      <c r="A701" t="str">
        <f ca="1">IFERROR(__xludf.DUMMYFUNCTION("""COMPUTED_VALUE"""),"Havelland")</f>
        <v>Havelland</v>
      </c>
      <c r="B701" t="str">
        <f ca="1">IFERROR(__xludf.DUMMYFUNCTION("""COMPUTED_VALUE"""),"DE426")</f>
        <v>DE426</v>
      </c>
    </row>
    <row r="702" spans="1:2" ht="12.5" x14ac:dyDescent="0.25">
      <c r="A702" t="str">
        <f ca="1">IFERROR(__xludf.DUMMYFUNCTION("""COMPUTED_VALUE"""),"Hedmark")</f>
        <v>Hedmark</v>
      </c>
      <c r="B702" t="str">
        <f ca="1">IFERROR(__xludf.DUMMYFUNCTION("""COMPUTED_VALUE"""),"NO021")</f>
        <v>NO021</v>
      </c>
    </row>
    <row r="703" spans="1:2" ht="12.5" x14ac:dyDescent="0.25">
      <c r="A703" t="str">
        <f ca="1">IFERROR(__xludf.DUMMYFUNCTION("""COMPUTED_VALUE"""),"Hedmark Og Oppland")</f>
        <v>Hedmark Og Oppland</v>
      </c>
      <c r="B703" t="str">
        <f ca="1">IFERROR(__xludf.DUMMYFUNCTION("""COMPUTED_VALUE"""),"NO02")</f>
        <v>NO02</v>
      </c>
    </row>
    <row r="704" spans="1:2" ht="12.5" x14ac:dyDescent="0.25">
      <c r="A704" t="str">
        <f ca="1">IFERROR(__xludf.DUMMYFUNCTION("""COMPUTED_VALUE"""),"Heidelberg, Stadtkreis")</f>
        <v>Heidelberg, Stadtkreis</v>
      </c>
      <c r="B704" t="str">
        <f ca="1">IFERROR(__xludf.DUMMYFUNCTION("""COMPUTED_VALUE"""),"DE125")</f>
        <v>DE125</v>
      </c>
    </row>
    <row r="705" spans="1:2" ht="12.5" x14ac:dyDescent="0.25">
      <c r="A705" t="str">
        <f ca="1">IFERROR(__xludf.DUMMYFUNCTION("""COMPUTED_VALUE"""),"Heidenheim")</f>
        <v>Heidenheim</v>
      </c>
      <c r="B705" t="str">
        <f ca="1">IFERROR(__xludf.DUMMYFUNCTION("""COMPUTED_VALUE"""),"DE11C")</f>
        <v>DE11C</v>
      </c>
    </row>
    <row r="706" spans="1:2" ht="12.5" x14ac:dyDescent="0.25">
      <c r="A706" t="str">
        <f ca="1">IFERROR(__xludf.DUMMYFUNCTION("""COMPUTED_VALUE"""),"Heilbronn, Landkreis")</f>
        <v>Heilbronn, Landkreis</v>
      </c>
      <c r="B706" t="str">
        <f ca="1">IFERROR(__xludf.DUMMYFUNCTION("""COMPUTED_VALUE"""),"DE118")</f>
        <v>DE118</v>
      </c>
    </row>
    <row r="707" spans="1:2" ht="12.5" x14ac:dyDescent="0.25">
      <c r="A707" t="str">
        <f ca="1">IFERROR(__xludf.DUMMYFUNCTION("""COMPUTED_VALUE"""),"Heilbronn, Stadtkreis")</f>
        <v>Heilbronn, Stadtkreis</v>
      </c>
      <c r="B707" t="str">
        <f ca="1">IFERROR(__xludf.DUMMYFUNCTION("""COMPUTED_VALUE"""),"DE117")</f>
        <v>DE117</v>
      </c>
    </row>
    <row r="708" spans="1:2" ht="12.5" x14ac:dyDescent="0.25">
      <c r="A708" t="str">
        <f ca="1">IFERROR(__xludf.DUMMYFUNCTION("""COMPUTED_VALUE"""),"Heinsberg")</f>
        <v>Heinsberg</v>
      </c>
      <c r="B708" t="str">
        <f ca="1">IFERROR(__xludf.DUMMYFUNCTION("""COMPUTED_VALUE"""),"DEA29")</f>
        <v>DEA29</v>
      </c>
    </row>
    <row r="709" spans="1:2" ht="12.5" x14ac:dyDescent="0.25">
      <c r="A709" t="str">
        <f ca="1">IFERROR(__xludf.DUMMYFUNCTION("""COMPUTED_VALUE"""),"Helmstedt")</f>
        <v>Helmstedt</v>
      </c>
      <c r="B709" t="str">
        <f ca="1">IFERROR(__xludf.DUMMYFUNCTION("""COMPUTED_VALUE"""),"DE917")</f>
        <v>DE917</v>
      </c>
    </row>
    <row r="710" spans="1:2" ht="12.5" x14ac:dyDescent="0.25">
      <c r="A710" t="str">
        <f ca="1">IFERROR(__xludf.DUMMYFUNCTION("""COMPUTED_VALUE"""),"Hérault")</f>
        <v>Hérault</v>
      </c>
      <c r="B710" t="str">
        <f ca="1">IFERROR(__xludf.DUMMYFUNCTION("""COMPUTED_VALUE"""),"FR813")</f>
        <v>FR813</v>
      </c>
    </row>
    <row r="711" spans="1:2" ht="12.5" x14ac:dyDescent="0.25">
      <c r="A711" t="str">
        <f ca="1">IFERROR(__xludf.DUMMYFUNCTION("""COMPUTED_VALUE"""),"Herefordshire, County Of")</f>
        <v>Herefordshire, County Of</v>
      </c>
      <c r="B711" t="str">
        <f ca="1">IFERROR(__xludf.DUMMYFUNCTION("""COMPUTED_VALUE"""),"UKG11")</f>
        <v>UKG11</v>
      </c>
    </row>
    <row r="712" spans="1:2" ht="12.5" x14ac:dyDescent="0.25">
      <c r="A712" t="str">
        <f ca="1">IFERROR(__xludf.DUMMYFUNCTION("""COMPUTED_VALUE"""),"Herefordshire, Worcestershire And Warwickshire")</f>
        <v>Herefordshire, Worcestershire And Warwickshire</v>
      </c>
      <c r="B712" t="str">
        <f ca="1">IFERROR(__xludf.DUMMYFUNCTION("""COMPUTED_VALUE"""),"UKG1")</f>
        <v>UKG1</v>
      </c>
    </row>
    <row r="713" spans="1:2" ht="12.5" x14ac:dyDescent="0.25">
      <c r="A713" t="str">
        <f ca="1">IFERROR(__xludf.DUMMYFUNCTION("""COMPUTED_VALUE"""),"Herford")</f>
        <v>Herford</v>
      </c>
      <c r="B713" t="str">
        <f ca="1">IFERROR(__xludf.DUMMYFUNCTION("""COMPUTED_VALUE"""),"DEA43")</f>
        <v>DEA43</v>
      </c>
    </row>
    <row r="714" spans="1:2" ht="12.5" x14ac:dyDescent="0.25">
      <c r="A714" t="str">
        <f ca="1">IFERROR(__xludf.DUMMYFUNCTION("""COMPUTED_VALUE"""),"Herne, Kreisfreie Stadt")</f>
        <v>Herne, Kreisfreie Stadt</v>
      </c>
      <c r="B714" t="str">
        <f ca="1">IFERROR(__xludf.DUMMYFUNCTION("""COMPUTED_VALUE"""),"DEA55")</f>
        <v>DEA55</v>
      </c>
    </row>
    <row r="715" spans="1:2" ht="12.5" x14ac:dyDescent="0.25">
      <c r="A715" t="str">
        <f ca="1">IFERROR(__xludf.DUMMYFUNCTION("""COMPUTED_VALUE"""),"Hersfeld-Rotenburg")</f>
        <v>Hersfeld-Rotenburg</v>
      </c>
      <c r="B715" t="str">
        <f ca="1">IFERROR(__xludf.DUMMYFUNCTION("""COMPUTED_VALUE"""),"DE733")</f>
        <v>DE733</v>
      </c>
    </row>
    <row r="716" spans="1:2" ht="12.5" x14ac:dyDescent="0.25">
      <c r="A716" t="str">
        <f ca="1">IFERROR(__xludf.DUMMYFUNCTION("""COMPUTED_VALUE"""),"Hertfordshire")</f>
        <v>Hertfordshire</v>
      </c>
      <c r="B716" t="str">
        <f ca="1">IFERROR(__xludf.DUMMYFUNCTION("""COMPUTED_VALUE"""),"UKH23")</f>
        <v>UKH23</v>
      </c>
    </row>
    <row r="717" spans="1:2" ht="12.5" x14ac:dyDescent="0.25">
      <c r="A717" t="str">
        <f ca="1">IFERROR(__xludf.DUMMYFUNCTION("""COMPUTED_VALUE"""),"Herzogtum Lauenburg")</f>
        <v>Herzogtum Lauenburg</v>
      </c>
      <c r="B717" t="str">
        <f ca="1">IFERROR(__xludf.DUMMYFUNCTION("""COMPUTED_VALUE"""),"DEF06")</f>
        <v>DEF06</v>
      </c>
    </row>
    <row r="718" spans="1:2" ht="12.5" x14ac:dyDescent="0.25">
      <c r="A718" t="str">
        <f ca="1">IFERROR(__xludf.DUMMYFUNCTION("""COMPUTED_VALUE"""),"Hessen")</f>
        <v>Hessen</v>
      </c>
      <c r="B718" t="str">
        <f ca="1">IFERROR(__xludf.DUMMYFUNCTION("""COMPUTED_VALUE"""),"DE7")</f>
        <v>DE7</v>
      </c>
    </row>
    <row r="719" spans="1:2" ht="12.5" x14ac:dyDescent="0.25">
      <c r="A719" t="str">
        <f ca="1">IFERROR(__xludf.DUMMYFUNCTION("""COMPUTED_VALUE"""),"Het Gooi En Vechtstreek")</f>
        <v>Het Gooi En Vechtstreek</v>
      </c>
      <c r="B719" t="str">
        <f ca="1">IFERROR(__xludf.DUMMYFUNCTION("""COMPUTED_VALUE"""),"NL327")</f>
        <v>NL327</v>
      </c>
    </row>
    <row r="720" spans="1:2" ht="12.5" x14ac:dyDescent="0.25">
      <c r="A720" t="str">
        <f ca="1">IFERROR(__xludf.DUMMYFUNCTION("""COMPUTED_VALUE"""),"Heves")</f>
        <v>Heves</v>
      </c>
      <c r="B720" t="str">
        <f ca="1">IFERROR(__xludf.DUMMYFUNCTION("""COMPUTED_VALUE"""),"HU312")</f>
        <v>HU312</v>
      </c>
    </row>
    <row r="721" spans="1:2" ht="12.5" x14ac:dyDescent="0.25">
      <c r="A721" t="str">
        <f ca="1">IFERROR(__xludf.DUMMYFUNCTION("""COMPUTED_VALUE"""),"Highlands And Islands")</f>
        <v>Highlands And Islands</v>
      </c>
      <c r="B721" t="str">
        <f ca="1">IFERROR(__xludf.DUMMYFUNCTION("""COMPUTED_VALUE"""),"UKM6")</f>
        <v>UKM6</v>
      </c>
    </row>
    <row r="722" spans="1:2" ht="12.5" x14ac:dyDescent="0.25">
      <c r="A722" t="str">
        <f ca="1">IFERROR(__xludf.DUMMYFUNCTION("""COMPUTED_VALUE"""),"Hildburghausen")</f>
        <v>Hildburghausen</v>
      </c>
      <c r="B722" t="str">
        <f ca="1">IFERROR(__xludf.DUMMYFUNCTION("""COMPUTED_VALUE"""),"DEG0E")</f>
        <v>DEG0E</v>
      </c>
    </row>
    <row r="723" spans="1:2" ht="12.5" x14ac:dyDescent="0.25">
      <c r="A723" t="str">
        <f ca="1">IFERROR(__xludf.DUMMYFUNCTION("""COMPUTED_VALUE"""),"Hildesheim")</f>
        <v>Hildesheim</v>
      </c>
      <c r="B723" t="str">
        <f ca="1">IFERROR(__xludf.DUMMYFUNCTION("""COMPUTED_VALUE"""),"DE925")</f>
        <v>DE925</v>
      </c>
    </row>
    <row r="724" spans="1:2" ht="12.5" x14ac:dyDescent="0.25">
      <c r="A724" t="str">
        <f ca="1">IFERROR(__xludf.DUMMYFUNCTION("""COMPUTED_VALUE"""),"Hlavni Mesto Praha")</f>
        <v>Hlavni Mesto Praha</v>
      </c>
      <c r="B724" t="str">
        <f ca="1">IFERROR(__xludf.DUMMYFUNCTION("""COMPUTED_VALUE"""),"CZ010")</f>
        <v>CZ010</v>
      </c>
    </row>
    <row r="725" spans="1:2" ht="12.5" x14ac:dyDescent="0.25">
      <c r="A725" t="str">
        <f ca="1">IFERROR(__xludf.DUMMYFUNCTION("""COMPUTED_VALUE"""),"Hochsauerlandkreis")</f>
        <v>Hochsauerlandkreis</v>
      </c>
      <c r="B725" t="str">
        <f ca="1">IFERROR(__xludf.DUMMYFUNCTION("""COMPUTED_VALUE"""),"DEA57")</f>
        <v>DEA57</v>
      </c>
    </row>
    <row r="726" spans="1:2" ht="12.5" x14ac:dyDescent="0.25">
      <c r="A726" t="str">
        <f ca="1">IFERROR(__xludf.DUMMYFUNCTION("""COMPUTED_VALUE"""),"Hochtaunuskreis")</f>
        <v>Hochtaunuskreis</v>
      </c>
      <c r="B726" t="str">
        <f ca="1">IFERROR(__xludf.DUMMYFUNCTION("""COMPUTED_VALUE"""),"DE718")</f>
        <v>DE718</v>
      </c>
    </row>
    <row r="727" spans="1:2" ht="12.5" x14ac:dyDescent="0.25">
      <c r="A727" t="str">
        <f ca="1">IFERROR(__xludf.DUMMYFUNCTION("""COMPUTED_VALUE"""),"Hof, Kreisfreie Stadt")</f>
        <v>Hof, Kreisfreie Stadt</v>
      </c>
      <c r="B727" t="str">
        <f ca="1">IFERROR(__xludf.DUMMYFUNCTION("""COMPUTED_VALUE"""),"DE244")</f>
        <v>DE244</v>
      </c>
    </row>
    <row r="728" spans="1:2" ht="12.5" x14ac:dyDescent="0.25">
      <c r="A728" t="str">
        <f ca="1">IFERROR(__xludf.DUMMYFUNCTION("""COMPUTED_VALUE"""),"Hof, Landkreis")</f>
        <v>Hof, Landkreis</v>
      </c>
      <c r="B728" t="str">
        <f ca="1">IFERROR(__xludf.DUMMYFUNCTION("""COMPUTED_VALUE"""),"DE249")</f>
        <v>DE249</v>
      </c>
    </row>
    <row r="729" spans="1:2" ht="12.5" x14ac:dyDescent="0.25">
      <c r="A729" t="str">
        <f ca="1">IFERROR(__xludf.DUMMYFUNCTION("""COMPUTED_VALUE"""),"Höfuðborgarsvæði")</f>
        <v>Höfuðborgarsvæði</v>
      </c>
      <c r="B729" t="str">
        <f ca="1">IFERROR(__xludf.DUMMYFUNCTION("""COMPUTED_VALUE"""),"IS001")</f>
        <v>IS001</v>
      </c>
    </row>
    <row r="730" spans="1:2" ht="12.5" x14ac:dyDescent="0.25">
      <c r="A730" t="str">
        <f ca="1">IFERROR(__xludf.DUMMYFUNCTION("""COMPUTED_VALUE"""),"Hohenlohekreis")</f>
        <v>Hohenlohekreis</v>
      </c>
      <c r="B730" t="str">
        <f ca="1">IFERROR(__xludf.DUMMYFUNCTION("""COMPUTED_VALUE"""),"DE119")</f>
        <v>DE119</v>
      </c>
    </row>
    <row r="731" spans="1:2" ht="12.5" x14ac:dyDescent="0.25">
      <c r="A731" t="str">
        <f ca="1">IFERROR(__xludf.DUMMYFUNCTION("""COMPUTED_VALUE"""),"Holzminden")</f>
        <v>Holzminden</v>
      </c>
      <c r="B731" t="str">
        <f ca="1">IFERROR(__xludf.DUMMYFUNCTION("""COMPUTED_VALUE"""),"DE926")</f>
        <v>DE926</v>
      </c>
    </row>
    <row r="732" spans="1:2" ht="12.5" x14ac:dyDescent="0.25">
      <c r="A732" t="str">
        <f ca="1">IFERROR(__xludf.DUMMYFUNCTION("""COMPUTED_VALUE"""),"Hordaland")</f>
        <v>Hordaland</v>
      </c>
      <c r="B732" t="str">
        <f ca="1">IFERROR(__xludf.DUMMYFUNCTION("""COMPUTED_VALUE"""),"NO051")</f>
        <v>NO051</v>
      </c>
    </row>
    <row r="733" spans="1:2" ht="12.5" x14ac:dyDescent="0.25">
      <c r="A733" t="str">
        <f ca="1">IFERROR(__xludf.DUMMYFUNCTION("""COMPUTED_VALUE"""),"Hovedstaden")</f>
        <v>Hovedstaden</v>
      </c>
      <c r="B733" t="str">
        <f ca="1">IFERROR(__xludf.DUMMYFUNCTION("""COMPUTED_VALUE"""),"DK01")</f>
        <v>DK01</v>
      </c>
    </row>
    <row r="734" spans="1:2" ht="12.5" x14ac:dyDescent="0.25">
      <c r="A734" t="str">
        <f ca="1">IFERROR(__xludf.DUMMYFUNCTION("""COMPUTED_VALUE"""),"Höxter")</f>
        <v>Höxter</v>
      </c>
      <c r="B734" t="str">
        <f ca="1">IFERROR(__xludf.DUMMYFUNCTION("""COMPUTED_VALUE"""),"DEA44")</f>
        <v>DEA44</v>
      </c>
    </row>
    <row r="735" spans="1:2" ht="12.5" x14ac:dyDescent="0.25">
      <c r="A735" t="str">
        <f ca="1">IFERROR(__xludf.DUMMYFUNCTION("""COMPUTED_VALUE"""),"Hoyerswerda, Kreisfreie Stadt")</f>
        <v>Hoyerswerda, Kreisfreie Stadt</v>
      </c>
      <c r="B735" t="str">
        <f ca="1">IFERROR(__xludf.DUMMYFUNCTION("""COMPUTED_VALUE"""),"DED23")</f>
        <v>DED23</v>
      </c>
    </row>
    <row r="736" spans="1:2" ht="12.5" x14ac:dyDescent="0.25">
      <c r="A736" t="str">
        <f ca="1">IFERROR(__xludf.DUMMYFUNCTION("""COMPUTED_VALUE"""),"Huelva")</f>
        <v>Huelva</v>
      </c>
      <c r="B736" t="str">
        <f ca="1">IFERROR(__xludf.DUMMYFUNCTION("""COMPUTED_VALUE"""),"ES615")</f>
        <v>ES615</v>
      </c>
    </row>
    <row r="737" spans="1:2" ht="12.5" x14ac:dyDescent="0.25">
      <c r="A737" t="str">
        <f ca="1">IFERROR(__xludf.DUMMYFUNCTION("""COMPUTED_VALUE"""),"Huesca")</f>
        <v>Huesca</v>
      </c>
      <c r="B737" t="str">
        <f ca="1">IFERROR(__xludf.DUMMYFUNCTION("""COMPUTED_VALUE"""),"ES241")</f>
        <v>ES241</v>
      </c>
    </row>
    <row r="738" spans="1:2" ht="12.5" x14ac:dyDescent="0.25">
      <c r="A738" t="str">
        <f ca="1">IFERROR(__xludf.DUMMYFUNCTION("""COMPUTED_VALUE"""),"Hunedoara")</f>
        <v>Hunedoara</v>
      </c>
      <c r="B738" t="str">
        <f ca="1">IFERROR(__xludf.DUMMYFUNCTION("""COMPUTED_VALUE"""),"RO423")</f>
        <v>RO423</v>
      </c>
    </row>
    <row r="739" spans="1:2" ht="12.5" x14ac:dyDescent="0.25">
      <c r="A739" t="str">
        <f ca="1">IFERROR(__xludf.DUMMYFUNCTION("""COMPUTED_VALUE"""),"Ialomita")</f>
        <v>Ialomita</v>
      </c>
      <c r="B739" t="str">
        <f ca="1">IFERROR(__xludf.DUMMYFUNCTION("""COMPUTED_VALUE"""),"RO315")</f>
        <v>RO315</v>
      </c>
    </row>
    <row r="740" spans="1:2" ht="12.5" x14ac:dyDescent="0.25">
      <c r="A740" t="str">
        <f ca="1">IFERROR(__xludf.DUMMYFUNCTION("""COMPUTED_VALUE"""),"Iasi")</f>
        <v>Iasi</v>
      </c>
      <c r="B740" t="str">
        <f ca="1">IFERROR(__xludf.DUMMYFUNCTION("""COMPUTED_VALUE"""),"RO213")</f>
        <v>RO213</v>
      </c>
    </row>
    <row r="741" spans="1:2" ht="12.5" x14ac:dyDescent="0.25">
      <c r="A741" t="str">
        <f ca="1">IFERROR(__xludf.DUMMYFUNCTION("""COMPUTED_VALUE"""),"Ijmond")</f>
        <v>Ijmond</v>
      </c>
      <c r="B741" t="str">
        <f ca="1">IFERROR(__xludf.DUMMYFUNCTION("""COMPUTED_VALUE"""),"NL323")</f>
        <v>NL323</v>
      </c>
    </row>
    <row r="742" spans="1:2" ht="12.5" x14ac:dyDescent="0.25">
      <c r="A742" t="str">
        <f ca="1">IFERROR(__xludf.DUMMYFUNCTION("""COMPUTED_VALUE"""),"Île De France")</f>
        <v>Île De France</v>
      </c>
      <c r="B742" t="str">
        <f ca="1">IFERROR(__xludf.DUMMYFUNCTION("""COMPUTED_VALUE"""),"FR1")</f>
        <v>FR1</v>
      </c>
    </row>
    <row r="743" spans="1:2" ht="12.5" x14ac:dyDescent="0.25">
      <c r="A743" t="str">
        <f ca="1">IFERROR(__xludf.DUMMYFUNCTION("""COMPUTED_VALUE"""),"Île De France (*)")</f>
        <v>Île De France (*)</v>
      </c>
      <c r="B743" t="str">
        <f ca="1">IFERROR(__xludf.DUMMYFUNCTION("""COMPUTED_VALUE"""),"FR10")</f>
        <v>FR10</v>
      </c>
    </row>
    <row r="744" spans="1:2" ht="12.5" x14ac:dyDescent="0.25">
      <c r="A744" t="str">
        <f ca="1">IFERROR(__xludf.DUMMYFUNCTION("""COMPUTED_VALUE"""),"Ileia")</f>
        <v>Ileia</v>
      </c>
      <c r="B744" t="str">
        <f ca="1">IFERROR(__xludf.DUMMYFUNCTION("""COMPUTED_VALUE"""),"GR233")</f>
        <v>GR233</v>
      </c>
    </row>
    <row r="745" spans="1:2" ht="12.5" x14ac:dyDescent="0.25">
      <c r="A745" t="str">
        <f ca="1">IFERROR(__xludf.DUMMYFUNCTION("""COMPUTED_VALUE"""),"Ilfov")</f>
        <v>Ilfov</v>
      </c>
      <c r="B745" t="str">
        <f ca="1">IFERROR(__xludf.DUMMYFUNCTION("""COMPUTED_VALUE"""),"RO322")</f>
        <v>RO322</v>
      </c>
    </row>
    <row r="746" spans="1:2" ht="12.5" x14ac:dyDescent="0.25">
      <c r="A746" t="str">
        <f ca="1">IFERROR(__xludf.DUMMYFUNCTION("""COMPUTED_VALUE"""),"Ille-Et-Vilaine")</f>
        <v>Ille-Et-Vilaine</v>
      </c>
      <c r="B746" t="str">
        <f ca="1">IFERROR(__xludf.DUMMYFUNCTION("""COMPUTED_VALUE"""),"FR523")</f>
        <v>FR523</v>
      </c>
    </row>
    <row r="747" spans="1:2" ht="12.5" x14ac:dyDescent="0.25">
      <c r="A747" t="str">
        <f ca="1">IFERROR(__xludf.DUMMYFUNCTION("""COMPUTED_VALUE"""),"Illes Balears")</f>
        <v>Illes Balears</v>
      </c>
      <c r="B747" t="str">
        <f ca="1">IFERROR(__xludf.DUMMYFUNCTION("""COMPUTED_VALUE"""),"ES53")</f>
        <v>ES53</v>
      </c>
    </row>
    <row r="748" spans="1:2" ht="12.5" x14ac:dyDescent="0.25">
      <c r="A748" t="str">
        <f ca="1">IFERROR(__xludf.DUMMYFUNCTION("""COMPUTED_VALUE"""),"Ilm-Kreis")</f>
        <v>Ilm-Kreis</v>
      </c>
      <c r="B748" t="str">
        <f ca="1">IFERROR(__xludf.DUMMYFUNCTION("""COMPUTED_VALUE"""),"DEG0F")</f>
        <v>DEG0F</v>
      </c>
    </row>
    <row r="749" spans="1:2" ht="12.5" x14ac:dyDescent="0.25">
      <c r="A749" t="str">
        <f ca="1">IFERROR(__xludf.DUMMYFUNCTION("""COMPUTED_VALUE"""),"Imathia")</f>
        <v>Imathia</v>
      </c>
      <c r="B749" t="str">
        <f ca="1">IFERROR(__xludf.DUMMYFUNCTION("""COMPUTED_VALUE"""),"GR121")</f>
        <v>GR121</v>
      </c>
    </row>
    <row r="750" spans="1:2" ht="12.5" x14ac:dyDescent="0.25">
      <c r="A750" t="str">
        <f ca="1">IFERROR(__xludf.DUMMYFUNCTION("""COMPUTED_VALUE"""),"Imperia")</f>
        <v>Imperia</v>
      </c>
      <c r="B750" t="str">
        <f ca="1">IFERROR(__xludf.DUMMYFUNCTION("""COMPUTED_VALUE"""),"ITC31")</f>
        <v>ITC31</v>
      </c>
    </row>
    <row r="751" spans="1:2" ht="12.5" x14ac:dyDescent="0.25">
      <c r="A751" t="str">
        <f ca="1">IFERROR(__xludf.DUMMYFUNCTION("""COMPUTED_VALUE"""),"Indre")</f>
        <v>Indre</v>
      </c>
      <c r="B751" t="str">
        <f ca="1">IFERROR(__xludf.DUMMYFUNCTION("""COMPUTED_VALUE"""),"FR243")</f>
        <v>FR243</v>
      </c>
    </row>
    <row r="752" spans="1:2" ht="12.5" x14ac:dyDescent="0.25">
      <c r="A752" t="str">
        <f ca="1">IFERROR(__xludf.DUMMYFUNCTION("""COMPUTED_VALUE"""),"Indre-Et-Loire")</f>
        <v>Indre-Et-Loire</v>
      </c>
      <c r="B752" t="str">
        <f ca="1">IFERROR(__xludf.DUMMYFUNCTION("""COMPUTED_VALUE"""),"FR244")</f>
        <v>FR244</v>
      </c>
    </row>
    <row r="753" spans="1:2" ht="12.5" x14ac:dyDescent="0.25">
      <c r="A753" t="str">
        <f ca="1">IFERROR(__xludf.DUMMYFUNCTION("""COMPUTED_VALUE"""),"Ingolstadt, Kreisfreie Stadt")</f>
        <v>Ingolstadt, Kreisfreie Stadt</v>
      </c>
      <c r="B753" t="str">
        <f ca="1">IFERROR(__xludf.DUMMYFUNCTION("""COMPUTED_VALUE"""),"DE211")</f>
        <v>DE211</v>
      </c>
    </row>
    <row r="754" spans="1:2" ht="12.5" x14ac:dyDescent="0.25">
      <c r="A754" t="str">
        <f ca="1">IFERROR(__xludf.DUMMYFUNCTION("""COMPUTED_VALUE"""),"Inner London")</f>
        <v>Inner London</v>
      </c>
      <c r="B754" t="str">
        <f ca="1">IFERROR(__xludf.DUMMYFUNCTION("""COMPUTED_VALUE"""),"UKI1")</f>
        <v>UKI1</v>
      </c>
    </row>
    <row r="755" spans="1:2" ht="12.5" x14ac:dyDescent="0.25">
      <c r="A755" t="str">
        <f ca="1">IFERROR(__xludf.DUMMYFUNCTION("""COMPUTED_VALUE"""),"Inner London - East")</f>
        <v>Inner London - East</v>
      </c>
      <c r="B755" t="str">
        <f ca="1">IFERROR(__xludf.DUMMYFUNCTION("""COMPUTED_VALUE"""),"UKI12")</f>
        <v>UKI12</v>
      </c>
    </row>
    <row r="756" spans="1:2" ht="12.5" x14ac:dyDescent="0.25">
      <c r="A756" t="str">
        <f ca="1">IFERROR(__xludf.DUMMYFUNCTION("""COMPUTED_VALUE"""),"Inner London - West")</f>
        <v>Inner London - West</v>
      </c>
      <c r="B756" t="str">
        <f ca="1">IFERROR(__xludf.DUMMYFUNCTION("""COMPUTED_VALUE"""),"UKI11")</f>
        <v>UKI11</v>
      </c>
    </row>
    <row r="757" spans="1:2" ht="12.5" x14ac:dyDescent="0.25">
      <c r="A757" t="str">
        <f ca="1">IFERROR(__xludf.DUMMYFUNCTION("""COMPUTED_VALUE"""),"Innsbruck")</f>
        <v>Innsbruck</v>
      </c>
      <c r="B757" t="str">
        <f ca="1">IFERROR(__xludf.DUMMYFUNCTION("""COMPUTED_VALUE"""),"AT332")</f>
        <v>AT332</v>
      </c>
    </row>
    <row r="758" spans="1:2" ht="12.5" x14ac:dyDescent="0.25">
      <c r="A758" t="str">
        <f ca="1">IFERROR(__xludf.DUMMYFUNCTION("""COMPUTED_VALUE"""),"Innviertel")</f>
        <v>Innviertel</v>
      </c>
      <c r="B758" t="str">
        <f ca="1">IFERROR(__xludf.DUMMYFUNCTION("""COMPUTED_VALUE"""),"AT311")</f>
        <v>AT311</v>
      </c>
    </row>
    <row r="759" spans="1:2" ht="12.5" x14ac:dyDescent="0.25">
      <c r="A759" t="str">
        <f ca="1">IFERROR(__xludf.DUMMYFUNCTION("""COMPUTED_VALUE"""),"Inverclyde, East Renfrewshire And Renfrewshire")</f>
        <v>Inverclyde, East Renfrewshire And Renfrewshire</v>
      </c>
      <c r="B759" t="str">
        <f ca="1">IFERROR(__xludf.DUMMYFUNCTION("""COMPUTED_VALUE"""),"UKM35")</f>
        <v>UKM35</v>
      </c>
    </row>
    <row r="760" spans="1:2" ht="12.5" x14ac:dyDescent="0.25">
      <c r="A760" t="str">
        <f ca="1">IFERROR(__xludf.DUMMYFUNCTION("""COMPUTED_VALUE"""),"Inverness &amp; Nairn And Moray, Badenoch &amp; Strathspey")</f>
        <v>Inverness &amp; Nairn And Moray, Badenoch &amp; Strathspey</v>
      </c>
      <c r="B760" t="str">
        <f ca="1">IFERROR(__xludf.DUMMYFUNCTION("""COMPUTED_VALUE"""),"UKM62")</f>
        <v>UKM62</v>
      </c>
    </row>
    <row r="761" spans="1:2" ht="12.5" x14ac:dyDescent="0.25">
      <c r="A761" t="str">
        <f ca="1">IFERROR(__xludf.DUMMYFUNCTION("""COMPUTED_VALUE"""),"Ioannina")</f>
        <v>Ioannina</v>
      </c>
      <c r="B761" t="str">
        <f ca="1">IFERROR(__xludf.DUMMYFUNCTION("""COMPUTED_VALUE"""),"GR213")</f>
        <v>GR213</v>
      </c>
    </row>
    <row r="762" spans="1:2" ht="12.5" x14ac:dyDescent="0.25">
      <c r="A762" t="str">
        <f ca="1">IFERROR(__xludf.DUMMYFUNCTION("""COMPUTED_VALUE"""),"Ionia Nisia")</f>
        <v>Ionia Nisia</v>
      </c>
      <c r="B762" t="str">
        <f ca="1">IFERROR(__xludf.DUMMYFUNCTION("""COMPUTED_VALUE"""),"GR22")</f>
        <v>GR22</v>
      </c>
    </row>
    <row r="763" spans="1:2" ht="12.5" x14ac:dyDescent="0.25">
      <c r="A763" t="str">
        <f ca="1">IFERROR(__xludf.DUMMYFUNCTION("""COMPUTED_VALUE"""),"Ipeiros")</f>
        <v>Ipeiros</v>
      </c>
      <c r="B763" t="str">
        <f ca="1">IFERROR(__xludf.DUMMYFUNCTION("""COMPUTED_VALUE"""),"GR21")</f>
        <v>GR21</v>
      </c>
    </row>
    <row r="764" spans="1:2" ht="12.5" x14ac:dyDescent="0.25">
      <c r="A764" t="str">
        <f ca="1">IFERROR(__xludf.DUMMYFUNCTION("""COMPUTED_VALUE"""),"Irakleio")</f>
        <v>Irakleio</v>
      </c>
      <c r="B764" t="str">
        <f ca="1">IFERROR(__xludf.DUMMYFUNCTION("""COMPUTED_VALUE"""),"GR431")</f>
        <v>GR431</v>
      </c>
    </row>
    <row r="765" spans="1:2" ht="12.5" x14ac:dyDescent="0.25">
      <c r="A765" t="str">
        <f ca="1">IFERROR(__xludf.DUMMYFUNCTION("""COMPUTED_VALUE"""),"Ireland")</f>
        <v>Ireland</v>
      </c>
      <c r="B765" t="str">
        <f ca="1">IFERROR(__xludf.DUMMYFUNCTION("""COMPUTED_VALUE"""),"IE")</f>
        <v>IE</v>
      </c>
    </row>
    <row r="766" spans="1:2" ht="12.5" x14ac:dyDescent="0.25">
      <c r="A766" t="str">
        <f ca="1">IFERROR(__xludf.DUMMYFUNCTION("""COMPUTED_VALUE"""),"Ireland (*)")</f>
        <v>Ireland (*)</v>
      </c>
      <c r="B766" t="str">
        <f ca="1">IFERROR(__xludf.DUMMYFUNCTION("""COMPUTED_VALUE"""),"IE0")</f>
        <v>IE0</v>
      </c>
    </row>
    <row r="767" spans="1:2" ht="12.5" x14ac:dyDescent="0.25">
      <c r="A767" t="str">
        <f ca="1">IFERROR(__xludf.DUMMYFUNCTION("""COMPUTED_VALUE"""),"Isère")</f>
        <v>Isère</v>
      </c>
      <c r="B767" t="str">
        <f ca="1">IFERROR(__xludf.DUMMYFUNCTION("""COMPUTED_VALUE"""),"FR714")</f>
        <v>FR714</v>
      </c>
    </row>
    <row r="768" spans="1:2" ht="12.5" x14ac:dyDescent="0.25">
      <c r="A768" t="str">
        <f ca="1">IFERROR(__xludf.DUMMYFUNCTION("""COMPUTED_VALUE"""),"Isernia")</f>
        <v>Isernia</v>
      </c>
      <c r="B768" t="str">
        <f ca="1">IFERROR(__xludf.DUMMYFUNCTION("""COMPUTED_VALUE"""),"ITF21")</f>
        <v>ITF21</v>
      </c>
    </row>
    <row r="769" spans="1:2" ht="12.5" x14ac:dyDescent="0.25">
      <c r="A769" t="str">
        <f ca="1">IFERROR(__xludf.DUMMYFUNCTION("""COMPUTED_VALUE"""),"Ísland")</f>
        <v>Ísland</v>
      </c>
      <c r="B769" t="str">
        <f ca="1">IFERROR(__xludf.DUMMYFUNCTION("""COMPUTED_VALUE"""),"IS")</f>
        <v>IS</v>
      </c>
    </row>
    <row r="770" spans="1:2" ht="12.5" x14ac:dyDescent="0.25">
      <c r="A770" t="str">
        <f ca="1">IFERROR(__xludf.DUMMYFUNCTION("""COMPUTED_VALUE"""),"Ísland (*)")</f>
        <v>Ísland (*)</v>
      </c>
      <c r="B770" t="str">
        <f ca="1">IFERROR(__xludf.DUMMYFUNCTION("""COMPUTED_VALUE"""),"IS0")</f>
        <v>IS0</v>
      </c>
    </row>
    <row r="771" spans="1:2" ht="12.5" x14ac:dyDescent="0.25">
      <c r="A771" t="str">
        <f ca="1">IFERROR(__xludf.DUMMYFUNCTION("""COMPUTED_VALUE"""),"Ísland (**)")</f>
        <v>Ísland (**)</v>
      </c>
      <c r="B771" t="str">
        <f ca="1">IFERROR(__xludf.DUMMYFUNCTION("""COMPUTED_VALUE"""),"IS00")</f>
        <v>IS00</v>
      </c>
    </row>
    <row r="772" spans="1:2" ht="12.5" x14ac:dyDescent="0.25">
      <c r="A772" t="str">
        <f ca="1">IFERROR(__xludf.DUMMYFUNCTION("""COMPUTED_VALUE"""),"Isle Of Anglesey")</f>
        <v>Isle Of Anglesey</v>
      </c>
      <c r="B772" t="str">
        <f ca="1">IFERROR(__xludf.DUMMYFUNCTION("""COMPUTED_VALUE"""),"UKL11")</f>
        <v>UKL11</v>
      </c>
    </row>
    <row r="773" spans="1:2" ht="12.5" x14ac:dyDescent="0.25">
      <c r="A773" t="str">
        <f ca="1">IFERROR(__xludf.DUMMYFUNCTION("""COMPUTED_VALUE"""),"Isle Of Wight")</f>
        <v>Isle Of Wight</v>
      </c>
      <c r="B773" t="str">
        <f ca="1">IFERROR(__xludf.DUMMYFUNCTION("""COMPUTED_VALUE"""),"UKJ34")</f>
        <v>UKJ34</v>
      </c>
    </row>
    <row r="774" spans="1:2" ht="12.5" x14ac:dyDescent="0.25">
      <c r="A774" t="str">
        <f ca="1">IFERROR(__xludf.DUMMYFUNCTION("""COMPUTED_VALUE"""),"Isole")</f>
        <v>Isole</v>
      </c>
      <c r="B774" t="str">
        <f ca="1">IFERROR(__xludf.DUMMYFUNCTION("""COMPUTED_VALUE"""),"ITG")</f>
        <v>ITG</v>
      </c>
    </row>
    <row r="775" spans="1:2" ht="12.5" x14ac:dyDescent="0.25">
      <c r="A775" t="str">
        <f ca="1">IFERROR(__xludf.DUMMYFUNCTION("""COMPUTED_VALUE"""),"Itä-Suomi")</f>
        <v>Itä-Suomi</v>
      </c>
      <c r="B775" t="str">
        <f ca="1">IFERROR(__xludf.DUMMYFUNCTION("""COMPUTED_VALUE"""),"FI13")</f>
        <v>FI13</v>
      </c>
    </row>
    <row r="776" spans="1:2" ht="12.5" x14ac:dyDescent="0.25">
      <c r="A776" t="str">
        <f ca="1">IFERROR(__xludf.DUMMYFUNCTION("""COMPUTED_VALUE"""),"Itä-Uusimaa")</f>
        <v>Itä-Uusimaa</v>
      </c>
      <c r="B776" t="str">
        <f ca="1">IFERROR(__xludf.DUMMYFUNCTION("""COMPUTED_VALUE"""),"FI182")</f>
        <v>FI182</v>
      </c>
    </row>
    <row r="777" spans="1:2" ht="12.5" x14ac:dyDescent="0.25">
      <c r="A777" t="str">
        <f ca="1">IFERROR(__xludf.DUMMYFUNCTION("""COMPUTED_VALUE"""),"Italia")</f>
        <v>Italia</v>
      </c>
      <c r="B777" t="str">
        <f ca="1">IFERROR(__xludf.DUMMYFUNCTION("""COMPUTED_VALUE"""),"IT")</f>
        <v>IT</v>
      </c>
    </row>
    <row r="778" spans="1:2" ht="12.5" x14ac:dyDescent="0.25">
      <c r="A778" t="str">
        <f ca="1">IFERROR(__xludf.DUMMYFUNCTION("""COMPUTED_VALUE"""),"Jaén")</f>
        <v>Jaén</v>
      </c>
      <c r="B778" t="str">
        <f ca="1">IFERROR(__xludf.DUMMYFUNCTION("""COMPUTED_VALUE"""),"ES616")</f>
        <v>ES616</v>
      </c>
    </row>
    <row r="779" spans="1:2" ht="12.5" x14ac:dyDescent="0.25">
      <c r="A779" t="str">
        <f ca="1">IFERROR(__xludf.DUMMYFUNCTION("""COMPUTED_VALUE"""),"Jämtlands Län")</f>
        <v>Jämtlands Län</v>
      </c>
      <c r="B779" t="str">
        <f ca="1">IFERROR(__xludf.DUMMYFUNCTION("""COMPUTED_VALUE"""),"SE322")</f>
        <v>SE322</v>
      </c>
    </row>
    <row r="780" spans="1:2" ht="12.5" x14ac:dyDescent="0.25">
      <c r="A780" t="str">
        <f ca="1">IFERROR(__xludf.DUMMYFUNCTION("""COMPUTED_VALUE"""),"Jasz-Nagykun-Szolnok")</f>
        <v>Jasz-Nagykun-Szolnok</v>
      </c>
      <c r="B780" t="str">
        <f ca="1">IFERROR(__xludf.DUMMYFUNCTION("""COMPUTED_VALUE"""),"HU322")</f>
        <v>HU322</v>
      </c>
    </row>
    <row r="781" spans="1:2" ht="12.5" x14ac:dyDescent="0.25">
      <c r="A781" t="str">
        <f ca="1">IFERROR(__xludf.DUMMYFUNCTION("""COMPUTED_VALUE"""),"Jeleniogorski")</f>
        <v>Jeleniogorski</v>
      </c>
      <c r="B781" t="str">
        <f ca="1">IFERROR(__xludf.DUMMYFUNCTION("""COMPUTED_VALUE"""),"PL515")</f>
        <v>PL515</v>
      </c>
    </row>
    <row r="782" spans="1:2" ht="12.5" x14ac:dyDescent="0.25">
      <c r="A782" t="str">
        <f ca="1">IFERROR(__xludf.DUMMYFUNCTION("""COMPUTED_VALUE"""),"Jena, Kreisfreie Stadt")</f>
        <v>Jena, Kreisfreie Stadt</v>
      </c>
      <c r="B782" t="str">
        <f ca="1">IFERROR(__xludf.DUMMYFUNCTION("""COMPUTED_VALUE"""),"DEG03")</f>
        <v>DEG03</v>
      </c>
    </row>
    <row r="783" spans="1:2" ht="12.5" x14ac:dyDescent="0.25">
      <c r="A783" t="str">
        <f ca="1">IFERROR(__xludf.DUMMYFUNCTION("""COMPUTED_VALUE"""),"Jerichower Land")</f>
        <v>Jerichower Land</v>
      </c>
      <c r="B783" t="str">
        <f ca="1">IFERROR(__xludf.DUMMYFUNCTION("""COMPUTED_VALUE"""),"DEE06")</f>
        <v>DEE06</v>
      </c>
    </row>
    <row r="784" spans="1:2" ht="12.5" x14ac:dyDescent="0.25">
      <c r="A784" t="str">
        <f ca="1">IFERROR(__xludf.DUMMYFUNCTION("""COMPUTED_VALUE"""),"Jihocesky Kraj")</f>
        <v>Jihocesky Kraj</v>
      </c>
      <c r="B784" t="str">
        <f ca="1">IFERROR(__xludf.DUMMYFUNCTION("""COMPUTED_VALUE"""),"CZ031")</f>
        <v>CZ031</v>
      </c>
    </row>
    <row r="785" spans="1:2" ht="12.5" x14ac:dyDescent="0.25">
      <c r="A785" t="str">
        <f ca="1">IFERROR(__xludf.DUMMYFUNCTION("""COMPUTED_VALUE"""),"Jihomoravsky Kraj")</f>
        <v>Jihomoravsky Kraj</v>
      </c>
      <c r="B785" t="str">
        <f ca="1">IFERROR(__xludf.DUMMYFUNCTION("""COMPUTED_VALUE"""),"CZ064")</f>
        <v>CZ064</v>
      </c>
    </row>
    <row r="786" spans="1:2" ht="12.5" x14ac:dyDescent="0.25">
      <c r="A786" t="str">
        <f ca="1">IFERROR(__xludf.DUMMYFUNCTION("""COMPUTED_VALUE"""),"Jihovychod")</f>
        <v>Jihovychod</v>
      </c>
      <c r="B786" t="str">
        <f ca="1">IFERROR(__xludf.DUMMYFUNCTION("""COMPUTED_VALUE"""),"CZ06")</f>
        <v>CZ06</v>
      </c>
    </row>
    <row r="787" spans="1:2" ht="12.5" x14ac:dyDescent="0.25">
      <c r="A787" t="str">
        <f ca="1">IFERROR(__xludf.DUMMYFUNCTION("""COMPUTED_VALUE"""),"Jihozapad")</f>
        <v>Jihozapad</v>
      </c>
      <c r="B787" t="str">
        <f ca="1">IFERROR(__xludf.DUMMYFUNCTION("""COMPUTED_VALUE"""),"CZ03")</f>
        <v>CZ03</v>
      </c>
    </row>
    <row r="788" spans="1:2" ht="12.5" x14ac:dyDescent="0.25">
      <c r="A788" t="str">
        <f ca="1">IFERROR(__xludf.DUMMYFUNCTION("""COMPUTED_VALUE"""),"Jönköpings Län")</f>
        <v>Jönköpings Län</v>
      </c>
      <c r="B788" t="str">
        <f ca="1">IFERROR(__xludf.DUMMYFUNCTION("""COMPUTED_VALUE"""),"SE211")</f>
        <v>SE211</v>
      </c>
    </row>
    <row r="789" spans="1:2" ht="12.5" x14ac:dyDescent="0.25">
      <c r="A789" t="str">
        <f ca="1">IFERROR(__xludf.DUMMYFUNCTION("""COMPUTED_VALUE"""),"Jugovzhodna Slovenija")</f>
        <v>Jugovzhodna Slovenija</v>
      </c>
      <c r="B789" t="str">
        <f ca="1">IFERROR(__xludf.DUMMYFUNCTION("""COMPUTED_VALUE"""),"SI017")</f>
        <v>SI017</v>
      </c>
    </row>
    <row r="790" spans="1:2" ht="12.5" x14ac:dyDescent="0.25">
      <c r="A790" t="str">
        <f ca="1">IFERROR(__xludf.DUMMYFUNCTION("""COMPUTED_VALUE"""),"Jura")</f>
        <v>Jura</v>
      </c>
      <c r="B790" t="str">
        <f ca="1">IFERROR(__xludf.DUMMYFUNCTION("""COMPUTED_VALUE"""),"CH025")</f>
        <v>CH025</v>
      </c>
    </row>
    <row r="791" spans="1:2" ht="12.5" x14ac:dyDescent="0.25">
      <c r="A791" t="str">
        <f ca="1">IFERROR(__xludf.DUMMYFUNCTION("""COMPUTED_VALUE"""),"Jura (*)")</f>
        <v>Jura (*)</v>
      </c>
      <c r="B791" t="str">
        <f ca="1">IFERROR(__xludf.DUMMYFUNCTION("""COMPUTED_VALUE"""),"FR432")</f>
        <v>FR432</v>
      </c>
    </row>
    <row r="792" spans="1:2" ht="12.5" x14ac:dyDescent="0.25">
      <c r="A792" t="str">
        <f ca="1">IFERROR(__xludf.DUMMYFUNCTION("""COMPUTED_VALUE"""),"Kainuu")</f>
        <v>Kainuu</v>
      </c>
      <c r="B792" t="str">
        <f ca="1">IFERROR(__xludf.DUMMYFUNCTION("""COMPUTED_VALUE"""),"FI134")</f>
        <v>FI134</v>
      </c>
    </row>
    <row r="793" spans="1:2" ht="12.5" x14ac:dyDescent="0.25">
      <c r="A793" t="str">
        <f ca="1">IFERROR(__xludf.DUMMYFUNCTION("""COMPUTED_VALUE"""),"Kaiserslautern, Kreisfreie Stadt")</f>
        <v>Kaiserslautern, Kreisfreie Stadt</v>
      </c>
      <c r="B793" t="str">
        <f ca="1">IFERROR(__xludf.DUMMYFUNCTION("""COMPUTED_VALUE"""),"DEB32")</f>
        <v>DEB32</v>
      </c>
    </row>
    <row r="794" spans="1:2" ht="12.5" x14ac:dyDescent="0.25">
      <c r="A794" t="str">
        <f ca="1">IFERROR(__xludf.DUMMYFUNCTION("""COMPUTED_VALUE"""),"Kaiserslautern, Landkreis")</f>
        <v>Kaiserslautern, Landkreis</v>
      </c>
      <c r="B794" t="str">
        <f ca="1">IFERROR(__xludf.DUMMYFUNCTION("""COMPUTED_VALUE"""),"DEB3F")</f>
        <v>DEB3F</v>
      </c>
    </row>
    <row r="795" spans="1:2" ht="12.5" x14ac:dyDescent="0.25">
      <c r="A795" t="str">
        <f ca="1">IFERROR(__xludf.DUMMYFUNCTION("""COMPUTED_VALUE"""),"Kaliski")</f>
        <v>Kaliski</v>
      </c>
      <c r="B795" t="str">
        <f ca="1">IFERROR(__xludf.DUMMYFUNCTION("""COMPUTED_VALUE"""),"PL416")</f>
        <v>PL416</v>
      </c>
    </row>
    <row r="796" spans="1:2" ht="12.5" x14ac:dyDescent="0.25">
      <c r="A796" t="str">
        <f ca="1">IFERROR(__xludf.DUMMYFUNCTION("""COMPUTED_VALUE"""),"Kalmar Län")</f>
        <v>Kalmar Län</v>
      </c>
      <c r="B796" t="str">
        <f ca="1">IFERROR(__xludf.DUMMYFUNCTION("""COMPUTED_VALUE"""),"SE213")</f>
        <v>SE213</v>
      </c>
    </row>
    <row r="797" spans="1:2" ht="12.5" x14ac:dyDescent="0.25">
      <c r="A797" t="str">
        <f ca="1">IFERROR(__xludf.DUMMYFUNCTION("""COMPUTED_VALUE"""),"Kamenz")</f>
        <v>Kamenz</v>
      </c>
      <c r="B797" t="str">
        <f ca="1">IFERROR(__xludf.DUMMYFUNCTION("""COMPUTED_VALUE"""),"DED2B")</f>
        <v>DED2B</v>
      </c>
    </row>
    <row r="798" spans="1:2" ht="12.5" x14ac:dyDescent="0.25">
      <c r="A798" t="str">
        <f ca="1">IFERROR(__xludf.DUMMYFUNCTION("""COMPUTED_VALUE"""),"Kanta-Häme")</f>
        <v>Kanta-Häme</v>
      </c>
      <c r="B798" t="str">
        <f ca="1">IFERROR(__xludf.DUMMYFUNCTION("""COMPUTED_VALUE"""),"FI184")</f>
        <v>FI184</v>
      </c>
    </row>
    <row r="799" spans="1:2" ht="12.5" x14ac:dyDescent="0.25">
      <c r="A799" t="str">
        <f ca="1">IFERROR(__xludf.DUMMYFUNCTION("""COMPUTED_VALUE"""),"Karditsa")</f>
        <v>Karditsa</v>
      </c>
      <c r="B799" t="str">
        <f ca="1">IFERROR(__xludf.DUMMYFUNCTION("""COMPUTED_VALUE"""),"GR141")</f>
        <v>GR141</v>
      </c>
    </row>
    <row r="800" spans="1:2" ht="12.5" x14ac:dyDescent="0.25">
      <c r="A800" t="str">
        <f ca="1">IFERROR(__xludf.DUMMYFUNCTION("""COMPUTED_VALUE"""),"Kardzhali")</f>
        <v>Kardzhali</v>
      </c>
      <c r="B800" t="str">
        <f ca="1">IFERROR(__xludf.DUMMYFUNCTION("""COMPUTED_VALUE"""),"BG425")</f>
        <v>BG425</v>
      </c>
    </row>
    <row r="801" spans="1:2" ht="12.5" x14ac:dyDescent="0.25">
      <c r="A801" t="str">
        <f ca="1">IFERROR(__xludf.DUMMYFUNCTION("""COMPUTED_VALUE"""),"Karlovarsky Kraj")</f>
        <v>Karlovarsky Kraj</v>
      </c>
      <c r="B801" t="str">
        <f ca="1">IFERROR(__xludf.DUMMYFUNCTION("""COMPUTED_VALUE"""),"CZ041")</f>
        <v>CZ041</v>
      </c>
    </row>
    <row r="802" spans="1:2" ht="12.5" x14ac:dyDescent="0.25">
      <c r="A802" t="str">
        <f ca="1">IFERROR(__xludf.DUMMYFUNCTION("""COMPUTED_VALUE"""),"Karlsruhe")</f>
        <v>Karlsruhe</v>
      </c>
      <c r="B802" t="str">
        <f ca="1">IFERROR(__xludf.DUMMYFUNCTION("""COMPUTED_VALUE"""),"DE12")</f>
        <v>DE12</v>
      </c>
    </row>
    <row r="803" spans="1:2" ht="12.5" x14ac:dyDescent="0.25">
      <c r="A803" t="str">
        <f ca="1">IFERROR(__xludf.DUMMYFUNCTION("""COMPUTED_VALUE"""),"Karlsruhe, Landkreis")</f>
        <v>Karlsruhe, Landkreis</v>
      </c>
      <c r="B803" t="str">
        <f ca="1">IFERROR(__xludf.DUMMYFUNCTION("""COMPUTED_VALUE"""),"DE123")</f>
        <v>DE123</v>
      </c>
    </row>
    <row r="804" spans="1:2" ht="12.5" x14ac:dyDescent="0.25">
      <c r="A804" t="str">
        <f ca="1">IFERROR(__xludf.DUMMYFUNCTION("""COMPUTED_VALUE"""),"Karlsruhe, Stadtkreis")</f>
        <v>Karlsruhe, Stadtkreis</v>
      </c>
      <c r="B804" t="str">
        <f ca="1">IFERROR(__xludf.DUMMYFUNCTION("""COMPUTED_VALUE"""),"DE122")</f>
        <v>DE122</v>
      </c>
    </row>
    <row r="805" spans="1:2" ht="12.5" x14ac:dyDescent="0.25">
      <c r="A805" t="str">
        <f ca="1">IFERROR(__xludf.DUMMYFUNCTION("""COMPUTED_VALUE"""),"Kärnten")</f>
        <v>Kärnten</v>
      </c>
      <c r="B805" t="str">
        <f ca="1">IFERROR(__xludf.DUMMYFUNCTION("""COMPUTED_VALUE"""),"AT21")</f>
        <v>AT21</v>
      </c>
    </row>
    <row r="806" spans="1:2" ht="12.5" x14ac:dyDescent="0.25">
      <c r="A806" t="str">
        <f ca="1">IFERROR(__xludf.DUMMYFUNCTION("""COMPUTED_VALUE"""),"Kassel")</f>
        <v>Kassel</v>
      </c>
      <c r="B806" t="str">
        <f ca="1">IFERROR(__xludf.DUMMYFUNCTION("""COMPUTED_VALUE"""),"DE73")</f>
        <v>DE73</v>
      </c>
    </row>
    <row r="807" spans="1:2" ht="12.5" x14ac:dyDescent="0.25">
      <c r="A807" t="str">
        <f ca="1">IFERROR(__xludf.DUMMYFUNCTION("""COMPUTED_VALUE"""),"Kassel, Kreisfreie Stadt")</f>
        <v>Kassel, Kreisfreie Stadt</v>
      </c>
      <c r="B807" t="str">
        <f ca="1">IFERROR(__xludf.DUMMYFUNCTION("""COMPUTED_VALUE"""),"DE731")</f>
        <v>DE731</v>
      </c>
    </row>
    <row r="808" spans="1:2" ht="12.5" x14ac:dyDescent="0.25">
      <c r="A808" t="str">
        <f ca="1">IFERROR(__xludf.DUMMYFUNCTION("""COMPUTED_VALUE"""),"Kassel, Landkreis")</f>
        <v>Kassel, Landkreis</v>
      </c>
      <c r="B808" t="str">
        <f ca="1">IFERROR(__xludf.DUMMYFUNCTION("""COMPUTED_VALUE"""),"DE734")</f>
        <v>DE734</v>
      </c>
    </row>
    <row r="809" spans="1:2" ht="12.5" x14ac:dyDescent="0.25">
      <c r="A809" t="str">
        <f ca="1">IFERROR(__xludf.DUMMYFUNCTION("""COMPUTED_VALUE"""),"Kastoria")</f>
        <v>Kastoria</v>
      </c>
      <c r="B809" t="str">
        <f ca="1">IFERROR(__xludf.DUMMYFUNCTION("""COMPUTED_VALUE"""),"GR132")</f>
        <v>GR132</v>
      </c>
    </row>
    <row r="810" spans="1:2" ht="12.5" x14ac:dyDescent="0.25">
      <c r="A810" t="str">
        <f ca="1">IFERROR(__xludf.DUMMYFUNCTION("""COMPUTED_VALUE"""),"Katowicki")</f>
        <v>Katowicki</v>
      </c>
      <c r="B810" t="str">
        <f ca="1">IFERROR(__xludf.DUMMYFUNCTION("""COMPUTED_VALUE"""),"PL22A")</f>
        <v>PL22A</v>
      </c>
    </row>
    <row r="811" spans="1:2" ht="12.5" x14ac:dyDescent="0.25">
      <c r="A811" t="str">
        <f ca="1">IFERROR(__xludf.DUMMYFUNCTION("""COMPUTED_VALUE"""),"Kaufbeuren, Kreisfreie Stadt")</f>
        <v>Kaufbeuren, Kreisfreie Stadt</v>
      </c>
      <c r="B811" t="str">
        <f ca="1">IFERROR(__xludf.DUMMYFUNCTION("""COMPUTED_VALUE"""),"DE272")</f>
        <v>DE272</v>
      </c>
    </row>
    <row r="812" spans="1:2" ht="12.5" x14ac:dyDescent="0.25">
      <c r="A812" t="str">
        <f ca="1">IFERROR(__xludf.DUMMYFUNCTION("""COMPUTED_VALUE"""),"Kauno Apskritis")</f>
        <v>Kauno Apskritis</v>
      </c>
      <c r="B812" t="str">
        <f ca="1">IFERROR(__xludf.DUMMYFUNCTION("""COMPUTED_VALUE"""),"LT002")</f>
        <v>LT002</v>
      </c>
    </row>
    <row r="813" spans="1:2" ht="12.5" x14ac:dyDescent="0.25">
      <c r="A813" t="str">
        <f ca="1">IFERROR(__xludf.DUMMYFUNCTION("""COMPUTED_VALUE"""),"Kavala")</f>
        <v>Kavala</v>
      </c>
      <c r="B813" t="str">
        <f ca="1">IFERROR(__xludf.DUMMYFUNCTION("""COMPUTED_VALUE"""),"GR115")</f>
        <v>GR115</v>
      </c>
    </row>
    <row r="814" spans="1:2" ht="12.5" x14ac:dyDescent="0.25">
      <c r="A814" t="str">
        <f ca="1">IFERROR(__xludf.DUMMYFUNCTION("""COMPUTED_VALUE"""),"Kefallinia")</f>
        <v>Kefallinia</v>
      </c>
      <c r="B814" t="str">
        <f ca="1">IFERROR(__xludf.DUMMYFUNCTION("""COMPUTED_VALUE"""),"GR223")</f>
        <v>GR223</v>
      </c>
    </row>
    <row r="815" spans="1:2" ht="12.5" x14ac:dyDescent="0.25">
      <c r="A815" t="str">
        <f ca="1">IFERROR(__xludf.DUMMYFUNCTION("""COMPUTED_VALUE"""),"Kelheim")</f>
        <v>Kelheim</v>
      </c>
      <c r="B815" t="str">
        <f ca="1">IFERROR(__xludf.DUMMYFUNCTION("""COMPUTED_VALUE"""),"DE226")</f>
        <v>DE226</v>
      </c>
    </row>
    <row r="816" spans="1:2" ht="12.5" x14ac:dyDescent="0.25">
      <c r="A816" t="str">
        <f ca="1">IFERROR(__xludf.DUMMYFUNCTION("""COMPUTED_VALUE"""),"Kempten (Allgäu), Kreisfreie Stadt")</f>
        <v>Kempten (Allgäu), Kreisfreie Stadt</v>
      </c>
      <c r="B816" t="str">
        <f ca="1">IFERROR(__xludf.DUMMYFUNCTION("""COMPUTED_VALUE"""),"DE273")</f>
        <v>DE273</v>
      </c>
    </row>
    <row r="817" spans="1:2" ht="12.5" x14ac:dyDescent="0.25">
      <c r="A817" t="str">
        <f ca="1">IFERROR(__xludf.DUMMYFUNCTION("""COMPUTED_VALUE"""),"Kent")</f>
        <v>Kent</v>
      </c>
      <c r="B817" t="str">
        <f ca="1">IFERROR(__xludf.DUMMYFUNCTION("""COMPUTED_VALUE"""),"UKJ4")</f>
        <v>UKJ4</v>
      </c>
    </row>
    <row r="818" spans="1:2" ht="12.5" x14ac:dyDescent="0.25">
      <c r="A818" t="str">
        <f ca="1">IFERROR(__xludf.DUMMYFUNCTION("""COMPUTED_VALUE"""),"Kent Cc")</f>
        <v>Kent Cc</v>
      </c>
      <c r="B818" t="str">
        <f ca="1">IFERROR(__xludf.DUMMYFUNCTION("""COMPUTED_VALUE"""),"UKJ42")</f>
        <v>UKJ42</v>
      </c>
    </row>
    <row r="819" spans="1:2" ht="12.5" x14ac:dyDescent="0.25">
      <c r="A819" t="str">
        <f ca="1">IFERROR(__xludf.DUMMYFUNCTION("""COMPUTED_VALUE"""),"Kentriki Ellada")</f>
        <v>Kentriki Ellada</v>
      </c>
      <c r="B819" t="str">
        <f ca="1">IFERROR(__xludf.DUMMYFUNCTION("""COMPUTED_VALUE"""),"GR2")</f>
        <v>GR2</v>
      </c>
    </row>
    <row r="820" spans="1:2" ht="12.5" x14ac:dyDescent="0.25">
      <c r="A820" t="str">
        <f ca="1">IFERROR(__xludf.DUMMYFUNCTION("""COMPUTED_VALUE"""),"Kentriki Makedonia")</f>
        <v>Kentriki Makedonia</v>
      </c>
      <c r="B820" t="str">
        <f ca="1">IFERROR(__xludf.DUMMYFUNCTION("""COMPUTED_VALUE"""),"GR12")</f>
        <v>GR12</v>
      </c>
    </row>
    <row r="821" spans="1:2" ht="12.5" x14ac:dyDescent="0.25">
      <c r="A821" t="str">
        <f ca="1">IFERROR(__xludf.DUMMYFUNCTION("""COMPUTED_VALUE"""),"Kerkyra")</f>
        <v>Kerkyra</v>
      </c>
      <c r="B821" t="str">
        <f ca="1">IFERROR(__xludf.DUMMYFUNCTION("""COMPUTED_VALUE"""),"GR222")</f>
        <v>GR222</v>
      </c>
    </row>
    <row r="822" spans="1:2" ht="12.5" x14ac:dyDescent="0.25">
      <c r="A822" t="str">
        <f ca="1">IFERROR(__xludf.DUMMYFUNCTION("""COMPUTED_VALUE"""),"Kesk-Eesti")</f>
        <v>Kesk-Eesti</v>
      </c>
      <c r="B822" t="str">
        <f ca="1">IFERROR(__xludf.DUMMYFUNCTION("""COMPUTED_VALUE"""),"EE006")</f>
        <v>EE006</v>
      </c>
    </row>
    <row r="823" spans="1:2" ht="12.5" x14ac:dyDescent="0.25">
      <c r="A823" t="str">
        <f ca="1">IFERROR(__xludf.DUMMYFUNCTION("""COMPUTED_VALUE"""),"Keski-Pohjanmaa")</f>
        <v>Keski-Pohjanmaa</v>
      </c>
      <c r="B823" t="str">
        <f ca="1">IFERROR(__xludf.DUMMYFUNCTION("""COMPUTED_VALUE"""),"FI1A1")</f>
        <v>FI1A1</v>
      </c>
    </row>
    <row r="824" spans="1:2" ht="12.5" x14ac:dyDescent="0.25">
      <c r="A824" t="str">
        <f ca="1">IFERROR(__xludf.DUMMYFUNCTION("""COMPUTED_VALUE"""),"Keski-Suomi")</f>
        <v>Keski-Suomi</v>
      </c>
      <c r="B824" t="str">
        <f ca="1">IFERROR(__xludf.DUMMYFUNCTION("""COMPUTED_VALUE"""),"FI193")</f>
        <v>FI193</v>
      </c>
    </row>
    <row r="825" spans="1:2" ht="12.5" x14ac:dyDescent="0.25">
      <c r="A825" t="str">
        <f ca="1">IFERROR(__xludf.DUMMYFUNCTION("""COMPUTED_VALUE"""),"Kiel, Kreisfreie Stadt")</f>
        <v>Kiel, Kreisfreie Stadt</v>
      </c>
      <c r="B825" t="str">
        <f ca="1">IFERROR(__xludf.DUMMYFUNCTION("""COMPUTED_VALUE"""),"DEF02")</f>
        <v>DEF02</v>
      </c>
    </row>
    <row r="826" spans="1:2" ht="12.5" x14ac:dyDescent="0.25">
      <c r="A826" t="str">
        <f ca="1">IFERROR(__xludf.DUMMYFUNCTION("""COMPUTED_VALUE"""),"Kielecki")</f>
        <v>Kielecki</v>
      </c>
      <c r="B826" t="str">
        <f ca="1">IFERROR(__xludf.DUMMYFUNCTION("""COMPUTED_VALUE"""),"PL331")</f>
        <v>PL331</v>
      </c>
    </row>
    <row r="827" spans="1:2" ht="12.5" x14ac:dyDescent="0.25">
      <c r="A827" t="str">
        <f ca="1">IFERROR(__xludf.DUMMYFUNCTION("""COMPUTED_VALUE"""),"Kilkis")</f>
        <v>Kilkis</v>
      </c>
      <c r="B827" t="str">
        <f ca="1">IFERROR(__xludf.DUMMYFUNCTION("""COMPUTED_VALUE"""),"GR123")</f>
        <v>GR123</v>
      </c>
    </row>
    <row r="828" spans="1:2" ht="12.5" x14ac:dyDescent="0.25">
      <c r="A828" t="str">
        <f ca="1">IFERROR(__xludf.DUMMYFUNCTION("""COMPUTED_VALUE"""),"Kingston Upon Hull, City Of")</f>
        <v>Kingston Upon Hull, City Of</v>
      </c>
      <c r="B828" t="str">
        <f ca="1">IFERROR(__xludf.DUMMYFUNCTION("""COMPUTED_VALUE"""),"UKE11")</f>
        <v>UKE11</v>
      </c>
    </row>
    <row r="829" spans="1:2" ht="12.5" x14ac:dyDescent="0.25">
      <c r="A829" t="str">
        <f ca="1">IFERROR(__xludf.DUMMYFUNCTION("""COMPUTED_VALUE"""),"Kirde-Eesti")</f>
        <v>Kirde-Eesti</v>
      </c>
      <c r="B829" t="str">
        <f ca="1">IFERROR(__xludf.DUMMYFUNCTION("""COMPUTED_VALUE"""),"EE007")</f>
        <v>EE007</v>
      </c>
    </row>
    <row r="830" spans="1:2" ht="12.5" x14ac:dyDescent="0.25">
      <c r="A830" t="str">
        <f ca="1">IFERROR(__xludf.DUMMYFUNCTION("""COMPUTED_VALUE"""),"Kitzingen")</f>
        <v>Kitzingen</v>
      </c>
      <c r="B830" t="str">
        <f ca="1">IFERROR(__xludf.DUMMYFUNCTION("""COMPUTED_VALUE"""),"DE268")</f>
        <v>DE268</v>
      </c>
    </row>
    <row r="831" spans="1:2" ht="12.5" x14ac:dyDescent="0.25">
      <c r="A831" t="str">
        <f ca="1">IFERROR(__xludf.DUMMYFUNCTION("""COMPUTED_VALUE"""),"Klagenfurt-Villach")</f>
        <v>Klagenfurt-Villach</v>
      </c>
      <c r="B831" t="str">
        <f ca="1">IFERROR(__xludf.DUMMYFUNCTION("""COMPUTED_VALUE"""),"AT211")</f>
        <v>AT211</v>
      </c>
    </row>
    <row r="832" spans="1:2" ht="12.5" x14ac:dyDescent="0.25">
      <c r="A832" t="str">
        <f ca="1">IFERROR(__xludf.DUMMYFUNCTION("""COMPUTED_VALUE"""),"Klaipedos Apskritis")</f>
        <v>Klaipedos Apskritis</v>
      </c>
      <c r="B832" t="str">
        <f ca="1">IFERROR(__xludf.DUMMYFUNCTION("""COMPUTED_VALUE"""),"LT003")</f>
        <v>LT003</v>
      </c>
    </row>
    <row r="833" spans="1:2" ht="12.5" x14ac:dyDescent="0.25">
      <c r="A833" t="str">
        <f ca="1">IFERROR(__xludf.DUMMYFUNCTION("""COMPUTED_VALUE"""),"Kleve")</f>
        <v>Kleve</v>
      </c>
      <c r="B833" t="str">
        <f ca="1">IFERROR(__xludf.DUMMYFUNCTION("""COMPUTED_VALUE"""),"DEA1B")</f>
        <v>DEA1B</v>
      </c>
    </row>
    <row r="834" spans="1:2" ht="12.5" x14ac:dyDescent="0.25">
      <c r="A834" t="str">
        <f ca="1">IFERROR(__xludf.DUMMYFUNCTION("""COMPUTED_VALUE"""),"Københavns Omegn")</f>
        <v>Københavns Omegn</v>
      </c>
      <c r="B834" t="str">
        <f ca="1">IFERROR(__xludf.DUMMYFUNCTION("""COMPUTED_VALUE"""),"DK012")</f>
        <v>DK012</v>
      </c>
    </row>
    <row r="835" spans="1:2" ht="12.5" x14ac:dyDescent="0.25">
      <c r="A835" t="str">
        <f ca="1">IFERROR(__xludf.DUMMYFUNCTION("""COMPUTED_VALUE"""),"Koblenz")</f>
        <v>Koblenz</v>
      </c>
      <c r="B835" t="str">
        <f ca="1">IFERROR(__xludf.DUMMYFUNCTION("""COMPUTED_VALUE"""),"DEB1")</f>
        <v>DEB1</v>
      </c>
    </row>
    <row r="836" spans="1:2" ht="12.5" x14ac:dyDescent="0.25">
      <c r="A836" t="str">
        <f ca="1">IFERROR(__xludf.DUMMYFUNCTION("""COMPUTED_VALUE"""),"Koblenz, Kreisfreie Stadt")</f>
        <v>Koblenz, Kreisfreie Stadt</v>
      </c>
      <c r="B836" t="str">
        <f ca="1">IFERROR(__xludf.DUMMYFUNCTION("""COMPUTED_VALUE"""),"DEB11")</f>
        <v>DEB11</v>
      </c>
    </row>
    <row r="837" spans="1:2" ht="12.5" x14ac:dyDescent="0.25">
      <c r="A837" t="str">
        <f ca="1">IFERROR(__xludf.DUMMYFUNCTION("""COMPUTED_VALUE"""),"Köln")</f>
        <v>Köln</v>
      </c>
      <c r="B837" t="str">
        <f ca="1">IFERROR(__xludf.DUMMYFUNCTION("""COMPUTED_VALUE"""),"DEA2")</f>
        <v>DEA2</v>
      </c>
    </row>
    <row r="838" spans="1:2" ht="12.5" x14ac:dyDescent="0.25">
      <c r="A838" t="str">
        <f ca="1">IFERROR(__xludf.DUMMYFUNCTION("""COMPUTED_VALUE"""),"Köln, Kreisfreie Stadt")</f>
        <v>Köln, Kreisfreie Stadt</v>
      </c>
      <c r="B838" t="str">
        <f ca="1">IFERROR(__xludf.DUMMYFUNCTION("""COMPUTED_VALUE"""),"DEA23")</f>
        <v>DEA23</v>
      </c>
    </row>
    <row r="839" spans="1:2" ht="12.5" x14ac:dyDescent="0.25">
      <c r="A839" t="str">
        <f ca="1">IFERROR(__xludf.DUMMYFUNCTION("""COMPUTED_VALUE"""),"Komarom-Esztergom")</f>
        <v>Komarom-Esztergom</v>
      </c>
      <c r="B839" t="str">
        <f ca="1">IFERROR(__xludf.DUMMYFUNCTION("""COMPUTED_VALUE"""),"HU212")</f>
        <v>HU212</v>
      </c>
    </row>
    <row r="840" spans="1:2" ht="12.5" x14ac:dyDescent="0.25">
      <c r="A840" t="str">
        <f ca="1">IFERROR(__xludf.DUMMYFUNCTION("""COMPUTED_VALUE"""),"Koninski")</f>
        <v>Koninski</v>
      </c>
      <c r="B840" t="str">
        <f ca="1">IFERROR(__xludf.DUMMYFUNCTION("""COMPUTED_VALUE"""),"PL414")</f>
        <v>PL414</v>
      </c>
    </row>
    <row r="841" spans="1:2" ht="12.5" x14ac:dyDescent="0.25">
      <c r="A841" t="str">
        <f ca="1">IFERROR(__xludf.DUMMYFUNCTION("""COMPUTED_VALUE"""),"Konstanz")</f>
        <v>Konstanz</v>
      </c>
      <c r="B841" t="str">
        <f ca="1">IFERROR(__xludf.DUMMYFUNCTION("""COMPUTED_VALUE"""),"DE138")</f>
        <v>DE138</v>
      </c>
    </row>
    <row r="842" spans="1:2" ht="12.5" x14ac:dyDescent="0.25">
      <c r="A842" t="str">
        <f ca="1">IFERROR(__xludf.DUMMYFUNCTION("""COMPUTED_VALUE"""),"Kop Van Noord-Holland")</f>
        <v>Kop Van Noord-Holland</v>
      </c>
      <c r="B842" t="str">
        <f ca="1">IFERROR(__xludf.DUMMYFUNCTION("""COMPUTED_VALUE"""),"NL321")</f>
        <v>NL321</v>
      </c>
    </row>
    <row r="843" spans="1:2" ht="12.5" x14ac:dyDescent="0.25">
      <c r="A843" t="str">
        <f ca="1">IFERROR(__xludf.DUMMYFUNCTION("""COMPUTED_VALUE"""),"Korinthia")</f>
        <v>Korinthia</v>
      </c>
      <c r="B843" t="str">
        <f ca="1">IFERROR(__xludf.DUMMYFUNCTION("""COMPUTED_VALUE"""),"GR253")</f>
        <v>GR253</v>
      </c>
    </row>
    <row r="844" spans="1:2" ht="12.5" x14ac:dyDescent="0.25">
      <c r="A844" t="str">
        <f ca="1">IFERROR(__xludf.DUMMYFUNCTION("""COMPUTED_VALUE"""),"Koroska")</f>
        <v>Koroska</v>
      </c>
      <c r="B844" t="str">
        <f ca="1">IFERROR(__xludf.DUMMYFUNCTION("""COMPUTED_VALUE"""),"SI013")</f>
        <v>SI013</v>
      </c>
    </row>
    <row r="845" spans="1:2" ht="12.5" x14ac:dyDescent="0.25">
      <c r="A845" t="str">
        <f ca="1">IFERROR(__xludf.DUMMYFUNCTION("""COMPUTED_VALUE"""),"Kosicky Kraj")</f>
        <v>Kosicky Kraj</v>
      </c>
      <c r="B845" t="str">
        <f ca="1">IFERROR(__xludf.DUMMYFUNCTION("""COMPUTED_VALUE"""),"SK042")</f>
        <v>SK042</v>
      </c>
    </row>
    <row r="846" spans="1:2" ht="12.5" x14ac:dyDescent="0.25">
      <c r="A846" t="str">
        <f ca="1">IFERROR(__xludf.DUMMYFUNCTION("""COMPUTED_VALUE"""),"Koszalinski")</f>
        <v>Koszalinski</v>
      </c>
      <c r="B846" t="str">
        <f ca="1">IFERROR(__xludf.DUMMYFUNCTION("""COMPUTED_VALUE"""),"PL422")</f>
        <v>PL422</v>
      </c>
    </row>
    <row r="847" spans="1:2" ht="12.5" x14ac:dyDescent="0.25">
      <c r="A847" t="str">
        <f ca="1">IFERROR(__xludf.DUMMYFUNCTION("""COMPUTED_VALUE"""),"Kozani")</f>
        <v>Kozani</v>
      </c>
      <c r="B847" t="str">
        <f ca="1">IFERROR(__xludf.DUMMYFUNCTION("""COMPUTED_VALUE"""),"GR133")</f>
        <v>GR133</v>
      </c>
    </row>
    <row r="848" spans="1:2" ht="12.5" x14ac:dyDescent="0.25">
      <c r="A848" t="str">
        <f ca="1">IFERROR(__xludf.DUMMYFUNCTION("""COMPUTED_VALUE"""),"Kozep-Dunantul")</f>
        <v>Kozep-Dunantul</v>
      </c>
      <c r="B848" t="str">
        <f ca="1">IFERROR(__xludf.DUMMYFUNCTION("""COMPUTED_VALUE"""),"HU21")</f>
        <v>HU21</v>
      </c>
    </row>
    <row r="849" spans="1:2" ht="12.5" x14ac:dyDescent="0.25">
      <c r="A849" t="str">
        <f ca="1">IFERROR(__xludf.DUMMYFUNCTION("""COMPUTED_VALUE"""),"Kozep-Magyarorszag")</f>
        <v>Kozep-Magyarorszag</v>
      </c>
      <c r="B849" t="str">
        <f ca="1">IFERROR(__xludf.DUMMYFUNCTION("""COMPUTED_VALUE"""),"HU1")</f>
        <v>HU1</v>
      </c>
    </row>
    <row r="850" spans="1:2" ht="12.5" x14ac:dyDescent="0.25">
      <c r="A850" t="str">
        <f ca="1">IFERROR(__xludf.DUMMYFUNCTION("""COMPUTED_VALUE"""),"Kozep-Magyarorszag (*)")</f>
        <v>Kozep-Magyarorszag (*)</v>
      </c>
      <c r="B850" t="str">
        <f ca="1">IFERROR(__xludf.DUMMYFUNCTION("""COMPUTED_VALUE"""),"HU10")</f>
        <v>HU10</v>
      </c>
    </row>
    <row r="851" spans="1:2" ht="12.5" x14ac:dyDescent="0.25">
      <c r="A851" t="str">
        <f ca="1">IFERROR(__xludf.DUMMYFUNCTION("""COMPUTED_VALUE"""),"Krakowski")</f>
        <v>Krakowski</v>
      </c>
      <c r="B851" t="str">
        <f ca="1">IFERROR(__xludf.DUMMYFUNCTION("""COMPUTED_VALUE"""),"PL214")</f>
        <v>PL214</v>
      </c>
    </row>
    <row r="852" spans="1:2" ht="12.5" x14ac:dyDescent="0.25">
      <c r="A852" t="str">
        <f ca="1">IFERROR(__xludf.DUMMYFUNCTION("""COMPUTED_VALUE"""),"Kralovehradecky Kraj")</f>
        <v>Kralovehradecky Kraj</v>
      </c>
      <c r="B852" t="str">
        <f ca="1">IFERROR(__xludf.DUMMYFUNCTION("""COMPUTED_VALUE"""),"CZ052")</f>
        <v>CZ052</v>
      </c>
    </row>
    <row r="853" spans="1:2" ht="12.5" x14ac:dyDescent="0.25">
      <c r="A853" t="str">
        <f ca="1">IFERROR(__xludf.DUMMYFUNCTION("""COMPUTED_VALUE"""),"Krefeld, Kreisfreie Stadt")</f>
        <v>Krefeld, Kreisfreie Stadt</v>
      </c>
      <c r="B853" t="str">
        <f ca="1">IFERROR(__xludf.DUMMYFUNCTION("""COMPUTED_VALUE"""),"DEA14")</f>
        <v>DEA14</v>
      </c>
    </row>
    <row r="854" spans="1:2" ht="12.5" x14ac:dyDescent="0.25">
      <c r="A854" t="str">
        <f ca="1">IFERROR(__xludf.DUMMYFUNCTION("""COMPUTED_VALUE"""),"Kriti")</f>
        <v>Kriti</v>
      </c>
      <c r="B854" t="str">
        <f ca="1">IFERROR(__xludf.DUMMYFUNCTION("""COMPUTED_VALUE"""),"GR43")</f>
        <v>GR43</v>
      </c>
    </row>
    <row r="855" spans="1:2" ht="12.5" x14ac:dyDescent="0.25">
      <c r="A855" t="str">
        <f ca="1">IFERROR(__xludf.DUMMYFUNCTION("""COMPUTED_VALUE"""),"Kronach")</f>
        <v>Kronach</v>
      </c>
      <c r="B855" t="str">
        <f ca="1">IFERROR(__xludf.DUMMYFUNCTION("""COMPUTED_VALUE"""),"DE24A")</f>
        <v>DE24A</v>
      </c>
    </row>
    <row r="856" spans="1:2" ht="12.5" x14ac:dyDescent="0.25">
      <c r="A856" t="str">
        <f ca="1">IFERROR(__xludf.DUMMYFUNCTION("""COMPUTED_VALUE"""),"Kronobergs Län")</f>
        <v>Kronobergs Län</v>
      </c>
      <c r="B856" t="str">
        <f ca="1">IFERROR(__xludf.DUMMYFUNCTION("""COMPUTED_VALUE"""),"SE212")</f>
        <v>SE212</v>
      </c>
    </row>
    <row r="857" spans="1:2" ht="12.5" x14ac:dyDescent="0.25">
      <c r="A857" t="str">
        <f ca="1">IFERROR(__xludf.DUMMYFUNCTION("""COMPUTED_VALUE"""),"Krosnienski")</f>
        <v>Krosnienski</v>
      </c>
      <c r="B857" t="str">
        <f ca="1">IFERROR(__xludf.DUMMYFUNCTION("""COMPUTED_VALUE"""),"PL323")</f>
        <v>PL323</v>
      </c>
    </row>
    <row r="858" spans="1:2" ht="12.5" x14ac:dyDescent="0.25">
      <c r="A858" t="str">
        <f ca="1">IFERROR(__xludf.DUMMYFUNCTION("""COMPUTED_VALUE"""),"Kujawsko-Pomorskie")</f>
        <v>Kujawsko-Pomorskie</v>
      </c>
      <c r="B858" t="str">
        <f ca="1">IFERROR(__xludf.DUMMYFUNCTION("""COMPUTED_VALUE"""),"PL61")</f>
        <v>PL61</v>
      </c>
    </row>
    <row r="859" spans="1:2" ht="12.5" x14ac:dyDescent="0.25">
      <c r="A859" t="str">
        <f ca="1">IFERROR(__xludf.DUMMYFUNCTION("""COMPUTED_VALUE"""),"Kulmbach")</f>
        <v>Kulmbach</v>
      </c>
      <c r="B859" t="str">
        <f ca="1">IFERROR(__xludf.DUMMYFUNCTION("""COMPUTED_VALUE"""),"DE24B")</f>
        <v>DE24B</v>
      </c>
    </row>
    <row r="860" spans="1:2" ht="12.5" x14ac:dyDescent="0.25">
      <c r="A860" t="str">
        <f ca="1">IFERROR(__xludf.DUMMYFUNCTION("""COMPUTED_VALUE"""),"Kurzeme")</f>
        <v>Kurzeme</v>
      </c>
      <c r="B860" t="str">
        <f ca="1">IFERROR(__xludf.DUMMYFUNCTION("""COMPUTED_VALUE"""),"LV003")</f>
        <v>LV003</v>
      </c>
    </row>
    <row r="861" spans="1:2" ht="12.5" x14ac:dyDescent="0.25">
      <c r="A861" t="str">
        <f ca="1">IFERROR(__xludf.DUMMYFUNCTION("""COMPUTED_VALUE"""),"Kusel")</f>
        <v>Kusel</v>
      </c>
      <c r="B861" t="str">
        <f ca="1">IFERROR(__xludf.DUMMYFUNCTION("""COMPUTED_VALUE"""),"DEB3G")</f>
        <v>DEB3G</v>
      </c>
    </row>
    <row r="862" spans="1:2" ht="12.5" x14ac:dyDescent="0.25">
      <c r="A862" t="str">
        <f ca="1">IFERROR(__xludf.DUMMYFUNCTION("""COMPUTED_VALUE"""),"Kyffhäuserkreis")</f>
        <v>Kyffhäuserkreis</v>
      </c>
      <c r="B862" t="str">
        <f ca="1">IFERROR(__xludf.DUMMYFUNCTION("""COMPUTED_VALUE"""),"DEG0A")</f>
        <v>DEG0A</v>
      </c>
    </row>
    <row r="863" spans="1:2" ht="12.5" x14ac:dyDescent="0.25">
      <c r="A863" t="str">
        <f ca="1">IFERROR(__xludf.DUMMYFUNCTION("""COMPUTED_VALUE"""),"Kyklades")</f>
        <v>Kyklades</v>
      </c>
      <c r="B863" t="str">
        <f ca="1">IFERROR(__xludf.DUMMYFUNCTION("""COMPUTED_VALUE"""),"GR422")</f>
        <v>GR422</v>
      </c>
    </row>
    <row r="864" spans="1:2" ht="12.5" x14ac:dyDescent="0.25">
      <c r="A864" t="str">
        <f ca="1">IFERROR(__xludf.DUMMYFUNCTION("""COMPUTED_VALUE"""),"Kymenlaakso")</f>
        <v>Kymenlaakso</v>
      </c>
      <c r="B864" t="str">
        <f ca="1">IFERROR(__xludf.DUMMYFUNCTION("""COMPUTED_VALUE"""),"FI186")</f>
        <v>FI186</v>
      </c>
    </row>
    <row r="865" spans="1:2" ht="12.5" x14ac:dyDescent="0.25">
      <c r="A865" t="str">
        <f ca="1">IFERROR(__xludf.DUMMYFUNCTION("""COMPUTED_VALUE"""),"Kypros - Kibris")</f>
        <v>Kypros - Kibris</v>
      </c>
      <c r="B865" t="str">
        <f ca="1">IFERROR(__xludf.DUMMYFUNCTION("""COMPUTED_VALUE"""),"CY")</f>
        <v>CY</v>
      </c>
    </row>
    <row r="866" spans="1:2" ht="12.5" x14ac:dyDescent="0.25">
      <c r="A866" t="str">
        <f ca="1">IFERROR(__xludf.DUMMYFUNCTION("""COMPUTED_VALUE"""),"Kypros - Kibris (*)")</f>
        <v>Kypros - Kibris (*)</v>
      </c>
      <c r="B866" t="str">
        <f ca="1">IFERROR(__xludf.DUMMYFUNCTION("""COMPUTED_VALUE"""),"CY0")</f>
        <v>CY0</v>
      </c>
    </row>
    <row r="867" spans="1:2" ht="12.5" x14ac:dyDescent="0.25">
      <c r="A867" t="str">
        <f ca="1">IFERROR(__xludf.DUMMYFUNCTION("""COMPUTED_VALUE"""),"Kypros - Kibris (**)")</f>
        <v>Kypros - Kibris (**)</v>
      </c>
      <c r="B867" t="str">
        <f ca="1">IFERROR(__xludf.DUMMYFUNCTION("""COMPUTED_VALUE"""),"CY00")</f>
        <v>CY00</v>
      </c>
    </row>
    <row r="868" spans="1:2" ht="12.5" x14ac:dyDescent="0.25">
      <c r="A868" t="str">
        <f ca="1">IFERROR(__xludf.DUMMYFUNCTION("""COMPUTED_VALUE"""),"Kypros - Kibris (***)")</f>
        <v>Kypros - Kibris (***)</v>
      </c>
      <c r="B868" t="str">
        <f ca="1">IFERROR(__xludf.DUMMYFUNCTION("""COMPUTED_VALUE"""),"CY000")</f>
        <v>CY000</v>
      </c>
    </row>
    <row r="869" spans="1:2" ht="12.5" x14ac:dyDescent="0.25">
      <c r="A869" t="str">
        <f ca="1">IFERROR(__xludf.DUMMYFUNCTION("""COMPUTED_VALUE"""),"Kyustendil")</f>
        <v>Kyustendil</v>
      </c>
      <c r="B869" t="str">
        <f ca="1">IFERROR(__xludf.DUMMYFUNCTION("""COMPUTED_VALUE"""),"BG415")</f>
        <v>BG415</v>
      </c>
    </row>
    <row r="870" spans="1:2" ht="12.5" x14ac:dyDescent="0.25">
      <c r="A870" t="str">
        <f ca="1">IFERROR(__xludf.DUMMYFUNCTION("""COMPUTED_VALUE"""),"L'Aquila")</f>
        <v>L'Aquila</v>
      </c>
      <c r="B870" t="str">
        <f ca="1">IFERROR(__xludf.DUMMYFUNCTION("""COMPUTED_VALUE"""),"ITF11")</f>
        <v>ITF11</v>
      </c>
    </row>
    <row r="871" spans="1:2" ht="12.5" x14ac:dyDescent="0.25">
      <c r="A871" t="str">
        <f ca="1">IFERROR(__xludf.DUMMYFUNCTION("""COMPUTED_VALUE"""),"La Gomera")</f>
        <v>La Gomera</v>
      </c>
      <c r="B871" t="str">
        <f ca="1">IFERROR(__xludf.DUMMYFUNCTION("""COMPUTED_VALUE"""),"ES706")</f>
        <v>ES706</v>
      </c>
    </row>
    <row r="872" spans="1:2" ht="12.5" x14ac:dyDescent="0.25">
      <c r="A872" t="str">
        <f ca="1">IFERROR(__xludf.DUMMYFUNCTION("""COMPUTED_VALUE"""),"La Palma")</f>
        <v>La Palma</v>
      </c>
      <c r="B872" t="str">
        <f ca="1">IFERROR(__xludf.DUMMYFUNCTION("""COMPUTED_VALUE"""),"ES707")</f>
        <v>ES707</v>
      </c>
    </row>
    <row r="873" spans="1:2" ht="12.5" x14ac:dyDescent="0.25">
      <c r="A873" t="str">
        <f ca="1">IFERROR(__xludf.DUMMYFUNCTION("""COMPUTED_VALUE"""),"La Rioja")</f>
        <v>La Rioja</v>
      </c>
      <c r="B873" t="str">
        <f ca="1">IFERROR(__xludf.DUMMYFUNCTION("""COMPUTED_VALUE"""),"ES23")</f>
        <v>ES23</v>
      </c>
    </row>
    <row r="874" spans="1:2" ht="12.5" x14ac:dyDescent="0.25">
      <c r="A874" t="str">
        <f ca="1">IFERROR(__xludf.DUMMYFUNCTION("""COMPUTED_VALUE"""),"La Rioja (*)")</f>
        <v>La Rioja (*)</v>
      </c>
      <c r="B874" t="str">
        <f ca="1">IFERROR(__xludf.DUMMYFUNCTION("""COMPUTED_VALUE"""),"ES230")</f>
        <v>ES230</v>
      </c>
    </row>
    <row r="875" spans="1:2" ht="12.5" x14ac:dyDescent="0.25">
      <c r="A875" t="str">
        <f ca="1">IFERROR(__xludf.DUMMYFUNCTION("""COMPUTED_VALUE"""),"La Spezia")</f>
        <v>La Spezia</v>
      </c>
      <c r="B875" t="str">
        <f ca="1">IFERROR(__xludf.DUMMYFUNCTION("""COMPUTED_VALUE"""),"ITC34")</f>
        <v>ITC34</v>
      </c>
    </row>
    <row r="876" spans="1:2" ht="12.5" x14ac:dyDescent="0.25">
      <c r="A876" t="str">
        <f ca="1">IFERROR(__xludf.DUMMYFUNCTION("""COMPUTED_VALUE"""),"Lääne-Eesti")</f>
        <v>Lääne-Eesti</v>
      </c>
      <c r="B876" t="str">
        <f ca="1">IFERROR(__xludf.DUMMYFUNCTION("""COMPUTED_VALUE"""),"EE004")</f>
        <v>EE004</v>
      </c>
    </row>
    <row r="877" spans="1:2" ht="12.5" x14ac:dyDescent="0.25">
      <c r="A877" t="str">
        <f ca="1">IFERROR(__xludf.DUMMYFUNCTION("""COMPUTED_VALUE"""),"Lahn-Dill-Kreis")</f>
        <v>Lahn-Dill-Kreis</v>
      </c>
      <c r="B877" t="str">
        <f ca="1">IFERROR(__xludf.DUMMYFUNCTION("""COMPUTED_VALUE"""),"DE722")</f>
        <v>DE722</v>
      </c>
    </row>
    <row r="878" spans="1:2" ht="12.5" x14ac:dyDescent="0.25">
      <c r="A878" t="str">
        <f ca="1">IFERROR(__xludf.DUMMYFUNCTION("""COMPUTED_VALUE"""),"Lakonia")</f>
        <v>Lakonia</v>
      </c>
      <c r="B878" t="str">
        <f ca="1">IFERROR(__xludf.DUMMYFUNCTION("""COMPUTED_VALUE"""),"GR254")</f>
        <v>GR254</v>
      </c>
    </row>
    <row r="879" spans="1:2" ht="12.5" x14ac:dyDescent="0.25">
      <c r="A879" t="str">
        <f ca="1">IFERROR(__xludf.DUMMYFUNCTION("""COMPUTED_VALUE"""),"Lancashire")</f>
        <v>Lancashire</v>
      </c>
      <c r="B879" t="str">
        <f ca="1">IFERROR(__xludf.DUMMYFUNCTION("""COMPUTED_VALUE"""),"UKD4")</f>
        <v>UKD4</v>
      </c>
    </row>
    <row r="880" spans="1:2" ht="12.5" x14ac:dyDescent="0.25">
      <c r="A880" t="str">
        <f ca="1">IFERROR(__xludf.DUMMYFUNCTION("""COMPUTED_VALUE"""),"Lancashire Cc")</f>
        <v>Lancashire Cc</v>
      </c>
      <c r="B880" t="str">
        <f ca="1">IFERROR(__xludf.DUMMYFUNCTION("""COMPUTED_VALUE"""),"UKD43")</f>
        <v>UKD43</v>
      </c>
    </row>
    <row r="881" spans="1:2" ht="12.5" x14ac:dyDescent="0.25">
      <c r="A881" t="str">
        <f ca="1">IFERROR(__xludf.DUMMYFUNCTION("""COMPUTED_VALUE"""),"Landau In Der Pfalz, Kreisfreie Stadt")</f>
        <v>Landau In Der Pfalz, Kreisfreie Stadt</v>
      </c>
      <c r="B881" t="str">
        <f ca="1">IFERROR(__xludf.DUMMYFUNCTION("""COMPUTED_VALUE"""),"DEB33")</f>
        <v>DEB33</v>
      </c>
    </row>
    <row r="882" spans="1:2" ht="12.5" x14ac:dyDescent="0.25">
      <c r="A882" t="str">
        <f ca="1">IFERROR(__xludf.DUMMYFUNCTION("""COMPUTED_VALUE"""),"Landes")</f>
        <v>Landes</v>
      </c>
      <c r="B882" t="str">
        <f ca="1">IFERROR(__xludf.DUMMYFUNCTION("""COMPUTED_VALUE"""),"FR613")</f>
        <v>FR613</v>
      </c>
    </row>
    <row r="883" spans="1:2" ht="12.5" x14ac:dyDescent="0.25">
      <c r="A883" t="str">
        <f ca="1">IFERROR(__xludf.DUMMYFUNCTION("""COMPUTED_VALUE"""),"Landsberg A. Lech")</f>
        <v>Landsberg A. Lech</v>
      </c>
      <c r="B883" t="str">
        <f ca="1">IFERROR(__xludf.DUMMYFUNCTION("""COMPUTED_VALUE"""),"DE21E")</f>
        <v>DE21E</v>
      </c>
    </row>
    <row r="884" spans="1:2" ht="12.5" x14ac:dyDescent="0.25">
      <c r="A884" t="str">
        <f ca="1">IFERROR(__xludf.DUMMYFUNCTION("""COMPUTED_VALUE"""),"Landsbyggð")</f>
        <v>Landsbyggð</v>
      </c>
      <c r="B884" t="str">
        <f ca="1">IFERROR(__xludf.DUMMYFUNCTION("""COMPUTED_VALUE"""),"IS002")</f>
        <v>IS002</v>
      </c>
    </row>
    <row r="885" spans="1:2" ht="12.5" x14ac:dyDescent="0.25">
      <c r="A885" t="str">
        <f ca="1">IFERROR(__xludf.DUMMYFUNCTION("""COMPUTED_VALUE"""),"Landshut, Kreisfreie Stadt")</f>
        <v>Landshut, Kreisfreie Stadt</v>
      </c>
      <c r="B885" t="str">
        <f ca="1">IFERROR(__xludf.DUMMYFUNCTION("""COMPUTED_VALUE"""),"DE221")</f>
        <v>DE221</v>
      </c>
    </row>
    <row r="886" spans="1:2" ht="12.5" x14ac:dyDescent="0.25">
      <c r="A886" t="str">
        <f ca="1">IFERROR(__xludf.DUMMYFUNCTION("""COMPUTED_VALUE"""),"Landshut, Landkreis")</f>
        <v>Landshut, Landkreis</v>
      </c>
      <c r="B886" t="str">
        <f ca="1">IFERROR(__xludf.DUMMYFUNCTION("""COMPUTED_VALUE"""),"DE227")</f>
        <v>DE227</v>
      </c>
    </row>
    <row r="887" spans="1:2" ht="12.5" x14ac:dyDescent="0.25">
      <c r="A887" t="str">
        <f ca="1">IFERROR(__xludf.DUMMYFUNCTION("""COMPUTED_VALUE"""),"Languedoc-Roussillon")</f>
        <v>Languedoc-Roussillon</v>
      </c>
      <c r="B887" t="str">
        <f ca="1">IFERROR(__xludf.DUMMYFUNCTION("""COMPUTED_VALUE"""),"FR81")</f>
        <v>FR81</v>
      </c>
    </row>
    <row r="888" spans="1:2" ht="12.5" x14ac:dyDescent="0.25">
      <c r="A888" t="str">
        <f ca="1">IFERROR(__xludf.DUMMYFUNCTION("""COMPUTED_VALUE"""),"Länsi-Suomi")</f>
        <v>Länsi-Suomi</v>
      </c>
      <c r="B888" t="str">
        <f ca="1">IFERROR(__xludf.DUMMYFUNCTION("""COMPUTED_VALUE"""),"FI19")</f>
        <v>FI19</v>
      </c>
    </row>
    <row r="889" spans="1:2" ht="12.5" x14ac:dyDescent="0.25">
      <c r="A889" t="str">
        <f ca="1">IFERROR(__xludf.DUMMYFUNCTION("""COMPUTED_VALUE"""),"Lanzarote")</f>
        <v>Lanzarote</v>
      </c>
      <c r="B889" t="str">
        <f ca="1">IFERROR(__xludf.DUMMYFUNCTION("""COMPUTED_VALUE"""),"ES708")</f>
        <v>ES708</v>
      </c>
    </row>
    <row r="890" spans="1:2" ht="12.5" x14ac:dyDescent="0.25">
      <c r="A890" t="str">
        <f ca="1">IFERROR(__xludf.DUMMYFUNCTION("""COMPUTED_VALUE"""),"Lappi")</f>
        <v>Lappi</v>
      </c>
      <c r="B890" t="str">
        <f ca="1">IFERROR(__xludf.DUMMYFUNCTION("""COMPUTED_VALUE"""),"FI1A3")</f>
        <v>FI1A3</v>
      </c>
    </row>
    <row r="891" spans="1:2" ht="12.5" x14ac:dyDescent="0.25">
      <c r="A891" t="str">
        <f ca="1">IFERROR(__xludf.DUMMYFUNCTION("""COMPUTED_VALUE"""),"Larisa")</f>
        <v>Larisa</v>
      </c>
      <c r="B891" t="str">
        <f ca="1">IFERROR(__xludf.DUMMYFUNCTION("""COMPUTED_VALUE"""),"GR142")</f>
        <v>GR142</v>
      </c>
    </row>
    <row r="892" spans="1:2" ht="12.5" x14ac:dyDescent="0.25">
      <c r="A892" t="str">
        <f ca="1">IFERROR(__xludf.DUMMYFUNCTION("""COMPUTED_VALUE"""),"Lasithi")</f>
        <v>Lasithi</v>
      </c>
      <c r="B892" t="str">
        <f ca="1">IFERROR(__xludf.DUMMYFUNCTION("""COMPUTED_VALUE"""),"GR432")</f>
        <v>GR432</v>
      </c>
    </row>
    <row r="893" spans="1:2" ht="12.5" x14ac:dyDescent="0.25">
      <c r="A893" t="str">
        <f ca="1">IFERROR(__xludf.DUMMYFUNCTION("""COMPUTED_VALUE"""),"Latgale")</f>
        <v>Latgale</v>
      </c>
      <c r="B893" t="str">
        <f ca="1">IFERROR(__xludf.DUMMYFUNCTION("""COMPUTED_VALUE"""),"LV005")</f>
        <v>LV005</v>
      </c>
    </row>
    <row r="894" spans="1:2" ht="12.5" x14ac:dyDescent="0.25">
      <c r="A894" t="str">
        <f ca="1">IFERROR(__xludf.DUMMYFUNCTION("""COMPUTED_VALUE"""),"Latina")</f>
        <v>Latina</v>
      </c>
      <c r="B894" t="str">
        <f ca="1">IFERROR(__xludf.DUMMYFUNCTION("""COMPUTED_VALUE"""),"ITE44")</f>
        <v>ITE44</v>
      </c>
    </row>
    <row r="895" spans="1:2" ht="12.5" x14ac:dyDescent="0.25">
      <c r="A895" t="str">
        <f ca="1">IFERROR(__xludf.DUMMYFUNCTION("""COMPUTED_VALUE"""),"Latvija")</f>
        <v>Latvija</v>
      </c>
      <c r="B895" t="str">
        <f ca="1">IFERROR(__xludf.DUMMYFUNCTION("""COMPUTED_VALUE"""),"LV")</f>
        <v>LV</v>
      </c>
    </row>
    <row r="896" spans="1:2" ht="12.5" x14ac:dyDescent="0.25">
      <c r="A896" t="str">
        <f ca="1">IFERROR(__xludf.DUMMYFUNCTION("""COMPUTED_VALUE"""),"Latvija (*)")</f>
        <v>Latvija (*)</v>
      </c>
      <c r="B896" t="str">
        <f ca="1">IFERROR(__xludf.DUMMYFUNCTION("""COMPUTED_VALUE"""),"LV0")</f>
        <v>LV0</v>
      </c>
    </row>
    <row r="897" spans="1:2" ht="12.5" x14ac:dyDescent="0.25">
      <c r="A897" t="str">
        <f ca="1">IFERROR(__xludf.DUMMYFUNCTION("""COMPUTED_VALUE"""),"Latvija (**)")</f>
        <v>Latvija (**)</v>
      </c>
      <c r="B897" t="str">
        <f ca="1">IFERROR(__xludf.DUMMYFUNCTION("""COMPUTED_VALUE"""),"LV00")</f>
        <v>LV00</v>
      </c>
    </row>
    <row r="898" spans="1:2" ht="12.5" x14ac:dyDescent="0.25">
      <c r="A898" t="str">
        <f ca="1">IFERROR(__xludf.DUMMYFUNCTION("""COMPUTED_VALUE"""),"Lazio")</f>
        <v>Lazio</v>
      </c>
      <c r="B898" t="str">
        <f ca="1">IFERROR(__xludf.DUMMYFUNCTION("""COMPUTED_VALUE"""),"ITE4")</f>
        <v>ITE4</v>
      </c>
    </row>
    <row r="899" spans="1:2" ht="12.5" x14ac:dyDescent="0.25">
      <c r="A899" t="str">
        <f ca="1">IFERROR(__xludf.DUMMYFUNCTION("""COMPUTED_VALUE"""),"Lecce")</f>
        <v>Lecce</v>
      </c>
      <c r="B899" t="str">
        <f ca="1">IFERROR(__xludf.DUMMYFUNCTION("""COMPUTED_VALUE"""),"ITF45")</f>
        <v>ITF45</v>
      </c>
    </row>
    <row r="900" spans="1:2" ht="12.5" x14ac:dyDescent="0.25">
      <c r="A900" t="str">
        <f ca="1">IFERROR(__xludf.DUMMYFUNCTION("""COMPUTED_VALUE"""),"Lecco")</f>
        <v>Lecco</v>
      </c>
      <c r="B900" t="str">
        <f ca="1">IFERROR(__xludf.DUMMYFUNCTION("""COMPUTED_VALUE"""),"ITC43")</f>
        <v>ITC43</v>
      </c>
    </row>
    <row r="901" spans="1:2" ht="12.5" x14ac:dyDescent="0.25">
      <c r="A901" t="str">
        <f ca="1">IFERROR(__xludf.DUMMYFUNCTION("""COMPUTED_VALUE"""),"Leeds")</f>
        <v>Leeds</v>
      </c>
      <c r="B901" t="str">
        <f ca="1">IFERROR(__xludf.DUMMYFUNCTION("""COMPUTED_VALUE"""),"UKE42")</f>
        <v>UKE42</v>
      </c>
    </row>
    <row r="902" spans="1:2" ht="12.5" x14ac:dyDescent="0.25">
      <c r="A902" t="str">
        <f ca="1">IFERROR(__xludf.DUMMYFUNCTION("""COMPUTED_VALUE"""),"Leer")</f>
        <v>Leer</v>
      </c>
      <c r="B902" t="str">
        <f ca="1">IFERROR(__xludf.DUMMYFUNCTION("""COMPUTED_VALUE"""),"DE94C")</f>
        <v>DE94C</v>
      </c>
    </row>
    <row r="903" spans="1:2" ht="12.5" x14ac:dyDescent="0.25">
      <c r="A903" t="str">
        <f ca="1">IFERROR(__xludf.DUMMYFUNCTION("""COMPUTED_VALUE"""),"Lefkada")</f>
        <v>Lefkada</v>
      </c>
      <c r="B903" t="str">
        <f ca="1">IFERROR(__xludf.DUMMYFUNCTION("""COMPUTED_VALUE"""),"GR224")</f>
        <v>GR224</v>
      </c>
    </row>
    <row r="904" spans="1:2" ht="12.5" x14ac:dyDescent="0.25">
      <c r="A904" t="str">
        <f ca="1">IFERROR(__xludf.DUMMYFUNCTION("""COMPUTED_VALUE"""),"Legnicko-Glogowski")</f>
        <v>Legnicko-Glogowski</v>
      </c>
      <c r="B904" t="str">
        <f ca="1">IFERROR(__xludf.DUMMYFUNCTION("""COMPUTED_VALUE"""),"PL516")</f>
        <v>PL516</v>
      </c>
    </row>
    <row r="905" spans="1:2" ht="12.5" x14ac:dyDescent="0.25">
      <c r="A905" t="str">
        <f ca="1">IFERROR(__xludf.DUMMYFUNCTION("""COMPUTED_VALUE"""),"Leicester")</f>
        <v>Leicester</v>
      </c>
      <c r="B905" t="str">
        <f ca="1">IFERROR(__xludf.DUMMYFUNCTION("""COMPUTED_VALUE"""),"UKF21")</f>
        <v>UKF21</v>
      </c>
    </row>
    <row r="906" spans="1:2" ht="12.5" x14ac:dyDescent="0.25">
      <c r="A906" t="str">
        <f ca="1">IFERROR(__xludf.DUMMYFUNCTION("""COMPUTED_VALUE"""),"Leicestershire Cc And Rutland")</f>
        <v>Leicestershire Cc And Rutland</v>
      </c>
      <c r="B906" t="str">
        <f ca="1">IFERROR(__xludf.DUMMYFUNCTION("""COMPUTED_VALUE"""),"UKF22")</f>
        <v>UKF22</v>
      </c>
    </row>
    <row r="907" spans="1:2" ht="12.5" x14ac:dyDescent="0.25">
      <c r="A907" t="str">
        <f ca="1">IFERROR(__xludf.DUMMYFUNCTION("""COMPUTED_VALUE"""),"Leicestershire, Rutland And Northamptonshire")</f>
        <v>Leicestershire, Rutland And Northamptonshire</v>
      </c>
      <c r="B907" t="str">
        <f ca="1">IFERROR(__xludf.DUMMYFUNCTION("""COMPUTED_VALUE"""),"UKF2")</f>
        <v>UKF2</v>
      </c>
    </row>
    <row r="908" spans="1:2" ht="12.5" x14ac:dyDescent="0.25">
      <c r="A908" t="str">
        <f ca="1">IFERROR(__xludf.DUMMYFUNCTION("""COMPUTED_VALUE"""),"Leipzig")</f>
        <v>Leipzig</v>
      </c>
      <c r="B908" t="str">
        <f ca="1">IFERROR(__xludf.DUMMYFUNCTION("""COMPUTED_VALUE"""),"DED3")</f>
        <v>DED3</v>
      </c>
    </row>
    <row r="909" spans="1:2" ht="12.5" x14ac:dyDescent="0.25">
      <c r="A909" t="str">
        <f ca="1">IFERROR(__xludf.DUMMYFUNCTION("""COMPUTED_VALUE"""),"Leipzig, Kreisfreie Stadt")</f>
        <v>Leipzig, Kreisfreie Stadt</v>
      </c>
      <c r="B909" t="str">
        <f ca="1">IFERROR(__xludf.DUMMYFUNCTION("""COMPUTED_VALUE"""),"DED31")</f>
        <v>DED31</v>
      </c>
    </row>
    <row r="910" spans="1:2" ht="12.5" x14ac:dyDescent="0.25">
      <c r="A910" t="str">
        <f ca="1">IFERROR(__xludf.DUMMYFUNCTION("""COMPUTED_VALUE"""),"Leipziger Land")</f>
        <v>Leipziger Land</v>
      </c>
      <c r="B910" t="str">
        <f ca="1">IFERROR(__xludf.DUMMYFUNCTION("""COMPUTED_VALUE"""),"DED34")</f>
        <v>DED34</v>
      </c>
    </row>
    <row r="911" spans="1:2" ht="12.5" x14ac:dyDescent="0.25">
      <c r="A911" t="str">
        <f ca="1">IFERROR(__xludf.DUMMYFUNCTION("""COMPUTED_VALUE"""),"León")</f>
        <v>León</v>
      </c>
      <c r="B911" t="str">
        <f ca="1">IFERROR(__xludf.DUMMYFUNCTION("""COMPUTED_VALUE"""),"ES413")</f>
        <v>ES413</v>
      </c>
    </row>
    <row r="912" spans="1:2" ht="12.5" x14ac:dyDescent="0.25">
      <c r="A912" t="str">
        <f ca="1">IFERROR(__xludf.DUMMYFUNCTION("""COMPUTED_VALUE"""),"Lesvos")</f>
        <v>Lesvos</v>
      </c>
      <c r="B912" t="str">
        <f ca="1">IFERROR(__xludf.DUMMYFUNCTION("""COMPUTED_VALUE"""),"GR411")</f>
        <v>GR411</v>
      </c>
    </row>
    <row r="913" spans="1:2" ht="12.5" x14ac:dyDescent="0.25">
      <c r="A913" t="str">
        <f ca="1">IFERROR(__xludf.DUMMYFUNCTION("""COMPUTED_VALUE"""),"Leszczynski")</f>
        <v>Leszczynski</v>
      </c>
      <c r="B913" t="str">
        <f ca="1">IFERROR(__xludf.DUMMYFUNCTION("""COMPUTED_VALUE"""),"PL417")</f>
        <v>PL417</v>
      </c>
    </row>
    <row r="914" spans="1:2" ht="12.5" x14ac:dyDescent="0.25">
      <c r="A914" t="str">
        <f ca="1">IFERROR(__xludf.DUMMYFUNCTION("""COMPUTED_VALUE"""),"Leverkusen, Kreisfreie Stadt")</f>
        <v>Leverkusen, Kreisfreie Stadt</v>
      </c>
      <c r="B914" t="str">
        <f ca="1">IFERROR(__xludf.DUMMYFUNCTION("""COMPUTED_VALUE"""),"DEA24")</f>
        <v>DEA24</v>
      </c>
    </row>
    <row r="915" spans="1:2" ht="12.5" x14ac:dyDescent="0.25">
      <c r="A915" t="str">
        <f ca="1">IFERROR(__xludf.DUMMYFUNCTION("""COMPUTED_VALUE"""),"Lezíria Do Tejo")</f>
        <v>Lezíria Do Tejo</v>
      </c>
      <c r="B915" t="str">
        <f ca="1">IFERROR(__xludf.DUMMYFUNCTION("""COMPUTED_VALUE"""),"PT185")</f>
        <v>PT185</v>
      </c>
    </row>
    <row r="916" spans="1:2" ht="12.5" x14ac:dyDescent="0.25">
      <c r="A916" t="str">
        <f ca="1">IFERROR(__xludf.DUMMYFUNCTION("""COMPUTED_VALUE"""),"Liberecky Kraj")</f>
        <v>Liberecky Kraj</v>
      </c>
      <c r="B916" t="str">
        <f ca="1">IFERROR(__xludf.DUMMYFUNCTION("""COMPUTED_VALUE"""),"CZ051")</f>
        <v>CZ051</v>
      </c>
    </row>
    <row r="917" spans="1:2" ht="12.5" x14ac:dyDescent="0.25">
      <c r="A917" t="str">
        <f ca="1">IFERROR(__xludf.DUMMYFUNCTION("""COMPUTED_VALUE"""),"Lichtenfels")</f>
        <v>Lichtenfels</v>
      </c>
      <c r="B917" t="str">
        <f ca="1">IFERROR(__xludf.DUMMYFUNCTION("""COMPUTED_VALUE"""),"DE24C")</f>
        <v>DE24C</v>
      </c>
    </row>
    <row r="918" spans="1:2" ht="12.5" x14ac:dyDescent="0.25">
      <c r="A918" t="str">
        <f ca="1">IFERROR(__xludf.DUMMYFUNCTION("""COMPUTED_VALUE"""),"Liechtenstein")</f>
        <v>Liechtenstein</v>
      </c>
      <c r="B918" t="str">
        <f ca="1">IFERROR(__xludf.DUMMYFUNCTION("""COMPUTED_VALUE"""),"LI")</f>
        <v>LI</v>
      </c>
    </row>
    <row r="919" spans="1:2" ht="12.5" x14ac:dyDescent="0.25">
      <c r="A919" t="str">
        <f ca="1">IFERROR(__xludf.DUMMYFUNCTION("""COMPUTED_VALUE"""),"Liechtenstein (*)")</f>
        <v>Liechtenstein (*)</v>
      </c>
      <c r="B919" t="str">
        <f ca="1">IFERROR(__xludf.DUMMYFUNCTION("""COMPUTED_VALUE"""),"LI0")</f>
        <v>LI0</v>
      </c>
    </row>
    <row r="920" spans="1:2" ht="12.5" x14ac:dyDescent="0.25">
      <c r="A920" t="str">
        <f ca="1">IFERROR(__xludf.DUMMYFUNCTION("""COMPUTED_VALUE"""),"Liechtenstein (**)")</f>
        <v>Liechtenstein (**)</v>
      </c>
      <c r="B920" t="str">
        <f ca="1">IFERROR(__xludf.DUMMYFUNCTION("""COMPUTED_VALUE"""),"LI00")</f>
        <v>LI00</v>
      </c>
    </row>
    <row r="921" spans="1:2" ht="12.5" x14ac:dyDescent="0.25">
      <c r="A921" t="str">
        <f ca="1">IFERROR(__xludf.DUMMYFUNCTION("""COMPUTED_VALUE"""),"Liechtenstein (***)")</f>
        <v>Liechtenstein (***)</v>
      </c>
      <c r="B921" t="str">
        <f ca="1">IFERROR(__xludf.DUMMYFUNCTION("""COMPUTED_VALUE"""),"LI000")</f>
        <v>LI000</v>
      </c>
    </row>
    <row r="922" spans="1:2" ht="12.5" x14ac:dyDescent="0.25">
      <c r="A922" t="str">
        <f ca="1">IFERROR(__xludf.DUMMYFUNCTION("""COMPUTED_VALUE"""),"Lietuva")</f>
        <v>Lietuva</v>
      </c>
      <c r="B922" t="str">
        <f ca="1">IFERROR(__xludf.DUMMYFUNCTION("""COMPUTED_VALUE"""),"LT")</f>
        <v>LT</v>
      </c>
    </row>
    <row r="923" spans="1:2" ht="12.5" x14ac:dyDescent="0.25">
      <c r="A923" t="str">
        <f ca="1">IFERROR(__xludf.DUMMYFUNCTION("""COMPUTED_VALUE"""),"Lietuva (*)")</f>
        <v>Lietuva (*)</v>
      </c>
      <c r="B923" t="str">
        <f ca="1">IFERROR(__xludf.DUMMYFUNCTION("""COMPUTED_VALUE"""),"LT0")</f>
        <v>LT0</v>
      </c>
    </row>
    <row r="924" spans="1:2" ht="12.5" x14ac:dyDescent="0.25">
      <c r="A924" t="str">
        <f ca="1">IFERROR(__xludf.DUMMYFUNCTION("""COMPUTED_VALUE"""),"Lietuva (**)")</f>
        <v>Lietuva (**)</v>
      </c>
      <c r="B924" t="str">
        <f ca="1">IFERROR(__xludf.DUMMYFUNCTION("""COMPUTED_VALUE"""),"LT00")</f>
        <v>LT00</v>
      </c>
    </row>
    <row r="925" spans="1:2" ht="12.5" x14ac:dyDescent="0.25">
      <c r="A925" t="str">
        <f ca="1">IFERROR(__xludf.DUMMYFUNCTION("""COMPUTED_VALUE"""),"Liezen")</f>
        <v>Liezen</v>
      </c>
      <c r="B925" t="str">
        <f ca="1">IFERROR(__xludf.DUMMYFUNCTION("""COMPUTED_VALUE"""),"AT222")</f>
        <v>AT222</v>
      </c>
    </row>
    <row r="926" spans="1:2" ht="12.5" x14ac:dyDescent="0.25">
      <c r="A926" t="str">
        <f ca="1">IFERROR(__xludf.DUMMYFUNCTION("""COMPUTED_VALUE"""),"Liguria")</f>
        <v>Liguria</v>
      </c>
      <c r="B926" t="str">
        <f ca="1">IFERROR(__xludf.DUMMYFUNCTION("""COMPUTED_VALUE"""),"ITC3")</f>
        <v>ITC3</v>
      </c>
    </row>
    <row r="927" spans="1:2" ht="12.5" x14ac:dyDescent="0.25">
      <c r="A927" t="str">
        <f ca="1">IFERROR(__xludf.DUMMYFUNCTION("""COMPUTED_VALUE"""),"Limburg (Nl)")</f>
        <v>Limburg (Nl)</v>
      </c>
      <c r="B927" t="str">
        <f ca="1">IFERROR(__xludf.DUMMYFUNCTION("""COMPUTED_VALUE"""),"NL42")</f>
        <v>NL42</v>
      </c>
    </row>
    <row r="928" spans="1:2" ht="12.5" x14ac:dyDescent="0.25">
      <c r="A928" t="str">
        <f ca="1">IFERROR(__xludf.DUMMYFUNCTION("""COMPUTED_VALUE"""),"Limburg-Weilburg")</f>
        <v>Limburg-Weilburg</v>
      </c>
      <c r="B928" t="str">
        <f ca="1">IFERROR(__xludf.DUMMYFUNCTION("""COMPUTED_VALUE"""),"DE723")</f>
        <v>DE723</v>
      </c>
    </row>
    <row r="929" spans="1:2" ht="12.5" x14ac:dyDescent="0.25">
      <c r="A929" t="str">
        <f ca="1">IFERROR(__xludf.DUMMYFUNCTION("""COMPUTED_VALUE"""),"Limousin")</f>
        <v>Limousin</v>
      </c>
      <c r="B929" t="str">
        <f ca="1">IFERROR(__xludf.DUMMYFUNCTION("""COMPUTED_VALUE"""),"FR63")</f>
        <v>FR63</v>
      </c>
    </row>
    <row r="930" spans="1:2" ht="12.5" x14ac:dyDescent="0.25">
      <c r="A930" t="str">
        <f ca="1">IFERROR(__xludf.DUMMYFUNCTION("""COMPUTED_VALUE"""),"Lincolnshire")</f>
        <v>Lincolnshire</v>
      </c>
      <c r="B930" t="str">
        <f ca="1">IFERROR(__xludf.DUMMYFUNCTION("""COMPUTED_VALUE"""),"UKF3")</f>
        <v>UKF3</v>
      </c>
    </row>
    <row r="931" spans="1:2" ht="12.5" x14ac:dyDescent="0.25">
      <c r="A931" t="str">
        <f ca="1">IFERROR(__xludf.DUMMYFUNCTION("""COMPUTED_VALUE"""),"Lincolnshire (*)")</f>
        <v>Lincolnshire (*)</v>
      </c>
      <c r="B931" t="str">
        <f ca="1">IFERROR(__xludf.DUMMYFUNCTION("""COMPUTED_VALUE"""),"UKF30")</f>
        <v>UKF30</v>
      </c>
    </row>
    <row r="932" spans="1:2" ht="12.5" x14ac:dyDescent="0.25">
      <c r="A932" t="str">
        <f ca="1">IFERROR(__xludf.DUMMYFUNCTION("""COMPUTED_VALUE"""),"Lindau (Bodensee)")</f>
        <v>Lindau (Bodensee)</v>
      </c>
      <c r="B932" t="str">
        <f ca="1">IFERROR(__xludf.DUMMYFUNCTION("""COMPUTED_VALUE"""),"DE27A")</f>
        <v>DE27A</v>
      </c>
    </row>
    <row r="933" spans="1:2" ht="12.5" x14ac:dyDescent="0.25">
      <c r="A933" t="str">
        <f ca="1">IFERROR(__xludf.DUMMYFUNCTION("""COMPUTED_VALUE"""),"Linz-Wels")</f>
        <v>Linz-Wels</v>
      </c>
      <c r="B933" t="str">
        <f ca="1">IFERROR(__xludf.DUMMYFUNCTION("""COMPUTED_VALUE"""),"AT312")</f>
        <v>AT312</v>
      </c>
    </row>
    <row r="934" spans="1:2" ht="12.5" x14ac:dyDescent="0.25">
      <c r="A934" t="str">
        <f ca="1">IFERROR(__xludf.DUMMYFUNCTION("""COMPUTED_VALUE"""),"Lippe")</f>
        <v>Lippe</v>
      </c>
      <c r="B934" t="str">
        <f ca="1">IFERROR(__xludf.DUMMYFUNCTION("""COMPUTED_VALUE"""),"DEA45")</f>
        <v>DEA45</v>
      </c>
    </row>
    <row r="935" spans="1:2" ht="12.5" x14ac:dyDescent="0.25">
      <c r="A935" t="str">
        <f ca="1">IFERROR(__xludf.DUMMYFUNCTION("""COMPUTED_VALUE"""),"Lisboa")</f>
        <v>Lisboa</v>
      </c>
      <c r="B935" t="str">
        <f ca="1">IFERROR(__xludf.DUMMYFUNCTION("""COMPUTED_VALUE"""),"PT17")</f>
        <v>PT17</v>
      </c>
    </row>
    <row r="936" spans="1:2" ht="12.5" x14ac:dyDescent="0.25">
      <c r="A936" t="str">
        <f ca="1">IFERROR(__xludf.DUMMYFUNCTION("""COMPUTED_VALUE"""),"Liverpool")</f>
        <v>Liverpool</v>
      </c>
      <c r="B936" t="str">
        <f ca="1">IFERROR(__xludf.DUMMYFUNCTION("""COMPUTED_VALUE"""),"UKD52")</f>
        <v>UKD52</v>
      </c>
    </row>
    <row r="937" spans="1:2" ht="12.5" x14ac:dyDescent="0.25">
      <c r="A937" t="str">
        <f ca="1">IFERROR(__xludf.DUMMYFUNCTION("""COMPUTED_VALUE"""),"Livorno")</f>
        <v>Livorno</v>
      </c>
      <c r="B937" t="str">
        <f ca="1">IFERROR(__xludf.DUMMYFUNCTION("""COMPUTED_VALUE"""),"ITE16")</f>
        <v>ITE16</v>
      </c>
    </row>
    <row r="938" spans="1:2" ht="12.5" x14ac:dyDescent="0.25">
      <c r="A938" t="str">
        <f ca="1">IFERROR(__xludf.DUMMYFUNCTION("""COMPUTED_VALUE"""),"Lleida")</f>
        <v>Lleida</v>
      </c>
      <c r="B938" t="str">
        <f ca="1">IFERROR(__xludf.DUMMYFUNCTION("""COMPUTED_VALUE"""),"ES513")</f>
        <v>ES513</v>
      </c>
    </row>
    <row r="939" spans="1:2" ht="12.5" x14ac:dyDescent="0.25">
      <c r="A939" t="str">
        <f ca="1">IFERROR(__xludf.DUMMYFUNCTION("""COMPUTED_VALUE"""),"Löbau-Zittau")</f>
        <v>Löbau-Zittau</v>
      </c>
      <c r="B939" t="str">
        <f ca="1">IFERROR(__xludf.DUMMYFUNCTION("""COMPUTED_VALUE"""),"DED28")</f>
        <v>DED28</v>
      </c>
    </row>
    <row r="940" spans="1:2" ht="12.5" x14ac:dyDescent="0.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x14ac:dyDescent="0.25">
      <c r="A941" t="str">
        <f ca="1">IFERROR(__xludf.DUMMYFUNCTION("""COMPUTED_VALUE"""),"Lodi")</f>
        <v>Lodi</v>
      </c>
      <c r="B941" t="str">
        <f ca="1">IFERROR(__xludf.DUMMYFUNCTION("""COMPUTED_VALUE"""),"ITC49")</f>
        <v>ITC49</v>
      </c>
    </row>
    <row r="942" spans="1:2" ht="12.5" x14ac:dyDescent="0.25">
      <c r="A942" t="str">
        <f ca="1">IFERROR(__xludf.DUMMYFUNCTION("""COMPUTED_VALUE"""),"Lodzki")</f>
        <v>Lodzki</v>
      </c>
      <c r="B942" t="str">
        <f ca="1">IFERROR(__xludf.DUMMYFUNCTION("""COMPUTED_VALUE"""),"PL114")</f>
        <v>PL114</v>
      </c>
    </row>
    <row r="943" spans="1:2" ht="12.5" x14ac:dyDescent="0.25">
      <c r="A943" t="str">
        <f ca="1">IFERROR(__xludf.DUMMYFUNCTION("""COMPUTED_VALUE"""),"Lodzkie")</f>
        <v>Lodzkie</v>
      </c>
      <c r="B943" t="str">
        <f ca="1">IFERROR(__xludf.DUMMYFUNCTION("""COMPUTED_VALUE"""),"PL11")</f>
        <v>PL11</v>
      </c>
    </row>
    <row r="944" spans="1:2" ht="12.5" x14ac:dyDescent="0.25">
      <c r="A944" t="str">
        <f ca="1">IFERROR(__xludf.DUMMYFUNCTION("""COMPUTED_VALUE"""),"Loir-Et-Cher")</f>
        <v>Loir-Et-Cher</v>
      </c>
      <c r="B944" t="str">
        <f ca="1">IFERROR(__xludf.DUMMYFUNCTION("""COMPUTED_VALUE"""),"FR245")</f>
        <v>FR245</v>
      </c>
    </row>
    <row r="945" spans="1:2" ht="12.5" x14ac:dyDescent="0.25">
      <c r="A945" t="str">
        <f ca="1">IFERROR(__xludf.DUMMYFUNCTION("""COMPUTED_VALUE"""),"Loire")</f>
        <v>Loire</v>
      </c>
      <c r="B945" t="str">
        <f ca="1">IFERROR(__xludf.DUMMYFUNCTION("""COMPUTED_VALUE"""),"FR715")</f>
        <v>FR715</v>
      </c>
    </row>
    <row r="946" spans="1:2" ht="12.5" x14ac:dyDescent="0.25">
      <c r="A946" t="str">
        <f ca="1">IFERROR(__xludf.DUMMYFUNCTION("""COMPUTED_VALUE"""),"Loire-Atlantique")</f>
        <v>Loire-Atlantique</v>
      </c>
      <c r="B946" t="str">
        <f ca="1">IFERROR(__xludf.DUMMYFUNCTION("""COMPUTED_VALUE"""),"FR511")</f>
        <v>FR511</v>
      </c>
    </row>
    <row r="947" spans="1:2" ht="12.5" x14ac:dyDescent="0.25">
      <c r="A947" t="str">
        <f ca="1">IFERROR(__xludf.DUMMYFUNCTION("""COMPUTED_VALUE"""),"Loiret")</f>
        <v>Loiret</v>
      </c>
      <c r="B947" t="str">
        <f ca="1">IFERROR(__xludf.DUMMYFUNCTION("""COMPUTED_VALUE"""),"FR246")</f>
        <v>FR246</v>
      </c>
    </row>
    <row r="948" spans="1:2" ht="12.5" x14ac:dyDescent="0.25">
      <c r="A948" t="str">
        <f ca="1">IFERROR(__xludf.DUMMYFUNCTION("""COMPUTED_VALUE"""),"Lombardia")</f>
        <v>Lombardia</v>
      </c>
      <c r="B948" t="str">
        <f ca="1">IFERROR(__xludf.DUMMYFUNCTION("""COMPUTED_VALUE"""),"ITC4")</f>
        <v>ITC4</v>
      </c>
    </row>
    <row r="949" spans="1:2" ht="12.5" x14ac:dyDescent="0.25">
      <c r="A949" t="str">
        <f ca="1">IFERROR(__xludf.DUMMYFUNCTION("""COMPUTED_VALUE"""),"Lomzynski")</f>
        <v>Lomzynski</v>
      </c>
      <c r="B949" t="str">
        <f ca="1">IFERROR(__xludf.DUMMYFUNCTION("""COMPUTED_VALUE"""),"PL344")</f>
        <v>PL344</v>
      </c>
    </row>
    <row r="950" spans="1:2" ht="12.5" x14ac:dyDescent="0.25">
      <c r="A950" t="str">
        <f ca="1">IFERROR(__xludf.DUMMYFUNCTION("""COMPUTED_VALUE"""),"London")</f>
        <v>London</v>
      </c>
      <c r="B950" t="str">
        <f ca="1">IFERROR(__xludf.DUMMYFUNCTION("""COMPUTED_VALUE"""),"UKI")</f>
        <v>UKI</v>
      </c>
    </row>
    <row r="951" spans="1:2" ht="12.5" x14ac:dyDescent="0.25">
      <c r="A951" t="str">
        <f ca="1">IFERROR(__xludf.DUMMYFUNCTION("""COMPUTED_VALUE"""),"Lörrach")</f>
        <v>Lörrach</v>
      </c>
      <c r="B951" t="str">
        <f ca="1">IFERROR(__xludf.DUMMYFUNCTION("""COMPUTED_VALUE"""),"DE139")</f>
        <v>DE139</v>
      </c>
    </row>
    <row r="952" spans="1:2" ht="12.5" x14ac:dyDescent="0.25">
      <c r="A952" t="str">
        <f ca="1">IFERROR(__xludf.DUMMYFUNCTION("""COMPUTED_VALUE"""),"Lorraine")</f>
        <v>Lorraine</v>
      </c>
      <c r="B952" t="str">
        <f ca="1">IFERROR(__xludf.DUMMYFUNCTION("""COMPUTED_VALUE"""),"FR41")</f>
        <v>FR41</v>
      </c>
    </row>
    <row r="953" spans="1:2" ht="12.5" x14ac:dyDescent="0.25">
      <c r="A953" t="str">
        <f ca="1">IFERROR(__xludf.DUMMYFUNCTION("""COMPUTED_VALUE"""),"Lot")</f>
        <v>Lot</v>
      </c>
      <c r="B953" t="str">
        <f ca="1">IFERROR(__xludf.DUMMYFUNCTION("""COMPUTED_VALUE"""),"FR625")</f>
        <v>FR625</v>
      </c>
    </row>
    <row r="954" spans="1:2" ht="12.5" x14ac:dyDescent="0.25">
      <c r="A954" t="str">
        <f ca="1">IFERROR(__xludf.DUMMYFUNCTION("""COMPUTED_VALUE"""),"Lot-Et-Garonne")</f>
        <v>Lot-Et-Garonne</v>
      </c>
      <c r="B954" t="str">
        <f ca="1">IFERROR(__xludf.DUMMYFUNCTION("""COMPUTED_VALUE"""),"FR614")</f>
        <v>FR614</v>
      </c>
    </row>
    <row r="955" spans="1:2" ht="12.5" x14ac:dyDescent="0.25">
      <c r="A955" t="str">
        <f ca="1">IFERROR(__xludf.DUMMYFUNCTION("""COMPUTED_VALUE"""),"Lõuna-Eesti")</f>
        <v>Lõuna-Eesti</v>
      </c>
      <c r="B955" t="str">
        <f ca="1">IFERROR(__xludf.DUMMYFUNCTION("""COMPUTED_VALUE"""),"EE008")</f>
        <v>EE008</v>
      </c>
    </row>
    <row r="956" spans="1:2" ht="12.5" x14ac:dyDescent="0.25">
      <c r="A956" t="str">
        <f ca="1">IFERROR(__xludf.DUMMYFUNCTION("""COMPUTED_VALUE"""),"Lovech")</f>
        <v>Lovech</v>
      </c>
      <c r="B956" t="str">
        <f ca="1">IFERROR(__xludf.DUMMYFUNCTION("""COMPUTED_VALUE"""),"BG315")</f>
        <v>BG315</v>
      </c>
    </row>
    <row r="957" spans="1:2" ht="12.5" x14ac:dyDescent="0.25">
      <c r="A957" t="str">
        <f ca="1">IFERROR(__xludf.DUMMYFUNCTION("""COMPUTED_VALUE"""),"Lozère")</f>
        <v>Lozère</v>
      </c>
      <c r="B957" t="str">
        <f ca="1">IFERROR(__xludf.DUMMYFUNCTION("""COMPUTED_VALUE"""),"FR814")</f>
        <v>FR814</v>
      </c>
    </row>
    <row r="958" spans="1:2" ht="12.5" x14ac:dyDescent="0.25">
      <c r="A958" t="str">
        <f ca="1">IFERROR(__xludf.DUMMYFUNCTION("""COMPUTED_VALUE"""),"Lübeck, Kreisfreie Stadt")</f>
        <v>Lübeck, Kreisfreie Stadt</v>
      </c>
      <c r="B958" t="str">
        <f ca="1">IFERROR(__xludf.DUMMYFUNCTION("""COMPUTED_VALUE"""),"DEF03")</f>
        <v>DEF03</v>
      </c>
    </row>
    <row r="959" spans="1:2" ht="12.5" x14ac:dyDescent="0.25">
      <c r="A959" t="str">
        <f ca="1">IFERROR(__xludf.DUMMYFUNCTION("""COMPUTED_VALUE"""),"Lubelski")</f>
        <v>Lubelski</v>
      </c>
      <c r="B959" t="str">
        <f ca="1">IFERROR(__xludf.DUMMYFUNCTION("""COMPUTED_VALUE"""),"PL314")</f>
        <v>PL314</v>
      </c>
    </row>
    <row r="960" spans="1:2" ht="12.5" x14ac:dyDescent="0.25">
      <c r="A960" t="str">
        <f ca="1">IFERROR(__xludf.DUMMYFUNCTION("""COMPUTED_VALUE"""),"Lubelskie")</f>
        <v>Lubelskie</v>
      </c>
      <c r="B960" t="str">
        <f ca="1">IFERROR(__xludf.DUMMYFUNCTION("""COMPUTED_VALUE"""),"PL31")</f>
        <v>PL31</v>
      </c>
    </row>
    <row r="961" spans="1:2" ht="12.5" x14ac:dyDescent="0.25">
      <c r="A961" t="str">
        <f ca="1">IFERROR(__xludf.DUMMYFUNCTION("""COMPUTED_VALUE"""),"Lubuskie")</f>
        <v>Lubuskie</v>
      </c>
      <c r="B961" t="str">
        <f ca="1">IFERROR(__xludf.DUMMYFUNCTION("""COMPUTED_VALUE"""),"PL43")</f>
        <v>PL43</v>
      </c>
    </row>
    <row r="962" spans="1:2" ht="12.5" x14ac:dyDescent="0.25">
      <c r="A962" t="str">
        <f ca="1">IFERROR(__xludf.DUMMYFUNCTION("""COMPUTED_VALUE"""),"Lucca")</f>
        <v>Lucca</v>
      </c>
      <c r="B962" t="str">
        <f ca="1">IFERROR(__xludf.DUMMYFUNCTION("""COMPUTED_VALUE"""),"ITE12")</f>
        <v>ITE12</v>
      </c>
    </row>
    <row r="963" spans="1:2" ht="12.5" x14ac:dyDescent="0.25">
      <c r="A963" t="str">
        <f ca="1">IFERROR(__xludf.DUMMYFUNCTION("""COMPUTED_VALUE"""),"Lüchow-Dannenberg")</f>
        <v>Lüchow-Dannenberg</v>
      </c>
      <c r="B963" t="str">
        <f ca="1">IFERROR(__xludf.DUMMYFUNCTION("""COMPUTED_VALUE"""),"DE934")</f>
        <v>DE934</v>
      </c>
    </row>
    <row r="964" spans="1:2" ht="12.5" x14ac:dyDescent="0.25">
      <c r="A964" t="str">
        <f ca="1">IFERROR(__xludf.DUMMYFUNCTION("""COMPUTED_VALUE"""),"Ludwigsburg")</f>
        <v>Ludwigsburg</v>
      </c>
      <c r="B964" t="str">
        <f ca="1">IFERROR(__xludf.DUMMYFUNCTION("""COMPUTED_VALUE"""),"DE115")</f>
        <v>DE115</v>
      </c>
    </row>
    <row r="965" spans="1:2" ht="12.5" x14ac:dyDescent="0.25">
      <c r="A965" t="str">
        <f ca="1">IFERROR(__xludf.DUMMYFUNCTION("""COMPUTED_VALUE"""),"Ludwigshafen Am Rhein, Kreisfreie Stadt")</f>
        <v>Ludwigshafen Am Rhein, Kreisfreie Stadt</v>
      </c>
      <c r="B965" t="str">
        <f ca="1">IFERROR(__xludf.DUMMYFUNCTION("""COMPUTED_VALUE"""),"DEB34")</f>
        <v>DEB34</v>
      </c>
    </row>
    <row r="966" spans="1:2" ht="12.5" x14ac:dyDescent="0.25">
      <c r="A966" t="str">
        <f ca="1">IFERROR(__xludf.DUMMYFUNCTION("""COMPUTED_VALUE"""),"Ludwigslust")</f>
        <v>Ludwigslust</v>
      </c>
      <c r="B966" t="str">
        <f ca="1">IFERROR(__xludf.DUMMYFUNCTION("""COMPUTED_VALUE"""),"DE80A")</f>
        <v>DE80A</v>
      </c>
    </row>
    <row r="967" spans="1:2" ht="12.5" x14ac:dyDescent="0.25">
      <c r="A967" t="str">
        <f ca="1">IFERROR(__xludf.DUMMYFUNCTION("""COMPUTED_VALUE"""),"Lugo")</f>
        <v>Lugo</v>
      </c>
      <c r="B967" t="str">
        <f ca="1">IFERROR(__xludf.DUMMYFUNCTION("""COMPUTED_VALUE"""),"ES112")</f>
        <v>ES112</v>
      </c>
    </row>
    <row r="968" spans="1:2" ht="12.5" x14ac:dyDescent="0.25">
      <c r="A968" t="str">
        <f ca="1">IFERROR(__xludf.DUMMYFUNCTION("""COMPUTED_VALUE"""),"Lüneburg")</f>
        <v>Lüneburg</v>
      </c>
      <c r="B968" t="str">
        <f ca="1">IFERROR(__xludf.DUMMYFUNCTION("""COMPUTED_VALUE"""),"DE93")</f>
        <v>DE93</v>
      </c>
    </row>
    <row r="969" spans="1:2" ht="12.5" x14ac:dyDescent="0.25">
      <c r="A969" t="str">
        <f ca="1">IFERROR(__xludf.DUMMYFUNCTION("""COMPUTED_VALUE"""),"Lüneburg, Landkreis")</f>
        <v>Lüneburg, Landkreis</v>
      </c>
      <c r="B969" t="str">
        <f ca="1">IFERROR(__xludf.DUMMYFUNCTION("""COMPUTED_VALUE"""),"DE935")</f>
        <v>DE935</v>
      </c>
    </row>
    <row r="970" spans="1:2" ht="12.5" x14ac:dyDescent="0.25">
      <c r="A970" t="str">
        <f ca="1">IFERROR(__xludf.DUMMYFUNCTION("""COMPUTED_VALUE"""),"Lungau")</f>
        <v>Lungau</v>
      </c>
      <c r="B970" t="str">
        <f ca="1">IFERROR(__xludf.DUMMYFUNCTION("""COMPUTED_VALUE"""),"AT321")</f>
        <v>AT321</v>
      </c>
    </row>
    <row r="971" spans="1:2" ht="12.5" x14ac:dyDescent="0.25">
      <c r="A971" t="str">
        <f ca="1">IFERROR(__xludf.DUMMYFUNCTION("""COMPUTED_VALUE"""),"Luton")</f>
        <v>Luton</v>
      </c>
      <c r="B971" t="str">
        <f ca="1">IFERROR(__xludf.DUMMYFUNCTION("""COMPUTED_VALUE"""),"UKH21")</f>
        <v>UKH21</v>
      </c>
    </row>
    <row r="972" spans="1:2" ht="12.5" x14ac:dyDescent="0.25">
      <c r="A972" t="str">
        <f ca="1">IFERROR(__xludf.DUMMYFUNCTION("""COMPUTED_VALUE"""),"Luxembourg (Grand-Duché)")</f>
        <v>Luxembourg (Grand-Duché)</v>
      </c>
      <c r="B972" t="str">
        <f ca="1">IFERROR(__xludf.DUMMYFUNCTION("""COMPUTED_VALUE"""),"LU")</f>
        <v>LU</v>
      </c>
    </row>
    <row r="973" spans="1:2" ht="12.5" x14ac:dyDescent="0.25">
      <c r="A973" t="str">
        <f ca="1">IFERROR(__xludf.DUMMYFUNCTION("""COMPUTED_VALUE"""),"Luxembourg (Grand-Duché) (*)")</f>
        <v>Luxembourg (Grand-Duché) (*)</v>
      </c>
      <c r="B973" t="str">
        <f ca="1">IFERROR(__xludf.DUMMYFUNCTION("""COMPUTED_VALUE"""),"LU0")</f>
        <v>LU0</v>
      </c>
    </row>
    <row r="974" spans="1:2" ht="12.5" x14ac:dyDescent="0.25">
      <c r="A974" t="str">
        <f ca="1">IFERROR(__xludf.DUMMYFUNCTION("""COMPUTED_VALUE"""),"Luxembourg (Grand-Duché) (**)")</f>
        <v>Luxembourg (Grand-Duché) (**)</v>
      </c>
      <c r="B974" t="str">
        <f ca="1">IFERROR(__xludf.DUMMYFUNCTION("""COMPUTED_VALUE"""),"LU00")</f>
        <v>LU00</v>
      </c>
    </row>
    <row r="975" spans="1:2" ht="12.5" x14ac:dyDescent="0.25">
      <c r="A975" t="str">
        <f ca="1">IFERROR(__xludf.DUMMYFUNCTION("""COMPUTED_VALUE"""),"Luxembourg (Grand-Duché) (***)")</f>
        <v>Luxembourg (Grand-Duché) (***)</v>
      </c>
      <c r="B975" t="str">
        <f ca="1">IFERROR(__xludf.DUMMYFUNCTION("""COMPUTED_VALUE"""),"LU000")</f>
        <v>LU000</v>
      </c>
    </row>
    <row r="976" spans="1:2" ht="12.5" x14ac:dyDescent="0.25">
      <c r="A976" t="str">
        <f ca="1">IFERROR(__xludf.DUMMYFUNCTION("""COMPUTED_VALUE"""),"Luzern")</f>
        <v>Luzern</v>
      </c>
      <c r="B976" t="str">
        <f ca="1">IFERROR(__xludf.DUMMYFUNCTION("""COMPUTED_VALUE"""),"CH061")</f>
        <v>CH061</v>
      </c>
    </row>
    <row r="977" spans="1:2" ht="12.5" x14ac:dyDescent="0.25">
      <c r="A977" t="str">
        <f ca="1">IFERROR(__xludf.DUMMYFUNCTION("""COMPUTED_VALUE"""),"Macerata")</f>
        <v>Macerata</v>
      </c>
      <c r="B977" t="str">
        <f ca="1">IFERROR(__xludf.DUMMYFUNCTION("""COMPUTED_VALUE"""),"ITE33")</f>
        <v>ITE33</v>
      </c>
    </row>
    <row r="978" spans="1:2" ht="12.5" x14ac:dyDescent="0.25">
      <c r="A978" t="str">
        <f ca="1">IFERROR(__xludf.DUMMYFUNCTION("""COMPUTED_VALUE"""),"Macroregiunea Doi")</f>
        <v>Macroregiunea Doi</v>
      </c>
      <c r="B978" t="str">
        <f ca="1">IFERROR(__xludf.DUMMYFUNCTION("""COMPUTED_VALUE"""),"RO2")</f>
        <v>RO2</v>
      </c>
    </row>
    <row r="979" spans="1:2" ht="12.5" x14ac:dyDescent="0.25">
      <c r="A979" t="str">
        <f ca="1">IFERROR(__xludf.DUMMYFUNCTION("""COMPUTED_VALUE"""),"Macroregiunea Patru")</f>
        <v>Macroregiunea Patru</v>
      </c>
      <c r="B979" t="str">
        <f ca="1">IFERROR(__xludf.DUMMYFUNCTION("""COMPUTED_VALUE"""),"RO4")</f>
        <v>RO4</v>
      </c>
    </row>
    <row r="980" spans="1:2" ht="12.5" x14ac:dyDescent="0.25">
      <c r="A980" t="str">
        <f ca="1">IFERROR(__xludf.DUMMYFUNCTION("""COMPUTED_VALUE"""),"Macroregiunea Trei")</f>
        <v>Macroregiunea Trei</v>
      </c>
      <c r="B980" t="str">
        <f ca="1">IFERROR(__xludf.DUMMYFUNCTION("""COMPUTED_VALUE"""),"RO3")</f>
        <v>RO3</v>
      </c>
    </row>
    <row r="981" spans="1:2" ht="12.5" x14ac:dyDescent="0.25">
      <c r="A981" t="str">
        <f ca="1">IFERROR(__xludf.DUMMYFUNCTION("""COMPUTED_VALUE"""),"Macroregiunea Unu")</f>
        <v>Macroregiunea Unu</v>
      </c>
      <c r="B981" t="str">
        <f ca="1">IFERROR(__xludf.DUMMYFUNCTION("""COMPUTED_VALUE"""),"RO1")</f>
        <v>RO1</v>
      </c>
    </row>
    <row r="982" spans="1:2" ht="12.5" x14ac:dyDescent="0.25">
      <c r="A982" t="str">
        <f ca="1">IFERROR(__xludf.DUMMYFUNCTION("""COMPUTED_VALUE"""),"Madrid")</f>
        <v>Madrid</v>
      </c>
      <c r="B982" t="str">
        <f ca="1">IFERROR(__xludf.DUMMYFUNCTION("""COMPUTED_VALUE"""),"ES300")</f>
        <v>ES300</v>
      </c>
    </row>
    <row r="983" spans="1:2" ht="12.5" x14ac:dyDescent="0.25">
      <c r="A983" t="str">
        <f ca="1">IFERROR(__xludf.DUMMYFUNCTION("""COMPUTED_VALUE"""),"Magdeburg, Kreisfreie Stadt")</f>
        <v>Magdeburg, Kreisfreie Stadt</v>
      </c>
      <c r="B983" t="str">
        <f ca="1">IFERROR(__xludf.DUMMYFUNCTION("""COMPUTED_VALUE"""),"DEE03")</f>
        <v>DEE03</v>
      </c>
    </row>
    <row r="984" spans="1:2" ht="12.5" x14ac:dyDescent="0.25">
      <c r="A984" t="str">
        <f ca="1">IFERROR(__xludf.DUMMYFUNCTION("""COMPUTED_VALUE"""),"Magnisia")</f>
        <v>Magnisia</v>
      </c>
      <c r="B984" t="str">
        <f ca="1">IFERROR(__xludf.DUMMYFUNCTION("""COMPUTED_VALUE"""),"GR143")</f>
        <v>GR143</v>
      </c>
    </row>
    <row r="985" spans="1:2" ht="12.5" x14ac:dyDescent="0.25">
      <c r="A985" t="str">
        <f ca="1">IFERROR(__xludf.DUMMYFUNCTION("""COMPUTED_VALUE"""),"Magyarorszag")</f>
        <v>Magyarorszag</v>
      </c>
      <c r="B985" t="str">
        <f ca="1">IFERROR(__xludf.DUMMYFUNCTION("""COMPUTED_VALUE"""),"HU")</f>
        <v>HU</v>
      </c>
    </row>
    <row r="986" spans="1:2" ht="12.5" x14ac:dyDescent="0.25">
      <c r="A986" t="str">
        <f ca="1">IFERROR(__xludf.DUMMYFUNCTION("""COMPUTED_VALUE"""),"Main-Kinzig-Kreis")</f>
        <v>Main-Kinzig-Kreis</v>
      </c>
      <c r="B986" t="str">
        <f ca="1">IFERROR(__xludf.DUMMYFUNCTION("""COMPUTED_VALUE"""),"DE719")</f>
        <v>DE719</v>
      </c>
    </row>
    <row r="987" spans="1:2" ht="12.5" x14ac:dyDescent="0.25">
      <c r="A987" t="str">
        <f ca="1">IFERROR(__xludf.DUMMYFUNCTION("""COMPUTED_VALUE"""),"Main-Spessart")</f>
        <v>Main-Spessart</v>
      </c>
      <c r="B987" t="str">
        <f ca="1">IFERROR(__xludf.DUMMYFUNCTION("""COMPUTED_VALUE"""),"DE26A")</f>
        <v>DE26A</v>
      </c>
    </row>
    <row r="988" spans="1:2" ht="12.5" x14ac:dyDescent="0.25">
      <c r="A988" t="str">
        <f ca="1">IFERROR(__xludf.DUMMYFUNCTION("""COMPUTED_VALUE"""),"Main-Tauber-Kreis")</f>
        <v>Main-Tauber-Kreis</v>
      </c>
      <c r="B988" t="str">
        <f ca="1">IFERROR(__xludf.DUMMYFUNCTION("""COMPUTED_VALUE"""),"DE11B")</f>
        <v>DE11B</v>
      </c>
    </row>
    <row r="989" spans="1:2" ht="12.5" x14ac:dyDescent="0.25">
      <c r="A989" t="str">
        <f ca="1">IFERROR(__xludf.DUMMYFUNCTION("""COMPUTED_VALUE"""),"Main-Taunus-Kreis")</f>
        <v>Main-Taunus-Kreis</v>
      </c>
      <c r="B989" t="str">
        <f ca="1">IFERROR(__xludf.DUMMYFUNCTION("""COMPUTED_VALUE"""),"DE71A")</f>
        <v>DE71A</v>
      </c>
    </row>
    <row r="990" spans="1:2" ht="12.5" x14ac:dyDescent="0.25">
      <c r="A990" t="str">
        <f ca="1">IFERROR(__xludf.DUMMYFUNCTION("""COMPUTED_VALUE"""),"Maine-Et-Loire")</f>
        <v>Maine-Et-Loire</v>
      </c>
      <c r="B990" t="str">
        <f ca="1">IFERROR(__xludf.DUMMYFUNCTION("""COMPUTED_VALUE"""),"FR512")</f>
        <v>FR512</v>
      </c>
    </row>
    <row r="991" spans="1:2" ht="12.5" x14ac:dyDescent="0.25">
      <c r="A991" t="str">
        <f ca="1">IFERROR(__xludf.DUMMYFUNCTION("""COMPUTED_VALUE"""),"Mainz-Bingen")</f>
        <v>Mainz-Bingen</v>
      </c>
      <c r="B991" t="str">
        <f ca="1">IFERROR(__xludf.DUMMYFUNCTION("""COMPUTED_VALUE"""),"DEB3J")</f>
        <v>DEB3J</v>
      </c>
    </row>
    <row r="992" spans="1:2" ht="12.5" x14ac:dyDescent="0.25">
      <c r="A992" t="str">
        <f ca="1">IFERROR(__xludf.DUMMYFUNCTION("""COMPUTED_VALUE"""),"Mainz, Kreisfreie Stadt")</f>
        <v>Mainz, Kreisfreie Stadt</v>
      </c>
      <c r="B992" t="str">
        <f ca="1">IFERROR(__xludf.DUMMYFUNCTION("""COMPUTED_VALUE"""),"DEB35")</f>
        <v>DEB35</v>
      </c>
    </row>
    <row r="993" spans="1:2" ht="12.5" x14ac:dyDescent="0.25">
      <c r="A993" t="str">
        <f ca="1">IFERROR(__xludf.DUMMYFUNCTION("""COMPUTED_VALUE"""),"Málaga")</f>
        <v>Málaga</v>
      </c>
      <c r="B993" t="str">
        <f ca="1">IFERROR(__xludf.DUMMYFUNCTION("""COMPUTED_VALUE"""),"ES617")</f>
        <v>ES617</v>
      </c>
    </row>
    <row r="994" spans="1:2" ht="12.5" x14ac:dyDescent="0.25">
      <c r="A994" t="str">
        <f ca="1">IFERROR(__xludf.DUMMYFUNCTION("""COMPUTED_VALUE"""),"Mallorca")</f>
        <v>Mallorca</v>
      </c>
      <c r="B994" t="str">
        <f ca="1">IFERROR(__xludf.DUMMYFUNCTION("""COMPUTED_VALUE"""),"ES532")</f>
        <v>ES532</v>
      </c>
    </row>
    <row r="995" spans="1:2" ht="12.5" x14ac:dyDescent="0.25">
      <c r="A995" t="str">
        <f ca="1">IFERROR(__xludf.DUMMYFUNCTION("""COMPUTED_VALUE"""),"Malopolskie")</f>
        <v>Malopolskie</v>
      </c>
      <c r="B995" t="str">
        <f ca="1">IFERROR(__xludf.DUMMYFUNCTION("""COMPUTED_VALUE"""),"PL21")</f>
        <v>PL21</v>
      </c>
    </row>
    <row r="996" spans="1:2" ht="12.5" x14ac:dyDescent="0.25">
      <c r="A996" t="str">
        <f ca="1">IFERROR(__xludf.DUMMYFUNCTION("""COMPUTED_VALUE"""),"Malta")</f>
        <v>Malta</v>
      </c>
      <c r="B996" t="str">
        <f ca="1">IFERROR(__xludf.DUMMYFUNCTION("""COMPUTED_VALUE"""),"MT")</f>
        <v>MT</v>
      </c>
    </row>
    <row r="997" spans="1:2" ht="12.5" x14ac:dyDescent="0.25">
      <c r="A997" t="str">
        <f ca="1">IFERROR(__xludf.DUMMYFUNCTION("""COMPUTED_VALUE"""),"Malta (*)")</f>
        <v>Malta (*)</v>
      </c>
      <c r="B997" t="str">
        <f ca="1">IFERROR(__xludf.DUMMYFUNCTION("""COMPUTED_VALUE"""),"MT0")</f>
        <v>MT0</v>
      </c>
    </row>
    <row r="998" spans="1:2" ht="12.5" x14ac:dyDescent="0.25">
      <c r="A998" t="str">
        <f ca="1">IFERROR(__xludf.DUMMYFUNCTION("""COMPUTED_VALUE"""),"Malta (**)")</f>
        <v>Malta (**)</v>
      </c>
      <c r="B998" t="str">
        <f ca="1">IFERROR(__xludf.DUMMYFUNCTION("""COMPUTED_VALUE"""),"MT00")</f>
        <v>MT00</v>
      </c>
    </row>
    <row r="999" spans="1:2" ht="12.5" x14ac:dyDescent="0.25">
      <c r="A999" t="str">
        <f ca="1">IFERROR(__xludf.DUMMYFUNCTION("""COMPUTED_VALUE"""),"Malta (***)")</f>
        <v>Malta (***)</v>
      </c>
      <c r="B999" t="str">
        <f ca="1">IFERROR(__xludf.DUMMYFUNCTION("""COMPUTED_VALUE"""),"MT001")</f>
        <v>MT001</v>
      </c>
    </row>
    <row r="1000" spans="1:2" ht="12.5" x14ac:dyDescent="0.25">
      <c r="A1000" t="str">
        <f ca="1">IFERROR(__xludf.DUMMYFUNCTION("""COMPUTED_VALUE"""),"Manche")</f>
        <v>Manche</v>
      </c>
      <c r="B1000" t="str">
        <f ca="1">IFERROR(__xludf.DUMMYFUNCTION("""COMPUTED_VALUE"""),"FR252")</f>
        <v>FR252</v>
      </c>
    </row>
    <row r="1001" spans="1:2" ht="12.5" x14ac:dyDescent="0.25">
      <c r="A1001" t="str">
        <f ca="1">IFERROR(__xludf.DUMMYFUNCTION("""COMPUTED_VALUE"""),"Manner-Suomi")</f>
        <v>Manner-Suomi</v>
      </c>
      <c r="B1001" t="str">
        <f ca="1">IFERROR(__xludf.DUMMYFUNCTION("""COMPUTED_VALUE"""),"FI1")</f>
        <v>FI1</v>
      </c>
    </row>
    <row r="1002" spans="1:2" ht="12.5" x14ac:dyDescent="0.25">
      <c r="A1002" t="str">
        <f ca="1">IFERROR(__xludf.DUMMYFUNCTION("""COMPUTED_VALUE"""),"Mannheim, Stadtkreis")</f>
        <v>Mannheim, Stadtkreis</v>
      </c>
      <c r="B1002" t="str">
        <f ca="1">IFERROR(__xludf.DUMMYFUNCTION("""COMPUTED_VALUE"""),"DE126")</f>
        <v>DE126</v>
      </c>
    </row>
    <row r="1003" spans="1:2" ht="12.5" x14ac:dyDescent="0.25">
      <c r="A1003" t="str">
        <f ca="1">IFERROR(__xludf.DUMMYFUNCTION("""COMPUTED_VALUE"""),"Mansfeld-Südharz")</f>
        <v>Mansfeld-Südharz</v>
      </c>
      <c r="B1003" t="str">
        <f ca="1">IFERROR(__xludf.DUMMYFUNCTION("""COMPUTED_VALUE"""),"DEE0A")</f>
        <v>DEE0A</v>
      </c>
    </row>
    <row r="1004" spans="1:2" ht="12.5" x14ac:dyDescent="0.25">
      <c r="A1004" t="str">
        <f ca="1">IFERROR(__xludf.DUMMYFUNCTION("""COMPUTED_VALUE"""),"Mantova")</f>
        <v>Mantova</v>
      </c>
      <c r="B1004" t="str">
        <f ca="1">IFERROR(__xludf.DUMMYFUNCTION("""COMPUTED_VALUE"""),"ITC4B")</f>
        <v>ITC4B</v>
      </c>
    </row>
    <row r="1005" spans="1:2" ht="12.5" x14ac:dyDescent="0.25">
      <c r="A1005" t="str">
        <f ca="1">IFERROR(__xludf.DUMMYFUNCTION("""COMPUTED_VALUE"""),"Maramures")</f>
        <v>Maramures</v>
      </c>
      <c r="B1005" t="str">
        <f ca="1">IFERROR(__xludf.DUMMYFUNCTION("""COMPUTED_VALUE"""),"RO114")</f>
        <v>RO114</v>
      </c>
    </row>
    <row r="1006" spans="1:2" ht="12.5" x14ac:dyDescent="0.25">
      <c r="A1006" t="str">
        <f ca="1">IFERROR(__xludf.DUMMYFUNCTION("""COMPUTED_VALUE"""),"Marburg-Biedenkopf")</f>
        <v>Marburg-Biedenkopf</v>
      </c>
      <c r="B1006" t="str">
        <f ca="1">IFERROR(__xludf.DUMMYFUNCTION("""COMPUTED_VALUE"""),"DE724")</f>
        <v>DE724</v>
      </c>
    </row>
    <row r="1007" spans="1:2" ht="12.5" x14ac:dyDescent="0.25">
      <c r="A1007" t="str">
        <f ca="1">IFERROR(__xludf.DUMMYFUNCTION("""COMPUTED_VALUE"""),"Marche")</f>
        <v>Marche</v>
      </c>
      <c r="B1007" t="str">
        <f ca="1">IFERROR(__xludf.DUMMYFUNCTION("""COMPUTED_VALUE"""),"ITE3")</f>
        <v>ITE3</v>
      </c>
    </row>
    <row r="1008" spans="1:2" ht="12.5" x14ac:dyDescent="0.25">
      <c r="A1008" t="str">
        <f ca="1">IFERROR(__xludf.DUMMYFUNCTION("""COMPUTED_VALUE"""),"Marijampoles Apskritis")</f>
        <v>Marijampoles Apskritis</v>
      </c>
      <c r="B1008" t="str">
        <f ca="1">IFERROR(__xludf.DUMMYFUNCTION("""COMPUTED_VALUE"""),"LT004")</f>
        <v>LT004</v>
      </c>
    </row>
    <row r="1009" spans="1:2" ht="12.5" x14ac:dyDescent="0.25">
      <c r="A1009" t="str">
        <f ca="1">IFERROR(__xludf.DUMMYFUNCTION("""COMPUTED_VALUE"""),"Märkisch-Oderland")</f>
        <v>Märkisch-Oderland</v>
      </c>
      <c r="B1009" t="str">
        <f ca="1">IFERROR(__xludf.DUMMYFUNCTION("""COMPUTED_VALUE"""),"DE413")</f>
        <v>DE413</v>
      </c>
    </row>
    <row r="1010" spans="1:2" ht="12.5" x14ac:dyDescent="0.25">
      <c r="A1010" t="str">
        <f ca="1">IFERROR(__xludf.DUMMYFUNCTION("""COMPUTED_VALUE"""),"Märkischer Kreis")</f>
        <v>Märkischer Kreis</v>
      </c>
      <c r="B1010" t="str">
        <f ca="1">IFERROR(__xludf.DUMMYFUNCTION("""COMPUTED_VALUE"""),"DEA58")</f>
        <v>DEA58</v>
      </c>
    </row>
    <row r="1011" spans="1:2" ht="12.5" x14ac:dyDescent="0.25">
      <c r="A1011" t="str">
        <f ca="1">IFERROR(__xludf.DUMMYFUNCTION("""COMPUTED_VALUE"""),"Marne")</f>
        <v>Marne</v>
      </c>
      <c r="B1011" t="str">
        <f ca="1">IFERROR(__xludf.DUMMYFUNCTION("""COMPUTED_VALUE"""),"FR213")</f>
        <v>FR213</v>
      </c>
    </row>
    <row r="1012" spans="1:2" ht="12.5" x14ac:dyDescent="0.25">
      <c r="A1012" t="str">
        <f ca="1">IFERROR(__xludf.DUMMYFUNCTION("""COMPUTED_VALUE"""),"Martinique")</f>
        <v>Martinique</v>
      </c>
      <c r="B1012" t="str">
        <f ca="1">IFERROR(__xludf.DUMMYFUNCTION("""COMPUTED_VALUE"""),"FR92")</f>
        <v>FR92</v>
      </c>
    </row>
    <row r="1013" spans="1:2" ht="12.5" x14ac:dyDescent="0.25">
      <c r="A1013" t="str">
        <f ca="1">IFERROR(__xludf.DUMMYFUNCTION("""COMPUTED_VALUE"""),"Martinique (*)")</f>
        <v>Martinique (*)</v>
      </c>
      <c r="B1013" t="str">
        <f ca="1">IFERROR(__xludf.DUMMYFUNCTION("""COMPUTED_VALUE"""),"FR920")</f>
        <v>FR920</v>
      </c>
    </row>
    <row r="1014" spans="1:2" ht="12.5" x14ac:dyDescent="0.25">
      <c r="A1014" t="str">
        <f ca="1">IFERROR(__xludf.DUMMYFUNCTION("""COMPUTED_VALUE"""),"Massa-Carrara")</f>
        <v>Massa-Carrara</v>
      </c>
      <c r="B1014" t="str">
        <f ca="1">IFERROR(__xludf.DUMMYFUNCTION("""COMPUTED_VALUE"""),"ITE11")</f>
        <v>ITE11</v>
      </c>
    </row>
    <row r="1015" spans="1:2" ht="12.5" x14ac:dyDescent="0.25">
      <c r="A1015" t="str">
        <f ca="1">IFERROR(__xludf.DUMMYFUNCTION("""COMPUTED_VALUE"""),"Matera")</f>
        <v>Matera</v>
      </c>
      <c r="B1015" t="str">
        <f ca="1">IFERROR(__xludf.DUMMYFUNCTION("""COMPUTED_VALUE"""),"ITF52")</f>
        <v>ITF52</v>
      </c>
    </row>
    <row r="1016" spans="1:2" ht="12.5" x14ac:dyDescent="0.25">
      <c r="A1016" t="str">
        <f ca="1">IFERROR(__xludf.DUMMYFUNCTION("""COMPUTED_VALUE"""),"Mayen-Koblenz")</f>
        <v>Mayen-Koblenz</v>
      </c>
      <c r="B1016" t="str">
        <f ca="1">IFERROR(__xludf.DUMMYFUNCTION("""COMPUTED_VALUE"""),"DEB17")</f>
        <v>DEB17</v>
      </c>
    </row>
    <row r="1017" spans="1:2" ht="12.5" x14ac:dyDescent="0.25">
      <c r="A1017" t="str">
        <f ca="1">IFERROR(__xludf.DUMMYFUNCTION("""COMPUTED_VALUE"""),"Mayenne")</f>
        <v>Mayenne</v>
      </c>
      <c r="B1017" t="str">
        <f ca="1">IFERROR(__xludf.DUMMYFUNCTION("""COMPUTED_VALUE"""),"FR513")</f>
        <v>FR513</v>
      </c>
    </row>
    <row r="1018" spans="1:2" ht="12.5" x14ac:dyDescent="0.25">
      <c r="A1018" t="str">
        <f ca="1">IFERROR(__xludf.DUMMYFUNCTION("""COMPUTED_VALUE"""),"Mazowieckie")</f>
        <v>Mazowieckie</v>
      </c>
      <c r="B1018" t="str">
        <f ca="1">IFERROR(__xludf.DUMMYFUNCTION("""COMPUTED_VALUE"""),"PL12")</f>
        <v>PL12</v>
      </c>
    </row>
    <row r="1019" spans="1:2" ht="12.5" x14ac:dyDescent="0.25">
      <c r="A1019" t="str">
        <f ca="1">IFERROR(__xludf.DUMMYFUNCTION("""COMPUTED_VALUE"""),"Mecklenburg-Strelitz")</f>
        <v>Mecklenburg-Strelitz</v>
      </c>
      <c r="B1019" t="str">
        <f ca="1">IFERROR(__xludf.DUMMYFUNCTION("""COMPUTED_VALUE"""),"DE80B")</f>
        <v>DE80B</v>
      </c>
    </row>
    <row r="1020" spans="1:2" ht="12.5" x14ac:dyDescent="0.25">
      <c r="A1020" t="str">
        <f ca="1">IFERROR(__xludf.DUMMYFUNCTION("""COMPUTED_VALUE"""),"Mecklenburg-Vorpommern")</f>
        <v>Mecklenburg-Vorpommern</v>
      </c>
      <c r="B1020" t="str">
        <f ca="1">IFERROR(__xludf.DUMMYFUNCTION("""COMPUTED_VALUE"""),"DE8")</f>
        <v>DE8</v>
      </c>
    </row>
    <row r="1021" spans="1:2" ht="12.5" x14ac:dyDescent="0.25">
      <c r="A1021" t="str">
        <f ca="1">IFERROR(__xludf.DUMMYFUNCTION("""COMPUTED_VALUE"""),"Mecklenburg-Vorpommern (*)")</f>
        <v>Mecklenburg-Vorpommern (*)</v>
      </c>
      <c r="B1021" t="str">
        <f ca="1">IFERROR(__xludf.DUMMYFUNCTION("""COMPUTED_VALUE"""),"DE80")</f>
        <v>DE80</v>
      </c>
    </row>
    <row r="1022" spans="1:2" ht="12.5" x14ac:dyDescent="0.25">
      <c r="A1022" t="str">
        <f ca="1">IFERROR(__xludf.DUMMYFUNCTION("""COMPUTED_VALUE"""),"Medio Campidano")</f>
        <v>Medio Campidano</v>
      </c>
      <c r="B1022" t="str">
        <f ca="1">IFERROR(__xludf.DUMMYFUNCTION("""COMPUTED_VALUE"""),"ITG2B")</f>
        <v>ITG2B</v>
      </c>
    </row>
    <row r="1023" spans="1:2" ht="12.5" x14ac:dyDescent="0.25">
      <c r="A1023" t="str">
        <f ca="1">IFERROR(__xludf.DUMMYFUNCTION("""COMPUTED_VALUE"""),"Médio Tejo")</f>
        <v>Médio Tejo</v>
      </c>
      <c r="B1023" t="str">
        <f ca="1">IFERROR(__xludf.DUMMYFUNCTION("""COMPUTED_VALUE"""),"PT16C")</f>
        <v>PT16C</v>
      </c>
    </row>
    <row r="1024" spans="1:2" ht="12.5" x14ac:dyDescent="0.25">
      <c r="A1024" t="str">
        <f ca="1">IFERROR(__xludf.DUMMYFUNCTION("""COMPUTED_VALUE"""),"Méditerranée")</f>
        <v>Méditerranée</v>
      </c>
      <c r="B1024" t="str">
        <f ca="1">IFERROR(__xludf.DUMMYFUNCTION("""COMPUTED_VALUE"""),"FR8")</f>
        <v>FR8</v>
      </c>
    </row>
    <row r="1025" spans="1:2" ht="12.5" x14ac:dyDescent="0.25">
      <c r="A1025" t="str">
        <f ca="1">IFERROR(__xludf.DUMMYFUNCTION("""COMPUTED_VALUE"""),"Medway")</f>
        <v>Medway</v>
      </c>
      <c r="B1025" t="str">
        <f ca="1">IFERROR(__xludf.DUMMYFUNCTION("""COMPUTED_VALUE"""),"UKJ41")</f>
        <v>UKJ41</v>
      </c>
    </row>
    <row r="1026" spans="1:2" ht="12.5" x14ac:dyDescent="0.25">
      <c r="A1026" t="str">
        <f ca="1">IFERROR(__xludf.DUMMYFUNCTION("""COMPUTED_VALUE"""),"Mehedinti")</f>
        <v>Mehedinti</v>
      </c>
      <c r="B1026" t="str">
        <f ca="1">IFERROR(__xludf.DUMMYFUNCTION("""COMPUTED_VALUE"""),"RO413")</f>
        <v>RO413</v>
      </c>
    </row>
    <row r="1027" spans="1:2" ht="12.5" x14ac:dyDescent="0.25">
      <c r="A1027" t="str">
        <f ca="1">IFERROR(__xludf.DUMMYFUNCTION("""COMPUTED_VALUE"""),"Meißen")</f>
        <v>Meißen</v>
      </c>
      <c r="B1027" t="str">
        <f ca="1">IFERROR(__xludf.DUMMYFUNCTION("""COMPUTED_VALUE"""),"DED25")</f>
        <v>DED25</v>
      </c>
    </row>
    <row r="1028" spans="1:2" ht="12.5" x14ac:dyDescent="0.25">
      <c r="A1028" t="str">
        <f ca="1">IFERROR(__xludf.DUMMYFUNCTION("""COMPUTED_VALUE"""),"Melilla")</f>
        <v>Melilla</v>
      </c>
      <c r="B1028" t="str">
        <f ca="1">IFERROR(__xludf.DUMMYFUNCTION("""COMPUTED_VALUE"""),"ES640")</f>
        <v>ES640</v>
      </c>
    </row>
    <row r="1029" spans="1:2" ht="12.5" x14ac:dyDescent="0.25">
      <c r="A1029" t="str">
        <f ca="1">IFERROR(__xludf.DUMMYFUNCTION("""COMPUTED_VALUE"""),"Mellersta Norrland")</f>
        <v>Mellersta Norrland</v>
      </c>
      <c r="B1029" t="str">
        <f ca="1">IFERROR(__xludf.DUMMYFUNCTION("""COMPUTED_VALUE"""),"SE32")</f>
        <v>SE32</v>
      </c>
    </row>
    <row r="1030" spans="1:2" ht="12.5" x14ac:dyDescent="0.25">
      <c r="A1030" t="str">
        <f ca="1">IFERROR(__xludf.DUMMYFUNCTION("""COMPUTED_VALUE"""),"Memmingen, Kreisfreie Stadt")</f>
        <v>Memmingen, Kreisfreie Stadt</v>
      </c>
      <c r="B1030" t="str">
        <f ca="1">IFERROR(__xludf.DUMMYFUNCTION("""COMPUTED_VALUE"""),"DE274")</f>
        <v>DE274</v>
      </c>
    </row>
    <row r="1031" spans="1:2" ht="12.5" x14ac:dyDescent="0.25">
      <c r="A1031" t="str">
        <f ca="1">IFERROR(__xludf.DUMMYFUNCTION("""COMPUTED_VALUE"""),"Menorca")</f>
        <v>Menorca</v>
      </c>
      <c r="B1031" t="str">
        <f ca="1">IFERROR(__xludf.DUMMYFUNCTION("""COMPUTED_VALUE"""),"ES533")</f>
        <v>ES533</v>
      </c>
    </row>
    <row r="1032" spans="1:2" ht="12.5" x14ac:dyDescent="0.25">
      <c r="A1032" t="str">
        <f ca="1">IFERROR(__xludf.DUMMYFUNCTION("""COMPUTED_VALUE"""),"Merseyside")</f>
        <v>Merseyside</v>
      </c>
      <c r="B1032" t="str">
        <f ca="1">IFERROR(__xludf.DUMMYFUNCTION("""COMPUTED_VALUE"""),"UKD5")</f>
        <v>UKD5</v>
      </c>
    </row>
    <row r="1033" spans="1:2" ht="12.5" x14ac:dyDescent="0.25">
      <c r="A1033" t="str">
        <f ca="1">IFERROR(__xludf.DUMMYFUNCTION("""COMPUTED_VALUE"""),"Merzig-Wadern")</f>
        <v>Merzig-Wadern</v>
      </c>
      <c r="B1033" t="str">
        <f ca="1">IFERROR(__xludf.DUMMYFUNCTION("""COMPUTED_VALUE"""),"DEC02")</f>
        <v>DEC02</v>
      </c>
    </row>
    <row r="1034" spans="1:2" ht="12.5" x14ac:dyDescent="0.25">
      <c r="A1034" t="str">
        <f ca="1">IFERROR(__xludf.DUMMYFUNCTION("""COMPUTED_VALUE"""),"Messina")</f>
        <v>Messina</v>
      </c>
      <c r="B1034" t="str">
        <f ca="1">IFERROR(__xludf.DUMMYFUNCTION("""COMPUTED_VALUE"""),"ITG13")</f>
        <v>ITG13</v>
      </c>
    </row>
    <row r="1035" spans="1:2" ht="12.5" x14ac:dyDescent="0.25">
      <c r="A1035" t="str">
        <f ca="1">IFERROR(__xludf.DUMMYFUNCTION("""COMPUTED_VALUE"""),"Messinia")</f>
        <v>Messinia</v>
      </c>
      <c r="B1035" t="str">
        <f ca="1">IFERROR(__xludf.DUMMYFUNCTION("""COMPUTED_VALUE"""),"GR255")</f>
        <v>GR255</v>
      </c>
    </row>
    <row r="1036" spans="1:2" ht="12.5" x14ac:dyDescent="0.25">
      <c r="A1036" t="str">
        <f ca="1">IFERROR(__xludf.DUMMYFUNCTION("""COMPUTED_VALUE"""),"Mettmann")</f>
        <v>Mettmann</v>
      </c>
      <c r="B1036" t="str">
        <f ca="1">IFERROR(__xludf.DUMMYFUNCTION("""COMPUTED_VALUE"""),"DEA1C")</f>
        <v>DEA1C</v>
      </c>
    </row>
    <row r="1037" spans="1:2" ht="12.5" x14ac:dyDescent="0.25">
      <c r="A1037" t="str">
        <f ca="1">IFERROR(__xludf.DUMMYFUNCTION("""COMPUTED_VALUE"""),"Meurthe-Et-Moselle")</f>
        <v>Meurthe-Et-Moselle</v>
      </c>
      <c r="B1037" t="str">
        <f ca="1">IFERROR(__xludf.DUMMYFUNCTION("""COMPUTED_VALUE"""),"FR411")</f>
        <v>FR411</v>
      </c>
    </row>
    <row r="1038" spans="1:2" ht="12.5" x14ac:dyDescent="0.25">
      <c r="A1038" t="str">
        <f ca="1">IFERROR(__xludf.DUMMYFUNCTION("""COMPUTED_VALUE"""),"Meuse")</f>
        <v>Meuse</v>
      </c>
      <c r="B1038" t="str">
        <f ca="1">IFERROR(__xludf.DUMMYFUNCTION("""COMPUTED_VALUE"""),"FR412")</f>
        <v>FR412</v>
      </c>
    </row>
    <row r="1039" spans="1:2" ht="12.5" x14ac:dyDescent="0.25">
      <c r="A1039" t="str">
        <f ca="1">IFERROR(__xludf.DUMMYFUNCTION("""COMPUTED_VALUE"""),"Miasto Krakow")</f>
        <v>Miasto Krakow</v>
      </c>
      <c r="B1039" t="str">
        <f ca="1">IFERROR(__xludf.DUMMYFUNCTION("""COMPUTED_VALUE"""),"PL213")</f>
        <v>PL213</v>
      </c>
    </row>
    <row r="1040" spans="1:2" ht="12.5" x14ac:dyDescent="0.25">
      <c r="A1040" t="str">
        <f ca="1">IFERROR(__xludf.DUMMYFUNCTION("""COMPUTED_VALUE"""),"Miasto Lodz")</f>
        <v>Miasto Lodz</v>
      </c>
      <c r="B1040" t="str">
        <f ca="1">IFERROR(__xludf.DUMMYFUNCTION("""COMPUTED_VALUE"""),"PL113")</f>
        <v>PL113</v>
      </c>
    </row>
    <row r="1041" spans="1:2" ht="12.5" x14ac:dyDescent="0.25">
      <c r="A1041" t="str">
        <f ca="1">IFERROR(__xludf.DUMMYFUNCTION("""COMPUTED_VALUE"""),"Miasto Poznan")</f>
        <v>Miasto Poznan</v>
      </c>
      <c r="B1041" t="str">
        <f ca="1">IFERROR(__xludf.DUMMYFUNCTION("""COMPUTED_VALUE"""),"PL415")</f>
        <v>PL415</v>
      </c>
    </row>
    <row r="1042" spans="1:2" ht="12.5" x14ac:dyDescent="0.25">
      <c r="A1042" t="str">
        <f ca="1">IFERROR(__xludf.DUMMYFUNCTION("""COMPUTED_VALUE"""),"Miasto Szczecin")</f>
        <v>Miasto Szczecin</v>
      </c>
      <c r="B1042" t="str">
        <f ca="1">IFERROR(__xludf.DUMMYFUNCTION("""COMPUTED_VALUE"""),"PL424")</f>
        <v>PL424</v>
      </c>
    </row>
    <row r="1043" spans="1:2" ht="12.5" x14ac:dyDescent="0.25">
      <c r="A1043" t="str">
        <f ca="1">IFERROR(__xludf.DUMMYFUNCTION("""COMPUTED_VALUE"""),"Miasto Warszawa")</f>
        <v>Miasto Warszawa</v>
      </c>
      <c r="B1043" t="str">
        <f ca="1">IFERROR(__xludf.DUMMYFUNCTION("""COMPUTED_VALUE"""),"PL127")</f>
        <v>PL127</v>
      </c>
    </row>
    <row r="1044" spans="1:2" ht="12.5" x14ac:dyDescent="0.25">
      <c r="A1044" t="str">
        <f ca="1">IFERROR(__xludf.DUMMYFUNCTION("""COMPUTED_VALUE"""),"Miasto Wroclaw")</f>
        <v>Miasto Wroclaw</v>
      </c>
      <c r="B1044" t="str">
        <f ca="1">IFERROR(__xludf.DUMMYFUNCTION("""COMPUTED_VALUE"""),"PL514")</f>
        <v>PL514</v>
      </c>
    </row>
    <row r="1045" spans="1:2" ht="12.5" x14ac:dyDescent="0.25">
      <c r="A1045" t="str">
        <f ca="1">IFERROR(__xludf.DUMMYFUNCTION("""COMPUTED_VALUE"""),"Mid-East")</f>
        <v>Mid-East</v>
      </c>
      <c r="B1045" t="str">
        <f ca="1">IFERROR(__xludf.DUMMYFUNCTION("""COMPUTED_VALUE"""),"IE022")</f>
        <v>IE022</v>
      </c>
    </row>
    <row r="1046" spans="1:2" ht="12.5" x14ac:dyDescent="0.25">
      <c r="A1046" t="str">
        <f ca="1">IFERROR(__xludf.DUMMYFUNCTION("""COMPUTED_VALUE"""),"Mid-West")</f>
        <v>Mid-West</v>
      </c>
      <c r="B1046" t="str">
        <f ca="1">IFERROR(__xludf.DUMMYFUNCTION("""COMPUTED_VALUE"""),"IE023")</f>
        <v>IE023</v>
      </c>
    </row>
    <row r="1047" spans="1:2" ht="12.5" x14ac:dyDescent="0.25">
      <c r="A1047" t="str">
        <f ca="1">IFERROR(__xludf.DUMMYFUNCTION("""COMPUTED_VALUE"""),"Midden-Limburg")</f>
        <v>Midden-Limburg</v>
      </c>
      <c r="B1047" t="str">
        <f ca="1">IFERROR(__xludf.DUMMYFUNCTION("""COMPUTED_VALUE"""),"NL422")</f>
        <v>NL422</v>
      </c>
    </row>
    <row r="1048" spans="1:2" ht="12.5" x14ac:dyDescent="0.25">
      <c r="A1048" t="str">
        <f ca="1">IFERROR(__xludf.DUMMYFUNCTION("""COMPUTED_VALUE"""),"Midden-Noord-Brabant")</f>
        <v>Midden-Noord-Brabant</v>
      </c>
      <c r="B1048" t="str">
        <f ca="1">IFERROR(__xludf.DUMMYFUNCTION("""COMPUTED_VALUE"""),"NL412")</f>
        <v>NL412</v>
      </c>
    </row>
    <row r="1049" spans="1:2" ht="12.5" x14ac:dyDescent="0.25">
      <c r="A1049" t="str">
        <f ca="1">IFERROR(__xludf.DUMMYFUNCTION("""COMPUTED_VALUE"""),"Midi-Pyrénées")</f>
        <v>Midi-Pyrénées</v>
      </c>
      <c r="B1049" t="str">
        <f ca="1">IFERROR(__xludf.DUMMYFUNCTION("""COMPUTED_VALUE"""),"FR62")</f>
        <v>FR62</v>
      </c>
    </row>
    <row r="1050" spans="1:2" ht="12.5" x14ac:dyDescent="0.25">
      <c r="A1050" t="str">
        <f ca="1">IFERROR(__xludf.DUMMYFUNCTION("""COMPUTED_VALUE"""),"Midland")</f>
        <v>Midland</v>
      </c>
      <c r="B1050" t="str">
        <f ca="1">IFERROR(__xludf.DUMMYFUNCTION("""COMPUTED_VALUE"""),"IE012")</f>
        <v>IE012</v>
      </c>
    </row>
    <row r="1051" spans="1:2" ht="12.5" x14ac:dyDescent="0.25">
      <c r="A1051" t="str">
        <f ca="1">IFERROR(__xludf.DUMMYFUNCTION("""COMPUTED_VALUE"""),"Midtjylland")</f>
        <v>Midtjylland</v>
      </c>
      <c r="B1051" t="str">
        <f ca="1">IFERROR(__xludf.DUMMYFUNCTION("""COMPUTED_VALUE"""),"DK04")</f>
        <v>DK04</v>
      </c>
    </row>
    <row r="1052" spans="1:2" ht="12.5" x14ac:dyDescent="0.25">
      <c r="A1052" t="str">
        <f ca="1">IFERROR(__xludf.DUMMYFUNCTION("""COMPUTED_VALUE"""),"Miesbach")</f>
        <v>Miesbach</v>
      </c>
      <c r="B1052" t="str">
        <f ca="1">IFERROR(__xludf.DUMMYFUNCTION("""COMPUTED_VALUE"""),"DE21F")</f>
        <v>DE21F</v>
      </c>
    </row>
    <row r="1053" spans="1:2" ht="12.5" x14ac:dyDescent="0.25">
      <c r="A1053" t="str">
        <f ca="1">IFERROR(__xludf.DUMMYFUNCTION("""COMPUTED_VALUE"""),"Milano")</f>
        <v>Milano</v>
      </c>
      <c r="B1053" t="str">
        <f ca="1">IFERROR(__xludf.DUMMYFUNCTION("""COMPUTED_VALUE"""),"ITC45")</f>
        <v>ITC45</v>
      </c>
    </row>
    <row r="1054" spans="1:2" ht="12.5" x14ac:dyDescent="0.25">
      <c r="A1054" t="str">
        <f ca="1">IFERROR(__xludf.DUMMYFUNCTION("""COMPUTED_VALUE"""),"Miltenberg")</f>
        <v>Miltenberg</v>
      </c>
      <c r="B1054" t="str">
        <f ca="1">IFERROR(__xludf.DUMMYFUNCTION("""COMPUTED_VALUE"""),"DE269")</f>
        <v>DE269</v>
      </c>
    </row>
    <row r="1055" spans="1:2" ht="12.5" x14ac:dyDescent="0.25">
      <c r="A1055" t="str">
        <f ca="1">IFERROR(__xludf.DUMMYFUNCTION("""COMPUTED_VALUE"""),"Milton Keynes")</f>
        <v>Milton Keynes</v>
      </c>
      <c r="B1055" t="str">
        <f ca="1">IFERROR(__xludf.DUMMYFUNCTION("""COMPUTED_VALUE"""),"UKJ12")</f>
        <v>UKJ12</v>
      </c>
    </row>
    <row r="1056" spans="1:2" ht="12.5" x14ac:dyDescent="0.25">
      <c r="A1056" t="str">
        <f ca="1">IFERROR(__xludf.DUMMYFUNCTION("""COMPUTED_VALUE"""),"Minden-Lübbecke")</f>
        <v>Minden-Lübbecke</v>
      </c>
      <c r="B1056" t="str">
        <f ca="1">IFERROR(__xludf.DUMMYFUNCTION("""COMPUTED_VALUE"""),"DEA46")</f>
        <v>DEA46</v>
      </c>
    </row>
    <row r="1057" spans="1:2" ht="12.5" x14ac:dyDescent="0.25">
      <c r="A1057" t="str">
        <f ca="1">IFERROR(__xludf.DUMMYFUNCTION("""COMPUTED_VALUE"""),"Minho-Lima")</f>
        <v>Minho-Lima</v>
      </c>
      <c r="B1057" t="str">
        <f ca="1">IFERROR(__xludf.DUMMYFUNCTION("""COMPUTED_VALUE"""),"PT111")</f>
        <v>PT111</v>
      </c>
    </row>
    <row r="1058" spans="1:2" ht="12.5" x14ac:dyDescent="0.25">
      <c r="A1058" t="str">
        <f ca="1">IFERROR(__xludf.DUMMYFUNCTION("""COMPUTED_VALUE"""),"Mittelburgenland")</f>
        <v>Mittelburgenland</v>
      </c>
      <c r="B1058" t="str">
        <f ca="1">IFERROR(__xludf.DUMMYFUNCTION("""COMPUTED_VALUE"""),"AT111")</f>
        <v>AT111</v>
      </c>
    </row>
    <row r="1059" spans="1:2" ht="12.5" x14ac:dyDescent="0.25">
      <c r="A1059" t="str">
        <f ca="1">IFERROR(__xludf.DUMMYFUNCTION("""COMPUTED_VALUE"""),"Mittelfranken")</f>
        <v>Mittelfranken</v>
      </c>
      <c r="B1059" t="str">
        <f ca="1">IFERROR(__xludf.DUMMYFUNCTION("""COMPUTED_VALUE"""),"DE25")</f>
        <v>DE25</v>
      </c>
    </row>
    <row r="1060" spans="1:2" ht="12.5" x14ac:dyDescent="0.25">
      <c r="A1060" t="str">
        <f ca="1">IFERROR(__xludf.DUMMYFUNCTION("""COMPUTED_VALUE"""),"Mittlerer Erzgebirgskreis")</f>
        <v>Mittlerer Erzgebirgskreis</v>
      </c>
      <c r="B1060" t="str">
        <f ca="1">IFERROR(__xludf.DUMMYFUNCTION("""COMPUTED_VALUE"""),"DED18")</f>
        <v>DED18</v>
      </c>
    </row>
    <row r="1061" spans="1:2" ht="12.5" x14ac:dyDescent="0.25">
      <c r="A1061" t="str">
        <f ca="1">IFERROR(__xludf.DUMMYFUNCTION("""COMPUTED_VALUE"""),"Mittweida")</f>
        <v>Mittweida</v>
      </c>
      <c r="B1061" t="str">
        <f ca="1">IFERROR(__xludf.DUMMYFUNCTION("""COMPUTED_VALUE"""),"DED19")</f>
        <v>DED19</v>
      </c>
    </row>
    <row r="1062" spans="1:2" ht="12.5" x14ac:dyDescent="0.25">
      <c r="A1062" t="str">
        <f ca="1">IFERROR(__xludf.DUMMYFUNCTION("""COMPUTED_VALUE"""),"Modena")</f>
        <v>Modena</v>
      </c>
      <c r="B1062" t="str">
        <f ca="1">IFERROR(__xludf.DUMMYFUNCTION("""COMPUTED_VALUE"""),"ITD54")</f>
        <v>ITD54</v>
      </c>
    </row>
    <row r="1063" spans="1:2" ht="12.5" x14ac:dyDescent="0.25">
      <c r="A1063" t="str">
        <f ca="1">IFERROR(__xludf.DUMMYFUNCTION("""COMPUTED_VALUE"""),"Molise")</f>
        <v>Molise</v>
      </c>
      <c r="B1063" t="str">
        <f ca="1">IFERROR(__xludf.DUMMYFUNCTION("""COMPUTED_VALUE"""),"ITF2")</f>
        <v>ITF2</v>
      </c>
    </row>
    <row r="1064" spans="1:2" ht="12.5" x14ac:dyDescent="0.25">
      <c r="A1064" t="str">
        <f ca="1">IFERROR(__xludf.DUMMYFUNCTION("""COMPUTED_VALUE"""),"Mönchengladbach, Kreisfreie Stadt")</f>
        <v>Mönchengladbach, Kreisfreie Stadt</v>
      </c>
      <c r="B1064" t="str">
        <f ca="1">IFERROR(__xludf.DUMMYFUNCTION("""COMPUTED_VALUE"""),"DEA15")</f>
        <v>DEA15</v>
      </c>
    </row>
    <row r="1065" spans="1:2" ht="12.5" x14ac:dyDescent="0.25">
      <c r="A1065" t="str">
        <f ca="1">IFERROR(__xludf.DUMMYFUNCTION("""COMPUTED_VALUE"""),"Monmouthshire And Newport")</f>
        <v>Monmouthshire And Newport</v>
      </c>
      <c r="B1065" t="str">
        <f ca="1">IFERROR(__xludf.DUMMYFUNCTION("""COMPUTED_VALUE"""),"UKL21")</f>
        <v>UKL21</v>
      </c>
    </row>
    <row r="1066" spans="1:2" ht="12.5" x14ac:dyDescent="0.25">
      <c r="A1066" t="str">
        <f ca="1">IFERROR(__xludf.DUMMYFUNCTION("""COMPUTED_VALUE"""),"Montana")</f>
        <v>Montana</v>
      </c>
      <c r="B1066" t="str">
        <f ca="1">IFERROR(__xludf.DUMMYFUNCTION("""COMPUTED_VALUE"""),"BG312")</f>
        <v>BG312</v>
      </c>
    </row>
    <row r="1067" spans="1:2" ht="12.5" x14ac:dyDescent="0.25">
      <c r="A1067" t="str">
        <f ca="1">IFERROR(__xludf.DUMMYFUNCTION("""COMPUTED_VALUE"""),"Moravskoslezsko")</f>
        <v>Moravskoslezsko</v>
      </c>
      <c r="B1067" t="str">
        <f ca="1">IFERROR(__xludf.DUMMYFUNCTION("""COMPUTED_VALUE"""),"CZ08")</f>
        <v>CZ08</v>
      </c>
    </row>
    <row r="1068" spans="1:2" ht="12.5" x14ac:dyDescent="0.25">
      <c r="A1068" t="str">
        <f ca="1">IFERROR(__xludf.DUMMYFUNCTION("""COMPUTED_VALUE"""),"Moravskoslezsky Kraj")</f>
        <v>Moravskoslezsky Kraj</v>
      </c>
      <c r="B1068" t="str">
        <f ca="1">IFERROR(__xludf.DUMMYFUNCTION("""COMPUTED_VALUE"""),"CZ080")</f>
        <v>CZ080</v>
      </c>
    </row>
    <row r="1069" spans="1:2" ht="12.5" x14ac:dyDescent="0.25">
      <c r="A1069" t="str">
        <f ca="1">IFERROR(__xludf.DUMMYFUNCTION("""COMPUTED_VALUE"""),"Morbihan")</f>
        <v>Morbihan</v>
      </c>
      <c r="B1069" t="str">
        <f ca="1">IFERROR(__xludf.DUMMYFUNCTION("""COMPUTED_VALUE"""),"FR524")</f>
        <v>FR524</v>
      </c>
    </row>
    <row r="1070" spans="1:2" ht="12.5" x14ac:dyDescent="0.25">
      <c r="A1070" t="str">
        <f ca="1">IFERROR(__xludf.DUMMYFUNCTION("""COMPUTED_VALUE"""),"Møre Og Romsdal")</f>
        <v>Møre Og Romsdal</v>
      </c>
      <c r="B1070" t="str">
        <f ca="1">IFERROR(__xludf.DUMMYFUNCTION("""COMPUTED_VALUE"""),"NO053")</f>
        <v>NO053</v>
      </c>
    </row>
    <row r="1071" spans="1:2" ht="12.5" x14ac:dyDescent="0.25">
      <c r="A1071" t="str">
        <f ca="1">IFERROR(__xludf.DUMMYFUNCTION("""COMPUTED_VALUE"""),"Moselle")</f>
        <v>Moselle</v>
      </c>
      <c r="B1071" t="str">
        <f ca="1">IFERROR(__xludf.DUMMYFUNCTION("""COMPUTED_VALUE"""),"FR413")</f>
        <v>FR413</v>
      </c>
    </row>
    <row r="1072" spans="1:2" ht="12.5" x14ac:dyDescent="0.25">
      <c r="A1072" t="str">
        <f ca="1">IFERROR(__xludf.DUMMYFUNCTION("""COMPUTED_VALUE"""),"Mostviertel-Eisenwurzen")</f>
        <v>Mostviertel-Eisenwurzen</v>
      </c>
      <c r="B1072" t="str">
        <f ca="1">IFERROR(__xludf.DUMMYFUNCTION("""COMPUTED_VALUE"""),"AT121")</f>
        <v>AT121</v>
      </c>
    </row>
    <row r="1073" spans="1:2" ht="12.5" x14ac:dyDescent="0.25">
      <c r="A1073" t="str">
        <f ca="1">IFERROR(__xludf.DUMMYFUNCTION("""COMPUTED_VALUE"""),"Mühldorf A. Inn")</f>
        <v>Mühldorf A. Inn</v>
      </c>
      <c r="B1073" t="str">
        <f ca="1">IFERROR(__xludf.DUMMYFUNCTION("""COMPUTED_VALUE"""),"DE21G")</f>
        <v>DE21G</v>
      </c>
    </row>
    <row r="1074" spans="1:2" ht="12.5" x14ac:dyDescent="0.25">
      <c r="A1074" t="str">
        <f ca="1">IFERROR(__xludf.DUMMYFUNCTION("""COMPUTED_VALUE"""),"Mühlviertel")</f>
        <v>Mühlviertel</v>
      </c>
      <c r="B1074" t="str">
        <f ca="1">IFERROR(__xludf.DUMMYFUNCTION("""COMPUTED_VALUE"""),"AT313")</f>
        <v>AT313</v>
      </c>
    </row>
    <row r="1075" spans="1:2" ht="12.5" x14ac:dyDescent="0.25">
      <c r="A1075" t="str">
        <f ca="1">IFERROR(__xludf.DUMMYFUNCTION("""COMPUTED_VALUE"""),"Muldentalkreis")</f>
        <v>Muldentalkreis</v>
      </c>
      <c r="B1075" t="str">
        <f ca="1">IFERROR(__xludf.DUMMYFUNCTION("""COMPUTED_VALUE"""),"DED35")</f>
        <v>DED35</v>
      </c>
    </row>
    <row r="1076" spans="1:2" ht="12.5" x14ac:dyDescent="0.25">
      <c r="A1076" t="str">
        <f ca="1">IFERROR(__xludf.DUMMYFUNCTION("""COMPUTED_VALUE"""),"Mülheim An Der Ruhr,Kreisfreie Stadt")</f>
        <v>Mülheim An Der Ruhr,Kreisfreie Stadt</v>
      </c>
      <c r="B1076" t="str">
        <f ca="1">IFERROR(__xludf.DUMMYFUNCTION("""COMPUTED_VALUE"""),"DEA16")</f>
        <v>DEA16</v>
      </c>
    </row>
    <row r="1077" spans="1:2" ht="12.5" x14ac:dyDescent="0.25">
      <c r="A1077" t="str">
        <f ca="1">IFERROR(__xludf.DUMMYFUNCTION("""COMPUTED_VALUE"""),"München, Kreisfreie Stadt")</f>
        <v>München, Kreisfreie Stadt</v>
      </c>
      <c r="B1077" t="str">
        <f ca="1">IFERROR(__xludf.DUMMYFUNCTION("""COMPUTED_VALUE"""),"DE212")</f>
        <v>DE212</v>
      </c>
    </row>
    <row r="1078" spans="1:2" ht="12.5" x14ac:dyDescent="0.25">
      <c r="A1078" t="str">
        <f ca="1">IFERROR(__xludf.DUMMYFUNCTION("""COMPUTED_VALUE"""),"München, Landkreis")</f>
        <v>München, Landkreis</v>
      </c>
      <c r="B1078" t="str">
        <f ca="1">IFERROR(__xludf.DUMMYFUNCTION("""COMPUTED_VALUE"""),"DE21H")</f>
        <v>DE21H</v>
      </c>
    </row>
    <row r="1079" spans="1:2" ht="12.5" x14ac:dyDescent="0.25">
      <c r="A1079" t="str">
        <f ca="1">IFERROR(__xludf.DUMMYFUNCTION("""COMPUTED_VALUE"""),"Münster")</f>
        <v>Münster</v>
      </c>
      <c r="B1079" t="str">
        <f ca="1">IFERROR(__xludf.DUMMYFUNCTION("""COMPUTED_VALUE"""),"DEA3")</f>
        <v>DEA3</v>
      </c>
    </row>
    <row r="1080" spans="1:2" ht="12.5" x14ac:dyDescent="0.25">
      <c r="A1080" t="str">
        <f ca="1">IFERROR(__xludf.DUMMYFUNCTION("""COMPUTED_VALUE"""),"Münster, Kreisfreie Stadt")</f>
        <v>Münster, Kreisfreie Stadt</v>
      </c>
      <c r="B1080" t="str">
        <f ca="1">IFERROR(__xludf.DUMMYFUNCTION("""COMPUTED_VALUE"""),"DEA33")</f>
        <v>DEA33</v>
      </c>
    </row>
    <row r="1081" spans="1:2" ht="12.5" x14ac:dyDescent="0.25">
      <c r="A1081" t="str">
        <f ca="1">IFERROR(__xludf.DUMMYFUNCTION("""COMPUTED_VALUE"""),"Murcia")</f>
        <v>Murcia</v>
      </c>
      <c r="B1081" t="str">
        <f ca="1">IFERROR(__xludf.DUMMYFUNCTION("""COMPUTED_VALUE"""),"ES620")</f>
        <v>ES620</v>
      </c>
    </row>
    <row r="1082" spans="1:2" ht="12.5" x14ac:dyDescent="0.25">
      <c r="A1082" t="str">
        <f ca="1">IFERROR(__xludf.DUMMYFUNCTION("""COMPUTED_VALUE"""),"Mures")</f>
        <v>Mures</v>
      </c>
      <c r="B1082" t="str">
        <f ca="1">IFERROR(__xludf.DUMMYFUNCTION("""COMPUTED_VALUE"""),"RO125")</f>
        <v>RO125</v>
      </c>
    </row>
    <row r="1083" spans="1:2" ht="12.5" x14ac:dyDescent="0.25">
      <c r="A1083" t="str">
        <f ca="1">IFERROR(__xludf.DUMMYFUNCTION("""COMPUTED_VALUE"""),"Müritz")</f>
        <v>Müritz</v>
      </c>
      <c r="B1083" t="str">
        <f ca="1">IFERROR(__xludf.DUMMYFUNCTION("""COMPUTED_VALUE"""),"DE80C")</f>
        <v>DE80C</v>
      </c>
    </row>
    <row r="1084" spans="1:2" ht="12.5" x14ac:dyDescent="0.25">
      <c r="A1084" t="str">
        <f ca="1">IFERROR(__xludf.DUMMYFUNCTION("""COMPUTED_VALUE"""),"Napoli")</f>
        <v>Napoli</v>
      </c>
      <c r="B1084" t="str">
        <f ca="1">IFERROR(__xludf.DUMMYFUNCTION("""COMPUTED_VALUE"""),"ITF33")</f>
        <v>ITF33</v>
      </c>
    </row>
    <row r="1085" spans="1:2" ht="12.5" x14ac:dyDescent="0.25">
      <c r="A1085" t="str">
        <f ca="1">IFERROR(__xludf.DUMMYFUNCTION("""COMPUTED_VALUE"""),"Navarra")</f>
        <v>Navarra</v>
      </c>
      <c r="B1085" t="str">
        <f ca="1">IFERROR(__xludf.DUMMYFUNCTION("""COMPUTED_VALUE"""),"ES220")</f>
        <v>ES220</v>
      </c>
    </row>
    <row r="1086" spans="1:2" ht="12.5" x14ac:dyDescent="0.25">
      <c r="A1086" t="str">
        <f ca="1">IFERROR(__xludf.DUMMYFUNCTION("""COMPUTED_VALUE"""),"Neamt")</f>
        <v>Neamt</v>
      </c>
      <c r="B1086" t="str">
        <f ca="1">IFERROR(__xludf.DUMMYFUNCTION("""COMPUTED_VALUE"""),"RO214")</f>
        <v>RO214</v>
      </c>
    </row>
    <row r="1087" spans="1:2" ht="12.5" x14ac:dyDescent="0.25">
      <c r="A1087" t="str">
        <f ca="1">IFERROR(__xludf.DUMMYFUNCTION("""COMPUTED_VALUE"""),"Neckar-Odenwald-Kreis")</f>
        <v>Neckar-Odenwald-Kreis</v>
      </c>
      <c r="B1087" t="str">
        <f ca="1">IFERROR(__xludf.DUMMYFUNCTION("""COMPUTED_VALUE"""),"DE127")</f>
        <v>DE127</v>
      </c>
    </row>
    <row r="1088" spans="1:2" ht="12.5" x14ac:dyDescent="0.25">
      <c r="A1088" t="str">
        <f ca="1">IFERROR(__xludf.DUMMYFUNCTION("""COMPUTED_VALUE"""),"Nederland")</f>
        <v>Nederland</v>
      </c>
      <c r="B1088" t="str">
        <f ca="1">IFERROR(__xludf.DUMMYFUNCTION("""COMPUTED_VALUE"""),"NL")</f>
        <v>NL</v>
      </c>
    </row>
    <row r="1089" spans="1:2" ht="12.5" x14ac:dyDescent="0.25">
      <c r="A1089" t="str">
        <f ca="1">IFERROR(__xludf.DUMMYFUNCTION("""COMPUTED_VALUE"""),"Neu-Ulm")</f>
        <v>Neu-Ulm</v>
      </c>
      <c r="B1089" t="str">
        <f ca="1">IFERROR(__xludf.DUMMYFUNCTION("""COMPUTED_VALUE"""),"DE279")</f>
        <v>DE279</v>
      </c>
    </row>
    <row r="1090" spans="1:2" ht="12.5" x14ac:dyDescent="0.25">
      <c r="A1090" t="str">
        <f ca="1">IFERROR(__xludf.DUMMYFUNCTION("""COMPUTED_VALUE"""),"Neubrandenburg, Kreisfreie Stadt")</f>
        <v>Neubrandenburg, Kreisfreie Stadt</v>
      </c>
      <c r="B1090" t="str">
        <f ca="1">IFERROR(__xludf.DUMMYFUNCTION("""COMPUTED_VALUE"""),"DE802")</f>
        <v>DE802</v>
      </c>
    </row>
    <row r="1091" spans="1:2" ht="12.5" x14ac:dyDescent="0.25">
      <c r="A1091" t="str">
        <f ca="1">IFERROR(__xludf.DUMMYFUNCTION("""COMPUTED_VALUE"""),"Neuburg-Schrobenhausen")</f>
        <v>Neuburg-Schrobenhausen</v>
      </c>
      <c r="B1091" t="str">
        <f ca="1">IFERROR(__xludf.DUMMYFUNCTION("""COMPUTED_VALUE"""),"DE21I")</f>
        <v>DE21I</v>
      </c>
    </row>
    <row r="1092" spans="1:2" ht="12.5" x14ac:dyDescent="0.25">
      <c r="A1092" t="str">
        <f ca="1">IFERROR(__xludf.DUMMYFUNCTION("""COMPUTED_VALUE"""),"Neuchâtel")</f>
        <v>Neuchâtel</v>
      </c>
      <c r="B1092" t="str">
        <f ca="1">IFERROR(__xludf.DUMMYFUNCTION("""COMPUTED_VALUE"""),"CH024")</f>
        <v>CH024</v>
      </c>
    </row>
    <row r="1093" spans="1:2" ht="12.5" x14ac:dyDescent="0.25">
      <c r="A1093" t="str">
        <f ca="1">IFERROR(__xludf.DUMMYFUNCTION("""COMPUTED_VALUE"""),"Neumarkt I. D. Opf.")</f>
        <v>Neumarkt I. D. Opf.</v>
      </c>
      <c r="B1093" t="str">
        <f ca="1">IFERROR(__xludf.DUMMYFUNCTION("""COMPUTED_VALUE"""),"DE236")</f>
        <v>DE236</v>
      </c>
    </row>
    <row r="1094" spans="1:2" ht="12.5" x14ac:dyDescent="0.25">
      <c r="A1094" t="str">
        <f ca="1">IFERROR(__xludf.DUMMYFUNCTION("""COMPUTED_VALUE"""),"Neumünster, Kreisfreie Stadt")</f>
        <v>Neumünster, Kreisfreie Stadt</v>
      </c>
      <c r="B1094" t="str">
        <f ca="1">IFERROR(__xludf.DUMMYFUNCTION("""COMPUTED_VALUE"""),"DEF04")</f>
        <v>DEF04</v>
      </c>
    </row>
    <row r="1095" spans="1:2" ht="12.5" x14ac:dyDescent="0.25">
      <c r="A1095" t="str">
        <f ca="1">IFERROR(__xludf.DUMMYFUNCTION("""COMPUTED_VALUE"""),"Neunkirchen")</f>
        <v>Neunkirchen</v>
      </c>
      <c r="B1095" t="str">
        <f ca="1">IFERROR(__xludf.DUMMYFUNCTION("""COMPUTED_VALUE"""),"DEC03")</f>
        <v>DEC03</v>
      </c>
    </row>
    <row r="1096" spans="1:2" ht="12.5" x14ac:dyDescent="0.25">
      <c r="A1096" t="str">
        <f ca="1">IFERROR(__xludf.DUMMYFUNCTION("""COMPUTED_VALUE"""),"Neustadt A. D. Aisch-Bad Windsheim")</f>
        <v>Neustadt A. D. Aisch-Bad Windsheim</v>
      </c>
      <c r="B1096" t="str">
        <f ca="1">IFERROR(__xludf.DUMMYFUNCTION("""COMPUTED_VALUE"""),"DE25A")</f>
        <v>DE25A</v>
      </c>
    </row>
    <row r="1097" spans="1:2" ht="12.5" x14ac:dyDescent="0.25">
      <c r="A1097" t="str">
        <f ca="1">IFERROR(__xludf.DUMMYFUNCTION("""COMPUTED_VALUE"""),"Neustadt A. D. Waldnaab")</f>
        <v>Neustadt A. D. Waldnaab</v>
      </c>
      <c r="B1097" t="str">
        <f ca="1">IFERROR(__xludf.DUMMYFUNCTION("""COMPUTED_VALUE"""),"DE237")</f>
        <v>DE237</v>
      </c>
    </row>
    <row r="1098" spans="1:2" ht="12.5" x14ac:dyDescent="0.25">
      <c r="A1098" t="str">
        <f ca="1">IFERROR(__xludf.DUMMYFUNCTION("""COMPUTED_VALUE"""),"Neustadt An Der Weinstraße, Kreisfreie Stadt")</f>
        <v>Neustadt An Der Weinstraße, Kreisfreie Stadt</v>
      </c>
      <c r="B1098" t="str">
        <f ca="1">IFERROR(__xludf.DUMMYFUNCTION("""COMPUTED_VALUE"""),"DEB36")</f>
        <v>DEB36</v>
      </c>
    </row>
    <row r="1099" spans="1:2" ht="12.5" x14ac:dyDescent="0.25">
      <c r="A1099" t="str">
        <f ca="1">IFERROR(__xludf.DUMMYFUNCTION("""COMPUTED_VALUE"""),"Neuwied")</f>
        <v>Neuwied</v>
      </c>
      <c r="B1099" t="str">
        <f ca="1">IFERROR(__xludf.DUMMYFUNCTION("""COMPUTED_VALUE"""),"DEB18")</f>
        <v>DEB18</v>
      </c>
    </row>
    <row r="1100" spans="1:2" ht="12.5" x14ac:dyDescent="0.25">
      <c r="A1100" t="str">
        <f ca="1">IFERROR(__xludf.DUMMYFUNCTION("""COMPUTED_VALUE"""),"Nidwalden")</f>
        <v>Nidwalden</v>
      </c>
      <c r="B1100" t="str">
        <f ca="1">IFERROR(__xludf.DUMMYFUNCTION("""COMPUTED_VALUE"""),"CH065")</f>
        <v>CH065</v>
      </c>
    </row>
    <row r="1101" spans="1:2" ht="12.5" x14ac:dyDescent="0.25">
      <c r="A1101" t="str">
        <f ca="1">IFERROR(__xludf.DUMMYFUNCTION("""COMPUTED_VALUE"""),"Niederbayern")</f>
        <v>Niederbayern</v>
      </c>
      <c r="B1101" t="str">
        <f ca="1">IFERROR(__xludf.DUMMYFUNCTION("""COMPUTED_VALUE"""),"DE22")</f>
        <v>DE22</v>
      </c>
    </row>
    <row r="1102" spans="1:2" ht="12.5" x14ac:dyDescent="0.25">
      <c r="A1102" t="str">
        <f ca="1">IFERROR(__xludf.DUMMYFUNCTION("""COMPUTED_VALUE"""),"Niederösterreich")</f>
        <v>Niederösterreich</v>
      </c>
      <c r="B1102" t="str">
        <f ca="1">IFERROR(__xludf.DUMMYFUNCTION("""COMPUTED_VALUE"""),"AT12")</f>
        <v>AT12</v>
      </c>
    </row>
    <row r="1103" spans="1:2" ht="12.5" x14ac:dyDescent="0.25">
      <c r="A1103" t="str">
        <f ca="1">IFERROR(__xludf.DUMMYFUNCTION("""COMPUTED_VALUE"""),"Niederösterreich-Süd")</f>
        <v>Niederösterreich-Süd</v>
      </c>
      <c r="B1103" t="str">
        <f ca="1">IFERROR(__xludf.DUMMYFUNCTION("""COMPUTED_VALUE"""),"AT122")</f>
        <v>AT122</v>
      </c>
    </row>
    <row r="1104" spans="1:2" ht="12.5" x14ac:dyDescent="0.25">
      <c r="A1104" t="str">
        <f ca="1">IFERROR(__xludf.DUMMYFUNCTION("""COMPUTED_VALUE"""),"Niedersachsen")</f>
        <v>Niedersachsen</v>
      </c>
      <c r="B1104" t="str">
        <f ca="1">IFERROR(__xludf.DUMMYFUNCTION("""COMPUTED_VALUE"""),"DE9")</f>
        <v>DE9</v>
      </c>
    </row>
    <row r="1105" spans="1:2" ht="12.5" x14ac:dyDescent="0.25">
      <c r="A1105" t="str">
        <f ca="1">IFERROR(__xludf.DUMMYFUNCTION("""COMPUTED_VALUE"""),"Niederschlesischer Oberlausitzkreis")</f>
        <v>Niederschlesischer Oberlausitzkreis</v>
      </c>
      <c r="B1105" t="str">
        <f ca="1">IFERROR(__xludf.DUMMYFUNCTION("""COMPUTED_VALUE"""),"DED26")</f>
        <v>DED26</v>
      </c>
    </row>
    <row r="1106" spans="1:2" ht="12.5" x14ac:dyDescent="0.25">
      <c r="A1106" t="str">
        <f ca="1">IFERROR(__xludf.DUMMYFUNCTION("""COMPUTED_VALUE"""),"Nienburg (Weser)")</f>
        <v>Nienburg (Weser)</v>
      </c>
      <c r="B1106" t="str">
        <f ca="1">IFERROR(__xludf.DUMMYFUNCTION("""COMPUTED_VALUE"""),"DE927")</f>
        <v>DE927</v>
      </c>
    </row>
    <row r="1107" spans="1:2" ht="12.5" x14ac:dyDescent="0.25">
      <c r="A1107" t="str">
        <f ca="1">IFERROR(__xludf.DUMMYFUNCTION("""COMPUTED_VALUE"""),"Nièvre")</f>
        <v>Nièvre</v>
      </c>
      <c r="B1107" t="str">
        <f ca="1">IFERROR(__xludf.DUMMYFUNCTION("""COMPUTED_VALUE"""),"FR262")</f>
        <v>FR262</v>
      </c>
    </row>
    <row r="1108" spans="1:2" ht="12.5" x14ac:dyDescent="0.25">
      <c r="A1108" t="str">
        <f ca="1">IFERROR(__xludf.DUMMYFUNCTION("""COMPUTED_VALUE"""),"Nisia Aigaiou, Kriti")</f>
        <v>Nisia Aigaiou, Kriti</v>
      </c>
      <c r="B1108" t="str">
        <f ca="1">IFERROR(__xludf.DUMMYFUNCTION("""COMPUTED_VALUE"""),"GR4")</f>
        <v>GR4</v>
      </c>
    </row>
    <row r="1109" spans="1:2" ht="12.5" x14ac:dyDescent="0.25">
      <c r="A1109" t="str">
        <f ca="1">IFERROR(__xludf.DUMMYFUNCTION("""COMPUTED_VALUE"""),"Nitriansky Kraj")</f>
        <v>Nitriansky Kraj</v>
      </c>
      <c r="B1109" t="str">
        <f ca="1">IFERROR(__xludf.DUMMYFUNCTION("""COMPUTED_VALUE"""),"SK023")</f>
        <v>SK023</v>
      </c>
    </row>
    <row r="1110" spans="1:2" ht="12.5" x14ac:dyDescent="0.25">
      <c r="A1110" t="str">
        <f ca="1">IFERROR(__xludf.DUMMYFUNCTION("""COMPUTED_VALUE"""),"Nograd")</f>
        <v>Nograd</v>
      </c>
      <c r="B1110" t="str">
        <f ca="1">IFERROR(__xludf.DUMMYFUNCTION("""COMPUTED_VALUE"""),"HU313")</f>
        <v>HU313</v>
      </c>
    </row>
    <row r="1111" spans="1:2" ht="12.5" x14ac:dyDescent="0.25">
      <c r="A1111" t="str">
        <f ca="1">IFERROR(__xludf.DUMMYFUNCTION("""COMPUTED_VALUE"""),"Noord-Brabant")</f>
        <v>Noord-Brabant</v>
      </c>
      <c r="B1111" t="str">
        <f ca="1">IFERROR(__xludf.DUMMYFUNCTION("""COMPUTED_VALUE"""),"NL41")</f>
        <v>NL41</v>
      </c>
    </row>
    <row r="1112" spans="1:2" ht="12.5" x14ac:dyDescent="0.25">
      <c r="A1112" t="str">
        <f ca="1">IFERROR(__xludf.DUMMYFUNCTION("""COMPUTED_VALUE"""),"Noord-Drenthe")</f>
        <v>Noord-Drenthe</v>
      </c>
      <c r="B1112" t="str">
        <f ca="1">IFERROR(__xludf.DUMMYFUNCTION("""COMPUTED_VALUE"""),"NL131")</f>
        <v>NL131</v>
      </c>
    </row>
    <row r="1113" spans="1:2" ht="12.5" x14ac:dyDescent="0.25">
      <c r="A1113" t="str">
        <f ca="1">IFERROR(__xludf.DUMMYFUNCTION("""COMPUTED_VALUE"""),"Noord-Friesland")</f>
        <v>Noord-Friesland</v>
      </c>
      <c r="B1113" t="str">
        <f ca="1">IFERROR(__xludf.DUMMYFUNCTION("""COMPUTED_VALUE"""),"NL121")</f>
        <v>NL121</v>
      </c>
    </row>
    <row r="1114" spans="1:2" ht="12.5" x14ac:dyDescent="0.25">
      <c r="A1114" t="str">
        <f ca="1">IFERROR(__xludf.DUMMYFUNCTION("""COMPUTED_VALUE"""),"Noord-Holland")</f>
        <v>Noord-Holland</v>
      </c>
      <c r="B1114" t="str">
        <f ca="1">IFERROR(__xludf.DUMMYFUNCTION("""COMPUTED_VALUE"""),"NL32")</f>
        <v>NL32</v>
      </c>
    </row>
    <row r="1115" spans="1:2" ht="12.5" x14ac:dyDescent="0.25">
      <c r="A1115" t="str">
        <f ca="1">IFERROR(__xludf.DUMMYFUNCTION("""COMPUTED_VALUE"""),"Noord-Limburg")</f>
        <v>Noord-Limburg</v>
      </c>
      <c r="B1115" t="str">
        <f ca="1">IFERROR(__xludf.DUMMYFUNCTION("""COMPUTED_VALUE"""),"NL421")</f>
        <v>NL421</v>
      </c>
    </row>
    <row r="1116" spans="1:2" ht="12.5" x14ac:dyDescent="0.25">
      <c r="A1116" t="str">
        <f ca="1">IFERROR(__xludf.DUMMYFUNCTION("""COMPUTED_VALUE"""),"Noord-Nederland")</f>
        <v>Noord-Nederland</v>
      </c>
      <c r="B1116" t="str">
        <f ca="1">IFERROR(__xludf.DUMMYFUNCTION("""COMPUTED_VALUE"""),"NL1")</f>
        <v>NL1</v>
      </c>
    </row>
    <row r="1117" spans="1:2" ht="12.5" x14ac:dyDescent="0.25">
      <c r="A1117" t="str">
        <f ca="1">IFERROR(__xludf.DUMMYFUNCTION("""COMPUTED_VALUE"""),"Noord-Overijssel")</f>
        <v>Noord-Overijssel</v>
      </c>
      <c r="B1117" t="str">
        <f ca="1">IFERROR(__xludf.DUMMYFUNCTION("""COMPUTED_VALUE"""),"NL211")</f>
        <v>NL211</v>
      </c>
    </row>
    <row r="1118" spans="1:2" ht="12.5" x14ac:dyDescent="0.25">
      <c r="A1118" t="str">
        <f ca="1">IFERROR(__xludf.DUMMYFUNCTION("""COMPUTED_VALUE"""),"Noordoost-Noord-Brabant")</f>
        <v>Noordoost-Noord-Brabant</v>
      </c>
      <c r="B1118" t="str">
        <f ca="1">IFERROR(__xludf.DUMMYFUNCTION("""COMPUTED_VALUE"""),"NL413")</f>
        <v>NL413</v>
      </c>
    </row>
    <row r="1119" spans="1:2" ht="12.5" x14ac:dyDescent="0.25">
      <c r="A1119" t="str">
        <f ca="1">IFERROR(__xludf.DUMMYFUNCTION("""COMPUTED_VALUE"""),"Nord")</f>
        <v>Nord</v>
      </c>
      <c r="B1119" t="str">
        <f ca="1">IFERROR(__xludf.DUMMYFUNCTION("""COMPUTED_VALUE"""),"FR301")</f>
        <v>FR301</v>
      </c>
    </row>
    <row r="1120" spans="1:2" ht="12.5" x14ac:dyDescent="0.25">
      <c r="A1120" t="str">
        <f ca="1">IFERROR(__xludf.DUMMYFUNCTION("""COMPUTED_VALUE"""),"Nord - Pas-De-Calais")</f>
        <v>Nord - Pas-De-Calais</v>
      </c>
      <c r="B1120" t="str">
        <f ca="1">IFERROR(__xludf.DUMMYFUNCTION("""COMPUTED_VALUE"""),"FR3")</f>
        <v>FR3</v>
      </c>
    </row>
    <row r="1121" spans="1:2" ht="12.5" x14ac:dyDescent="0.25">
      <c r="A1121" t="str">
        <f ca="1">IFERROR(__xludf.DUMMYFUNCTION("""COMPUTED_VALUE"""),"Nord - Pas-De-Calais (*)")</f>
        <v>Nord - Pas-De-Calais (*)</v>
      </c>
      <c r="B1121" t="str">
        <f ca="1">IFERROR(__xludf.DUMMYFUNCTION("""COMPUTED_VALUE"""),"FR30")</f>
        <v>FR30</v>
      </c>
    </row>
    <row r="1122" spans="1:2" ht="12.5" x14ac:dyDescent="0.25">
      <c r="A1122" t="str">
        <f ca="1">IFERROR(__xludf.DUMMYFUNCTION("""COMPUTED_VALUE"""),"Nord-Est")</f>
        <v>Nord-Est</v>
      </c>
      <c r="B1122" t="str">
        <f ca="1">IFERROR(__xludf.DUMMYFUNCTION("""COMPUTED_VALUE"""),"ITD")</f>
        <v>ITD</v>
      </c>
    </row>
    <row r="1123" spans="1:2" ht="12.5" x14ac:dyDescent="0.25">
      <c r="A1123" t="str">
        <f ca="1">IFERROR(__xludf.DUMMYFUNCTION("""COMPUTED_VALUE"""),"Nord-Est (*)")</f>
        <v>Nord-Est (*)</v>
      </c>
      <c r="B1123" t="str">
        <f ca="1">IFERROR(__xludf.DUMMYFUNCTION("""COMPUTED_VALUE"""),"RO21")</f>
        <v>RO21</v>
      </c>
    </row>
    <row r="1124" spans="1:2" ht="12.5" x14ac:dyDescent="0.25">
      <c r="A1124" t="str">
        <f ca="1">IFERROR(__xludf.DUMMYFUNCTION("""COMPUTED_VALUE"""),"Nord-Norge")</f>
        <v>Nord-Norge</v>
      </c>
      <c r="B1124" t="str">
        <f ca="1">IFERROR(__xludf.DUMMYFUNCTION("""COMPUTED_VALUE"""),"NO07")</f>
        <v>NO07</v>
      </c>
    </row>
    <row r="1125" spans="1:2" ht="12.5" x14ac:dyDescent="0.25">
      <c r="A1125" t="str">
        <f ca="1">IFERROR(__xludf.DUMMYFUNCTION("""COMPUTED_VALUE"""),"Nord-Ovest")</f>
        <v>Nord-Ovest</v>
      </c>
      <c r="B1125" t="str">
        <f ca="1">IFERROR(__xludf.DUMMYFUNCTION("""COMPUTED_VALUE"""),"ITC")</f>
        <v>ITC</v>
      </c>
    </row>
    <row r="1126" spans="1:2" ht="12.5" x14ac:dyDescent="0.25">
      <c r="A1126" t="str">
        <f ca="1">IFERROR(__xludf.DUMMYFUNCTION("""COMPUTED_VALUE"""),"Nord-Trøndelag")</f>
        <v>Nord-Trøndelag</v>
      </c>
      <c r="B1126" t="str">
        <f ca="1">IFERROR(__xludf.DUMMYFUNCTION("""COMPUTED_VALUE"""),"NO062")</f>
        <v>NO062</v>
      </c>
    </row>
    <row r="1127" spans="1:2" ht="12.5" x14ac:dyDescent="0.25">
      <c r="A1127" t="str">
        <f ca="1">IFERROR(__xludf.DUMMYFUNCTION("""COMPUTED_VALUE"""),"Nord-Vest")</f>
        <v>Nord-Vest</v>
      </c>
      <c r="B1127" t="str">
        <f ca="1">IFERROR(__xludf.DUMMYFUNCTION("""COMPUTED_VALUE"""),"RO11")</f>
        <v>RO11</v>
      </c>
    </row>
    <row r="1128" spans="1:2" ht="12.5" x14ac:dyDescent="0.25">
      <c r="A1128" t="str">
        <f ca="1">IFERROR(__xludf.DUMMYFUNCTION("""COMPUTED_VALUE"""),"Nordburgenland")</f>
        <v>Nordburgenland</v>
      </c>
      <c r="B1128" t="str">
        <f ca="1">IFERROR(__xludf.DUMMYFUNCTION("""COMPUTED_VALUE"""),"AT112")</f>
        <v>AT112</v>
      </c>
    </row>
    <row r="1129" spans="1:2" ht="12.5" x14ac:dyDescent="0.25">
      <c r="A1129" t="str">
        <f ca="1">IFERROR(__xludf.DUMMYFUNCTION("""COMPUTED_VALUE"""),"Nordfriesland")</f>
        <v>Nordfriesland</v>
      </c>
      <c r="B1129" t="str">
        <f ca="1">IFERROR(__xludf.DUMMYFUNCTION("""COMPUTED_VALUE"""),"DEF07")</f>
        <v>DEF07</v>
      </c>
    </row>
    <row r="1130" spans="1:2" ht="12.5" x14ac:dyDescent="0.25">
      <c r="A1130" t="str">
        <f ca="1">IFERROR(__xludf.DUMMYFUNCTION("""COMPUTED_VALUE"""),"Nordhausen")</f>
        <v>Nordhausen</v>
      </c>
      <c r="B1130" t="str">
        <f ca="1">IFERROR(__xludf.DUMMYFUNCTION("""COMPUTED_VALUE"""),"DEG07")</f>
        <v>DEG07</v>
      </c>
    </row>
    <row r="1131" spans="1:2" ht="12.5" x14ac:dyDescent="0.25">
      <c r="A1131" t="str">
        <f ca="1">IFERROR(__xludf.DUMMYFUNCTION("""COMPUTED_VALUE"""),"Nordjylland")</f>
        <v>Nordjylland</v>
      </c>
      <c r="B1131" t="str">
        <f ca="1">IFERROR(__xludf.DUMMYFUNCTION("""COMPUTED_VALUE"""),"DK05")</f>
        <v>DK05</v>
      </c>
    </row>
    <row r="1132" spans="1:2" ht="12.5" x14ac:dyDescent="0.25">
      <c r="A1132" t="str">
        <f ca="1">IFERROR(__xludf.DUMMYFUNCTION("""COMPUTED_VALUE"""),"Nordjylland (*)")</f>
        <v>Nordjylland (*)</v>
      </c>
      <c r="B1132" t="str">
        <f ca="1">IFERROR(__xludf.DUMMYFUNCTION("""COMPUTED_VALUE"""),"DK050")</f>
        <v>DK050</v>
      </c>
    </row>
    <row r="1133" spans="1:2" ht="12.5" x14ac:dyDescent="0.25">
      <c r="A1133" t="str">
        <f ca="1">IFERROR(__xludf.DUMMYFUNCTION("""COMPUTED_VALUE"""),"Nordland")</f>
        <v>Nordland</v>
      </c>
      <c r="B1133" t="str">
        <f ca="1">IFERROR(__xludf.DUMMYFUNCTION("""COMPUTED_VALUE"""),"NO071")</f>
        <v>NO071</v>
      </c>
    </row>
    <row r="1134" spans="1:2" ht="12.5" x14ac:dyDescent="0.25">
      <c r="A1134" t="str">
        <f ca="1">IFERROR(__xludf.DUMMYFUNCTION("""COMPUTED_VALUE"""),"Nordrhein-Westfalen")</f>
        <v>Nordrhein-Westfalen</v>
      </c>
      <c r="B1134" t="str">
        <f ca="1">IFERROR(__xludf.DUMMYFUNCTION("""COMPUTED_VALUE"""),"DEA")</f>
        <v>DEA</v>
      </c>
    </row>
    <row r="1135" spans="1:2" ht="12.5" x14ac:dyDescent="0.25">
      <c r="A1135" t="str">
        <f ca="1">IFERROR(__xludf.DUMMYFUNCTION("""COMPUTED_VALUE"""),"Nordsjælland")</f>
        <v>Nordsjælland</v>
      </c>
      <c r="B1135" t="str">
        <f ca="1">IFERROR(__xludf.DUMMYFUNCTION("""COMPUTED_VALUE"""),"DK013")</f>
        <v>DK013</v>
      </c>
    </row>
    <row r="1136" spans="1:2" ht="12.5" x14ac:dyDescent="0.25">
      <c r="A1136" t="str">
        <f ca="1">IFERROR(__xludf.DUMMYFUNCTION("""COMPUTED_VALUE"""),"Nordvorpommern")</f>
        <v>Nordvorpommern</v>
      </c>
      <c r="B1136" t="str">
        <f ca="1">IFERROR(__xludf.DUMMYFUNCTION("""COMPUTED_VALUE"""),"DE80D")</f>
        <v>DE80D</v>
      </c>
    </row>
    <row r="1137" spans="1:2" ht="12.5" x14ac:dyDescent="0.25">
      <c r="A1137" t="str">
        <f ca="1">IFERROR(__xludf.DUMMYFUNCTION("""COMPUTED_VALUE"""),"Nordwestmecklenburg")</f>
        <v>Nordwestmecklenburg</v>
      </c>
      <c r="B1137" t="str">
        <f ca="1">IFERROR(__xludf.DUMMYFUNCTION("""COMPUTED_VALUE"""),"DE80E")</f>
        <v>DE80E</v>
      </c>
    </row>
    <row r="1138" spans="1:2" ht="12.5" x14ac:dyDescent="0.25">
      <c r="A1138" t="str">
        <f ca="1">IFERROR(__xludf.DUMMYFUNCTION("""COMPUTED_VALUE"""),"Nordwestschweiz")</f>
        <v>Nordwestschweiz</v>
      </c>
      <c r="B1138" t="str">
        <f ca="1">IFERROR(__xludf.DUMMYFUNCTION("""COMPUTED_VALUE"""),"CH03")</f>
        <v>CH03</v>
      </c>
    </row>
    <row r="1139" spans="1:2" ht="12.5" x14ac:dyDescent="0.25">
      <c r="A1139" t="str">
        <f ca="1">IFERROR(__xludf.DUMMYFUNCTION("""COMPUTED_VALUE"""),"Noreste")</f>
        <v>Noreste</v>
      </c>
      <c r="B1139" t="str">
        <f ca="1">IFERROR(__xludf.DUMMYFUNCTION("""COMPUTED_VALUE"""),"ES2")</f>
        <v>ES2</v>
      </c>
    </row>
    <row r="1140" spans="1:2" ht="12.5" x14ac:dyDescent="0.25">
      <c r="A1140" t="str">
        <f ca="1">IFERROR(__xludf.DUMMYFUNCTION("""COMPUTED_VALUE"""),"Norfolk")</f>
        <v>Norfolk</v>
      </c>
      <c r="B1140" t="str">
        <f ca="1">IFERROR(__xludf.DUMMYFUNCTION("""COMPUTED_VALUE"""),"UKH13")</f>
        <v>UKH13</v>
      </c>
    </row>
    <row r="1141" spans="1:2" ht="12.5" x14ac:dyDescent="0.25">
      <c r="A1141" t="str">
        <f ca="1">IFERROR(__xludf.DUMMYFUNCTION("""COMPUTED_VALUE"""),"Norge")</f>
        <v>Norge</v>
      </c>
      <c r="B1141" t="str">
        <f ca="1">IFERROR(__xludf.DUMMYFUNCTION("""COMPUTED_VALUE"""),"NO")</f>
        <v>NO</v>
      </c>
    </row>
    <row r="1142" spans="1:2" ht="12.5" x14ac:dyDescent="0.25">
      <c r="A1142" t="str">
        <f ca="1">IFERROR(__xludf.DUMMYFUNCTION("""COMPUTED_VALUE"""),"Norge (*)")</f>
        <v>Norge (*)</v>
      </c>
      <c r="B1142" t="str">
        <f ca="1">IFERROR(__xludf.DUMMYFUNCTION("""COMPUTED_VALUE"""),"NO0")</f>
        <v>NO0</v>
      </c>
    </row>
    <row r="1143" spans="1:2" ht="12.5" x14ac:dyDescent="0.25">
      <c r="A1143" t="str">
        <f ca="1">IFERROR(__xludf.DUMMYFUNCTION("""COMPUTED_VALUE"""),"Noroeste")</f>
        <v>Noroeste</v>
      </c>
      <c r="B1143" t="str">
        <f ca="1">IFERROR(__xludf.DUMMYFUNCTION("""COMPUTED_VALUE"""),"ES1")</f>
        <v>ES1</v>
      </c>
    </row>
    <row r="1144" spans="1:2" ht="12.5" x14ac:dyDescent="0.25">
      <c r="A1144" t="str">
        <f ca="1">IFERROR(__xludf.DUMMYFUNCTION("""COMPUTED_VALUE"""),"Norra Mellansverige")</f>
        <v>Norra Mellansverige</v>
      </c>
      <c r="B1144" t="str">
        <f ca="1">IFERROR(__xludf.DUMMYFUNCTION("""COMPUTED_VALUE"""),"SE31")</f>
        <v>SE31</v>
      </c>
    </row>
    <row r="1145" spans="1:2" ht="12.5" x14ac:dyDescent="0.25">
      <c r="A1145" t="str">
        <f ca="1">IFERROR(__xludf.DUMMYFUNCTION("""COMPUTED_VALUE"""),"Norra Sverige")</f>
        <v>Norra Sverige</v>
      </c>
      <c r="B1145" t="str">
        <f ca="1">IFERROR(__xludf.DUMMYFUNCTION("""COMPUTED_VALUE"""),"SE3")</f>
        <v>SE3</v>
      </c>
    </row>
    <row r="1146" spans="1:2" ht="12.5" x14ac:dyDescent="0.25">
      <c r="A1146" t="str">
        <f ca="1">IFERROR(__xludf.DUMMYFUNCTION("""COMPUTED_VALUE"""),"Norrbottens Län")</f>
        <v>Norrbottens Län</v>
      </c>
      <c r="B1146" t="str">
        <f ca="1">IFERROR(__xludf.DUMMYFUNCTION("""COMPUTED_VALUE"""),"SE332")</f>
        <v>SE332</v>
      </c>
    </row>
    <row r="1147" spans="1:2" ht="12.5" x14ac:dyDescent="0.25">
      <c r="A1147" t="str">
        <f ca="1">IFERROR(__xludf.DUMMYFUNCTION("""COMPUTED_VALUE"""),"Norte")</f>
        <v>Norte</v>
      </c>
      <c r="B1147" t="str">
        <f ca="1">IFERROR(__xludf.DUMMYFUNCTION("""COMPUTED_VALUE"""),"PT11")</f>
        <v>PT11</v>
      </c>
    </row>
    <row r="1148" spans="1:2" ht="12.5" x14ac:dyDescent="0.25">
      <c r="A1148" t="str">
        <f ca="1">IFERROR(__xludf.DUMMYFUNCTION("""COMPUTED_VALUE"""),"North And North East Lincolnshire")</f>
        <v>North And North East Lincolnshire</v>
      </c>
      <c r="B1148" t="str">
        <f ca="1">IFERROR(__xludf.DUMMYFUNCTION("""COMPUTED_VALUE"""),"UKE13")</f>
        <v>UKE13</v>
      </c>
    </row>
    <row r="1149" spans="1:2" ht="12.5" x14ac:dyDescent="0.25">
      <c r="A1149" t="str">
        <f ca="1">IFERROR(__xludf.DUMMYFUNCTION("""COMPUTED_VALUE"""),"North East (England)")</f>
        <v>North East (England)</v>
      </c>
      <c r="B1149" t="str">
        <f ca="1">IFERROR(__xludf.DUMMYFUNCTION("""COMPUTED_VALUE"""),"UKC")</f>
        <v>UKC</v>
      </c>
    </row>
    <row r="1150" spans="1:2" ht="12.5" x14ac:dyDescent="0.25">
      <c r="A1150" t="str">
        <f ca="1">IFERROR(__xludf.DUMMYFUNCTION("""COMPUTED_VALUE"""),"North Eastern Scotland")</f>
        <v>North Eastern Scotland</v>
      </c>
      <c r="B1150" t="str">
        <f ca="1">IFERROR(__xludf.DUMMYFUNCTION("""COMPUTED_VALUE"""),"UKM5")</f>
        <v>UKM5</v>
      </c>
    </row>
    <row r="1151" spans="1:2" ht="12.5" x14ac:dyDescent="0.25">
      <c r="A1151" t="str">
        <f ca="1">IFERROR(__xludf.DUMMYFUNCTION("""COMPUTED_VALUE"""),"North Lanarkshire")</f>
        <v>North Lanarkshire</v>
      </c>
      <c r="B1151" t="str">
        <f ca="1">IFERROR(__xludf.DUMMYFUNCTION("""COMPUTED_VALUE"""),"UKM36")</f>
        <v>UKM36</v>
      </c>
    </row>
    <row r="1152" spans="1:2" ht="12.5" x14ac:dyDescent="0.25">
      <c r="A1152" t="str">
        <f ca="1">IFERROR(__xludf.DUMMYFUNCTION("""COMPUTED_VALUE"""),"North Nottinghamshire")</f>
        <v>North Nottinghamshire</v>
      </c>
      <c r="B1152" t="str">
        <f ca="1">IFERROR(__xludf.DUMMYFUNCTION("""COMPUTED_VALUE"""),"UKF15")</f>
        <v>UKF15</v>
      </c>
    </row>
    <row r="1153" spans="1:2" ht="12.5" x14ac:dyDescent="0.25">
      <c r="A1153" t="str">
        <f ca="1">IFERROR(__xludf.DUMMYFUNCTION("""COMPUTED_VALUE"""),"North Of Northern Ireland")</f>
        <v>North Of Northern Ireland</v>
      </c>
      <c r="B1153" t="str">
        <f ca="1">IFERROR(__xludf.DUMMYFUNCTION("""COMPUTED_VALUE"""),"UKN04")</f>
        <v>UKN04</v>
      </c>
    </row>
    <row r="1154" spans="1:2" ht="12.5" x14ac:dyDescent="0.25">
      <c r="A1154" t="str">
        <f ca="1">IFERROR(__xludf.DUMMYFUNCTION("""COMPUTED_VALUE"""),"North West (England)")</f>
        <v>North West (England)</v>
      </c>
      <c r="B1154" t="str">
        <f ca="1">IFERROR(__xludf.DUMMYFUNCTION("""COMPUTED_VALUE"""),"UKD")</f>
        <v>UKD</v>
      </c>
    </row>
    <row r="1155" spans="1:2" ht="12.5" x14ac:dyDescent="0.25">
      <c r="A1155" t="str">
        <f ca="1">IFERROR(__xludf.DUMMYFUNCTION("""COMPUTED_VALUE"""),"North Yorkshire")</f>
        <v>North Yorkshire</v>
      </c>
      <c r="B1155" t="str">
        <f ca="1">IFERROR(__xludf.DUMMYFUNCTION("""COMPUTED_VALUE"""),"UKE2")</f>
        <v>UKE2</v>
      </c>
    </row>
    <row r="1156" spans="1:2" ht="12.5" x14ac:dyDescent="0.25">
      <c r="A1156" t="str">
        <f ca="1">IFERROR(__xludf.DUMMYFUNCTION("""COMPUTED_VALUE"""),"North Yorkshire Cc")</f>
        <v>North Yorkshire Cc</v>
      </c>
      <c r="B1156" t="str">
        <f ca="1">IFERROR(__xludf.DUMMYFUNCTION("""COMPUTED_VALUE"""),"UKE22")</f>
        <v>UKE22</v>
      </c>
    </row>
    <row r="1157" spans="1:2" ht="12.5" x14ac:dyDescent="0.25">
      <c r="A1157" t="str">
        <f ca="1">IFERROR(__xludf.DUMMYFUNCTION("""COMPUTED_VALUE"""),"Northamptonshire")</f>
        <v>Northamptonshire</v>
      </c>
      <c r="B1157" t="str">
        <f ca="1">IFERROR(__xludf.DUMMYFUNCTION("""COMPUTED_VALUE"""),"UKF23")</f>
        <v>UKF23</v>
      </c>
    </row>
    <row r="1158" spans="1:2" ht="12.5" x14ac:dyDescent="0.25">
      <c r="A1158" t="str">
        <f ca="1">IFERROR(__xludf.DUMMYFUNCTION("""COMPUTED_VALUE"""),"Northeim")</f>
        <v>Northeim</v>
      </c>
      <c r="B1158" t="str">
        <f ca="1">IFERROR(__xludf.DUMMYFUNCTION("""COMPUTED_VALUE"""),"DE918")</f>
        <v>DE918</v>
      </c>
    </row>
    <row r="1159" spans="1:2" ht="12.5" x14ac:dyDescent="0.25">
      <c r="A1159" t="str">
        <f ca="1">IFERROR(__xludf.DUMMYFUNCTION("""COMPUTED_VALUE"""),"Northern Ireland")</f>
        <v>Northern Ireland</v>
      </c>
      <c r="B1159" t="str">
        <f ca="1">IFERROR(__xludf.DUMMYFUNCTION("""COMPUTED_VALUE"""),"UKN")</f>
        <v>UKN</v>
      </c>
    </row>
    <row r="1160" spans="1:2" ht="12.5" x14ac:dyDescent="0.25">
      <c r="A1160" t="str">
        <f ca="1">IFERROR(__xludf.DUMMYFUNCTION("""COMPUTED_VALUE"""),"Northern Ireland (*)")</f>
        <v>Northern Ireland (*)</v>
      </c>
      <c r="B1160" t="str">
        <f ca="1">IFERROR(__xludf.DUMMYFUNCTION("""COMPUTED_VALUE"""),"UKN0")</f>
        <v>UKN0</v>
      </c>
    </row>
    <row r="1161" spans="1:2" ht="12.5" x14ac:dyDescent="0.25">
      <c r="A1161" t="str">
        <f ca="1">IFERROR(__xludf.DUMMYFUNCTION("""COMPUTED_VALUE"""),"Northumberland")</f>
        <v>Northumberland</v>
      </c>
      <c r="B1161" t="str">
        <f ca="1">IFERROR(__xludf.DUMMYFUNCTION("""COMPUTED_VALUE"""),"UKC21")</f>
        <v>UKC21</v>
      </c>
    </row>
    <row r="1162" spans="1:2" ht="12.5" x14ac:dyDescent="0.25">
      <c r="A1162" t="str">
        <f ca="1">IFERROR(__xludf.DUMMYFUNCTION("""COMPUTED_VALUE"""),"Northumberland And Tyne And Wear")</f>
        <v>Northumberland And Tyne And Wear</v>
      </c>
      <c r="B1162" t="str">
        <f ca="1">IFERROR(__xludf.DUMMYFUNCTION("""COMPUTED_VALUE"""),"UKC2")</f>
        <v>UKC2</v>
      </c>
    </row>
    <row r="1163" spans="1:2" ht="12.5" x14ac:dyDescent="0.25">
      <c r="A1163" t="str">
        <f ca="1">IFERROR(__xludf.DUMMYFUNCTION("""COMPUTED_VALUE"""),"Notio Aigaio")</f>
        <v>Notio Aigaio</v>
      </c>
      <c r="B1163" t="str">
        <f ca="1">IFERROR(__xludf.DUMMYFUNCTION("""COMPUTED_VALUE"""),"GR42")</f>
        <v>GR42</v>
      </c>
    </row>
    <row r="1164" spans="1:2" ht="12.5" x14ac:dyDescent="0.25">
      <c r="A1164" t="str">
        <f ca="1">IFERROR(__xludf.DUMMYFUNCTION("""COMPUTED_VALUE"""),"Notranjsko-Kraska")</f>
        <v>Notranjsko-Kraska</v>
      </c>
      <c r="B1164" t="str">
        <f ca="1">IFERROR(__xludf.DUMMYFUNCTION("""COMPUTED_VALUE"""),"SI018")</f>
        <v>SI018</v>
      </c>
    </row>
    <row r="1165" spans="1:2" ht="12.5" x14ac:dyDescent="0.25">
      <c r="A1165" t="str">
        <f ca="1">IFERROR(__xludf.DUMMYFUNCTION("""COMPUTED_VALUE"""),"Nottingham")</f>
        <v>Nottingham</v>
      </c>
      <c r="B1165" t="str">
        <f ca="1">IFERROR(__xludf.DUMMYFUNCTION("""COMPUTED_VALUE"""),"UKF14")</f>
        <v>UKF14</v>
      </c>
    </row>
    <row r="1166" spans="1:2" ht="12.5" x14ac:dyDescent="0.25">
      <c r="A1166" t="str">
        <f ca="1">IFERROR(__xludf.DUMMYFUNCTION("""COMPUTED_VALUE"""),"Novara")</f>
        <v>Novara</v>
      </c>
      <c r="B1166" t="str">
        <f ca="1">IFERROR(__xludf.DUMMYFUNCTION("""COMPUTED_VALUE"""),"ITC15")</f>
        <v>ITC15</v>
      </c>
    </row>
    <row r="1167" spans="1:2" ht="12.5" x14ac:dyDescent="0.25">
      <c r="A1167" t="str">
        <f ca="1">IFERROR(__xludf.DUMMYFUNCTION("""COMPUTED_VALUE"""),"Nowosadecki")</f>
        <v>Nowosadecki</v>
      </c>
      <c r="B1167" t="str">
        <f ca="1">IFERROR(__xludf.DUMMYFUNCTION("""COMPUTED_VALUE"""),"PL215")</f>
        <v>PL215</v>
      </c>
    </row>
    <row r="1168" spans="1:2" ht="12.5" x14ac:dyDescent="0.25">
      <c r="A1168" t="str">
        <f ca="1">IFERROR(__xludf.DUMMYFUNCTION("""COMPUTED_VALUE"""),"Nuoro")</f>
        <v>Nuoro</v>
      </c>
      <c r="B1168" t="str">
        <f ca="1">IFERROR(__xludf.DUMMYFUNCTION("""COMPUTED_VALUE"""),"ITG26")</f>
        <v>ITG26</v>
      </c>
    </row>
    <row r="1169" spans="1:2" ht="12.5" x14ac:dyDescent="0.25">
      <c r="A1169" t="str">
        <f ca="1">IFERROR(__xludf.DUMMYFUNCTION("""COMPUTED_VALUE"""),"Nürnberg, Kreisfreie Stadt")</f>
        <v>Nürnberg, Kreisfreie Stadt</v>
      </c>
      <c r="B1169" t="str">
        <f ca="1">IFERROR(__xludf.DUMMYFUNCTION("""COMPUTED_VALUE"""),"DE254")</f>
        <v>DE254</v>
      </c>
    </row>
    <row r="1170" spans="1:2" ht="12.5" x14ac:dyDescent="0.25">
      <c r="A1170" t="str">
        <f ca="1">IFERROR(__xludf.DUMMYFUNCTION("""COMPUTED_VALUE"""),"Nürnberger Land")</f>
        <v>Nürnberger Land</v>
      </c>
      <c r="B1170" t="str">
        <f ca="1">IFERROR(__xludf.DUMMYFUNCTION("""COMPUTED_VALUE"""),"DE259")</f>
        <v>DE259</v>
      </c>
    </row>
    <row r="1171" spans="1:2" ht="12.5" x14ac:dyDescent="0.25">
      <c r="A1171" t="str">
        <f ca="1">IFERROR(__xludf.DUMMYFUNCTION("""COMPUTED_VALUE"""),"Nyski")</f>
        <v>Nyski</v>
      </c>
      <c r="B1171" t="str">
        <f ca="1">IFERROR(__xludf.DUMMYFUNCTION("""COMPUTED_VALUE"""),"PL521")</f>
        <v>PL521</v>
      </c>
    </row>
    <row r="1172" spans="1:2" ht="12.5" x14ac:dyDescent="0.25">
      <c r="A1172" t="str">
        <f ca="1">IFERROR(__xludf.DUMMYFUNCTION("""COMPUTED_VALUE"""),"Nyugat-Dunantul")</f>
        <v>Nyugat-Dunantul</v>
      </c>
      <c r="B1172" t="str">
        <f ca="1">IFERROR(__xludf.DUMMYFUNCTION("""COMPUTED_VALUE"""),"HU22")</f>
        <v>HU22</v>
      </c>
    </row>
    <row r="1173" spans="1:2" ht="12.5" x14ac:dyDescent="0.25">
      <c r="A1173" t="str">
        <f ca="1">IFERROR(__xludf.DUMMYFUNCTION("""COMPUTED_VALUE"""),"Obalno-Kraska")</f>
        <v>Obalno-Kraska</v>
      </c>
      <c r="B1173" t="str">
        <f ca="1">IFERROR(__xludf.DUMMYFUNCTION("""COMPUTED_VALUE"""),"SI024")</f>
        <v>SI024</v>
      </c>
    </row>
    <row r="1174" spans="1:2" ht="12.5" x14ac:dyDescent="0.25">
      <c r="A1174" t="str">
        <f ca="1">IFERROR(__xludf.DUMMYFUNCTION("""COMPUTED_VALUE"""),"Oberallgäu")</f>
        <v>Oberallgäu</v>
      </c>
      <c r="B1174" t="str">
        <f ca="1">IFERROR(__xludf.DUMMYFUNCTION("""COMPUTED_VALUE"""),"DE27E")</f>
        <v>DE27E</v>
      </c>
    </row>
    <row r="1175" spans="1:2" ht="12.5" x14ac:dyDescent="0.25">
      <c r="A1175" t="str">
        <f ca="1">IFERROR(__xludf.DUMMYFUNCTION("""COMPUTED_VALUE"""),"Oberbayern")</f>
        <v>Oberbayern</v>
      </c>
      <c r="B1175" t="str">
        <f ca="1">IFERROR(__xludf.DUMMYFUNCTION("""COMPUTED_VALUE"""),"DE21")</f>
        <v>DE21</v>
      </c>
    </row>
    <row r="1176" spans="1:2" ht="12.5" x14ac:dyDescent="0.25">
      <c r="A1176" t="str">
        <f ca="1">IFERROR(__xludf.DUMMYFUNCTION("""COMPUTED_VALUE"""),"Oberbergischer Kreis")</f>
        <v>Oberbergischer Kreis</v>
      </c>
      <c r="B1176" t="str">
        <f ca="1">IFERROR(__xludf.DUMMYFUNCTION("""COMPUTED_VALUE"""),"DEA2A")</f>
        <v>DEA2A</v>
      </c>
    </row>
    <row r="1177" spans="1:2" ht="12.5" x14ac:dyDescent="0.25">
      <c r="A1177" t="str">
        <f ca="1">IFERROR(__xludf.DUMMYFUNCTION("""COMPUTED_VALUE"""),"Oberfranken")</f>
        <v>Oberfranken</v>
      </c>
      <c r="B1177" t="str">
        <f ca="1">IFERROR(__xludf.DUMMYFUNCTION("""COMPUTED_VALUE"""),"DE24")</f>
        <v>DE24</v>
      </c>
    </row>
    <row r="1178" spans="1:2" ht="12.5" x14ac:dyDescent="0.25">
      <c r="A1178" t="str">
        <f ca="1">IFERROR(__xludf.DUMMYFUNCTION("""COMPUTED_VALUE"""),"Oberhausen, Kreisfreie Stadt")</f>
        <v>Oberhausen, Kreisfreie Stadt</v>
      </c>
      <c r="B1178" t="str">
        <f ca="1">IFERROR(__xludf.DUMMYFUNCTION("""COMPUTED_VALUE"""),"DEA17")</f>
        <v>DEA17</v>
      </c>
    </row>
    <row r="1179" spans="1:2" ht="12.5" x14ac:dyDescent="0.25">
      <c r="A1179" t="str">
        <f ca="1">IFERROR(__xludf.DUMMYFUNCTION("""COMPUTED_VALUE"""),"Oberhavel")</f>
        <v>Oberhavel</v>
      </c>
      <c r="B1179" t="str">
        <f ca="1">IFERROR(__xludf.DUMMYFUNCTION("""COMPUTED_VALUE"""),"DE414")</f>
        <v>DE414</v>
      </c>
    </row>
    <row r="1180" spans="1:2" ht="12.5" x14ac:dyDescent="0.25">
      <c r="A1180" t="str">
        <f ca="1">IFERROR(__xludf.DUMMYFUNCTION("""COMPUTED_VALUE"""),"Oberkärnten")</f>
        <v>Oberkärnten</v>
      </c>
      <c r="B1180" t="str">
        <f ca="1">IFERROR(__xludf.DUMMYFUNCTION("""COMPUTED_VALUE"""),"AT212")</f>
        <v>AT212</v>
      </c>
    </row>
    <row r="1181" spans="1:2" ht="12.5" x14ac:dyDescent="0.25">
      <c r="A1181" t="str">
        <f ca="1">IFERROR(__xludf.DUMMYFUNCTION("""COMPUTED_VALUE"""),"Oberösterreich")</f>
        <v>Oberösterreich</v>
      </c>
      <c r="B1181" t="str">
        <f ca="1">IFERROR(__xludf.DUMMYFUNCTION("""COMPUTED_VALUE"""),"AT31")</f>
        <v>AT31</v>
      </c>
    </row>
    <row r="1182" spans="1:2" ht="12.5" x14ac:dyDescent="0.25">
      <c r="A1182" t="str">
        <f ca="1">IFERROR(__xludf.DUMMYFUNCTION("""COMPUTED_VALUE"""),"Oberpfalz")</f>
        <v>Oberpfalz</v>
      </c>
      <c r="B1182" t="str">
        <f ca="1">IFERROR(__xludf.DUMMYFUNCTION("""COMPUTED_VALUE"""),"DE23")</f>
        <v>DE23</v>
      </c>
    </row>
    <row r="1183" spans="1:2" ht="12.5" x14ac:dyDescent="0.25">
      <c r="A1183" t="str">
        <f ca="1">IFERROR(__xludf.DUMMYFUNCTION("""COMPUTED_VALUE"""),"Oberspreewald-Lausitz")</f>
        <v>Oberspreewald-Lausitz</v>
      </c>
      <c r="B1183" t="str">
        <f ca="1">IFERROR(__xludf.DUMMYFUNCTION("""COMPUTED_VALUE"""),"DE427")</f>
        <v>DE427</v>
      </c>
    </row>
    <row r="1184" spans="1:2" ht="12.5" x14ac:dyDescent="0.25">
      <c r="A1184" t="str">
        <f ca="1">IFERROR(__xludf.DUMMYFUNCTION("""COMPUTED_VALUE"""),"Obwalden")</f>
        <v>Obwalden</v>
      </c>
      <c r="B1184" t="str">
        <f ca="1">IFERROR(__xludf.DUMMYFUNCTION("""COMPUTED_VALUE"""),"CH064")</f>
        <v>CH064</v>
      </c>
    </row>
    <row r="1185" spans="1:2" ht="12.5" x14ac:dyDescent="0.25">
      <c r="A1185" t="str">
        <f ca="1">IFERROR(__xludf.DUMMYFUNCTION("""COMPUTED_VALUE"""),"Odenwaldkreis")</f>
        <v>Odenwaldkreis</v>
      </c>
      <c r="B1185" t="str">
        <f ca="1">IFERROR(__xludf.DUMMYFUNCTION("""COMPUTED_VALUE"""),"DE71B")</f>
        <v>DE71B</v>
      </c>
    </row>
    <row r="1186" spans="1:2" ht="12.5" x14ac:dyDescent="0.25">
      <c r="A1186" t="str">
        <f ca="1">IFERROR(__xludf.DUMMYFUNCTION("""COMPUTED_VALUE"""),"Oder-Spree")</f>
        <v>Oder-Spree</v>
      </c>
      <c r="B1186" t="str">
        <f ca="1">IFERROR(__xludf.DUMMYFUNCTION("""COMPUTED_VALUE"""),"DE415")</f>
        <v>DE415</v>
      </c>
    </row>
    <row r="1187" spans="1:2" ht="12.5" x14ac:dyDescent="0.25">
      <c r="A1187" t="str">
        <f ca="1">IFERROR(__xludf.DUMMYFUNCTION("""COMPUTED_VALUE"""),"Oeste")</f>
        <v>Oeste</v>
      </c>
      <c r="B1187" t="str">
        <f ca="1">IFERROR(__xludf.DUMMYFUNCTION("""COMPUTED_VALUE"""),"PT16B")</f>
        <v>PT16B</v>
      </c>
    </row>
    <row r="1188" spans="1:2" ht="12.5" x14ac:dyDescent="0.25">
      <c r="A1188" t="str">
        <f ca="1">IFERROR(__xludf.DUMMYFUNCTION("""COMPUTED_VALUE"""),"Offenbach Am Main, Kreisfreie Stadt")</f>
        <v>Offenbach Am Main, Kreisfreie Stadt</v>
      </c>
      <c r="B1188" t="str">
        <f ca="1">IFERROR(__xludf.DUMMYFUNCTION("""COMPUTED_VALUE"""),"DE713")</f>
        <v>DE713</v>
      </c>
    </row>
    <row r="1189" spans="1:2" ht="12.5" x14ac:dyDescent="0.25">
      <c r="A1189" t="str">
        <f ca="1">IFERROR(__xludf.DUMMYFUNCTION("""COMPUTED_VALUE"""),"Offenbach, Landkreis")</f>
        <v>Offenbach, Landkreis</v>
      </c>
      <c r="B1189" t="str">
        <f ca="1">IFERROR(__xludf.DUMMYFUNCTION("""COMPUTED_VALUE"""),"DE71C")</f>
        <v>DE71C</v>
      </c>
    </row>
    <row r="1190" spans="1:2" ht="12.5" x14ac:dyDescent="0.25">
      <c r="A1190" t="str">
        <f ca="1">IFERROR(__xludf.DUMMYFUNCTION("""COMPUTED_VALUE"""),"Ogliastra")</f>
        <v>Ogliastra</v>
      </c>
      <c r="B1190" t="str">
        <f ca="1">IFERROR(__xludf.DUMMYFUNCTION("""COMPUTED_VALUE"""),"ITG2A")</f>
        <v>ITG2A</v>
      </c>
    </row>
    <row r="1191" spans="1:2" ht="12.5" x14ac:dyDescent="0.25">
      <c r="A1191" t="str">
        <f ca="1">IFERROR(__xludf.DUMMYFUNCTION("""COMPUTED_VALUE"""),"Oise")</f>
        <v>Oise</v>
      </c>
      <c r="B1191" t="str">
        <f ca="1">IFERROR(__xludf.DUMMYFUNCTION("""COMPUTED_VALUE"""),"FR222")</f>
        <v>FR222</v>
      </c>
    </row>
    <row r="1192" spans="1:2" ht="12.5" x14ac:dyDescent="0.25">
      <c r="A1192" t="str">
        <f ca="1">IFERROR(__xludf.DUMMYFUNCTION("""COMPUTED_VALUE"""),"Olbia-Tempio")</f>
        <v>Olbia-Tempio</v>
      </c>
      <c r="B1192" t="str">
        <f ca="1">IFERROR(__xludf.DUMMYFUNCTION("""COMPUTED_VALUE"""),"ITG29")</f>
        <v>ITG29</v>
      </c>
    </row>
    <row r="1193" spans="1:2" ht="12.5" x14ac:dyDescent="0.25">
      <c r="A1193" t="str">
        <f ca="1">IFERROR(__xludf.DUMMYFUNCTION("""COMPUTED_VALUE"""),"Oldenburg (Oldenburg), Kreisfreie Stadt")</f>
        <v>Oldenburg (Oldenburg), Kreisfreie Stadt</v>
      </c>
      <c r="B1193" t="str">
        <f ca="1">IFERROR(__xludf.DUMMYFUNCTION("""COMPUTED_VALUE"""),"DE943")</f>
        <v>DE943</v>
      </c>
    </row>
    <row r="1194" spans="1:2" ht="12.5" x14ac:dyDescent="0.25">
      <c r="A1194" t="str">
        <f ca="1">IFERROR(__xludf.DUMMYFUNCTION("""COMPUTED_VALUE"""),"Oldenburg, Landkreis")</f>
        <v>Oldenburg, Landkreis</v>
      </c>
      <c r="B1194" t="str">
        <f ca="1">IFERROR(__xludf.DUMMYFUNCTION("""COMPUTED_VALUE"""),"DE94D")</f>
        <v>DE94D</v>
      </c>
    </row>
    <row r="1195" spans="1:2" ht="12.5" x14ac:dyDescent="0.25">
      <c r="A1195" t="str">
        <f ca="1">IFERROR(__xludf.DUMMYFUNCTION("""COMPUTED_VALUE"""),"Olomoucky Kraj")</f>
        <v>Olomoucky Kraj</v>
      </c>
      <c r="B1195" t="str">
        <f ca="1">IFERROR(__xludf.DUMMYFUNCTION("""COMPUTED_VALUE"""),"CZ071")</f>
        <v>CZ071</v>
      </c>
    </row>
    <row r="1196" spans="1:2" ht="12.5" x14ac:dyDescent="0.25">
      <c r="A1196" t="str">
        <f ca="1">IFERROR(__xludf.DUMMYFUNCTION("""COMPUTED_VALUE"""),"Olpe")</f>
        <v>Olpe</v>
      </c>
      <c r="B1196" t="str">
        <f ca="1">IFERROR(__xludf.DUMMYFUNCTION("""COMPUTED_VALUE"""),"DEA59")</f>
        <v>DEA59</v>
      </c>
    </row>
    <row r="1197" spans="1:2" ht="12.5" x14ac:dyDescent="0.25">
      <c r="A1197" t="str">
        <f ca="1">IFERROR(__xludf.DUMMYFUNCTION("""COMPUTED_VALUE"""),"Olsztynski")</f>
        <v>Olsztynski</v>
      </c>
      <c r="B1197" t="str">
        <f ca="1">IFERROR(__xludf.DUMMYFUNCTION("""COMPUTED_VALUE"""),"PL622")</f>
        <v>PL622</v>
      </c>
    </row>
    <row r="1198" spans="1:2" ht="12.5" x14ac:dyDescent="0.25">
      <c r="A1198" t="str">
        <f ca="1">IFERROR(__xludf.DUMMYFUNCTION("""COMPUTED_VALUE"""),"Olt")</f>
        <v>Olt</v>
      </c>
      <c r="B1198" t="str">
        <f ca="1">IFERROR(__xludf.DUMMYFUNCTION("""COMPUTED_VALUE"""),"RO414")</f>
        <v>RO414</v>
      </c>
    </row>
    <row r="1199" spans="1:2" ht="12.5" x14ac:dyDescent="0.25">
      <c r="A1199" t="str">
        <f ca="1">IFERROR(__xludf.DUMMYFUNCTION("""COMPUTED_VALUE"""),"Oost-Groningen")</f>
        <v>Oost-Groningen</v>
      </c>
      <c r="B1199" t="str">
        <f ca="1">IFERROR(__xludf.DUMMYFUNCTION("""COMPUTED_VALUE"""),"NL111")</f>
        <v>NL111</v>
      </c>
    </row>
    <row r="1200" spans="1:2" ht="12.5" x14ac:dyDescent="0.25">
      <c r="A1200" t="str">
        <f ca="1">IFERROR(__xludf.DUMMYFUNCTION("""COMPUTED_VALUE"""),"Oost-Nederland")</f>
        <v>Oost-Nederland</v>
      </c>
      <c r="B1200" t="str">
        <f ca="1">IFERROR(__xludf.DUMMYFUNCTION("""COMPUTED_VALUE"""),"NL2")</f>
        <v>NL2</v>
      </c>
    </row>
    <row r="1201" spans="1:2" ht="12.5" x14ac:dyDescent="0.25">
      <c r="A1201" t="str">
        <f ca="1">IFERROR(__xludf.DUMMYFUNCTION("""COMPUTED_VALUE"""),"Oost-Zuid-Holland")</f>
        <v>Oost-Zuid-Holland</v>
      </c>
      <c r="B1201" t="str">
        <f ca="1">IFERROR(__xludf.DUMMYFUNCTION("""COMPUTED_VALUE"""),"NL334")</f>
        <v>NL334</v>
      </c>
    </row>
    <row r="1202" spans="1:2" ht="12.5" x14ac:dyDescent="0.25">
      <c r="A1202" t="str">
        <f ca="1">IFERROR(__xludf.DUMMYFUNCTION("""COMPUTED_VALUE"""),"Opolski")</f>
        <v>Opolski</v>
      </c>
      <c r="B1202" t="str">
        <f ca="1">IFERROR(__xludf.DUMMYFUNCTION("""COMPUTED_VALUE"""),"PL522")</f>
        <v>PL522</v>
      </c>
    </row>
    <row r="1203" spans="1:2" ht="12.5" x14ac:dyDescent="0.25">
      <c r="A1203" t="str">
        <f ca="1">IFERROR(__xludf.DUMMYFUNCTION("""COMPUTED_VALUE"""),"Opolskie")</f>
        <v>Opolskie</v>
      </c>
      <c r="B1203" t="str">
        <f ca="1">IFERROR(__xludf.DUMMYFUNCTION("""COMPUTED_VALUE"""),"PL52")</f>
        <v>PL52</v>
      </c>
    </row>
    <row r="1204" spans="1:2" ht="12.5" x14ac:dyDescent="0.25">
      <c r="A1204" t="str">
        <f ca="1">IFERROR(__xludf.DUMMYFUNCTION("""COMPUTED_VALUE"""),"Oppland")</f>
        <v>Oppland</v>
      </c>
      <c r="B1204" t="str">
        <f ca="1">IFERROR(__xludf.DUMMYFUNCTION("""COMPUTED_VALUE"""),"NO022")</f>
        <v>NO022</v>
      </c>
    </row>
    <row r="1205" spans="1:2" ht="12.5" x14ac:dyDescent="0.25">
      <c r="A1205" t="str">
        <f ca="1">IFERROR(__xludf.DUMMYFUNCTION("""COMPUTED_VALUE"""),"Örebro Län")</f>
        <v>Örebro Län</v>
      </c>
      <c r="B1205" t="str">
        <f ca="1">IFERROR(__xludf.DUMMYFUNCTION("""COMPUTED_VALUE"""),"SE124")</f>
        <v>SE124</v>
      </c>
    </row>
    <row r="1206" spans="1:2" ht="12.5" x14ac:dyDescent="0.25">
      <c r="A1206" t="str">
        <f ca="1">IFERROR(__xludf.DUMMYFUNCTION("""COMPUTED_VALUE"""),"Oristano")</f>
        <v>Oristano</v>
      </c>
      <c r="B1206" t="str">
        <f ca="1">IFERROR(__xludf.DUMMYFUNCTION("""COMPUTED_VALUE"""),"ITG28")</f>
        <v>ITG28</v>
      </c>
    </row>
    <row r="1207" spans="1:2" ht="12.5" x14ac:dyDescent="0.25">
      <c r="A1207" t="str">
        <f ca="1">IFERROR(__xludf.DUMMYFUNCTION("""COMPUTED_VALUE"""),"Orkney Islands")</f>
        <v>Orkney Islands</v>
      </c>
      <c r="B1207" t="str">
        <f ca="1">IFERROR(__xludf.DUMMYFUNCTION("""COMPUTED_VALUE"""),"UKM65")</f>
        <v>UKM65</v>
      </c>
    </row>
    <row r="1208" spans="1:2" ht="12.5" x14ac:dyDescent="0.25">
      <c r="A1208" t="str">
        <f ca="1">IFERROR(__xludf.DUMMYFUNCTION("""COMPUTED_VALUE"""),"Orne")</f>
        <v>Orne</v>
      </c>
      <c r="B1208" t="str">
        <f ca="1">IFERROR(__xludf.DUMMYFUNCTION("""COMPUTED_VALUE"""),"FR253")</f>
        <v>FR253</v>
      </c>
    </row>
    <row r="1209" spans="1:2" ht="12.5" x14ac:dyDescent="0.25">
      <c r="A1209" t="str">
        <f ca="1">IFERROR(__xludf.DUMMYFUNCTION("""COMPUTED_VALUE"""),"Ortenaukreis")</f>
        <v>Ortenaukreis</v>
      </c>
      <c r="B1209" t="str">
        <f ca="1">IFERROR(__xludf.DUMMYFUNCTION("""COMPUTED_VALUE"""),"DE134")</f>
        <v>DE134</v>
      </c>
    </row>
    <row r="1210" spans="1:2" ht="12.5" x14ac:dyDescent="0.25">
      <c r="A1210" t="str">
        <f ca="1">IFERROR(__xludf.DUMMYFUNCTION("""COMPUTED_VALUE"""),"Oslo")</f>
        <v>Oslo</v>
      </c>
      <c r="B1210" t="str">
        <f ca="1">IFERROR(__xludf.DUMMYFUNCTION("""COMPUTED_VALUE"""),"NO011")</f>
        <v>NO011</v>
      </c>
    </row>
    <row r="1211" spans="1:2" ht="12.5" x14ac:dyDescent="0.25">
      <c r="A1211" t="str">
        <f ca="1">IFERROR(__xludf.DUMMYFUNCTION("""COMPUTED_VALUE"""),"Oslo Og Akershus")</f>
        <v>Oslo Og Akershus</v>
      </c>
      <c r="B1211" t="str">
        <f ca="1">IFERROR(__xludf.DUMMYFUNCTION("""COMPUTED_VALUE"""),"NO01")</f>
        <v>NO01</v>
      </c>
    </row>
    <row r="1212" spans="1:2" ht="12.5" x14ac:dyDescent="0.25">
      <c r="A1212" t="str">
        <f ca="1">IFERROR(__xludf.DUMMYFUNCTION("""COMPUTED_VALUE"""),"Osnabrück, Kreisfreie Stadt")</f>
        <v>Osnabrück, Kreisfreie Stadt</v>
      </c>
      <c r="B1212" t="str">
        <f ca="1">IFERROR(__xludf.DUMMYFUNCTION("""COMPUTED_VALUE"""),"DE944")</f>
        <v>DE944</v>
      </c>
    </row>
    <row r="1213" spans="1:2" ht="12.5" x14ac:dyDescent="0.25">
      <c r="A1213" t="str">
        <f ca="1">IFERROR(__xludf.DUMMYFUNCTION("""COMPUTED_VALUE"""),"Osnabrück, Landkreis")</f>
        <v>Osnabrück, Landkreis</v>
      </c>
      <c r="B1213" t="str">
        <f ca="1">IFERROR(__xludf.DUMMYFUNCTION("""COMPUTED_VALUE"""),"DE94E")</f>
        <v>DE94E</v>
      </c>
    </row>
    <row r="1214" spans="1:2" ht="12.5" x14ac:dyDescent="0.25">
      <c r="A1214" t="str">
        <f ca="1">IFERROR(__xludf.DUMMYFUNCTION("""COMPUTED_VALUE"""),"Osrednjeslovenska")</f>
        <v>Osrednjeslovenska</v>
      </c>
      <c r="B1214" t="str">
        <f ca="1">IFERROR(__xludf.DUMMYFUNCTION("""COMPUTED_VALUE"""),"SI021")</f>
        <v>SI021</v>
      </c>
    </row>
    <row r="1215" spans="1:2" ht="12.5" x14ac:dyDescent="0.25">
      <c r="A1215" t="str">
        <f ca="1">IFERROR(__xludf.DUMMYFUNCTION("""COMPUTED_VALUE"""),"Ostalbkreis")</f>
        <v>Ostalbkreis</v>
      </c>
      <c r="B1215" t="str">
        <f ca="1">IFERROR(__xludf.DUMMYFUNCTION("""COMPUTED_VALUE"""),"DE11D")</f>
        <v>DE11D</v>
      </c>
    </row>
    <row r="1216" spans="1:2" ht="12.5" x14ac:dyDescent="0.25">
      <c r="A1216" t="str">
        <f ca="1">IFERROR(__xludf.DUMMYFUNCTION("""COMPUTED_VALUE"""),"Ostallgäu")</f>
        <v>Ostallgäu</v>
      </c>
      <c r="B1216" t="str">
        <f ca="1">IFERROR(__xludf.DUMMYFUNCTION("""COMPUTED_VALUE"""),"DE27B")</f>
        <v>DE27B</v>
      </c>
    </row>
    <row r="1217" spans="1:2" ht="12.5" x14ac:dyDescent="0.25">
      <c r="A1217" t="str">
        <f ca="1">IFERROR(__xludf.DUMMYFUNCTION("""COMPUTED_VALUE"""),"Östergötlands Län")</f>
        <v>Östergötlands Län</v>
      </c>
      <c r="B1217" t="str">
        <f ca="1">IFERROR(__xludf.DUMMYFUNCTION("""COMPUTED_VALUE"""),"SE123")</f>
        <v>SE123</v>
      </c>
    </row>
    <row r="1218" spans="1:2" ht="12.5" x14ac:dyDescent="0.25">
      <c r="A1218" t="str">
        <f ca="1">IFERROR(__xludf.DUMMYFUNCTION("""COMPUTED_VALUE"""),"Osterholz")</f>
        <v>Osterholz</v>
      </c>
      <c r="B1218" t="str">
        <f ca="1">IFERROR(__xludf.DUMMYFUNCTION("""COMPUTED_VALUE"""),"DE936")</f>
        <v>DE936</v>
      </c>
    </row>
    <row r="1219" spans="1:2" ht="12.5" x14ac:dyDescent="0.25">
      <c r="A1219" t="str">
        <f ca="1">IFERROR(__xludf.DUMMYFUNCTION("""COMPUTED_VALUE"""),"Osterode Am Harz")</f>
        <v>Osterode Am Harz</v>
      </c>
      <c r="B1219" t="str">
        <f ca="1">IFERROR(__xludf.DUMMYFUNCTION("""COMPUTED_VALUE"""),"DE919")</f>
        <v>DE919</v>
      </c>
    </row>
    <row r="1220" spans="1:2" ht="12.5" x14ac:dyDescent="0.25">
      <c r="A1220" t="str">
        <f ca="1">IFERROR(__xludf.DUMMYFUNCTION("""COMPUTED_VALUE"""),"Österreich")</f>
        <v>Österreich</v>
      </c>
      <c r="B1220" t="str">
        <f ca="1">IFERROR(__xludf.DUMMYFUNCTION("""COMPUTED_VALUE"""),"AT")</f>
        <v>AT</v>
      </c>
    </row>
    <row r="1221" spans="1:2" ht="12.5" x14ac:dyDescent="0.25">
      <c r="A1221" t="str">
        <f ca="1">IFERROR(__xludf.DUMMYFUNCTION("""COMPUTED_VALUE"""),"Østfold")</f>
        <v>Østfold</v>
      </c>
      <c r="B1221" t="str">
        <f ca="1">IFERROR(__xludf.DUMMYFUNCTION("""COMPUTED_VALUE"""),"NO031")</f>
        <v>NO031</v>
      </c>
    </row>
    <row r="1222" spans="1:2" ht="12.5" x14ac:dyDescent="0.25">
      <c r="A1222" t="str">
        <f ca="1">IFERROR(__xludf.DUMMYFUNCTION("""COMPUTED_VALUE"""),"Ostholstein")</f>
        <v>Ostholstein</v>
      </c>
      <c r="B1222" t="str">
        <f ca="1">IFERROR(__xludf.DUMMYFUNCTION("""COMPUTED_VALUE"""),"DEF08")</f>
        <v>DEF08</v>
      </c>
    </row>
    <row r="1223" spans="1:2" ht="12.5" x14ac:dyDescent="0.25">
      <c r="A1223" t="str">
        <f ca="1">IFERROR(__xludf.DUMMYFUNCTION("""COMPUTED_VALUE"""),"Østjylland")</f>
        <v>Østjylland</v>
      </c>
      <c r="B1223" t="str">
        <f ca="1">IFERROR(__xludf.DUMMYFUNCTION("""COMPUTED_VALUE"""),"DK042")</f>
        <v>DK042</v>
      </c>
    </row>
    <row r="1224" spans="1:2" ht="12.5" x14ac:dyDescent="0.25">
      <c r="A1224" t="str">
        <f ca="1">IFERROR(__xludf.DUMMYFUNCTION("""COMPUTED_VALUE"""),"Östliche Obersteiermark")</f>
        <v>Östliche Obersteiermark</v>
      </c>
      <c r="B1224" t="str">
        <f ca="1">IFERROR(__xludf.DUMMYFUNCTION("""COMPUTED_VALUE"""),"AT223")</f>
        <v>AT223</v>
      </c>
    </row>
    <row r="1225" spans="1:2" ht="12.5" x14ac:dyDescent="0.25">
      <c r="A1225" t="str">
        <f ca="1">IFERROR(__xludf.DUMMYFUNCTION("""COMPUTED_VALUE"""),"Ostösterreich")</f>
        <v>Ostösterreich</v>
      </c>
      <c r="B1225" t="str">
        <f ca="1">IFERROR(__xludf.DUMMYFUNCTION("""COMPUTED_VALUE"""),"AT1")</f>
        <v>AT1</v>
      </c>
    </row>
    <row r="1226" spans="1:2" ht="12.5" x14ac:dyDescent="0.25">
      <c r="A1226" t="str">
        <f ca="1">IFERROR(__xludf.DUMMYFUNCTION("""COMPUTED_VALUE"""),"Ostprignitz-Ruppin")</f>
        <v>Ostprignitz-Ruppin</v>
      </c>
      <c r="B1226" t="str">
        <f ca="1">IFERROR(__xludf.DUMMYFUNCTION("""COMPUTED_VALUE"""),"DE416")</f>
        <v>DE416</v>
      </c>
    </row>
    <row r="1227" spans="1:2" ht="12.5" x14ac:dyDescent="0.25">
      <c r="A1227" t="str">
        <f ca="1">IFERROR(__xludf.DUMMYFUNCTION("""COMPUTED_VALUE"""),"Östra Mellansverige")</f>
        <v>Östra Mellansverige</v>
      </c>
      <c r="B1227" t="str">
        <f ca="1">IFERROR(__xludf.DUMMYFUNCTION("""COMPUTED_VALUE"""),"SE12")</f>
        <v>SE12</v>
      </c>
    </row>
    <row r="1228" spans="1:2" ht="12.5" x14ac:dyDescent="0.25">
      <c r="A1228" t="str">
        <f ca="1">IFERROR(__xludf.DUMMYFUNCTION("""COMPUTED_VALUE"""),"Östra Sverige")</f>
        <v>Östra Sverige</v>
      </c>
      <c r="B1228" t="str">
        <f ca="1">IFERROR(__xludf.DUMMYFUNCTION("""COMPUTED_VALUE"""),"SE1")</f>
        <v>SE1</v>
      </c>
    </row>
    <row r="1229" spans="1:2" ht="12.5" x14ac:dyDescent="0.25">
      <c r="A1229" t="str">
        <f ca="1">IFERROR(__xludf.DUMMYFUNCTION("""COMPUTED_VALUE"""),"Ostrolecko-Siedlecki")</f>
        <v>Ostrolecko-Siedlecki</v>
      </c>
      <c r="B1229" t="str">
        <f ca="1">IFERROR(__xludf.DUMMYFUNCTION("""COMPUTED_VALUE"""),"PL122")</f>
        <v>PL122</v>
      </c>
    </row>
    <row r="1230" spans="1:2" ht="12.5" x14ac:dyDescent="0.25">
      <c r="A1230" t="str">
        <f ca="1">IFERROR(__xludf.DUMMYFUNCTION("""COMPUTED_VALUE"""),"Ostschweiz")</f>
        <v>Ostschweiz</v>
      </c>
      <c r="B1230" t="str">
        <f ca="1">IFERROR(__xludf.DUMMYFUNCTION("""COMPUTED_VALUE"""),"CH05")</f>
        <v>CH05</v>
      </c>
    </row>
    <row r="1231" spans="1:2" ht="12.5" x14ac:dyDescent="0.25">
      <c r="A1231" t="str">
        <f ca="1">IFERROR(__xludf.DUMMYFUNCTION("""COMPUTED_VALUE"""),"Østsjælland")</f>
        <v>Østsjælland</v>
      </c>
      <c r="B1231" t="str">
        <f ca="1">IFERROR(__xludf.DUMMYFUNCTION("""COMPUTED_VALUE"""),"DK021")</f>
        <v>DK021</v>
      </c>
    </row>
    <row r="1232" spans="1:2" ht="12.5" x14ac:dyDescent="0.25">
      <c r="A1232" t="str">
        <f ca="1">IFERROR(__xludf.DUMMYFUNCTION("""COMPUTED_VALUE"""),"Oststeiermark")</f>
        <v>Oststeiermark</v>
      </c>
      <c r="B1232" t="str">
        <f ca="1">IFERROR(__xludf.DUMMYFUNCTION("""COMPUTED_VALUE"""),"AT224")</f>
        <v>AT224</v>
      </c>
    </row>
    <row r="1233" spans="1:2" ht="12.5" x14ac:dyDescent="0.25">
      <c r="A1233" t="str">
        <f ca="1">IFERROR(__xludf.DUMMYFUNCTION("""COMPUTED_VALUE"""),"Osttirol")</f>
        <v>Osttirol</v>
      </c>
      <c r="B1233" t="str">
        <f ca="1">IFERROR(__xludf.DUMMYFUNCTION("""COMPUTED_VALUE"""),"AT333")</f>
        <v>AT333</v>
      </c>
    </row>
    <row r="1234" spans="1:2" ht="12.5" x14ac:dyDescent="0.25">
      <c r="A1234" t="str">
        <f ca="1">IFERROR(__xludf.DUMMYFUNCTION("""COMPUTED_VALUE"""),"Ostvorpommern")</f>
        <v>Ostvorpommern</v>
      </c>
      <c r="B1234" t="str">
        <f ca="1">IFERROR(__xludf.DUMMYFUNCTION("""COMPUTED_VALUE"""),"DE80F")</f>
        <v>DE80F</v>
      </c>
    </row>
    <row r="1235" spans="1:2" ht="12.5" x14ac:dyDescent="0.25">
      <c r="A1235" t="str">
        <f ca="1">IFERROR(__xludf.DUMMYFUNCTION("""COMPUTED_VALUE"""),"Oswiecimski")</f>
        <v>Oswiecimski</v>
      </c>
      <c r="B1235" t="str">
        <f ca="1">IFERROR(__xludf.DUMMYFUNCTION("""COMPUTED_VALUE"""),"PL216")</f>
        <v>PL216</v>
      </c>
    </row>
    <row r="1236" spans="1:2" ht="12.5" x14ac:dyDescent="0.25">
      <c r="A1236" t="str">
        <f ca="1">IFERROR(__xludf.DUMMYFUNCTION("""COMPUTED_VALUE"""),"Ouest")</f>
        <v>Ouest</v>
      </c>
      <c r="B1236" t="str">
        <f ca="1">IFERROR(__xludf.DUMMYFUNCTION("""COMPUTED_VALUE"""),"FR5")</f>
        <v>FR5</v>
      </c>
    </row>
    <row r="1237" spans="1:2" ht="12.5" x14ac:dyDescent="0.25">
      <c r="A1237" t="str">
        <f ca="1">IFERROR(__xludf.DUMMYFUNCTION("""COMPUTED_VALUE"""),"Ourense")</f>
        <v>Ourense</v>
      </c>
      <c r="B1237" t="str">
        <f ca="1">IFERROR(__xludf.DUMMYFUNCTION("""COMPUTED_VALUE"""),"ES113")</f>
        <v>ES113</v>
      </c>
    </row>
    <row r="1238" spans="1:2" ht="12.5" x14ac:dyDescent="0.25">
      <c r="A1238" t="str">
        <f ca="1">IFERROR(__xludf.DUMMYFUNCTION("""COMPUTED_VALUE"""),"Outer Belfast")</f>
        <v>Outer Belfast</v>
      </c>
      <c r="B1238" t="str">
        <f ca="1">IFERROR(__xludf.DUMMYFUNCTION("""COMPUTED_VALUE"""),"UKN02")</f>
        <v>UKN02</v>
      </c>
    </row>
    <row r="1239" spans="1:2" ht="12.5" x14ac:dyDescent="0.25">
      <c r="A1239" t="str">
        <f ca="1">IFERROR(__xludf.DUMMYFUNCTION("""COMPUTED_VALUE"""),"Outer London")</f>
        <v>Outer London</v>
      </c>
      <c r="B1239" t="str">
        <f ca="1">IFERROR(__xludf.DUMMYFUNCTION("""COMPUTED_VALUE"""),"UKI2")</f>
        <v>UKI2</v>
      </c>
    </row>
    <row r="1240" spans="1:2" ht="12.5" x14ac:dyDescent="0.25">
      <c r="A1240" t="str">
        <f ca="1">IFERROR(__xludf.DUMMYFUNCTION("""COMPUTED_VALUE"""),"Outer London - East And North East")</f>
        <v>Outer London - East And North East</v>
      </c>
      <c r="B1240" t="str">
        <f ca="1">IFERROR(__xludf.DUMMYFUNCTION("""COMPUTED_VALUE"""),"UKI21")</f>
        <v>UKI21</v>
      </c>
    </row>
    <row r="1241" spans="1:2" ht="12.5" x14ac:dyDescent="0.25">
      <c r="A1241" t="str">
        <f ca="1">IFERROR(__xludf.DUMMYFUNCTION("""COMPUTED_VALUE"""),"Outer London - South")</f>
        <v>Outer London - South</v>
      </c>
      <c r="B1241" t="str">
        <f ca="1">IFERROR(__xludf.DUMMYFUNCTION("""COMPUTED_VALUE"""),"UKI22")</f>
        <v>UKI22</v>
      </c>
    </row>
    <row r="1242" spans="1:2" ht="12.5" x14ac:dyDescent="0.25">
      <c r="A1242" t="str">
        <f ca="1">IFERROR(__xludf.DUMMYFUNCTION("""COMPUTED_VALUE"""),"Outer London - West And North West")</f>
        <v>Outer London - West And North West</v>
      </c>
      <c r="B1242" t="str">
        <f ca="1">IFERROR(__xludf.DUMMYFUNCTION("""COMPUTED_VALUE"""),"UKI23")</f>
        <v>UKI23</v>
      </c>
    </row>
    <row r="1243" spans="1:2" ht="12.5" x14ac:dyDescent="0.25">
      <c r="A1243" t="str">
        <f ca="1">IFERROR(__xludf.DUMMYFUNCTION("""COMPUTED_VALUE"""),"Overig Groningen")</f>
        <v>Overig Groningen</v>
      </c>
      <c r="B1243" t="str">
        <f ca="1">IFERROR(__xludf.DUMMYFUNCTION("""COMPUTED_VALUE"""),"NL113")</f>
        <v>NL113</v>
      </c>
    </row>
    <row r="1244" spans="1:2" ht="12.5" x14ac:dyDescent="0.25">
      <c r="A1244" t="str">
        <f ca="1">IFERROR(__xludf.DUMMYFUNCTION("""COMPUTED_VALUE"""),"Overig Zeeland")</f>
        <v>Overig Zeeland</v>
      </c>
      <c r="B1244" t="str">
        <f ca="1">IFERROR(__xludf.DUMMYFUNCTION("""COMPUTED_VALUE"""),"NL342")</f>
        <v>NL342</v>
      </c>
    </row>
    <row r="1245" spans="1:2" ht="12.5" x14ac:dyDescent="0.25">
      <c r="A1245" t="str">
        <f ca="1">IFERROR(__xludf.DUMMYFUNCTION("""COMPUTED_VALUE"""),"Overijssel")</f>
        <v>Overijssel</v>
      </c>
      <c r="B1245" t="str">
        <f ca="1">IFERROR(__xludf.DUMMYFUNCTION("""COMPUTED_VALUE"""),"NL21")</f>
        <v>NL21</v>
      </c>
    </row>
    <row r="1246" spans="1:2" ht="12.5" x14ac:dyDescent="0.25">
      <c r="A1246" t="str">
        <f ca="1">IFERROR(__xludf.DUMMYFUNCTION("""COMPUTED_VALUE"""),"Övre Norrland")</f>
        <v>Övre Norrland</v>
      </c>
      <c r="B1246" t="str">
        <f ca="1">IFERROR(__xludf.DUMMYFUNCTION("""COMPUTED_VALUE"""),"SE33")</f>
        <v>SE33</v>
      </c>
    </row>
    <row r="1247" spans="1:2" ht="12.5" x14ac:dyDescent="0.25">
      <c r="A1247" t="str">
        <f ca="1">IFERROR(__xludf.DUMMYFUNCTION("""COMPUTED_VALUE"""),"Oxfordshire")</f>
        <v>Oxfordshire</v>
      </c>
      <c r="B1247" t="str">
        <f ca="1">IFERROR(__xludf.DUMMYFUNCTION("""COMPUTED_VALUE"""),"UKJ14")</f>
        <v>UKJ14</v>
      </c>
    </row>
    <row r="1248" spans="1:2" ht="12.5" x14ac:dyDescent="0.25">
      <c r="A1248" t="str">
        <f ca="1">IFERROR(__xludf.DUMMYFUNCTION("""COMPUTED_VALUE"""),"Paderborn")</f>
        <v>Paderborn</v>
      </c>
      <c r="B1248" t="str">
        <f ca="1">IFERROR(__xludf.DUMMYFUNCTION("""COMPUTED_VALUE"""),"DEA47")</f>
        <v>DEA47</v>
      </c>
    </row>
    <row r="1249" spans="1:2" ht="12.5" x14ac:dyDescent="0.25">
      <c r="A1249" t="str">
        <f ca="1">IFERROR(__xludf.DUMMYFUNCTION("""COMPUTED_VALUE"""),"Padova")</f>
        <v>Padova</v>
      </c>
      <c r="B1249" t="str">
        <f ca="1">IFERROR(__xludf.DUMMYFUNCTION("""COMPUTED_VALUE"""),"ITD36")</f>
        <v>ITD36</v>
      </c>
    </row>
    <row r="1250" spans="1:2" ht="12.5" x14ac:dyDescent="0.25">
      <c r="A1250" t="str">
        <f ca="1">IFERROR(__xludf.DUMMYFUNCTION("""COMPUTED_VALUE"""),"Päijät-Häme")</f>
        <v>Päijät-Häme</v>
      </c>
      <c r="B1250" t="str">
        <f ca="1">IFERROR(__xludf.DUMMYFUNCTION("""COMPUTED_VALUE"""),"FI185")</f>
        <v>FI185</v>
      </c>
    </row>
    <row r="1251" spans="1:2" ht="12.5" x14ac:dyDescent="0.25">
      <c r="A1251" t="str">
        <f ca="1">IFERROR(__xludf.DUMMYFUNCTION("""COMPUTED_VALUE"""),"País Vasco")</f>
        <v>País Vasco</v>
      </c>
      <c r="B1251" t="str">
        <f ca="1">IFERROR(__xludf.DUMMYFUNCTION("""COMPUTED_VALUE"""),"ES21")</f>
        <v>ES21</v>
      </c>
    </row>
    <row r="1252" spans="1:2" ht="12.5" x14ac:dyDescent="0.25">
      <c r="A1252" t="str">
        <f ca="1">IFERROR(__xludf.DUMMYFUNCTION("""COMPUTED_VALUE"""),"Palencia")</f>
        <v>Palencia</v>
      </c>
      <c r="B1252" t="str">
        <f ca="1">IFERROR(__xludf.DUMMYFUNCTION("""COMPUTED_VALUE"""),"ES414")</f>
        <v>ES414</v>
      </c>
    </row>
    <row r="1253" spans="1:2" ht="12.5" x14ac:dyDescent="0.25">
      <c r="A1253" t="str">
        <f ca="1">IFERROR(__xludf.DUMMYFUNCTION("""COMPUTED_VALUE"""),"Palermo")</f>
        <v>Palermo</v>
      </c>
      <c r="B1253" t="str">
        <f ca="1">IFERROR(__xludf.DUMMYFUNCTION("""COMPUTED_VALUE"""),"ITG12")</f>
        <v>ITG12</v>
      </c>
    </row>
    <row r="1254" spans="1:2" ht="12.5" x14ac:dyDescent="0.25">
      <c r="A1254" t="str">
        <f ca="1">IFERROR(__xludf.DUMMYFUNCTION("""COMPUTED_VALUE"""),"Panevezio Apskritis")</f>
        <v>Panevezio Apskritis</v>
      </c>
      <c r="B1254" t="str">
        <f ca="1">IFERROR(__xludf.DUMMYFUNCTION("""COMPUTED_VALUE"""),"LT005")</f>
        <v>LT005</v>
      </c>
    </row>
    <row r="1255" spans="1:2" ht="12.5" x14ac:dyDescent="0.25">
      <c r="A1255" t="str">
        <f ca="1">IFERROR(__xludf.DUMMYFUNCTION("""COMPUTED_VALUE"""),"Parchim")</f>
        <v>Parchim</v>
      </c>
      <c r="B1255" t="str">
        <f ca="1">IFERROR(__xludf.DUMMYFUNCTION("""COMPUTED_VALUE"""),"DE80G")</f>
        <v>DE80G</v>
      </c>
    </row>
    <row r="1256" spans="1:2" ht="12.5" x14ac:dyDescent="0.25">
      <c r="A1256" t="str">
        <f ca="1">IFERROR(__xludf.DUMMYFUNCTION("""COMPUTED_VALUE"""),"Pardubicky Kraj")</f>
        <v>Pardubicky Kraj</v>
      </c>
      <c r="B1256" t="str">
        <f ca="1">IFERROR(__xludf.DUMMYFUNCTION("""COMPUTED_VALUE"""),"CZ053")</f>
        <v>CZ053</v>
      </c>
    </row>
    <row r="1257" spans="1:2" ht="12.5" x14ac:dyDescent="0.25">
      <c r="A1257" t="str">
        <f ca="1">IFERROR(__xludf.DUMMYFUNCTION("""COMPUTED_VALUE"""),"Paris")</f>
        <v>Paris</v>
      </c>
      <c r="B1257" t="str">
        <f ca="1">IFERROR(__xludf.DUMMYFUNCTION("""COMPUTED_VALUE"""),"FR101")</f>
        <v>FR101</v>
      </c>
    </row>
    <row r="1258" spans="1:2" ht="12.5" x14ac:dyDescent="0.25">
      <c r="A1258" t="str">
        <f ca="1">IFERROR(__xludf.DUMMYFUNCTION("""COMPUTED_VALUE"""),"Parma")</f>
        <v>Parma</v>
      </c>
      <c r="B1258" t="str">
        <f ca="1">IFERROR(__xludf.DUMMYFUNCTION("""COMPUTED_VALUE"""),"ITD52")</f>
        <v>ITD52</v>
      </c>
    </row>
    <row r="1259" spans="1:2" ht="12.5" x14ac:dyDescent="0.25">
      <c r="A1259" t="str">
        <f ca="1">IFERROR(__xludf.DUMMYFUNCTION("""COMPUTED_VALUE"""),"Pas-De-Calais")</f>
        <v>Pas-De-Calais</v>
      </c>
      <c r="B1259" t="str">
        <f ca="1">IFERROR(__xludf.DUMMYFUNCTION("""COMPUTED_VALUE"""),"FR302")</f>
        <v>FR302</v>
      </c>
    </row>
    <row r="1260" spans="1:2" ht="12.5" x14ac:dyDescent="0.25">
      <c r="A1260" t="str">
        <f ca="1">IFERROR(__xludf.DUMMYFUNCTION("""COMPUTED_VALUE"""),"Passau, Kreisfreie Stadt")</f>
        <v>Passau, Kreisfreie Stadt</v>
      </c>
      <c r="B1260" t="str">
        <f ca="1">IFERROR(__xludf.DUMMYFUNCTION("""COMPUTED_VALUE"""),"DE222")</f>
        <v>DE222</v>
      </c>
    </row>
    <row r="1261" spans="1:2" ht="12.5" x14ac:dyDescent="0.25">
      <c r="A1261" t="str">
        <f ca="1">IFERROR(__xludf.DUMMYFUNCTION("""COMPUTED_VALUE"""),"Passau, Landkreis")</f>
        <v>Passau, Landkreis</v>
      </c>
      <c r="B1261" t="str">
        <f ca="1">IFERROR(__xludf.DUMMYFUNCTION("""COMPUTED_VALUE"""),"DE228")</f>
        <v>DE228</v>
      </c>
    </row>
    <row r="1262" spans="1:2" ht="12.5" x14ac:dyDescent="0.25">
      <c r="A1262" t="str">
        <f ca="1">IFERROR(__xludf.DUMMYFUNCTION("""COMPUTED_VALUE"""),"Pavia")</f>
        <v>Pavia</v>
      </c>
      <c r="B1262" t="str">
        <f ca="1">IFERROR(__xludf.DUMMYFUNCTION("""COMPUTED_VALUE"""),"ITC48")</f>
        <v>ITC48</v>
      </c>
    </row>
    <row r="1263" spans="1:2" ht="12.5" x14ac:dyDescent="0.25">
      <c r="A1263" t="str">
        <f ca="1">IFERROR(__xludf.DUMMYFUNCTION("""COMPUTED_VALUE"""),"Pays De La Loire")</f>
        <v>Pays De La Loire</v>
      </c>
      <c r="B1263" t="str">
        <f ca="1">IFERROR(__xludf.DUMMYFUNCTION("""COMPUTED_VALUE"""),"FR51")</f>
        <v>FR51</v>
      </c>
    </row>
    <row r="1264" spans="1:2" ht="12.5" x14ac:dyDescent="0.25">
      <c r="A1264" t="str">
        <f ca="1">IFERROR(__xludf.DUMMYFUNCTION("""COMPUTED_VALUE"""),"Pazardzhik")</f>
        <v>Pazardzhik</v>
      </c>
      <c r="B1264" t="str">
        <f ca="1">IFERROR(__xludf.DUMMYFUNCTION("""COMPUTED_VALUE"""),"BG423")</f>
        <v>BG423</v>
      </c>
    </row>
    <row r="1265" spans="1:2" ht="12.5" x14ac:dyDescent="0.25">
      <c r="A1265" t="str">
        <f ca="1">IFERROR(__xludf.DUMMYFUNCTION("""COMPUTED_VALUE"""),"Peine")</f>
        <v>Peine</v>
      </c>
      <c r="B1265" t="str">
        <f ca="1">IFERROR(__xludf.DUMMYFUNCTION("""COMPUTED_VALUE"""),"DE91A")</f>
        <v>DE91A</v>
      </c>
    </row>
    <row r="1266" spans="1:2" ht="12.5" x14ac:dyDescent="0.25">
      <c r="A1266" t="str">
        <f ca="1">IFERROR(__xludf.DUMMYFUNCTION("""COMPUTED_VALUE"""),"Pella")</f>
        <v>Pella</v>
      </c>
      <c r="B1266" t="str">
        <f ca="1">IFERROR(__xludf.DUMMYFUNCTION("""COMPUTED_VALUE"""),"GR124")</f>
        <v>GR124</v>
      </c>
    </row>
    <row r="1267" spans="1:2" ht="12.5" x14ac:dyDescent="0.25">
      <c r="A1267" t="str">
        <f ca="1">IFERROR(__xludf.DUMMYFUNCTION("""COMPUTED_VALUE"""),"Peloponnisos")</f>
        <v>Peloponnisos</v>
      </c>
      <c r="B1267" t="str">
        <f ca="1">IFERROR(__xludf.DUMMYFUNCTION("""COMPUTED_VALUE"""),"GR25")</f>
        <v>GR25</v>
      </c>
    </row>
    <row r="1268" spans="1:2" ht="12.5" x14ac:dyDescent="0.25">
      <c r="A1268" t="str">
        <f ca="1">IFERROR(__xludf.DUMMYFUNCTION("""COMPUTED_VALUE"""),"Península De Setúbal")</f>
        <v>Península De Setúbal</v>
      </c>
      <c r="B1268" t="str">
        <f ca="1">IFERROR(__xludf.DUMMYFUNCTION("""COMPUTED_VALUE"""),"PT172")</f>
        <v>PT172</v>
      </c>
    </row>
    <row r="1269" spans="1:2" ht="12.5" x14ac:dyDescent="0.25">
      <c r="A1269" t="str">
        <f ca="1">IFERROR(__xludf.DUMMYFUNCTION("""COMPUTED_VALUE"""),"Pernik")</f>
        <v>Pernik</v>
      </c>
      <c r="B1269" t="str">
        <f ca="1">IFERROR(__xludf.DUMMYFUNCTION("""COMPUTED_VALUE"""),"BG414")</f>
        <v>BG414</v>
      </c>
    </row>
    <row r="1270" spans="1:2" ht="12.5" x14ac:dyDescent="0.25">
      <c r="A1270" t="str">
        <f ca="1">IFERROR(__xludf.DUMMYFUNCTION("""COMPUTED_VALUE"""),"Perth &amp; Kinross And Stirling")</f>
        <v>Perth &amp; Kinross And Stirling</v>
      </c>
      <c r="B1270" t="str">
        <f ca="1">IFERROR(__xludf.DUMMYFUNCTION("""COMPUTED_VALUE"""),"UKM27")</f>
        <v>UKM27</v>
      </c>
    </row>
    <row r="1271" spans="1:2" ht="12.5" x14ac:dyDescent="0.25">
      <c r="A1271" t="str">
        <f ca="1">IFERROR(__xludf.DUMMYFUNCTION("""COMPUTED_VALUE"""),"Perugia")</f>
        <v>Perugia</v>
      </c>
      <c r="B1271" t="str">
        <f ca="1">IFERROR(__xludf.DUMMYFUNCTION("""COMPUTED_VALUE"""),"ITE21")</f>
        <v>ITE21</v>
      </c>
    </row>
    <row r="1272" spans="1:2" ht="12.5" x14ac:dyDescent="0.25">
      <c r="A1272" t="str">
        <f ca="1">IFERROR(__xludf.DUMMYFUNCTION("""COMPUTED_VALUE"""),"Pesaro E Urbino")</f>
        <v>Pesaro E Urbino</v>
      </c>
      <c r="B1272" t="str">
        <f ca="1">IFERROR(__xludf.DUMMYFUNCTION("""COMPUTED_VALUE"""),"ITE31")</f>
        <v>ITE31</v>
      </c>
    </row>
    <row r="1273" spans="1:2" ht="12.5" x14ac:dyDescent="0.25">
      <c r="A1273" t="str">
        <f ca="1">IFERROR(__xludf.DUMMYFUNCTION("""COMPUTED_VALUE"""),"Pescara")</f>
        <v>Pescara</v>
      </c>
      <c r="B1273" t="str">
        <f ca="1">IFERROR(__xludf.DUMMYFUNCTION("""COMPUTED_VALUE"""),"ITF13")</f>
        <v>ITF13</v>
      </c>
    </row>
    <row r="1274" spans="1:2" ht="12.5" x14ac:dyDescent="0.25">
      <c r="A1274" t="str">
        <f ca="1">IFERROR(__xludf.DUMMYFUNCTION("""COMPUTED_VALUE"""),"Pest")</f>
        <v>Pest</v>
      </c>
      <c r="B1274" t="str">
        <f ca="1">IFERROR(__xludf.DUMMYFUNCTION("""COMPUTED_VALUE"""),"HU102")</f>
        <v>HU102</v>
      </c>
    </row>
    <row r="1275" spans="1:2" ht="12.5" x14ac:dyDescent="0.25">
      <c r="A1275" t="str">
        <f ca="1">IFERROR(__xludf.DUMMYFUNCTION("""COMPUTED_VALUE"""),"Peterborough")</f>
        <v>Peterborough</v>
      </c>
      <c r="B1275" t="str">
        <f ca="1">IFERROR(__xludf.DUMMYFUNCTION("""COMPUTED_VALUE"""),"UKH11")</f>
        <v>UKH11</v>
      </c>
    </row>
    <row r="1276" spans="1:2" ht="12.5" x14ac:dyDescent="0.25">
      <c r="A1276" t="str">
        <f ca="1">IFERROR(__xludf.DUMMYFUNCTION("""COMPUTED_VALUE"""),"Pfaffenhofen A. D. Ilm")</f>
        <v>Pfaffenhofen A. D. Ilm</v>
      </c>
      <c r="B1276" t="str">
        <f ca="1">IFERROR(__xludf.DUMMYFUNCTION("""COMPUTED_VALUE"""),"DE21J")</f>
        <v>DE21J</v>
      </c>
    </row>
    <row r="1277" spans="1:2" ht="12.5" x14ac:dyDescent="0.25">
      <c r="A1277" t="str">
        <f ca="1">IFERROR(__xludf.DUMMYFUNCTION("""COMPUTED_VALUE"""),"Pforzheim, Stadtkreis")</f>
        <v>Pforzheim, Stadtkreis</v>
      </c>
      <c r="B1277" t="str">
        <f ca="1">IFERROR(__xludf.DUMMYFUNCTION("""COMPUTED_VALUE"""),"DE129")</f>
        <v>DE129</v>
      </c>
    </row>
    <row r="1278" spans="1:2" ht="12.5" x14ac:dyDescent="0.25">
      <c r="A1278" t="str">
        <f ca="1">IFERROR(__xludf.DUMMYFUNCTION("""COMPUTED_VALUE"""),"Piacenza")</f>
        <v>Piacenza</v>
      </c>
      <c r="B1278" t="str">
        <f ca="1">IFERROR(__xludf.DUMMYFUNCTION("""COMPUTED_VALUE"""),"ITD51")</f>
        <v>ITD51</v>
      </c>
    </row>
    <row r="1279" spans="1:2" ht="12.5" x14ac:dyDescent="0.25">
      <c r="A1279" t="str">
        <f ca="1">IFERROR(__xludf.DUMMYFUNCTION("""COMPUTED_VALUE"""),"Picardie")</f>
        <v>Picardie</v>
      </c>
      <c r="B1279" t="str">
        <f ca="1">IFERROR(__xludf.DUMMYFUNCTION("""COMPUTED_VALUE"""),"FR22")</f>
        <v>FR22</v>
      </c>
    </row>
    <row r="1280" spans="1:2" ht="12.5" x14ac:dyDescent="0.25">
      <c r="A1280" t="str">
        <f ca="1">IFERROR(__xludf.DUMMYFUNCTION("""COMPUTED_VALUE"""),"Piemonte")</f>
        <v>Piemonte</v>
      </c>
      <c r="B1280" t="str">
        <f ca="1">IFERROR(__xludf.DUMMYFUNCTION("""COMPUTED_VALUE"""),"ITC1")</f>
        <v>ITC1</v>
      </c>
    </row>
    <row r="1281" spans="1:2" ht="12.5" x14ac:dyDescent="0.25">
      <c r="A1281" t="str">
        <f ca="1">IFERROR(__xludf.DUMMYFUNCTION("""COMPUTED_VALUE"""),"Pieria")</f>
        <v>Pieria</v>
      </c>
      <c r="B1281" t="str">
        <f ca="1">IFERROR(__xludf.DUMMYFUNCTION("""COMPUTED_VALUE"""),"GR125")</f>
        <v>GR125</v>
      </c>
    </row>
    <row r="1282" spans="1:2" ht="12.5" x14ac:dyDescent="0.25">
      <c r="A1282" t="str">
        <f ca="1">IFERROR(__xludf.DUMMYFUNCTION("""COMPUTED_VALUE"""),"Pieriga")</f>
        <v>Pieriga</v>
      </c>
      <c r="B1282" t="str">
        <f ca="1">IFERROR(__xludf.DUMMYFUNCTION("""COMPUTED_VALUE"""),"LV007")</f>
        <v>LV007</v>
      </c>
    </row>
    <row r="1283" spans="1:2" ht="12.5" x14ac:dyDescent="0.25">
      <c r="A1283" t="str">
        <f ca="1">IFERROR(__xludf.DUMMYFUNCTION("""COMPUTED_VALUE"""),"Pilski")</f>
        <v>Pilski</v>
      </c>
      <c r="B1283" t="str">
        <f ca="1">IFERROR(__xludf.DUMMYFUNCTION("""COMPUTED_VALUE"""),"PL411")</f>
        <v>PL411</v>
      </c>
    </row>
    <row r="1284" spans="1:2" ht="12.5" x14ac:dyDescent="0.25">
      <c r="A1284" t="str">
        <f ca="1">IFERROR(__xludf.DUMMYFUNCTION("""COMPUTED_VALUE"""),"Pinhal Interior Norte")</f>
        <v>Pinhal Interior Norte</v>
      </c>
      <c r="B1284" t="str">
        <f ca="1">IFERROR(__xludf.DUMMYFUNCTION("""COMPUTED_VALUE"""),"PT164")</f>
        <v>PT164</v>
      </c>
    </row>
    <row r="1285" spans="1:2" ht="12.5" x14ac:dyDescent="0.25">
      <c r="A1285" t="str">
        <f ca="1">IFERROR(__xludf.DUMMYFUNCTION("""COMPUTED_VALUE"""),"Pinhal Interior Sul")</f>
        <v>Pinhal Interior Sul</v>
      </c>
      <c r="B1285" t="str">
        <f ca="1">IFERROR(__xludf.DUMMYFUNCTION("""COMPUTED_VALUE"""),"PT166")</f>
        <v>PT166</v>
      </c>
    </row>
    <row r="1286" spans="1:2" ht="12.5" x14ac:dyDescent="0.25">
      <c r="A1286" t="str">
        <f ca="1">IFERROR(__xludf.DUMMYFUNCTION("""COMPUTED_VALUE"""),"Pinhal Litoral")</f>
        <v>Pinhal Litoral</v>
      </c>
      <c r="B1286" t="str">
        <f ca="1">IFERROR(__xludf.DUMMYFUNCTION("""COMPUTED_VALUE"""),"PT163")</f>
        <v>PT163</v>
      </c>
    </row>
    <row r="1287" spans="1:2" ht="12.5" x14ac:dyDescent="0.25">
      <c r="A1287" t="str">
        <f ca="1">IFERROR(__xludf.DUMMYFUNCTION("""COMPUTED_VALUE"""),"Pinneberg")</f>
        <v>Pinneberg</v>
      </c>
      <c r="B1287" t="str">
        <f ca="1">IFERROR(__xludf.DUMMYFUNCTION("""COMPUTED_VALUE"""),"DEF09")</f>
        <v>DEF09</v>
      </c>
    </row>
    <row r="1288" spans="1:2" ht="12.5" x14ac:dyDescent="0.25">
      <c r="A1288" t="str">
        <f ca="1">IFERROR(__xludf.DUMMYFUNCTION("""COMPUTED_VALUE"""),"Pinzgau-Pongau")</f>
        <v>Pinzgau-Pongau</v>
      </c>
      <c r="B1288" t="str">
        <f ca="1">IFERROR(__xludf.DUMMYFUNCTION("""COMPUTED_VALUE"""),"AT322")</f>
        <v>AT322</v>
      </c>
    </row>
    <row r="1289" spans="1:2" ht="12.5" x14ac:dyDescent="0.25">
      <c r="A1289" t="str">
        <f ca="1">IFERROR(__xludf.DUMMYFUNCTION("""COMPUTED_VALUE"""),"Piotrkowski")</f>
        <v>Piotrkowski</v>
      </c>
      <c r="B1289" t="str">
        <f ca="1">IFERROR(__xludf.DUMMYFUNCTION("""COMPUTED_VALUE"""),"PL115")</f>
        <v>PL115</v>
      </c>
    </row>
    <row r="1290" spans="1:2" ht="12.5" x14ac:dyDescent="0.25">
      <c r="A1290" t="str">
        <f ca="1">IFERROR(__xludf.DUMMYFUNCTION("""COMPUTED_VALUE"""),"Pirkanmaa")</f>
        <v>Pirkanmaa</v>
      </c>
      <c r="B1290" t="str">
        <f ca="1">IFERROR(__xludf.DUMMYFUNCTION("""COMPUTED_VALUE"""),"FI197")</f>
        <v>FI197</v>
      </c>
    </row>
    <row r="1291" spans="1:2" ht="12.5" x14ac:dyDescent="0.25">
      <c r="A1291" t="str">
        <f ca="1">IFERROR(__xludf.DUMMYFUNCTION("""COMPUTED_VALUE"""),"Pirmasens, Kreisfreie Stadt")</f>
        <v>Pirmasens, Kreisfreie Stadt</v>
      </c>
      <c r="B1291" t="str">
        <f ca="1">IFERROR(__xludf.DUMMYFUNCTION("""COMPUTED_VALUE"""),"DEB37")</f>
        <v>DEB37</v>
      </c>
    </row>
    <row r="1292" spans="1:2" ht="12.5" x14ac:dyDescent="0.25">
      <c r="A1292" t="str">
        <f ca="1">IFERROR(__xludf.DUMMYFUNCTION("""COMPUTED_VALUE"""),"Pisa")</f>
        <v>Pisa</v>
      </c>
      <c r="B1292" t="str">
        <f ca="1">IFERROR(__xludf.DUMMYFUNCTION("""COMPUTED_VALUE"""),"ITE17")</f>
        <v>ITE17</v>
      </c>
    </row>
    <row r="1293" spans="1:2" ht="12.5" x14ac:dyDescent="0.25">
      <c r="A1293" t="str">
        <f ca="1">IFERROR(__xludf.DUMMYFUNCTION("""COMPUTED_VALUE"""),"Pistoia")</f>
        <v>Pistoia</v>
      </c>
      <c r="B1293" t="str">
        <f ca="1">IFERROR(__xludf.DUMMYFUNCTION("""COMPUTED_VALUE"""),"ITE13")</f>
        <v>ITE13</v>
      </c>
    </row>
    <row r="1294" spans="1:2" ht="12.5" x14ac:dyDescent="0.25">
      <c r="A1294" t="str">
        <f ca="1">IFERROR(__xludf.DUMMYFUNCTION("""COMPUTED_VALUE"""),"Plauen, Kreisfreie Stadt")</f>
        <v>Plauen, Kreisfreie Stadt</v>
      </c>
      <c r="B1294" t="str">
        <f ca="1">IFERROR(__xludf.DUMMYFUNCTION("""COMPUTED_VALUE"""),"DED12")</f>
        <v>DED12</v>
      </c>
    </row>
    <row r="1295" spans="1:2" ht="12.5" x14ac:dyDescent="0.25">
      <c r="A1295" t="str">
        <f ca="1">IFERROR(__xludf.DUMMYFUNCTION("""COMPUTED_VALUE"""),"Pleven")</f>
        <v>Pleven</v>
      </c>
      <c r="B1295" t="str">
        <f ca="1">IFERROR(__xludf.DUMMYFUNCTION("""COMPUTED_VALUE"""),"BG314")</f>
        <v>BG314</v>
      </c>
    </row>
    <row r="1296" spans="1:2" ht="12.5" x14ac:dyDescent="0.25">
      <c r="A1296" t="str">
        <f ca="1">IFERROR(__xludf.DUMMYFUNCTION("""COMPUTED_VALUE"""),"Plön")</f>
        <v>Plön</v>
      </c>
      <c r="B1296" t="str">
        <f ca="1">IFERROR(__xludf.DUMMYFUNCTION("""COMPUTED_VALUE"""),"DEF0A")</f>
        <v>DEF0A</v>
      </c>
    </row>
    <row r="1297" spans="1:2" ht="12.5" x14ac:dyDescent="0.25">
      <c r="A1297" t="str">
        <f ca="1">IFERROR(__xludf.DUMMYFUNCTION("""COMPUTED_VALUE"""),"Plovdiv")</f>
        <v>Plovdiv</v>
      </c>
      <c r="B1297" t="str">
        <f ca="1">IFERROR(__xludf.DUMMYFUNCTION("""COMPUTED_VALUE"""),"BG421")</f>
        <v>BG421</v>
      </c>
    </row>
    <row r="1298" spans="1:2" ht="12.5" x14ac:dyDescent="0.25">
      <c r="A1298" t="str">
        <f ca="1">IFERROR(__xludf.DUMMYFUNCTION("""COMPUTED_VALUE"""),"Plymouth")</f>
        <v>Plymouth</v>
      </c>
      <c r="B1298" t="str">
        <f ca="1">IFERROR(__xludf.DUMMYFUNCTION("""COMPUTED_VALUE"""),"UKK41")</f>
        <v>UKK41</v>
      </c>
    </row>
    <row r="1299" spans="1:2" ht="12.5" x14ac:dyDescent="0.25">
      <c r="A1299" t="str">
        <f ca="1">IFERROR(__xludf.DUMMYFUNCTION("""COMPUTED_VALUE"""),"Plzensky Kraj")</f>
        <v>Plzensky Kraj</v>
      </c>
      <c r="B1299" t="str">
        <f ca="1">IFERROR(__xludf.DUMMYFUNCTION("""COMPUTED_VALUE"""),"CZ032")</f>
        <v>CZ032</v>
      </c>
    </row>
    <row r="1300" spans="1:2" ht="12.5" x14ac:dyDescent="0.25">
      <c r="A1300" t="str">
        <f ca="1">IFERROR(__xludf.DUMMYFUNCTION("""COMPUTED_VALUE"""),"Podkarpackie")</f>
        <v>Podkarpackie</v>
      </c>
      <c r="B1300" t="str">
        <f ca="1">IFERROR(__xludf.DUMMYFUNCTION("""COMPUTED_VALUE"""),"PL32")</f>
        <v>PL32</v>
      </c>
    </row>
    <row r="1301" spans="1:2" ht="12.5" x14ac:dyDescent="0.25">
      <c r="A1301" t="str">
        <f ca="1">IFERROR(__xludf.DUMMYFUNCTION("""COMPUTED_VALUE"""),"Podlaskie")</f>
        <v>Podlaskie</v>
      </c>
      <c r="B1301" t="str">
        <f ca="1">IFERROR(__xludf.DUMMYFUNCTION("""COMPUTED_VALUE"""),"PL34")</f>
        <v>PL34</v>
      </c>
    </row>
    <row r="1302" spans="1:2" ht="12.5" x14ac:dyDescent="0.25">
      <c r="A1302" t="str">
        <f ca="1">IFERROR(__xludf.DUMMYFUNCTION("""COMPUTED_VALUE"""),"Podravska")</f>
        <v>Podravska</v>
      </c>
      <c r="B1302" t="str">
        <f ca="1">IFERROR(__xludf.DUMMYFUNCTION("""COMPUTED_VALUE"""),"SI012")</f>
        <v>SI012</v>
      </c>
    </row>
    <row r="1303" spans="1:2" ht="12.5" x14ac:dyDescent="0.25">
      <c r="A1303" t="str">
        <f ca="1">IFERROR(__xludf.DUMMYFUNCTION("""COMPUTED_VALUE"""),"Põhja-Eesti")</f>
        <v>Põhja-Eesti</v>
      </c>
      <c r="B1303" t="str">
        <f ca="1">IFERROR(__xludf.DUMMYFUNCTION("""COMPUTED_VALUE"""),"EE001")</f>
        <v>EE001</v>
      </c>
    </row>
    <row r="1304" spans="1:2" ht="12.5" x14ac:dyDescent="0.25">
      <c r="A1304" t="str">
        <f ca="1">IFERROR(__xludf.DUMMYFUNCTION("""COMPUTED_VALUE"""),"Pohjanmaa")</f>
        <v>Pohjanmaa</v>
      </c>
      <c r="B1304" t="str">
        <f ca="1">IFERROR(__xludf.DUMMYFUNCTION("""COMPUTED_VALUE"""),"FI195")</f>
        <v>FI195</v>
      </c>
    </row>
    <row r="1305" spans="1:2" ht="12.5" x14ac:dyDescent="0.25">
      <c r="A1305" t="str">
        <f ca="1">IFERROR(__xludf.DUMMYFUNCTION("""COMPUTED_VALUE"""),"Pohjois-Karjala")</f>
        <v>Pohjois-Karjala</v>
      </c>
      <c r="B1305" t="str">
        <f ca="1">IFERROR(__xludf.DUMMYFUNCTION("""COMPUTED_VALUE"""),"FI133")</f>
        <v>FI133</v>
      </c>
    </row>
    <row r="1306" spans="1:2" ht="12.5" x14ac:dyDescent="0.25">
      <c r="A1306" t="str">
        <f ca="1">IFERROR(__xludf.DUMMYFUNCTION("""COMPUTED_VALUE"""),"Pohjois-Pohjanmaa")</f>
        <v>Pohjois-Pohjanmaa</v>
      </c>
      <c r="B1306" t="str">
        <f ca="1">IFERROR(__xludf.DUMMYFUNCTION("""COMPUTED_VALUE"""),"FI1A2")</f>
        <v>FI1A2</v>
      </c>
    </row>
    <row r="1307" spans="1:2" ht="12.5" x14ac:dyDescent="0.25">
      <c r="A1307" t="str">
        <f ca="1">IFERROR(__xludf.DUMMYFUNCTION("""COMPUTED_VALUE"""),"Pohjois-Savo")</f>
        <v>Pohjois-Savo</v>
      </c>
      <c r="B1307" t="str">
        <f ca="1">IFERROR(__xludf.DUMMYFUNCTION("""COMPUTED_VALUE"""),"FI132")</f>
        <v>FI132</v>
      </c>
    </row>
    <row r="1308" spans="1:2" ht="12.5" x14ac:dyDescent="0.25">
      <c r="A1308" t="str">
        <f ca="1">IFERROR(__xludf.DUMMYFUNCTION("""COMPUTED_VALUE"""),"Pohjois-Suomi")</f>
        <v>Pohjois-Suomi</v>
      </c>
      <c r="B1308" t="str">
        <f ca="1">IFERROR(__xludf.DUMMYFUNCTION("""COMPUTED_VALUE"""),"FI1A")</f>
        <v>FI1A</v>
      </c>
    </row>
    <row r="1309" spans="1:2" ht="12.5" x14ac:dyDescent="0.25">
      <c r="A1309" t="str">
        <f ca="1">IFERROR(__xludf.DUMMYFUNCTION("""COMPUTED_VALUE"""),"Poitou-Charentes")</f>
        <v>Poitou-Charentes</v>
      </c>
      <c r="B1309" t="str">
        <f ca="1">IFERROR(__xludf.DUMMYFUNCTION("""COMPUTED_VALUE"""),"FR53")</f>
        <v>FR53</v>
      </c>
    </row>
    <row r="1310" spans="1:2" ht="12.5" x14ac:dyDescent="0.25">
      <c r="A1310" t="str">
        <f ca="1">IFERROR(__xludf.DUMMYFUNCTION("""COMPUTED_VALUE"""),"Polska")</f>
        <v>Polska</v>
      </c>
      <c r="B1310" t="str">
        <f ca="1">IFERROR(__xludf.DUMMYFUNCTION("""COMPUTED_VALUE"""),"PL")</f>
        <v>PL</v>
      </c>
    </row>
    <row r="1311" spans="1:2" ht="12.5" x14ac:dyDescent="0.25">
      <c r="A1311" t="str">
        <f ca="1">IFERROR(__xludf.DUMMYFUNCTION("""COMPUTED_VALUE"""),"Pomorskie")</f>
        <v>Pomorskie</v>
      </c>
      <c r="B1311" t="str">
        <f ca="1">IFERROR(__xludf.DUMMYFUNCTION("""COMPUTED_VALUE"""),"PL63")</f>
        <v>PL63</v>
      </c>
    </row>
    <row r="1312" spans="1:2" ht="12.5" x14ac:dyDescent="0.25">
      <c r="A1312" t="str">
        <f ca="1">IFERROR(__xludf.DUMMYFUNCTION("""COMPUTED_VALUE"""),"Pomurska")</f>
        <v>Pomurska</v>
      </c>
      <c r="B1312" t="str">
        <f ca="1">IFERROR(__xludf.DUMMYFUNCTION("""COMPUTED_VALUE"""),"SI011")</f>
        <v>SI011</v>
      </c>
    </row>
    <row r="1313" spans="1:2" ht="12.5" x14ac:dyDescent="0.25">
      <c r="A1313" t="str">
        <f ca="1">IFERROR(__xludf.DUMMYFUNCTION("""COMPUTED_VALUE"""),"Pontevedra")</f>
        <v>Pontevedra</v>
      </c>
      <c r="B1313" t="str">
        <f ca="1">IFERROR(__xludf.DUMMYFUNCTION("""COMPUTED_VALUE"""),"ES114")</f>
        <v>ES114</v>
      </c>
    </row>
    <row r="1314" spans="1:2" ht="12.5" x14ac:dyDescent="0.25">
      <c r="A1314" t="str">
        <f ca="1">IFERROR(__xludf.DUMMYFUNCTION("""COMPUTED_VALUE"""),"Pordenone")</f>
        <v>Pordenone</v>
      </c>
      <c r="B1314" t="str">
        <f ca="1">IFERROR(__xludf.DUMMYFUNCTION("""COMPUTED_VALUE"""),"ITD41")</f>
        <v>ITD41</v>
      </c>
    </row>
    <row r="1315" spans="1:2" ht="12.5" x14ac:dyDescent="0.25">
      <c r="A1315" t="str">
        <f ca="1">IFERROR(__xludf.DUMMYFUNCTION("""COMPUTED_VALUE"""),"Portsmouth")</f>
        <v>Portsmouth</v>
      </c>
      <c r="B1315" t="str">
        <f ca="1">IFERROR(__xludf.DUMMYFUNCTION("""COMPUTED_VALUE"""),"UKJ31")</f>
        <v>UKJ31</v>
      </c>
    </row>
    <row r="1316" spans="1:2" ht="12.5" x14ac:dyDescent="0.25">
      <c r="A1316" t="str">
        <f ca="1">IFERROR(__xludf.DUMMYFUNCTION("""COMPUTED_VALUE"""),"Portugal")</f>
        <v>Portugal</v>
      </c>
      <c r="B1316" t="str">
        <f ca="1">IFERROR(__xludf.DUMMYFUNCTION("""COMPUTED_VALUE"""),"PT")</f>
        <v>PT</v>
      </c>
    </row>
    <row r="1317" spans="1:2" ht="12.5" x14ac:dyDescent="0.25">
      <c r="A1317" t="str">
        <f ca="1">IFERROR(__xludf.DUMMYFUNCTION("""COMPUTED_VALUE"""),"Potenza")</f>
        <v>Potenza</v>
      </c>
      <c r="B1317" t="str">
        <f ca="1">IFERROR(__xludf.DUMMYFUNCTION("""COMPUTED_VALUE"""),"ITF51")</f>
        <v>ITF51</v>
      </c>
    </row>
    <row r="1318" spans="1:2" ht="12.5" x14ac:dyDescent="0.25">
      <c r="A1318" t="str">
        <f ca="1">IFERROR(__xludf.DUMMYFUNCTION("""COMPUTED_VALUE"""),"Potsdam-Mittelmark")</f>
        <v>Potsdam-Mittelmark</v>
      </c>
      <c r="B1318" t="str">
        <f ca="1">IFERROR(__xludf.DUMMYFUNCTION("""COMPUTED_VALUE"""),"DE428")</f>
        <v>DE428</v>
      </c>
    </row>
    <row r="1319" spans="1:2" ht="12.5" x14ac:dyDescent="0.25">
      <c r="A1319" t="str">
        <f ca="1">IFERROR(__xludf.DUMMYFUNCTION("""COMPUTED_VALUE"""),"Potsdam, Kreisfreie Stadt")</f>
        <v>Potsdam, Kreisfreie Stadt</v>
      </c>
      <c r="B1319" t="str">
        <f ca="1">IFERROR(__xludf.DUMMYFUNCTION("""COMPUTED_VALUE"""),"DE423")</f>
        <v>DE423</v>
      </c>
    </row>
    <row r="1320" spans="1:2" ht="12.5" x14ac:dyDescent="0.25">
      <c r="A1320" t="str">
        <f ca="1">IFERROR(__xludf.DUMMYFUNCTION("""COMPUTED_VALUE"""),"Powys")</f>
        <v>Powys</v>
      </c>
      <c r="B1320" t="str">
        <f ca="1">IFERROR(__xludf.DUMMYFUNCTION("""COMPUTED_VALUE"""),"UKL24")</f>
        <v>UKL24</v>
      </c>
    </row>
    <row r="1321" spans="1:2" ht="12.5" x14ac:dyDescent="0.25">
      <c r="A1321" t="str">
        <f ca="1">IFERROR(__xludf.DUMMYFUNCTION("""COMPUTED_VALUE"""),"Poznanski")</f>
        <v>Poznanski</v>
      </c>
      <c r="B1321" t="str">
        <f ca="1">IFERROR(__xludf.DUMMYFUNCTION("""COMPUTED_VALUE"""),"PL418")</f>
        <v>PL418</v>
      </c>
    </row>
    <row r="1322" spans="1:2" ht="12.5" x14ac:dyDescent="0.25">
      <c r="A1322" t="str">
        <f ca="1">IFERROR(__xludf.DUMMYFUNCTION("""COMPUTED_VALUE"""),"Praha")</f>
        <v>Praha</v>
      </c>
      <c r="B1322" t="str">
        <f ca="1">IFERROR(__xludf.DUMMYFUNCTION("""COMPUTED_VALUE"""),"CZ01")</f>
        <v>CZ01</v>
      </c>
    </row>
    <row r="1323" spans="1:2" ht="12.5" x14ac:dyDescent="0.25">
      <c r="A1323" t="str">
        <f ca="1">IFERROR(__xludf.DUMMYFUNCTION("""COMPUTED_VALUE"""),"Prahova")</f>
        <v>Prahova</v>
      </c>
      <c r="B1323" t="str">
        <f ca="1">IFERROR(__xludf.DUMMYFUNCTION("""COMPUTED_VALUE"""),"RO316")</f>
        <v>RO316</v>
      </c>
    </row>
    <row r="1324" spans="1:2" ht="12.5" x14ac:dyDescent="0.25">
      <c r="A1324" t="str">
        <f ca="1">IFERROR(__xludf.DUMMYFUNCTION("""COMPUTED_VALUE"""),"Prato")</f>
        <v>Prato</v>
      </c>
      <c r="B1324" t="str">
        <f ca="1">IFERROR(__xludf.DUMMYFUNCTION("""COMPUTED_VALUE"""),"ITE15")</f>
        <v>ITE15</v>
      </c>
    </row>
    <row r="1325" spans="1:2" ht="12.5" x14ac:dyDescent="0.25">
      <c r="A1325" t="str">
        <f ca="1">IFERROR(__xludf.DUMMYFUNCTION("""COMPUTED_VALUE"""),"Presovsky Kraj")</f>
        <v>Presovsky Kraj</v>
      </c>
      <c r="B1325" t="str">
        <f ca="1">IFERROR(__xludf.DUMMYFUNCTION("""COMPUTED_VALUE"""),"SK041")</f>
        <v>SK041</v>
      </c>
    </row>
    <row r="1326" spans="1:2" ht="12.5" x14ac:dyDescent="0.25">
      <c r="A1326" t="str">
        <f ca="1">IFERROR(__xludf.DUMMYFUNCTION("""COMPUTED_VALUE"""),"Preveza")</f>
        <v>Preveza</v>
      </c>
      <c r="B1326" t="str">
        <f ca="1">IFERROR(__xludf.DUMMYFUNCTION("""COMPUTED_VALUE"""),"GR214")</f>
        <v>GR214</v>
      </c>
    </row>
    <row r="1327" spans="1:2" ht="12.5" x14ac:dyDescent="0.25">
      <c r="A1327" t="str">
        <f ca="1">IFERROR(__xludf.DUMMYFUNCTION("""COMPUTED_VALUE"""),"Prignitz")</f>
        <v>Prignitz</v>
      </c>
      <c r="B1327" t="str">
        <f ca="1">IFERROR(__xludf.DUMMYFUNCTION("""COMPUTED_VALUE"""),"DE417")</f>
        <v>DE417</v>
      </c>
    </row>
    <row r="1328" spans="1:2" ht="12.5" x14ac:dyDescent="0.25">
      <c r="A1328" t="str">
        <f ca="1">IFERROR(__xludf.DUMMYFUNCTION("""COMPUTED_VALUE"""),"Principado De Asturias")</f>
        <v>Principado De Asturias</v>
      </c>
      <c r="B1328" t="str">
        <f ca="1">IFERROR(__xludf.DUMMYFUNCTION("""COMPUTED_VALUE"""),"ES12")</f>
        <v>ES12</v>
      </c>
    </row>
    <row r="1329" spans="1:2" ht="12.5" x14ac:dyDescent="0.25">
      <c r="A1329" t="str">
        <f ca="1">IFERROR(__xludf.DUMMYFUNCTION("""COMPUTED_VALUE"""),"Prov. Antwerpen")</f>
        <v>Prov. Antwerpen</v>
      </c>
      <c r="B1329" t="str">
        <f ca="1">IFERROR(__xludf.DUMMYFUNCTION("""COMPUTED_VALUE"""),"BE21")</f>
        <v>BE21</v>
      </c>
    </row>
    <row r="1330" spans="1:2" ht="12.5" x14ac:dyDescent="0.25">
      <c r="A1330" t="str">
        <f ca="1">IFERROR(__xludf.DUMMYFUNCTION("""COMPUTED_VALUE"""),"Prov. Brabant Wallon")</f>
        <v>Prov. Brabant Wallon</v>
      </c>
      <c r="B1330" t="str">
        <f ca="1">IFERROR(__xludf.DUMMYFUNCTION("""COMPUTED_VALUE"""),"BE31")</f>
        <v>BE31</v>
      </c>
    </row>
    <row r="1331" spans="1:2" ht="12.5" x14ac:dyDescent="0.25">
      <c r="A1331" t="str">
        <f ca="1">IFERROR(__xludf.DUMMYFUNCTION("""COMPUTED_VALUE"""),"Prov. Hainaut")</f>
        <v>Prov. Hainaut</v>
      </c>
      <c r="B1331" t="str">
        <f ca="1">IFERROR(__xludf.DUMMYFUNCTION("""COMPUTED_VALUE"""),"BE32")</f>
        <v>BE32</v>
      </c>
    </row>
    <row r="1332" spans="1:2" ht="12.5" x14ac:dyDescent="0.25">
      <c r="A1332" t="str">
        <f ca="1">IFERROR(__xludf.DUMMYFUNCTION("""COMPUTED_VALUE"""),"Prov. Liège")</f>
        <v>Prov. Liège</v>
      </c>
      <c r="B1332" t="str">
        <f ca="1">IFERROR(__xludf.DUMMYFUNCTION("""COMPUTED_VALUE"""),"BE33")</f>
        <v>BE33</v>
      </c>
    </row>
    <row r="1333" spans="1:2" ht="12.5" x14ac:dyDescent="0.25">
      <c r="A1333" t="str">
        <f ca="1">IFERROR(__xludf.DUMMYFUNCTION("""COMPUTED_VALUE"""),"Prov. Limburg (B)")</f>
        <v>Prov. Limburg (B)</v>
      </c>
      <c r="B1333" t="str">
        <f ca="1">IFERROR(__xludf.DUMMYFUNCTION("""COMPUTED_VALUE"""),"BE22")</f>
        <v>BE22</v>
      </c>
    </row>
    <row r="1334" spans="1:2" ht="12.5" x14ac:dyDescent="0.25">
      <c r="A1334" t="str">
        <f ca="1">IFERROR(__xludf.DUMMYFUNCTION("""COMPUTED_VALUE"""),"Prov. Luxembourg (B)")</f>
        <v>Prov. Luxembourg (B)</v>
      </c>
      <c r="B1334" t="str">
        <f ca="1">IFERROR(__xludf.DUMMYFUNCTION("""COMPUTED_VALUE"""),"BE34")</f>
        <v>BE34</v>
      </c>
    </row>
    <row r="1335" spans="1:2" ht="12.5" x14ac:dyDescent="0.25">
      <c r="A1335" t="str">
        <f ca="1">IFERROR(__xludf.DUMMYFUNCTION("""COMPUTED_VALUE"""),"Prov. Namur")</f>
        <v>Prov. Namur</v>
      </c>
      <c r="B1335" t="str">
        <f ca="1">IFERROR(__xludf.DUMMYFUNCTION("""COMPUTED_VALUE"""),"BE35")</f>
        <v>BE35</v>
      </c>
    </row>
    <row r="1336" spans="1:2" ht="12.5" x14ac:dyDescent="0.25">
      <c r="A1336" t="str">
        <f ca="1">IFERROR(__xludf.DUMMYFUNCTION("""COMPUTED_VALUE"""),"Prov. Oost-Vlaanderen")</f>
        <v>Prov. Oost-Vlaanderen</v>
      </c>
      <c r="B1336" t="str">
        <f ca="1">IFERROR(__xludf.DUMMYFUNCTION("""COMPUTED_VALUE"""),"BE23")</f>
        <v>BE23</v>
      </c>
    </row>
    <row r="1337" spans="1:2" ht="12.5" x14ac:dyDescent="0.25">
      <c r="A1337" t="str">
        <f ca="1">IFERROR(__xludf.DUMMYFUNCTION("""COMPUTED_VALUE"""),"Prov. Vlaams-Brabant")</f>
        <v>Prov. Vlaams-Brabant</v>
      </c>
      <c r="B1337" t="str">
        <f ca="1">IFERROR(__xludf.DUMMYFUNCTION("""COMPUTED_VALUE"""),"BE24")</f>
        <v>BE24</v>
      </c>
    </row>
    <row r="1338" spans="1:2" ht="12.5" x14ac:dyDescent="0.25">
      <c r="A1338" t="str">
        <f ca="1">IFERROR(__xludf.DUMMYFUNCTION("""COMPUTED_VALUE"""),"Prov. West-Vlaanderen")</f>
        <v>Prov. West-Vlaanderen</v>
      </c>
      <c r="B1338" t="str">
        <f ca="1">IFERROR(__xludf.DUMMYFUNCTION("""COMPUTED_VALUE"""),"BE25")</f>
        <v>BE25</v>
      </c>
    </row>
    <row r="1339" spans="1:2" ht="12.5" x14ac:dyDescent="0.25">
      <c r="A1339" t="str">
        <f ca="1">IFERROR(__xludf.DUMMYFUNCTION("""COMPUTED_VALUE"""),"Provence-Alpes-Côte D'Azur")</f>
        <v>Provence-Alpes-Côte D'Azur</v>
      </c>
      <c r="B1339" t="str">
        <f ca="1">IFERROR(__xludf.DUMMYFUNCTION("""COMPUTED_VALUE"""),"FR82")</f>
        <v>FR82</v>
      </c>
    </row>
    <row r="1340" spans="1:2" ht="12.5" x14ac:dyDescent="0.25">
      <c r="A1340" t="str">
        <f ca="1">IFERROR(__xludf.DUMMYFUNCTION("""COMPUTED_VALUE"""),"Provincia Autonoma Bolzano-Bozen")</f>
        <v>Provincia Autonoma Bolzano-Bozen</v>
      </c>
      <c r="B1340" t="str">
        <f ca="1">IFERROR(__xludf.DUMMYFUNCTION("""COMPUTED_VALUE"""),"ITD1")</f>
        <v>ITD1</v>
      </c>
    </row>
    <row r="1341" spans="1:2" ht="12.5" x14ac:dyDescent="0.25">
      <c r="A1341" t="str">
        <f ca="1">IFERROR(__xludf.DUMMYFUNCTION("""COMPUTED_VALUE"""),"Provincia Autonoma Trento")</f>
        <v>Provincia Autonoma Trento</v>
      </c>
      <c r="B1341" t="str">
        <f ca="1">IFERROR(__xludf.DUMMYFUNCTION("""COMPUTED_VALUE"""),"ITD2")</f>
        <v>ITD2</v>
      </c>
    </row>
    <row r="1342" spans="1:2" ht="12.5" x14ac:dyDescent="0.25">
      <c r="A1342" t="str">
        <f ca="1">IFERROR(__xludf.DUMMYFUNCTION("""COMPUTED_VALUE"""),"Przemyski")</f>
        <v>Przemyski</v>
      </c>
      <c r="B1342" t="str">
        <f ca="1">IFERROR(__xludf.DUMMYFUNCTION("""COMPUTED_VALUE"""),"PL324")</f>
        <v>PL324</v>
      </c>
    </row>
    <row r="1343" spans="1:2" ht="12.5" x14ac:dyDescent="0.25">
      <c r="A1343" t="str">
        <f ca="1">IFERROR(__xludf.DUMMYFUNCTION("""COMPUTED_VALUE"""),"Puglia")</f>
        <v>Puglia</v>
      </c>
      <c r="B1343" t="str">
        <f ca="1">IFERROR(__xludf.DUMMYFUNCTION("""COMPUTED_VALUE"""),"ITF4")</f>
        <v>ITF4</v>
      </c>
    </row>
    <row r="1344" spans="1:2" ht="12.5" x14ac:dyDescent="0.25">
      <c r="A1344" t="str">
        <f ca="1">IFERROR(__xludf.DUMMYFUNCTION("""COMPUTED_VALUE"""),"Pulawski")</f>
        <v>Pulawski</v>
      </c>
      <c r="B1344" t="str">
        <f ca="1">IFERROR(__xludf.DUMMYFUNCTION("""COMPUTED_VALUE"""),"PL315")</f>
        <v>PL315</v>
      </c>
    </row>
    <row r="1345" spans="1:2" ht="12.5" x14ac:dyDescent="0.25">
      <c r="A1345" t="str">
        <f ca="1">IFERROR(__xludf.DUMMYFUNCTION("""COMPUTED_VALUE"""),"Puy-De-Dôme")</f>
        <v>Puy-De-Dôme</v>
      </c>
      <c r="B1345" t="str">
        <f ca="1">IFERROR(__xludf.DUMMYFUNCTION("""COMPUTED_VALUE"""),"FR724")</f>
        <v>FR724</v>
      </c>
    </row>
    <row r="1346" spans="1:2" ht="12.5" x14ac:dyDescent="0.25">
      <c r="A1346" t="str">
        <f ca="1">IFERROR(__xludf.DUMMYFUNCTION("""COMPUTED_VALUE"""),"Pyrénées-Atlantiques")</f>
        <v>Pyrénées-Atlantiques</v>
      </c>
      <c r="B1346" t="str">
        <f ca="1">IFERROR(__xludf.DUMMYFUNCTION("""COMPUTED_VALUE"""),"FR615")</f>
        <v>FR615</v>
      </c>
    </row>
    <row r="1347" spans="1:2" ht="12.5" x14ac:dyDescent="0.25">
      <c r="A1347" t="str">
        <f ca="1">IFERROR(__xludf.DUMMYFUNCTION("""COMPUTED_VALUE"""),"Pyrénées-Orientales")</f>
        <v>Pyrénées-Orientales</v>
      </c>
      <c r="B1347" t="str">
        <f ca="1">IFERROR(__xludf.DUMMYFUNCTION("""COMPUTED_VALUE"""),"FR815")</f>
        <v>FR815</v>
      </c>
    </row>
    <row r="1348" spans="1:2" ht="12.5" x14ac:dyDescent="0.25">
      <c r="A1348" t="str">
        <f ca="1">IFERROR(__xludf.DUMMYFUNCTION("""COMPUTED_VALUE"""),"Radomski")</f>
        <v>Radomski</v>
      </c>
      <c r="B1348" t="str">
        <f ca="1">IFERROR(__xludf.DUMMYFUNCTION("""COMPUTED_VALUE"""),"PL128")</f>
        <v>PL128</v>
      </c>
    </row>
    <row r="1349" spans="1:2" ht="12.5" x14ac:dyDescent="0.25">
      <c r="A1349" t="str">
        <f ca="1">IFERROR(__xludf.DUMMYFUNCTION("""COMPUTED_VALUE"""),"Ragusa")</f>
        <v>Ragusa</v>
      </c>
      <c r="B1349" t="str">
        <f ca="1">IFERROR(__xludf.DUMMYFUNCTION("""COMPUTED_VALUE"""),"ITG18")</f>
        <v>ITG18</v>
      </c>
    </row>
    <row r="1350" spans="1:2" ht="12.5" x14ac:dyDescent="0.25">
      <c r="A1350" t="str">
        <f ca="1">IFERROR(__xludf.DUMMYFUNCTION("""COMPUTED_VALUE"""),"Rastatt")</f>
        <v>Rastatt</v>
      </c>
      <c r="B1350" t="str">
        <f ca="1">IFERROR(__xludf.DUMMYFUNCTION("""COMPUTED_VALUE"""),"DE124")</f>
        <v>DE124</v>
      </c>
    </row>
    <row r="1351" spans="1:2" ht="12.5" x14ac:dyDescent="0.25">
      <c r="A1351" t="str">
        <f ca="1">IFERROR(__xludf.DUMMYFUNCTION("""COMPUTED_VALUE"""),"Ravenna")</f>
        <v>Ravenna</v>
      </c>
      <c r="B1351" t="str">
        <f ca="1">IFERROR(__xludf.DUMMYFUNCTION("""COMPUTED_VALUE"""),"ITD57")</f>
        <v>ITD57</v>
      </c>
    </row>
    <row r="1352" spans="1:2" ht="12.5" x14ac:dyDescent="0.25">
      <c r="A1352" t="str">
        <f ca="1">IFERROR(__xludf.DUMMYFUNCTION("""COMPUTED_VALUE"""),"Ravensburg")</f>
        <v>Ravensburg</v>
      </c>
      <c r="B1352" t="str">
        <f ca="1">IFERROR(__xludf.DUMMYFUNCTION("""COMPUTED_VALUE"""),"DE148")</f>
        <v>DE148</v>
      </c>
    </row>
    <row r="1353" spans="1:2" ht="12.5" x14ac:dyDescent="0.25">
      <c r="A1353" t="str">
        <f ca="1">IFERROR(__xludf.DUMMYFUNCTION("""COMPUTED_VALUE"""),"Razgrad")</f>
        <v>Razgrad</v>
      </c>
      <c r="B1353" t="str">
        <f ca="1">IFERROR(__xludf.DUMMYFUNCTION("""COMPUTED_VALUE"""),"BG324")</f>
        <v>BG324</v>
      </c>
    </row>
    <row r="1354" spans="1:2" ht="12.5" x14ac:dyDescent="0.25">
      <c r="A1354" t="str">
        <f ca="1">IFERROR(__xludf.DUMMYFUNCTION("""COMPUTED_VALUE"""),"Recklinghausen")</f>
        <v>Recklinghausen</v>
      </c>
      <c r="B1354" t="str">
        <f ca="1">IFERROR(__xludf.DUMMYFUNCTION("""COMPUTED_VALUE"""),"DEA36")</f>
        <v>DEA36</v>
      </c>
    </row>
    <row r="1355" spans="1:2" ht="12.5" x14ac:dyDescent="0.25">
      <c r="A1355" t="str">
        <f ca="1">IFERROR(__xludf.DUMMYFUNCTION("""COMPUTED_VALUE"""),"Regen")</f>
        <v>Regen</v>
      </c>
      <c r="B1355" t="str">
        <f ca="1">IFERROR(__xludf.DUMMYFUNCTION("""COMPUTED_VALUE"""),"DE229")</f>
        <v>DE229</v>
      </c>
    </row>
    <row r="1356" spans="1:2" ht="12.5" x14ac:dyDescent="0.25">
      <c r="A1356" t="str">
        <f ca="1">IFERROR(__xludf.DUMMYFUNCTION("""COMPUTED_VALUE"""),"Regensburg, Kreisfreie Stadt")</f>
        <v>Regensburg, Kreisfreie Stadt</v>
      </c>
      <c r="B1356" t="str">
        <f ca="1">IFERROR(__xludf.DUMMYFUNCTION("""COMPUTED_VALUE"""),"DE232")</f>
        <v>DE232</v>
      </c>
    </row>
    <row r="1357" spans="1:2" ht="12.5" x14ac:dyDescent="0.25">
      <c r="A1357" t="str">
        <f ca="1">IFERROR(__xludf.DUMMYFUNCTION("""COMPUTED_VALUE"""),"Regensburg, Landkreis")</f>
        <v>Regensburg, Landkreis</v>
      </c>
      <c r="B1357" t="str">
        <f ca="1">IFERROR(__xludf.DUMMYFUNCTION("""COMPUTED_VALUE"""),"DE238")</f>
        <v>DE238</v>
      </c>
    </row>
    <row r="1358" spans="1:2" ht="12.5" x14ac:dyDescent="0.25">
      <c r="A1358" t="str">
        <f ca="1">IFERROR(__xludf.DUMMYFUNCTION("""COMPUTED_VALUE"""),"Reggio Di Calabria")</f>
        <v>Reggio Di Calabria</v>
      </c>
      <c r="B1358" t="str">
        <f ca="1">IFERROR(__xludf.DUMMYFUNCTION("""COMPUTED_VALUE"""),"ITF65")</f>
        <v>ITF65</v>
      </c>
    </row>
    <row r="1359" spans="1:2" ht="12.5" x14ac:dyDescent="0.25">
      <c r="A1359" t="str">
        <f ca="1">IFERROR(__xludf.DUMMYFUNCTION("""COMPUTED_VALUE"""),"Reggio Nell'Emilia")</f>
        <v>Reggio Nell'Emilia</v>
      </c>
      <c r="B1359" t="str">
        <f ca="1">IFERROR(__xludf.DUMMYFUNCTION("""COMPUTED_VALUE"""),"ITD53")</f>
        <v>ITD53</v>
      </c>
    </row>
    <row r="1360" spans="1:2" ht="12.5" x14ac:dyDescent="0.25">
      <c r="A1360" t="str">
        <f ca="1">IFERROR(__xludf.DUMMYFUNCTION("""COMPUTED_VALUE"""),"Região Autónoma Da Madeira")</f>
        <v>Região Autónoma Da Madeira</v>
      </c>
      <c r="B1360" t="str">
        <f ca="1">IFERROR(__xludf.DUMMYFUNCTION("""COMPUTED_VALUE"""),"PT3")</f>
        <v>PT3</v>
      </c>
    </row>
    <row r="1361" spans="1:2" ht="12.5" x14ac:dyDescent="0.25">
      <c r="A1361" t="str">
        <f ca="1">IFERROR(__xludf.DUMMYFUNCTION("""COMPUTED_VALUE"""),"Região Autónoma Da Madeira (*)")</f>
        <v>Região Autónoma Da Madeira (*)</v>
      </c>
      <c r="B1361" t="str">
        <f ca="1">IFERROR(__xludf.DUMMYFUNCTION("""COMPUTED_VALUE"""),"PT30")</f>
        <v>PT30</v>
      </c>
    </row>
    <row r="1362" spans="1:2" ht="12.5" x14ac:dyDescent="0.25">
      <c r="A1362" t="str">
        <f ca="1">IFERROR(__xludf.DUMMYFUNCTION("""COMPUTED_VALUE"""),"Região Autónoma Da Madeira (**)")</f>
        <v>Região Autónoma Da Madeira (**)</v>
      </c>
      <c r="B1362" t="str">
        <f ca="1">IFERROR(__xludf.DUMMYFUNCTION("""COMPUTED_VALUE"""),"PT300")</f>
        <v>PT300</v>
      </c>
    </row>
    <row r="1363" spans="1:2" ht="12.5" x14ac:dyDescent="0.25">
      <c r="A1363" t="str">
        <f ca="1">IFERROR(__xludf.DUMMYFUNCTION("""COMPUTED_VALUE"""),"Região Autónoma Dos Açores")</f>
        <v>Região Autónoma Dos Açores</v>
      </c>
      <c r="B1363" t="str">
        <f ca="1">IFERROR(__xludf.DUMMYFUNCTION("""COMPUTED_VALUE"""),"PT2")</f>
        <v>PT2</v>
      </c>
    </row>
    <row r="1364" spans="1:2" ht="12.5" x14ac:dyDescent="0.25">
      <c r="A1364" t="str">
        <f ca="1">IFERROR(__xludf.DUMMYFUNCTION("""COMPUTED_VALUE"""),"Região Autónoma Dos Açores (*)")</f>
        <v>Região Autónoma Dos Açores (*)</v>
      </c>
      <c r="B1364" t="str">
        <f ca="1">IFERROR(__xludf.DUMMYFUNCTION("""COMPUTED_VALUE"""),"PT20")</f>
        <v>PT20</v>
      </c>
    </row>
    <row r="1365" spans="1:2" ht="12.5" x14ac:dyDescent="0.25">
      <c r="A1365" t="str">
        <f ca="1">IFERROR(__xludf.DUMMYFUNCTION("""COMPUTED_VALUE"""),"Região Autónoma Dos Açores (**)")</f>
        <v>Região Autónoma Dos Açores (**)</v>
      </c>
      <c r="B1365" t="str">
        <f ca="1">IFERROR(__xludf.DUMMYFUNCTION("""COMPUTED_VALUE"""),"PT200")</f>
        <v>PT200</v>
      </c>
    </row>
    <row r="1366" spans="1:2" ht="12.5" x14ac:dyDescent="0.25">
      <c r="A1366" t="str">
        <f ca="1">IFERROR(__xludf.DUMMYFUNCTION("""COMPUTED_VALUE"""),"Region Centralny")</f>
        <v>Region Centralny</v>
      </c>
      <c r="B1366" t="str">
        <f ca="1">IFERROR(__xludf.DUMMYFUNCTION("""COMPUTED_VALUE"""),"PL1")</f>
        <v>PL1</v>
      </c>
    </row>
    <row r="1367" spans="1:2" ht="12.5" x14ac:dyDescent="0.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x14ac:dyDescent="0.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x14ac:dyDescent="0.25">
      <c r="A1369" t="str">
        <f ca="1">IFERROR(__xludf.DUMMYFUNCTION("""COMPUTED_VALUE"""),"Región De Murcia")</f>
        <v>Región De Murcia</v>
      </c>
      <c r="B1369" t="str">
        <f ca="1">IFERROR(__xludf.DUMMYFUNCTION("""COMPUTED_VALUE"""),"ES62")</f>
        <v>ES62</v>
      </c>
    </row>
    <row r="1370" spans="1:2" ht="12.5" x14ac:dyDescent="0.25">
      <c r="A1370" t="str">
        <f ca="1">IFERROR(__xludf.DUMMYFUNCTION("""COMPUTED_VALUE"""),"Region Hannover")</f>
        <v>Region Hannover</v>
      </c>
      <c r="B1370" t="str">
        <f ca="1">IFERROR(__xludf.DUMMYFUNCTION("""COMPUTED_VALUE"""),"DE929")</f>
        <v>DE929</v>
      </c>
    </row>
    <row r="1371" spans="1:2" ht="12.5" x14ac:dyDescent="0.25">
      <c r="A1371" t="str">
        <f ca="1">IFERROR(__xludf.DUMMYFUNCTION("""COMPUTED_VALUE"""),"Région Lémanique")</f>
        <v>Région Lémanique</v>
      </c>
      <c r="B1371" t="str">
        <f ca="1">IFERROR(__xludf.DUMMYFUNCTION("""COMPUTED_VALUE"""),"CH01")</f>
        <v>CH01</v>
      </c>
    </row>
    <row r="1372" spans="1:2" ht="12.5" x14ac:dyDescent="0.25">
      <c r="A1372" t="str">
        <f ca="1">IFERROR(__xludf.DUMMYFUNCTION("""COMPUTED_VALUE"""),"Region Polnocno-Zachodni")</f>
        <v>Region Polnocno-Zachodni</v>
      </c>
      <c r="B1372" t="str">
        <f ca="1">IFERROR(__xludf.DUMMYFUNCTION("""COMPUTED_VALUE"""),"PL4")</f>
        <v>PL4</v>
      </c>
    </row>
    <row r="1373" spans="1:2" ht="12.5" x14ac:dyDescent="0.25">
      <c r="A1373" t="str">
        <f ca="1">IFERROR(__xludf.DUMMYFUNCTION("""COMPUTED_VALUE"""),"Region Polnocny")</f>
        <v>Region Polnocny</v>
      </c>
      <c r="B1373" t="str">
        <f ca="1">IFERROR(__xludf.DUMMYFUNCTION("""COMPUTED_VALUE"""),"PL6")</f>
        <v>PL6</v>
      </c>
    </row>
    <row r="1374" spans="1:2" ht="12.5" x14ac:dyDescent="0.25">
      <c r="A1374" t="str">
        <f ca="1">IFERROR(__xludf.DUMMYFUNCTION("""COMPUTED_VALUE"""),"Region Poludniowo-Zachodni")</f>
        <v>Region Poludniowo-Zachodni</v>
      </c>
      <c r="B1374" t="str">
        <f ca="1">IFERROR(__xludf.DUMMYFUNCTION("""COMPUTED_VALUE"""),"PL5")</f>
        <v>PL5</v>
      </c>
    </row>
    <row r="1375" spans="1:2" ht="12.5" x14ac:dyDescent="0.25">
      <c r="A1375" t="str">
        <f ca="1">IFERROR(__xludf.DUMMYFUNCTION("""COMPUTED_VALUE"""),"Region Poludniowy")</f>
        <v>Region Poludniowy</v>
      </c>
      <c r="B1375" t="str">
        <f ca="1">IFERROR(__xludf.DUMMYFUNCTION("""COMPUTED_VALUE"""),"PL2")</f>
        <v>PL2</v>
      </c>
    </row>
    <row r="1376" spans="1:2" ht="12.5" x14ac:dyDescent="0.25">
      <c r="A1376" t="str">
        <f ca="1">IFERROR(__xludf.DUMMYFUNCTION("""COMPUTED_VALUE"""),"Région Wallonne")</f>
        <v>Région Wallonne</v>
      </c>
      <c r="B1376" t="str">
        <f ca="1">IFERROR(__xludf.DUMMYFUNCTION("""COMPUTED_VALUE"""),"BE3")</f>
        <v>BE3</v>
      </c>
    </row>
    <row r="1377" spans="1:2" ht="12.5" x14ac:dyDescent="0.25">
      <c r="A1377" t="str">
        <f ca="1">IFERROR(__xludf.DUMMYFUNCTION("""COMPUTED_VALUE"""),"Region Wschodni")</f>
        <v>Region Wschodni</v>
      </c>
      <c r="B1377" t="str">
        <f ca="1">IFERROR(__xludf.DUMMYFUNCTION("""COMPUTED_VALUE"""),"PL3")</f>
        <v>PL3</v>
      </c>
    </row>
    <row r="1378" spans="1:2" ht="12.5" x14ac:dyDescent="0.25">
      <c r="A1378" t="str">
        <f ca="1">IFERROR(__xludf.DUMMYFUNCTION("""COMPUTED_VALUE"""),"Rems-Murr-Kreis")</f>
        <v>Rems-Murr-Kreis</v>
      </c>
      <c r="B1378" t="str">
        <f ca="1">IFERROR(__xludf.DUMMYFUNCTION("""COMPUTED_VALUE"""),"DE116")</f>
        <v>DE116</v>
      </c>
    </row>
    <row r="1379" spans="1:2" ht="12.5" x14ac:dyDescent="0.25">
      <c r="A1379" t="str">
        <f ca="1">IFERROR(__xludf.DUMMYFUNCTION("""COMPUTED_VALUE"""),"Remscheid, Kreisfreie Stadt")</f>
        <v>Remscheid, Kreisfreie Stadt</v>
      </c>
      <c r="B1379" t="str">
        <f ca="1">IFERROR(__xludf.DUMMYFUNCTION("""COMPUTED_VALUE"""),"DEA18")</f>
        <v>DEA18</v>
      </c>
    </row>
    <row r="1380" spans="1:2" ht="12.5" x14ac:dyDescent="0.25">
      <c r="A1380" t="str">
        <f ca="1">IFERROR(__xludf.DUMMYFUNCTION("""COMPUTED_VALUE"""),"Rendsburg-Eckernförde")</f>
        <v>Rendsburg-Eckernförde</v>
      </c>
      <c r="B1380" t="str">
        <f ca="1">IFERROR(__xludf.DUMMYFUNCTION("""COMPUTED_VALUE"""),"DEF0B")</f>
        <v>DEF0B</v>
      </c>
    </row>
    <row r="1381" spans="1:2" ht="12.5" x14ac:dyDescent="0.25">
      <c r="A1381" t="str">
        <f ca="1">IFERROR(__xludf.DUMMYFUNCTION("""COMPUTED_VALUE"""),"Rethymni")</f>
        <v>Rethymni</v>
      </c>
      <c r="B1381" t="str">
        <f ca="1">IFERROR(__xludf.DUMMYFUNCTION("""COMPUTED_VALUE"""),"GR433")</f>
        <v>GR433</v>
      </c>
    </row>
    <row r="1382" spans="1:2" ht="12.5" x14ac:dyDescent="0.25">
      <c r="A1382" t="str">
        <f ca="1">IFERROR(__xludf.DUMMYFUNCTION("""COMPUTED_VALUE"""),"Réunion")</f>
        <v>Réunion</v>
      </c>
      <c r="B1382" t="str">
        <f ca="1">IFERROR(__xludf.DUMMYFUNCTION("""COMPUTED_VALUE"""),"FR94")</f>
        <v>FR94</v>
      </c>
    </row>
    <row r="1383" spans="1:2" ht="12.5" x14ac:dyDescent="0.25">
      <c r="A1383" t="str">
        <f ca="1">IFERROR(__xludf.DUMMYFUNCTION("""COMPUTED_VALUE"""),"Réunion (*)")</f>
        <v>Réunion (*)</v>
      </c>
      <c r="B1383" t="str">
        <f ca="1">IFERROR(__xludf.DUMMYFUNCTION("""COMPUTED_VALUE"""),"FR940")</f>
        <v>FR940</v>
      </c>
    </row>
    <row r="1384" spans="1:2" ht="12.5" x14ac:dyDescent="0.25">
      <c r="A1384" t="str">
        <f ca="1">IFERROR(__xludf.DUMMYFUNCTION("""COMPUTED_VALUE"""),"Reutlingen")</f>
        <v>Reutlingen</v>
      </c>
      <c r="B1384" t="str">
        <f ca="1">IFERROR(__xludf.DUMMYFUNCTION("""COMPUTED_VALUE"""),"DE141")</f>
        <v>DE141</v>
      </c>
    </row>
    <row r="1385" spans="1:2" ht="12.5" x14ac:dyDescent="0.25">
      <c r="A1385" t="str">
        <f ca="1">IFERROR(__xludf.DUMMYFUNCTION("""COMPUTED_VALUE"""),"Rhein-Erft-Kreis")</f>
        <v>Rhein-Erft-Kreis</v>
      </c>
      <c r="B1385" t="str">
        <f ca="1">IFERROR(__xludf.DUMMYFUNCTION("""COMPUTED_VALUE"""),"DEA27")</f>
        <v>DEA27</v>
      </c>
    </row>
    <row r="1386" spans="1:2" ht="12.5" x14ac:dyDescent="0.25">
      <c r="A1386" t="str">
        <f ca="1">IFERROR(__xludf.DUMMYFUNCTION("""COMPUTED_VALUE"""),"Rhein-Hunsrück-Kreis")</f>
        <v>Rhein-Hunsrück-Kreis</v>
      </c>
      <c r="B1386" t="str">
        <f ca="1">IFERROR(__xludf.DUMMYFUNCTION("""COMPUTED_VALUE"""),"DEB19")</f>
        <v>DEB19</v>
      </c>
    </row>
    <row r="1387" spans="1:2" ht="12.5" x14ac:dyDescent="0.25">
      <c r="A1387" t="str">
        <f ca="1">IFERROR(__xludf.DUMMYFUNCTION("""COMPUTED_VALUE"""),"Rhein-Kreis Neuss")</f>
        <v>Rhein-Kreis Neuss</v>
      </c>
      <c r="B1387" t="str">
        <f ca="1">IFERROR(__xludf.DUMMYFUNCTION("""COMPUTED_VALUE"""),"DEA1D")</f>
        <v>DEA1D</v>
      </c>
    </row>
    <row r="1388" spans="1:2" ht="12.5" x14ac:dyDescent="0.25">
      <c r="A1388" t="str">
        <f ca="1">IFERROR(__xludf.DUMMYFUNCTION("""COMPUTED_VALUE"""),"Rhein-Lahn-Kreis")</f>
        <v>Rhein-Lahn-Kreis</v>
      </c>
      <c r="B1388" t="str">
        <f ca="1">IFERROR(__xludf.DUMMYFUNCTION("""COMPUTED_VALUE"""),"DEB1A")</f>
        <v>DEB1A</v>
      </c>
    </row>
    <row r="1389" spans="1:2" ht="12.5" x14ac:dyDescent="0.25">
      <c r="A1389" t="str">
        <f ca="1">IFERROR(__xludf.DUMMYFUNCTION("""COMPUTED_VALUE"""),"Rhein-Neckar-Kreis")</f>
        <v>Rhein-Neckar-Kreis</v>
      </c>
      <c r="B1389" t="str">
        <f ca="1">IFERROR(__xludf.DUMMYFUNCTION("""COMPUTED_VALUE"""),"DE128")</f>
        <v>DE128</v>
      </c>
    </row>
    <row r="1390" spans="1:2" ht="12.5" x14ac:dyDescent="0.25">
      <c r="A1390" t="str">
        <f ca="1">IFERROR(__xludf.DUMMYFUNCTION("""COMPUTED_VALUE"""),"Rhein-Pfalz-Kreis")</f>
        <v>Rhein-Pfalz-Kreis</v>
      </c>
      <c r="B1390" t="str">
        <f ca="1">IFERROR(__xludf.DUMMYFUNCTION("""COMPUTED_VALUE"""),"DEB3I")</f>
        <v>DEB3I</v>
      </c>
    </row>
    <row r="1391" spans="1:2" ht="12.5" x14ac:dyDescent="0.25">
      <c r="A1391" t="str">
        <f ca="1">IFERROR(__xludf.DUMMYFUNCTION("""COMPUTED_VALUE"""),"Rhein-Sieg-Kreis")</f>
        <v>Rhein-Sieg-Kreis</v>
      </c>
      <c r="B1391" t="str">
        <f ca="1">IFERROR(__xludf.DUMMYFUNCTION("""COMPUTED_VALUE"""),"DEA2C")</f>
        <v>DEA2C</v>
      </c>
    </row>
    <row r="1392" spans="1:2" ht="12.5" x14ac:dyDescent="0.25">
      <c r="A1392" t="str">
        <f ca="1">IFERROR(__xludf.DUMMYFUNCTION("""COMPUTED_VALUE"""),"Rheingau-Taunus-Kreis")</f>
        <v>Rheingau-Taunus-Kreis</v>
      </c>
      <c r="B1392" t="str">
        <f ca="1">IFERROR(__xludf.DUMMYFUNCTION("""COMPUTED_VALUE"""),"DE71D")</f>
        <v>DE71D</v>
      </c>
    </row>
    <row r="1393" spans="1:2" ht="12.5" x14ac:dyDescent="0.25">
      <c r="A1393" t="str">
        <f ca="1">IFERROR(__xludf.DUMMYFUNCTION("""COMPUTED_VALUE"""),"Rheinhessen-Pfalz")</f>
        <v>Rheinhessen-Pfalz</v>
      </c>
      <c r="B1393" t="str">
        <f ca="1">IFERROR(__xludf.DUMMYFUNCTION("""COMPUTED_VALUE"""),"DEB3")</f>
        <v>DEB3</v>
      </c>
    </row>
    <row r="1394" spans="1:2" ht="12.5" x14ac:dyDescent="0.25">
      <c r="A1394" t="str">
        <f ca="1">IFERROR(__xludf.DUMMYFUNCTION("""COMPUTED_VALUE"""),"Rheinisch-Bergischer Kreis")</f>
        <v>Rheinisch-Bergischer Kreis</v>
      </c>
      <c r="B1394" t="str">
        <f ca="1">IFERROR(__xludf.DUMMYFUNCTION("""COMPUTED_VALUE"""),"DEA2B")</f>
        <v>DEA2B</v>
      </c>
    </row>
    <row r="1395" spans="1:2" ht="12.5" x14ac:dyDescent="0.25">
      <c r="A1395" t="str">
        <f ca="1">IFERROR(__xludf.DUMMYFUNCTION("""COMPUTED_VALUE"""),"Rheinland-Pfalz")</f>
        <v>Rheinland-Pfalz</v>
      </c>
      <c r="B1395" t="str">
        <f ca="1">IFERROR(__xludf.DUMMYFUNCTION("""COMPUTED_VALUE"""),"DEB")</f>
        <v>DEB</v>
      </c>
    </row>
    <row r="1396" spans="1:2" ht="12.5" x14ac:dyDescent="0.25">
      <c r="A1396" t="str">
        <f ca="1">IFERROR(__xludf.DUMMYFUNCTION("""COMPUTED_VALUE"""),"Rheintal-Bodenseegebiet")</f>
        <v>Rheintal-Bodenseegebiet</v>
      </c>
      <c r="B1396" t="str">
        <f ca="1">IFERROR(__xludf.DUMMYFUNCTION("""COMPUTED_VALUE"""),"AT342")</f>
        <v>AT342</v>
      </c>
    </row>
    <row r="1397" spans="1:2" ht="12.5" x14ac:dyDescent="0.25">
      <c r="A1397" t="str">
        <f ca="1">IFERROR(__xludf.DUMMYFUNCTION("""COMPUTED_VALUE"""),"Rhön-Grabfeld")</f>
        <v>Rhön-Grabfeld</v>
      </c>
      <c r="B1397" t="str">
        <f ca="1">IFERROR(__xludf.DUMMYFUNCTION("""COMPUTED_VALUE"""),"DE266")</f>
        <v>DE266</v>
      </c>
    </row>
    <row r="1398" spans="1:2" ht="12.5" x14ac:dyDescent="0.25">
      <c r="A1398" t="str">
        <f ca="1">IFERROR(__xludf.DUMMYFUNCTION("""COMPUTED_VALUE"""),"Rhône")</f>
        <v>Rhône</v>
      </c>
      <c r="B1398" t="str">
        <f ca="1">IFERROR(__xludf.DUMMYFUNCTION("""COMPUTED_VALUE"""),"FR716")</f>
        <v>FR716</v>
      </c>
    </row>
    <row r="1399" spans="1:2" ht="12.5" x14ac:dyDescent="0.25">
      <c r="A1399" t="str">
        <f ca="1">IFERROR(__xludf.DUMMYFUNCTION("""COMPUTED_VALUE"""),"Rhône-Alpes")</f>
        <v>Rhône-Alpes</v>
      </c>
      <c r="B1399" t="str">
        <f ca="1">IFERROR(__xludf.DUMMYFUNCTION("""COMPUTED_VALUE"""),"FR71")</f>
        <v>FR71</v>
      </c>
    </row>
    <row r="1400" spans="1:2" ht="12.5" x14ac:dyDescent="0.25">
      <c r="A1400" t="str">
        <f ca="1">IFERROR(__xludf.DUMMYFUNCTION("""COMPUTED_VALUE"""),"Riesa-Großenhain")</f>
        <v>Riesa-Großenhain</v>
      </c>
      <c r="B1400" t="str">
        <f ca="1">IFERROR(__xludf.DUMMYFUNCTION("""COMPUTED_VALUE"""),"DED27")</f>
        <v>DED27</v>
      </c>
    </row>
    <row r="1401" spans="1:2" ht="12.5" x14ac:dyDescent="0.25">
      <c r="A1401" t="str">
        <f ca="1">IFERROR(__xludf.DUMMYFUNCTION("""COMPUTED_VALUE"""),"Rieti")</f>
        <v>Rieti</v>
      </c>
      <c r="B1401" t="str">
        <f ca="1">IFERROR(__xludf.DUMMYFUNCTION("""COMPUTED_VALUE"""),"ITE42")</f>
        <v>ITE42</v>
      </c>
    </row>
    <row r="1402" spans="1:2" ht="12.5" x14ac:dyDescent="0.25">
      <c r="A1402" t="str">
        <f ca="1">IFERROR(__xludf.DUMMYFUNCTION("""COMPUTED_VALUE"""),"Riga")</f>
        <v>Riga</v>
      </c>
      <c r="B1402" t="str">
        <f ca="1">IFERROR(__xludf.DUMMYFUNCTION("""COMPUTED_VALUE"""),"LV006")</f>
        <v>LV006</v>
      </c>
    </row>
    <row r="1403" spans="1:2" ht="12.5" x14ac:dyDescent="0.25">
      <c r="A1403" t="str">
        <f ca="1">IFERROR(__xludf.DUMMYFUNCTION("""COMPUTED_VALUE"""),"Rimini")</f>
        <v>Rimini</v>
      </c>
      <c r="B1403" t="str">
        <f ca="1">IFERROR(__xludf.DUMMYFUNCTION("""COMPUTED_VALUE"""),"ITD59")</f>
        <v>ITD59</v>
      </c>
    </row>
    <row r="1404" spans="1:2" ht="12.5" x14ac:dyDescent="0.25">
      <c r="A1404" t="str">
        <f ca="1">IFERROR(__xludf.DUMMYFUNCTION("""COMPUTED_VALUE"""),"Rodopi")</f>
        <v>Rodopi</v>
      </c>
      <c r="B1404" t="str">
        <f ca="1">IFERROR(__xludf.DUMMYFUNCTION("""COMPUTED_VALUE"""),"GR113")</f>
        <v>GR113</v>
      </c>
    </row>
    <row r="1405" spans="1:2" ht="12.5" x14ac:dyDescent="0.25">
      <c r="A1405" t="str">
        <f ca="1">IFERROR(__xludf.DUMMYFUNCTION("""COMPUTED_VALUE"""),"Rogaland")</f>
        <v>Rogaland</v>
      </c>
      <c r="B1405" t="str">
        <f ca="1">IFERROR(__xludf.DUMMYFUNCTION("""COMPUTED_VALUE"""),"NO043")</f>
        <v>NO043</v>
      </c>
    </row>
    <row r="1406" spans="1:2" ht="12.5" x14ac:dyDescent="0.25">
      <c r="A1406" t="str">
        <f ca="1">IFERROR(__xludf.DUMMYFUNCTION("""COMPUTED_VALUE"""),"Roma")</f>
        <v>Roma</v>
      </c>
      <c r="B1406" t="str">
        <f ca="1">IFERROR(__xludf.DUMMYFUNCTION("""COMPUTED_VALUE"""),"ITE43")</f>
        <v>ITE43</v>
      </c>
    </row>
    <row r="1407" spans="1:2" ht="12.5" x14ac:dyDescent="0.25">
      <c r="A1407" t="str">
        <f ca="1">IFERROR(__xludf.DUMMYFUNCTION("""COMPUTED_VALUE"""),"Romania")</f>
        <v>Romania</v>
      </c>
      <c r="B1407" t="str">
        <f ca="1">IFERROR(__xludf.DUMMYFUNCTION("""COMPUTED_VALUE"""),"RO")</f>
        <v>RO</v>
      </c>
    </row>
    <row r="1408" spans="1:2" ht="12.5" x14ac:dyDescent="0.25">
      <c r="A1408" t="str">
        <f ca="1">IFERROR(__xludf.DUMMYFUNCTION("""COMPUTED_VALUE"""),"Rosenheim, Kreisfreie Stadt")</f>
        <v>Rosenheim, Kreisfreie Stadt</v>
      </c>
      <c r="B1408" t="str">
        <f ca="1">IFERROR(__xludf.DUMMYFUNCTION("""COMPUTED_VALUE"""),"DE213")</f>
        <v>DE213</v>
      </c>
    </row>
    <row r="1409" spans="1:2" ht="12.5" x14ac:dyDescent="0.25">
      <c r="A1409" t="str">
        <f ca="1">IFERROR(__xludf.DUMMYFUNCTION("""COMPUTED_VALUE"""),"Rosenheim, Landkreis")</f>
        <v>Rosenheim, Landkreis</v>
      </c>
      <c r="B1409" t="str">
        <f ca="1">IFERROR(__xludf.DUMMYFUNCTION("""COMPUTED_VALUE"""),"DE21K")</f>
        <v>DE21K</v>
      </c>
    </row>
    <row r="1410" spans="1:2" ht="12.5" x14ac:dyDescent="0.25">
      <c r="A1410" t="str">
        <f ca="1">IFERROR(__xludf.DUMMYFUNCTION("""COMPUTED_VALUE"""),"Rostock, Kreisfreie Stadt")</f>
        <v>Rostock, Kreisfreie Stadt</v>
      </c>
      <c r="B1410" t="str">
        <f ca="1">IFERROR(__xludf.DUMMYFUNCTION("""COMPUTED_VALUE"""),"DE803")</f>
        <v>DE803</v>
      </c>
    </row>
    <row r="1411" spans="1:2" ht="12.5" x14ac:dyDescent="0.25">
      <c r="A1411" t="str">
        <f ca="1">IFERROR(__xludf.DUMMYFUNCTION("""COMPUTED_VALUE"""),"Rotenburg (Wümme)")</f>
        <v>Rotenburg (Wümme)</v>
      </c>
      <c r="B1411" t="str">
        <f ca="1">IFERROR(__xludf.DUMMYFUNCTION("""COMPUTED_VALUE"""),"DE937")</f>
        <v>DE937</v>
      </c>
    </row>
    <row r="1412" spans="1:2" ht="12.5" x14ac:dyDescent="0.25">
      <c r="A1412" t="str">
        <f ca="1">IFERROR(__xludf.DUMMYFUNCTION("""COMPUTED_VALUE"""),"Roth")</f>
        <v>Roth</v>
      </c>
      <c r="B1412" t="str">
        <f ca="1">IFERROR(__xludf.DUMMYFUNCTION("""COMPUTED_VALUE"""),"DE25B")</f>
        <v>DE25B</v>
      </c>
    </row>
    <row r="1413" spans="1:2" ht="12.5" x14ac:dyDescent="0.25">
      <c r="A1413" t="str">
        <f ca="1">IFERROR(__xludf.DUMMYFUNCTION("""COMPUTED_VALUE"""),"Rottal-Inn")</f>
        <v>Rottal-Inn</v>
      </c>
      <c r="B1413" t="str">
        <f ca="1">IFERROR(__xludf.DUMMYFUNCTION("""COMPUTED_VALUE"""),"DE22A")</f>
        <v>DE22A</v>
      </c>
    </row>
    <row r="1414" spans="1:2" ht="12.5" x14ac:dyDescent="0.25">
      <c r="A1414" t="str">
        <f ca="1">IFERROR(__xludf.DUMMYFUNCTION("""COMPUTED_VALUE"""),"Rottweil")</f>
        <v>Rottweil</v>
      </c>
      <c r="B1414" t="str">
        <f ca="1">IFERROR(__xludf.DUMMYFUNCTION("""COMPUTED_VALUE"""),"DE135")</f>
        <v>DE135</v>
      </c>
    </row>
    <row r="1415" spans="1:2" ht="12.5" x14ac:dyDescent="0.25">
      <c r="A1415" t="str">
        <f ca="1">IFERROR(__xludf.DUMMYFUNCTION("""COMPUTED_VALUE"""),"Rovigo")</f>
        <v>Rovigo</v>
      </c>
      <c r="B1415" t="str">
        <f ca="1">IFERROR(__xludf.DUMMYFUNCTION("""COMPUTED_VALUE"""),"ITD37")</f>
        <v>ITD37</v>
      </c>
    </row>
    <row r="1416" spans="1:2" ht="12.5" x14ac:dyDescent="0.25">
      <c r="A1416" t="str">
        <f ca="1">IFERROR(__xludf.DUMMYFUNCTION("""COMPUTED_VALUE"""),"Rügen")</f>
        <v>Rügen</v>
      </c>
      <c r="B1416" t="str">
        <f ca="1">IFERROR(__xludf.DUMMYFUNCTION("""COMPUTED_VALUE"""),"DE80H")</f>
        <v>DE80H</v>
      </c>
    </row>
    <row r="1417" spans="1:2" ht="12.5" x14ac:dyDescent="0.25">
      <c r="A1417" t="str">
        <f ca="1">IFERROR(__xludf.DUMMYFUNCTION("""COMPUTED_VALUE"""),"Ruse")</f>
        <v>Ruse</v>
      </c>
      <c r="B1417" t="str">
        <f ca="1">IFERROR(__xludf.DUMMYFUNCTION("""COMPUTED_VALUE"""),"BG323")</f>
        <v>BG323</v>
      </c>
    </row>
    <row r="1418" spans="1:2" ht="12.5" x14ac:dyDescent="0.25">
      <c r="A1418" t="str">
        <f ca="1">IFERROR(__xludf.DUMMYFUNCTION("""COMPUTED_VALUE"""),"Rybnicki")</f>
        <v>Rybnicki</v>
      </c>
      <c r="B1418" t="str">
        <f ca="1">IFERROR(__xludf.DUMMYFUNCTION("""COMPUTED_VALUE"""),"PL227")</f>
        <v>PL227</v>
      </c>
    </row>
    <row r="1419" spans="1:2" ht="12.5" x14ac:dyDescent="0.25">
      <c r="A1419" t="str">
        <f ca="1">IFERROR(__xludf.DUMMYFUNCTION("""COMPUTED_VALUE"""),"Rzeszowski")</f>
        <v>Rzeszowski</v>
      </c>
      <c r="B1419" t="str">
        <f ca="1">IFERROR(__xludf.DUMMYFUNCTION("""COMPUTED_VALUE"""),"PL325")</f>
        <v>PL325</v>
      </c>
    </row>
    <row r="1420" spans="1:2" ht="12.5" x14ac:dyDescent="0.25">
      <c r="A1420" t="str">
        <f ca="1">IFERROR(__xludf.DUMMYFUNCTION("""COMPUTED_VALUE"""),"Saale-Holzland-Kreis")</f>
        <v>Saale-Holzland-Kreis</v>
      </c>
      <c r="B1420" t="str">
        <f ca="1">IFERROR(__xludf.DUMMYFUNCTION("""COMPUTED_VALUE"""),"DEG0J")</f>
        <v>DEG0J</v>
      </c>
    </row>
    <row r="1421" spans="1:2" ht="12.5" x14ac:dyDescent="0.25">
      <c r="A1421" t="str">
        <f ca="1">IFERROR(__xludf.DUMMYFUNCTION("""COMPUTED_VALUE"""),"Saale-Orla-Kreis")</f>
        <v>Saale-Orla-Kreis</v>
      </c>
      <c r="B1421" t="str">
        <f ca="1">IFERROR(__xludf.DUMMYFUNCTION("""COMPUTED_VALUE"""),"DEG0K")</f>
        <v>DEG0K</v>
      </c>
    </row>
    <row r="1422" spans="1:2" ht="12.5" x14ac:dyDescent="0.25">
      <c r="A1422" t="str">
        <f ca="1">IFERROR(__xludf.DUMMYFUNCTION("""COMPUTED_VALUE"""),"Saalekreis")</f>
        <v>Saalekreis</v>
      </c>
      <c r="B1422" t="str">
        <f ca="1">IFERROR(__xludf.DUMMYFUNCTION("""COMPUTED_VALUE"""),"DEE0B")</f>
        <v>DEE0B</v>
      </c>
    </row>
    <row r="1423" spans="1:2" ht="12.5" x14ac:dyDescent="0.25">
      <c r="A1423" t="str">
        <f ca="1">IFERROR(__xludf.DUMMYFUNCTION("""COMPUTED_VALUE"""),"Saalfeld-Rudolstadt")</f>
        <v>Saalfeld-Rudolstadt</v>
      </c>
      <c r="B1423" t="str">
        <f ca="1">IFERROR(__xludf.DUMMYFUNCTION("""COMPUTED_VALUE"""),"DEG0I")</f>
        <v>DEG0I</v>
      </c>
    </row>
    <row r="1424" spans="1:2" ht="12.5" x14ac:dyDescent="0.25">
      <c r="A1424" t="str">
        <f ca="1">IFERROR(__xludf.DUMMYFUNCTION("""COMPUTED_VALUE"""),"Saarland")</f>
        <v>Saarland</v>
      </c>
      <c r="B1424" t="str">
        <f ca="1">IFERROR(__xludf.DUMMYFUNCTION("""COMPUTED_VALUE"""),"DEC")</f>
        <v>DEC</v>
      </c>
    </row>
    <row r="1425" spans="1:2" ht="12.5" x14ac:dyDescent="0.25">
      <c r="A1425" t="str">
        <f ca="1">IFERROR(__xludf.DUMMYFUNCTION("""COMPUTED_VALUE"""),"Saarland (*)")</f>
        <v>Saarland (*)</v>
      </c>
      <c r="B1425" t="str">
        <f ca="1">IFERROR(__xludf.DUMMYFUNCTION("""COMPUTED_VALUE"""),"DEC0")</f>
        <v>DEC0</v>
      </c>
    </row>
    <row r="1426" spans="1:2" ht="12.5" x14ac:dyDescent="0.25">
      <c r="A1426" t="str">
        <f ca="1">IFERROR(__xludf.DUMMYFUNCTION("""COMPUTED_VALUE"""),"Saarlouis")</f>
        <v>Saarlouis</v>
      </c>
      <c r="B1426" t="str">
        <f ca="1">IFERROR(__xludf.DUMMYFUNCTION("""COMPUTED_VALUE"""),"DEC04")</f>
        <v>DEC04</v>
      </c>
    </row>
    <row r="1427" spans="1:2" ht="12.5" x14ac:dyDescent="0.25">
      <c r="A1427" t="str">
        <f ca="1">IFERROR(__xludf.DUMMYFUNCTION("""COMPUTED_VALUE"""),"Saarpfalz-Kreis")</f>
        <v>Saarpfalz-Kreis</v>
      </c>
      <c r="B1427" t="str">
        <f ca="1">IFERROR(__xludf.DUMMYFUNCTION("""COMPUTED_VALUE"""),"DEC05")</f>
        <v>DEC05</v>
      </c>
    </row>
    <row r="1428" spans="1:2" ht="12.5" x14ac:dyDescent="0.25">
      <c r="A1428" t="str">
        <f ca="1">IFERROR(__xludf.DUMMYFUNCTION("""COMPUTED_VALUE"""),"Sachsen")</f>
        <v>Sachsen</v>
      </c>
      <c r="B1428" t="str">
        <f ca="1">IFERROR(__xludf.DUMMYFUNCTION("""COMPUTED_VALUE"""),"DED")</f>
        <v>DED</v>
      </c>
    </row>
    <row r="1429" spans="1:2" ht="12.5" x14ac:dyDescent="0.25">
      <c r="A1429" t="str">
        <f ca="1">IFERROR(__xludf.DUMMYFUNCTION("""COMPUTED_VALUE"""),"Sachsen-Anhalt")</f>
        <v>Sachsen-Anhalt</v>
      </c>
      <c r="B1429" t="str">
        <f ca="1">IFERROR(__xludf.DUMMYFUNCTION("""COMPUTED_VALUE"""),"DEE")</f>
        <v>DEE</v>
      </c>
    </row>
    <row r="1430" spans="1:2" ht="12.5" x14ac:dyDescent="0.25">
      <c r="A1430" t="str">
        <f ca="1">IFERROR(__xludf.DUMMYFUNCTION("""COMPUTED_VALUE"""),"Sachsen-Anhalt (*)")</f>
        <v>Sachsen-Anhalt (*)</v>
      </c>
      <c r="B1430" t="str">
        <f ca="1">IFERROR(__xludf.DUMMYFUNCTION("""COMPUTED_VALUE"""),"DEE0")</f>
        <v>DEE0</v>
      </c>
    </row>
    <row r="1431" spans="1:2" ht="12.5" x14ac:dyDescent="0.25">
      <c r="A1431" t="str">
        <f ca="1">IFERROR(__xludf.DUMMYFUNCTION("""COMPUTED_VALUE"""),"Sächsische Schweiz")</f>
        <v>Sächsische Schweiz</v>
      </c>
      <c r="B1431" t="str">
        <f ca="1">IFERROR(__xludf.DUMMYFUNCTION("""COMPUTED_VALUE"""),"DED29")</f>
        <v>DED29</v>
      </c>
    </row>
    <row r="1432" spans="1:2" ht="12.5" x14ac:dyDescent="0.25">
      <c r="A1432" t="str">
        <f ca="1">IFERROR(__xludf.DUMMYFUNCTION("""COMPUTED_VALUE"""),"Salaj")</f>
        <v>Salaj</v>
      </c>
      <c r="B1432" t="str">
        <f ca="1">IFERROR(__xludf.DUMMYFUNCTION("""COMPUTED_VALUE"""),"RO116")</f>
        <v>RO116</v>
      </c>
    </row>
    <row r="1433" spans="1:2" ht="12.5" x14ac:dyDescent="0.25">
      <c r="A1433" t="str">
        <f ca="1">IFERROR(__xludf.DUMMYFUNCTION("""COMPUTED_VALUE"""),"Salamanca")</f>
        <v>Salamanca</v>
      </c>
      <c r="B1433" t="str">
        <f ca="1">IFERROR(__xludf.DUMMYFUNCTION("""COMPUTED_VALUE"""),"ES415")</f>
        <v>ES415</v>
      </c>
    </row>
    <row r="1434" spans="1:2" ht="12.5" x14ac:dyDescent="0.25">
      <c r="A1434" t="str">
        <f ca="1">IFERROR(__xludf.DUMMYFUNCTION("""COMPUTED_VALUE"""),"Salerno")</f>
        <v>Salerno</v>
      </c>
      <c r="B1434" t="str">
        <f ca="1">IFERROR(__xludf.DUMMYFUNCTION("""COMPUTED_VALUE"""),"ITF35")</f>
        <v>ITF35</v>
      </c>
    </row>
    <row r="1435" spans="1:2" ht="12.5" x14ac:dyDescent="0.25">
      <c r="A1435" t="str">
        <f ca="1">IFERROR(__xludf.DUMMYFUNCTION("""COMPUTED_VALUE"""),"Salzburg")</f>
        <v>Salzburg</v>
      </c>
      <c r="B1435" t="str">
        <f ca="1">IFERROR(__xludf.DUMMYFUNCTION("""COMPUTED_VALUE"""),"AT32")</f>
        <v>AT32</v>
      </c>
    </row>
    <row r="1436" spans="1:2" ht="12.5" x14ac:dyDescent="0.25">
      <c r="A1436" t="str">
        <f ca="1">IFERROR(__xludf.DUMMYFUNCTION("""COMPUTED_VALUE"""),"Salzburg Und Umgebung")</f>
        <v>Salzburg Und Umgebung</v>
      </c>
      <c r="B1436" t="str">
        <f ca="1">IFERROR(__xludf.DUMMYFUNCTION("""COMPUTED_VALUE"""),"AT323")</f>
        <v>AT323</v>
      </c>
    </row>
    <row r="1437" spans="1:2" ht="12.5" x14ac:dyDescent="0.25">
      <c r="A1437" t="str">
        <f ca="1">IFERROR(__xludf.DUMMYFUNCTION("""COMPUTED_VALUE"""),"Salzgitter, Kreisfreie Stadt")</f>
        <v>Salzgitter, Kreisfreie Stadt</v>
      </c>
      <c r="B1437" t="str">
        <f ca="1">IFERROR(__xludf.DUMMYFUNCTION("""COMPUTED_VALUE"""),"DE912")</f>
        <v>DE912</v>
      </c>
    </row>
    <row r="1438" spans="1:2" ht="12.5" x14ac:dyDescent="0.25">
      <c r="A1438" t="str">
        <f ca="1">IFERROR(__xludf.DUMMYFUNCTION("""COMPUTED_VALUE"""),"Salzland")</f>
        <v>Salzland</v>
      </c>
      <c r="B1438" t="str">
        <f ca="1">IFERROR(__xludf.DUMMYFUNCTION("""COMPUTED_VALUE"""),"DEE0C")</f>
        <v>DEE0C</v>
      </c>
    </row>
    <row r="1439" spans="1:2" ht="12.5" x14ac:dyDescent="0.25">
      <c r="A1439" t="str">
        <f ca="1">IFERROR(__xludf.DUMMYFUNCTION("""COMPUTED_VALUE"""),"Samos")</f>
        <v>Samos</v>
      </c>
      <c r="B1439" t="str">
        <f ca="1">IFERROR(__xludf.DUMMYFUNCTION("""COMPUTED_VALUE"""),"GR412")</f>
        <v>GR412</v>
      </c>
    </row>
    <row r="1440" spans="1:2" ht="12.5" x14ac:dyDescent="0.25">
      <c r="A1440" t="str">
        <f ca="1">IFERROR(__xludf.DUMMYFUNCTION("""COMPUTED_VALUE"""),"Sandomiersko-Jedrzejowski")</f>
        <v>Sandomiersko-Jedrzejowski</v>
      </c>
      <c r="B1440" t="str">
        <f ca="1">IFERROR(__xludf.DUMMYFUNCTION("""COMPUTED_VALUE"""),"PL332")</f>
        <v>PL332</v>
      </c>
    </row>
    <row r="1441" spans="1:2" ht="12.5" x14ac:dyDescent="0.25">
      <c r="A1441" t="str">
        <f ca="1">IFERROR(__xludf.DUMMYFUNCTION("""COMPUTED_VALUE"""),"Sankt Pölten")</f>
        <v>Sankt Pölten</v>
      </c>
      <c r="B1441" t="str">
        <f ca="1">IFERROR(__xludf.DUMMYFUNCTION("""COMPUTED_VALUE"""),"AT123")</f>
        <v>AT123</v>
      </c>
    </row>
    <row r="1442" spans="1:2" ht="12.5" x14ac:dyDescent="0.25">
      <c r="A1442" t="str">
        <f ca="1">IFERROR(__xludf.DUMMYFUNCTION("""COMPUTED_VALUE"""),"Saône-Et-Loire")</f>
        <v>Saône-Et-Loire</v>
      </c>
      <c r="B1442" t="str">
        <f ca="1">IFERROR(__xludf.DUMMYFUNCTION("""COMPUTED_VALUE"""),"FR263")</f>
        <v>FR263</v>
      </c>
    </row>
    <row r="1443" spans="1:2" ht="12.5" x14ac:dyDescent="0.25">
      <c r="A1443" t="str">
        <f ca="1">IFERROR(__xludf.DUMMYFUNCTION("""COMPUTED_VALUE"""),"Sardegna")</f>
        <v>Sardegna</v>
      </c>
      <c r="B1443" t="str">
        <f ca="1">IFERROR(__xludf.DUMMYFUNCTION("""COMPUTED_VALUE"""),"ITG2")</f>
        <v>ITG2</v>
      </c>
    </row>
    <row r="1444" spans="1:2" ht="12.5" x14ac:dyDescent="0.25">
      <c r="A1444" t="str">
        <f ca="1">IFERROR(__xludf.DUMMYFUNCTION("""COMPUTED_VALUE"""),"Sarthe")</f>
        <v>Sarthe</v>
      </c>
      <c r="B1444" t="str">
        <f ca="1">IFERROR(__xludf.DUMMYFUNCTION("""COMPUTED_VALUE"""),"FR514")</f>
        <v>FR514</v>
      </c>
    </row>
    <row r="1445" spans="1:2" ht="12.5" x14ac:dyDescent="0.25">
      <c r="A1445" t="str">
        <f ca="1">IFERROR(__xludf.DUMMYFUNCTION("""COMPUTED_VALUE"""),"Sassari")</f>
        <v>Sassari</v>
      </c>
      <c r="B1445" t="str">
        <f ca="1">IFERROR(__xludf.DUMMYFUNCTION("""COMPUTED_VALUE"""),"ITG25")</f>
        <v>ITG25</v>
      </c>
    </row>
    <row r="1446" spans="1:2" ht="12.5" x14ac:dyDescent="0.25">
      <c r="A1446" t="str">
        <f ca="1">IFERROR(__xludf.DUMMYFUNCTION("""COMPUTED_VALUE"""),"Satakunta")</f>
        <v>Satakunta</v>
      </c>
      <c r="B1446" t="str">
        <f ca="1">IFERROR(__xludf.DUMMYFUNCTION("""COMPUTED_VALUE"""),"FI196")</f>
        <v>FI196</v>
      </c>
    </row>
    <row r="1447" spans="1:2" ht="12.5" x14ac:dyDescent="0.25">
      <c r="A1447" t="str">
        <f ca="1">IFERROR(__xludf.DUMMYFUNCTION("""COMPUTED_VALUE"""),"Satu Mare")</f>
        <v>Satu Mare</v>
      </c>
      <c r="B1447" t="str">
        <f ca="1">IFERROR(__xludf.DUMMYFUNCTION("""COMPUTED_VALUE"""),"RO115")</f>
        <v>RO115</v>
      </c>
    </row>
    <row r="1448" spans="1:2" ht="12.5" x14ac:dyDescent="0.25">
      <c r="A1448" t="str">
        <f ca="1">IFERROR(__xludf.DUMMYFUNCTION("""COMPUTED_VALUE"""),"Savinjska")</f>
        <v>Savinjska</v>
      </c>
      <c r="B1448" t="str">
        <f ca="1">IFERROR(__xludf.DUMMYFUNCTION("""COMPUTED_VALUE"""),"SI014")</f>
        <v>SI014</v>
      </c>
    </row>
    <row r="1449" spans="1:2" ht="12.5" x14ac:dyDescent="0.25">
      <c r="A1449" t="str">
        <f ca="1">IFERROR(__xludf.DUMMYFUNCTION("""COMPUTED_VALUE"""),"Savoie")</f>
        <v>Savoie</v>
      </c>
      <c r="B1449" t="str">
        <f ca="1">IFERROR(__xludf.DUMMYFUNCTION("""COMPUTED_VALUE"""),"FR717")</f>
        <v>FR717</v>
      </c>
    </row>
    <row r="1450" spans="1:2" ht="12.5" x14ac:dyDescent="0.25">
      <c r="A1450" t="str">
        <f ca="1">IFERROR(__xludf.DUMMYFUNCTION("""COMPUTED_VALUE"""),"Savona")</f>
        <v>Savona</v>
      </c>
      <c r="B1450" t="str">
        <f ca="1">IFERROR(__xludf.DUMMYFUNCTION("""COMPUTED_VALUE"""),"ITC32")</f>
        <v>ITC32</v>
      </c>
    </row>
    <row r="1451" spans="1:2" ht="12.5" x14ac:dyDescent="0.25">
      <c r="A1451" t="str">
        <f ca="1">IFERROR(__xludf.DUMMYFUNCTION("""COMPUTED_VALUE"""),"Schaffhausen")</f>
        <v>Schaffhausen</v>
      </c>
      <c r="B1451" t="str">
        <f ca="1">IFERROR(__xludf.DUMMYFUNCTION("""COMPUTED_VALUE"""),"CH052")</f>
        <v>CH052</v>
      </c>
    </row>
    <row r="1452" spans="1:2" ht="12.5" x14ac:dyDescent="0.25">
      <c r="A1452" t="str">
        <f ca="1">IFERROR(__xludf.DUMMYFUNCTION("""COMPUTED_VALUE"""),"Schaumburg")</f>
        <v>Schaumburg</v>
      </c>
      <c r="B1452" t="str">
        <f ca="1">IFERROR(__xludf.DUMMYFUNCTION("""COMPUTED_VALUE"""),"DE928")</f>
        <v>DE928</v>
      </c>
    </row>
    <row r="1453" spans="1:2" ht="12.5" x14ac:dyDescent="0.25">
      <c r="A1453" t="str">
        <f ca="1">IFERROR(__xludf.DUMMYFUNCTION("""COMPUTED_VALUE"""),"Schleswig-Flensburg")</f>
        <v>Schleswig-Flensburg</v>
      </c>
      <c r="B1453" t="str">
        <f ca="1">IFERROR(__xludf.DUMMYFUNCTION("""COMPUTED_VALUE"""),"DEF0C")</f>
        <v>DEF0C</v>
      </c>
    </row>
    <row r="1454" spans="1:2" ht="12.5" x14ac:dyDescent="0.25">
      <c r="A1454" t="str">
        <f ca="1">IFERROR(__xludf.DUMMYFUNCTION("""COMPUTED_VALUE"""),"Schleswig-Holstein")</f>
        <v>Schleswig-Holstein</v>
      </c>
      <c r="B1454" t="str">
        <f ca="1">IFERROR(__xludf.DUMMYFUNCTION("""COMPUTED_VALUE"""),"DEF")</f>
        <v>DEF</v>
      </c>
    </row>
    <row r="1455" spans="1:2" ht="12.5" x14ac:dyDescent="0.25">
      <c r="A1455" t="str">
        <f ca="1">IFERROR(__xludf.DUMMYFUNCTION("""COMPUTED_VALUE"""),"Schleswig-Holstein (*)")</f>
        <v>Schleswig-Holstein (*)</v>
      </c>
      <c r="B1455" t="str">
        <f ca="1">IFERROR(__xludf.DUMMYFUNCTION("""COMPUTED_VALUE"""),"DEF0")</f>
        <v>DEF0</v>
      </c>
    </row>
    <row r="1456" spans="1:2" ht="12.5" x14ac:dyDescent="0.25">
      <c r="A1456" t="str">
        <f ca="1">IFERROR(__xludf.DUMMYFUNCTION("""COMPUTED_VALUE"""),"Schmalkalden-Meiningen")</f>
        <v>Schmalkalden-Meiningen</v>
      </c>
      <c r="B1456" t="str">
        <f ca="1">IFERROR(__xludf.DUMMYFUNCTION("""COMPUTED_VALUE"""),"DEG0B")</f>
        <v>DEG0B</v>
      </c>
    </row>
    <row r="1457" spans="1:2" ht="12.5" x14ac:dyDescent="0.25">
      <c r="A1457" t="str">
        <f ca="1">IFERROR(__xludf.DUMMYFUNCTION("""COMPUTED_VALUE"""),"Schwabach, Kreisfreie Stadt")</f>
        <v>Schwabach, Kreisfreie Stadt</v>
      </c>
      <c r="B1457" t="str">
        <f ca="1">IFERROR(__xludf.DUMMYFUNCTION("""COMPUTED_VALUE"""),"DE255")</f>
        <v>DE255</v>
      </c>
    </row>
    <row r="1458" spans="1:2" ht="12.5" x14ac:dyDescent="0.25">
      <c r="A1458" t="str">
        <f ca="1">IFERROR(__xludf.DUMMYFUNCTION("""COMPUTED_VALUE"""),"Schwaben")</f>
        <v>Schwaben</v>
      </c>
      <c r="B1458" t="str">
        <f ca="1">IFERROR(__xludf.DUMMYFUNCTION("""COMPUTED_VALUE"""),"DE27")</f>
        <v>DE27</v>
      </c>
    </row>
    <row r="1459" spans="1:2" ht="12.5" x14ac:dyDescent="0.25">
      <c r="A1459" t="str">
        <f ca="1">IFERROR(__xludf.DUMMYFUNCTION("""COMPUTED_VALUE"""),"Schwäbisch Hall")</f>
        <v>Schwäbisch Hall</v>
      </c>
      <c r="B1459" t="str">
        <f ca="1">IFERROR(__xludf.DUMMYFUNCTION("""COMPUTED_VALUE"""),"DE11A")</f>
        <v>DE11A</v>
      </c>
    </row>
    <row r="1460" spans="1:2" ht="12.5" x14ac:dyDescent="0.25">
      <c r="A1460" t="str">
        <f ca="1">IFERROR(__xludf.DUMMYFUNCTION("""COMPUTED_VALUE"""),"Schwalm-Eder-Kreis")</f>
        <v>Schwalm-Eder-Kreis</v>
      </c>
      <c r="B1460" t="str">
        <f ca="1">IFERROR(__xludf.DUMMYFUNCTION("""COMPUTED_VALUE"""),"DE735")</f>
        <v>DE735</v>
      </c>
    </row>
    <row r="1461" spans="1:2" ht="12.5" x14ac:dyDescent="0.25">
      <c r="A1461" t="str">
        <f ca="1">IFERROR(__xludf.DUMMYFUNCTION("""COMPUTED_VALUE"""),"Schwandorf")</f>
        <v>Schwandorf</v>
      </c>
      <c r="B1461" t="str">
        <f ca="1">IFERROR(__xludf.DUMMYFUNCTION("""COMPUTED_VALUE"""),"DE239")</f>
        <v>DE239</v>
      </c>
    </row>
    <row r="1462" spans="1:2" ht="12.5" x14ac:dyDescent="0.25">
      <c r="A1462" t="str">
        <f ca="1">IFERROR(__xludf.DUMMYFUNCTION("""COMPUTED_VALUE"""),"Schwarzwald-Baar-Kreis")</f>
        <v>Schwarzwald-Baar-Kreis</v>
      </c>
      <c r="B1462" t="str">
        <f ca="1">IFERROR(__xludf.DUMMYFUNCTION("""COMPUTED_VALUE"""),"DE136")</f>
        <v>DE136</v>
      </c>
    </row>
    <row r="1463" spans="1:2" ht="12.5" x14ac:dyDescent="0.25">
      <c r="A1463" t="str">
        <f ca="1">IFERROR(__xludf.DUMMYFUNCTION("""COMPUTED_VALUE"""),"Schweinfurt, Kreisfreie Stadt")</f>
        <v>Schweinfurt, Kreisfreie Stadt</v>
      </c>
      <c r="B1463" t="str">
        <f ca="1">IFERROR(__xludf.DUMMYFUNCTION("""COMPUTED_VALUE"""),"DE262")</f>
        <v>DE262</v>
      </c>
    </row>
    <row r="1464" spans="1:2" ht="12.5" x14ac:dyDescent="0.25">
      <c r="A1464" t="str">
        <f ca="1">IFERROR(__xludf.DUMMYFUNCTION("""COMPUTED_VALUE"""),"Schweinfurt, Landkreis")</f>
        <v>Schweinfurt, Landkreis</v>
      </c>
      <c r="B1464" t="str">
        <f ca="1">IFERROR(__xludf.DUMMYFUNCTION("""COMPUTED_VALUE"""),"DE26B")</f>
        <v>DE26B</v>
      </c>
    </row>
    <row r="1465" spans="1:2" ht="12.5" x14ac:dyDescent="0.25">
      <c r="A1465" t="str">
        <f ca="1">IFERROR(__xludf.DUMMYFUNCTION("""COMPUTED_VALUE"""),"Schweiz-Suisse-Svizzera")</f>
        <v>Schweiz-Suisse-Svizzera</v>
      </c>
      <c r="B1465" t="str">
        <f ca="1">IFERROR(__xludf.DUMMYFUNCTION("""COMPUTED_VALUE"""),"CH")</f>
        <v>CH</v>
      </c>
    </row>
    <row r="1466" spans="1:2" ht="12.5" x14ac:dyDescent="0.25">
      <c r="A1466" t="str">
        <f ca="1">IFERROR(__xludf.DUMMYFUNCTION("""COMPUTED_VALUE"""),"Schweiz-Suisse-Svizzera (*)")</f>
        <v>Schweiz-Suisse-Svizzera (*)</v>
      </c>
      <c r="B1466" t="str">
        <f ca="1">IFERROR(__xludf.DUMMYFUNCTION("""COMPUTED_VALUE"""),"CH0")</f>
        <v>CH0</v>
      </c>
    </row>
    <row r="1467" spans="1:2" ht="12.5" x14ac:dyDescent="0.25">
      <c r="A1467" t="str">
        <f ca="1">IFERROR(__xludf.DUMMYFUNCTION("""COMPUTED_VALUE"""),"Schwerin, Kreisfreie Stadt")</f>
        <v>Schwerin, Kreisfreie Stadt</v>
      </c>
      <c r="B1467" t="str">
        <f ca="1">IFERROR(__xludf.DUMMYFUNCTION("""COMPUTED_VALUE"""),"DE804")</f>
        <v>DE804</v>
      </c>
    </row>
    <row r="1468" spans="1:2" ht="12.5" x14ac:dyDescent="0.25">
      <c r="A1468" t="str">
        <f ca="1">IFERROR(__xludf.DUMMYFUNCTION("""COMPUTED_VALUE"""),"Schwyz")</f>
        <v>Schwyz</v>
      </c>
      <c r="B1468" t="str">
        <f ca="1">IFERROR(__xludf.DUMMYFUNCTION("""COMPUTED_VALUE"""),"CH063")</f>
        <v>CH063</v>
      </c>
    </row>
    <row r="1469" spans="1:2" ht="12.5" x14ac:dyDescent="0.25">
      <c r="A1469" t="str">
        <f ca="1">IFERROR(__xludf.DUMMYFUNCTION("""COMPUTED_VALUE"""),"Scotland")</f>
        <v>Scotland</v>
      </c>
      <c r="B1469" t="str">
        <f ca="1">IFERROR(__xludf.DUMMYFUNCTION("""COMPUTED_VALUE"""),"UKM")</f>
        <v>UKM</v>
      </c>
    </row>
    <row r="1470" spans="1:2" ht="12.5" x14ac:dyDescent="0.25">
      <c r="A1470" t="str">
        <f ca="1">IFERROR(__xludf.DUMMYFUNCTION("""COMPUTED_VALUE"""),"Scottish Borders")</f>
        <v>Scottish Borders</v>
      </c>
      <c r="B1470" t="str">
        <f ca="1">IFERROR(__xludf.DUMMYFUNCTION("""COMPUTED_VALUE"""),"UKM24")</f>
        <v>UKM24</v>
      </c>
    </row>
    <row r="1471" spans="1:2" ht="12.5" x14ac:dyDescent="0.25">
      <c r="A1471" t="str">
        <f ca="1">IFERROR(__xludf.DUMMYFUNCTION("""COMPUTED_VALUE"""),"Sefton")</f>
        <v>Sefton</v>
      </c>
      <c r="B1471" t="str">
        <f ca="1">IFERROR(__xludf.DUMMYFUNCTION("""COMPUTED_VALUE"""),"UKD53")</f>
        <v>UKD53</v>
      </c>
    </row>
    <row r="1472" spans="1:2" ht="12.5" x14ac:dyDescent="0.25">
      <c r="A1472" t="str">
        <f ca="1">IFERROR(__xludf.DUMMYFUNCTION("""COMPUTED_VALUE"""),"Segeberg")</f>
        <v>Segeberg</v>
      </c>
      <c r="B1472" t="str">
        <f ca="1">IFERROR(__xludf.DUMMYFUNCTION("""COMPUTED_VALUE"""),"DEF0D")</f>
        <v>DEF0D</v>
      </c>
    </row>
    <row r="1473" spans="1:2" ht="12.5" x14ac:dyDescent="0.25">
      <c r="A1473" t="str">
        <f ca="1">IFERROR(__xludf.DUMMYFUNCTION("""COMPUTED_VALUE"""),"Segovia")</f>
        <v>Segovia</v>
      </c>
      <c r="B1473" t="str">
        <f ca="1">IFERROR(__xludf.DUMMYFUNCTION("""COMPUTED_VALUE"""),"ES416")</f>
        <v>ES416</v>
      </c>
    </row>
    <row r="1474" spans="1:2" ht="12.5" x14ac:dyDescent="0.25">
      <c r="A1474" t="str">
        <f ca="1">IFERROR(__xludf.DUMMYFUNCTION("""COMPUTED_VALUE"""),"Seine-Et-Marne")</f>
        <v>Seine-Et-Marne</v>
      </c>
      <c r="B1474" t="str">
        <f ca="1">IFERROR(__xludf.DUMMYFUNCTION("""COMPUTED_VALUE"""),"FR102")</f>
        <v>FR102</v>
      </c>
    </row>
    <row r="1475" spans="1:2" ht="12.5" x14ac:dyDescent="0.25">
      <c r="A1475" t="str">
        <f ca="1">IFERROR(__xludf.DUMMYFUNCTION("""COMPUTED_VALUE"""),"Seine-Maritime")</f>
        <v>Seine-Maritime</v>
      </c>
      <c r="B1475" t="str">
        <f ca="1">IFERROR(__xludf.DUMMYFUNCTION("""COMPUTED_VALUE"""),"FR232")</f>
        <v>FR232</v>
      </c>
    </row>
    <row r="1476" spans="1:2" ht="12.5" x14ac:dyDescent="0.25">
      <c r="A1476" t="str">
        <f ca="1">IFERROR(__xludf.DUMMYFUNCTION("""COMPUTED_VALUE"""),"Seine-Saint-Denis")</f>
        <v>Seine-Saint-Denis</v>
      </c>
      <c r="B1476" t="str">
        <f ca="1">IFERROR(__xludf.DUMMYFUNCTION("""COMPUTED_VALUE"""),"FR106")</f>
        <v>FR106</v>
      </c>
    </row>
    <row r="1477" spans="1:2" ht="12.5" x14ac:dyDescent="0.25">
      <c r="A1477" t="str">
        <f ca="1">IFERROR(__xludf.DUMMYFUNCTION("""COMPUTED_VALUE"""),"Serra Da Estrela")</f>
        <v>Serra Da Estrela</v>
      </c>
      <c r="B1477" t="str">
        <f ca="1">IFERROR(__xludf.DUMMYFUNCTION("""COMPUTED_VALUE"""),"PT167")</f>
        <v>PT167</v>
      </c>
    </row>
    <row r="1478" spans="1:2" ht="12.5" x14ac:dyDescent="0.25">
      <c r="A1478" t="str">
        <f ca="1">IFERROR(__xludf.DUMMYFUNCTION("""COMPUTED_VALUE"""),"Serres")</f>
        <v>Serres</v>
      </c>
      <c r="B1478" t="str">
        <f ca="1">IFERROR(__xludf.DUMMYFUNCTION("""COMPUTED_VALUE"""),"GR126")</f>
        <v>GR126</v>
      </c>
    </row>
    <row r="1479" spans="1:2" ht="12.5" x14ac:dyDescent="0.25">
      <c r="A1479" t="str">
        <f ca="1">IFERROR(__xludf.DUMMYFUNCTION("""COMPUTED_VALUE"""),"Severen Tsentralen")</f>
        <v>Severen Tsentralen</v>
      </c>
      <c r="B1479" t="str">
        <f ca="1">IFERROR(__xludf.DUMMYFUNCTION("""COMPUTED_VALUE"""),"BG32")</f>
        <v>BG32</v>
      </c>
    </row>
    <row r="1480" spans="1:2" ht="12.5" x14ac:dyDescent="0.25">
      <c r="A1480" t="str">
        <f ca="1">IFERROR(__xludf.DUMMYFUNCTION("""COMPUTED_VALUE"""),"Severna I Iztochna Bulgaria")</f>
        <v>Severna I Iztochna Bulgaria</v>
      </c>
      <c r="B1480" t="str">
        <f ca="1">IFERROR(__xludf.DUMMYFUNCTION("""COMPUTED_VALUE"""),"BG3")</f>
        <v>BG3</v>
      </c>
    </row>
    <row r="1481" spans="1:2" ht="12.5" x14ac:dyDescent="0.25">
      <c r="A1481" t="str">
        <f ca="1">IFERROR(__xludf.DUMMYFUNCTION("""COMPUTED_VALUE"""),"Severoiztochen")</f>
        <v>Severoiztochen</v>
      </c>
      <c r="B1481" t="str">
        <f ca="1">IFERROR(__xludf.DUMMYFUNCTION("""COMPUTED_VALUE"""),"BG33")</f>
        <v>BG33</v>
      </c>
    </row>
    <row r="1482" spans="1:2" ht="12.5" x14ac:dyDescent="0.25">
      <c r="A1482" t="str">
        <f ca="1">IFERROR(__xludf.DUMMYFUNCTION("""COMPUTED_VALUE"""),"Severovychod")</f>
        <v>Severovychod</v>
      </c>
      <c r="B1482" t="str">
        <f ca="1">IFERROR(__xludf.DUMMYFUNCTION("""COMPUTED_VALUE"""),"CZ05")</f>
        <v>CZ05</v>
      </c>
    </row>
    <row r="1483" spans="1:2" ht="12.5" x14ac:dyDescent="0.25">
      <c r="A1483" t="str">
        <f ca="1">IFERROR(__xludf.DUMMYFUNCTION("""COMPUTED_VALUE"""),"Severozapad")</f>
        <v>Severozapad</v>
      </c>
      <c r="B1483" t="str">
        <f ca="1">IFERROR(__xludf.DUMMYFUNCTION("""COMPUTED_VALUE"""),"CZ04")</f>
        <v>CZ04</v>
      </c>
    </row>
    <row r="1484" spans="1:2" ht="12.5" x14ac:dyDescent="0.25">
      <c r="A1484" t="str">
        <f ca="1">IFERROR(__xludf.DUMMYFUNCTION("""COMPUTED_VALUE"""),"Severozapaden")</f>
        <v>Severozapaden</v>
      </c>
      <c r="B1484" t="str">
        <f ca="1">IFERROR(__xludf.DUMMYFUNCTION("""COMPUTED_VALUE"""),"BG31")</f>
        <v>BG31</v>
      </c>
    </row>
    <row r="1485" spans="1:2" ht="12.5" x14ac:dyDescent="0.25">
      <c r="A1485" t="str">
        <f ca="1">IFERROR(__xludf.DUMMYFUNCTION("""COMPUTED_VALUE"""),"Sevilla")</f>
        <v>Sevilla</v>
      </c>
      <c r="B1485" t="str">
        <f ca="1">IFERROR(__xludf.DUMMYFUNCTION("""COMPUTED_VALUE"""),"ES618")</f>
        <v>ES618</v>
      </c>
    </row>
    <row r="1486" spans="1:2" ht="12.5" x14ac:dyDescent="0.25">
      <c r="A1486" t="str">
        <f ca="1">IFERROR(__xludf.DUMMYFUNCTION("""COMPUTED_VALUE"""),"Sheffield")</f>
        <v>Sheffield</v>
      </c>
      <c r="B1486" t="str">
        <f ca="1">IFERROR(__xludf.DUMMYFUNCTION("""COMPUTED_VALUE"""),"UKE32")</f>
        <v>UKE32</v>
      </c>
    </row>
    <row r="1487" spans="1:2" ht="12.5" x14ac:dyDescent="0.25">
      <c r="A1487" t="str">
        <f ca="1">IFERROR(__xludf.DUMMYFUNCTION("""COMPUTED_VALUE"""),"Shetland Islands")</f>
        <v>Shetland Islands</v>
      </c>
      <c r="B1487" t="str">
        <f ca="1">IFERROR(__xludf.DUMMYFUNCTION("""COMPUTED_VALUE"""),"UKM66")</f>
        <v>UKM66</v>
      </c>
    </row>
    <row r="1488" spans="1:2" ht="12.5" x14ac:dyDescent="0.25">
      <c r="A1488" t="str">
        <f ca="1">IFERROR(__xludf.DUMMYFUNCTION("""COMPUTED_VALUE"""),"Shropshire And Staffordshire")</f>
        <v>Shropshire And Staffordshire</v>
      </c>
      <c r="B1488" t="str">
        <f ca="1">IFERROR(__xludf.DUMMYFUNCTION("""COMPUTED_VALUE"""),"UKG2")</f>
        <v>UKG2</v>
      </c>
    </row>
    <row r="1489" spans="1:2" ht="12.5" x14ac:dyDescent="0.25">
      <c r="A1489" t="str">
        <f ca="1">IFERROR(__xludf.DUMMYFUNCTION("""COMPUTED_VALUE"""),"Shropshire Cc")</f>
        <v>Shropshire Cc</v>
      </c>
      <c r="B1489" t="str">
        <f ca="1">IFERROR(__xludf.DUMMYFUNCTION("""COMPUTED_VALUE"""),"UKG22")</f>
        <v>UKG22</v>
      </c>
    </row>
    <row r="1490" spans="1:2" ht="12.5" x14ac:dyDescent="0.25">
      <c r="A1490" t="str">
        <f ca="1">IFERROR(__xludf.DUMMYFUNCTION("""COMPUTED_VALUE"""),"Shumen")</f>
        <v>Shumen</v>
      </c>
      <c r="B1490" t="str">
        <f ca="1">IFERROR(__xludf.DUMMYFUNCTION("""COMPUTED_VALUE"""),"BG333")</f>
        <v>BG333</v>
      </c>
    </row>
    <row r="1491" spans="1:2" ht="12.5" x14ac:dyDescent="0.25">
      <c r="A1491" t="str">
        <f ca="1">IFERROR(__xludf.DUMMYFUNCTION("""COMPUTED_VALUE"""),"Siauliu Apskritis")</f>
        <v>Siauliu Apskritis</v>
      </c>
      <c r="B1491" t="str">
        <f ca="1">IFERROR(__xludf.DUMMYFUNCTION("""COMPUTED_VALUE"""),"LT006")</f>
        <v>LT006</v>
      </c>
    </row>
    <row r="1492" spans="1:2" ht="12.5" x14ac:dyDescent="0.25">
      <c r="A1492" t="str">
        <f ca="1">IFERROR(__xludf.DUMMYFUNCTION("""COMPUTED_VALUE"""),"Sibiu")</f>
        <v>Sibiu</v>
      </c>
      <c r="B1492" t="str">
        <f ca="1">IFERROR(__xludf.DUMMYFUNCTION("""COMPUTED_VALUE"""),"RO126")</f>
        <v>RO126</v>
      </c>
    </row>
    <row r="1493" spans="1:2" ht="12.5" x14ac:dyDescent="0.25">
      <c r="A1493" t="str">
        <f ca="1">IFERROR(__xludf.DUMMYFUNCTION("""COMPUTED_VALUE"""),"Sicilia")</f>
        <v>Sicilia</v>
      </c>
      <c r="B1493" t="str">
        <f ca="1">IFERROR(__xludf.DUMMYFUNCTION("""COMPUTED_VALUE"""),"ITG1")</f>
        <v>ITG1</v>
      </c>
    </row>
    <row r="1494" spans="1:2" ht="12.5" x14ac:dyDescent="0.25">
      <c r="A1494" t="str">
        <f ca="1">IFERROR(__xludf.DUMMYFUNCTION("""COMPUTED_VALUE"""),"Siegen-Wittgenstein")</f>
        <v>Siegen-Wittgenstein</v>
      </c>
      <c r="B1494" t="str">
        <f ca="1">IFERROR(__xludf.DUMMYFUNCTION("""COMPUTED_VALUE"""),"DEA5A")</f>
        <v>DEA5A</v>
      </c>
    </row>
    <row r="1495" spans="1:2" ht="12.5" x14ac:dyDescent="0.25">
      <c r="A1495" t="str">
        <f ca="1">IFERROR(__xludf.DUMMYFUNCTION("""COMPUTED_VALUE"""),"Siena")</f>
        <v>Siena</v>
      </c>
      <c r="B1495" t="str">
        <f ca="1">IFERROR(__xludf.DUMMYFUNCTION("""COMPUTED_VALUE"""),"ITE19")</f>
        <v>ITE19</v>
      </c>
    </row>
    <row r="1496" spans="1:2" ht="12.5" x14ac:dyDescent="0.25">
      <c r="A1496" t="str">
        <f ca="1">IFERROR(__xludf.DUMMYFUNCTION("""COMPUTED_VALUE"""),"Sieradzki")</f>
        <v>Sieradzki</v>
      </c>
      <c r="B1496" t="str">
        <f ca="1">IFERROR(__xludf.DUMMYFUNCTION("""COMPUTED_VALUE"""),"PL116")</f>
        <v>PL116</v>
      </c>
    </row>
    <row r="1497" spans="1:2" ht="12.5" x14ac:dyDescent="0.25">
      <c r="A1497" t="str">
        <f ca="1">IFERROR(__xludf.DUMMYFUNCTION("""COMPUTED_VALUE"""),"Sigmaringen")</f>
        <v>Sigmaringen</v>
      </c>
      <c r="B1497" t="str">
        <f ca="1">IFERROR(__xludf.DUMMYFUNCTION("""COMPUTED_VALUE"""),"DE149")</f>
        <v>DE149</v>
      </c>
    </row>
    <row r="1498" spans="1:2" ht="12.5" x14ac:dyDescent="0.25">
      <c r="A1498" t="str">
        <f ca="1">IFERROR(__xludf.DUMMYFUNCTION("""COMPUTED_VALUE"""),"Silistra")</f>
        <v>Silistra</v>
      </c>
      <c r="B1498" t="str">
        <f ca="1">IFERROR(__xludf.DUMMYFUNCTION("""COMPUTED_VALUE"""),"BG325")</f>
        <v>BG325</v>
      </c>
    </row>
    <row r="1499" spans="1:2" ht="12.5" x14ac:dyDescent="0.25">
      <c r="A1499" t="str">
        <f ca="1">IFERROR(__xludf.DUMMYFUNCTION("""COMPUTED_VALUE"""),"Siracusa")</f>
        <v>Siracusa</v>
      </c>
      <c r="B1499" t="str">
        <f ca="1">IFERROR(__xludf.DUMMYFUNCTION("""COMPUTED_VALUE"""),"ITG19")</f>
        <v>ITG19</v>
      </c>
    </row>
    <row r="1500" spans="1:2" ht="12.5" x14ac:dyDescent="0.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x14ac:dyDescent="0.25">
      <c r="A2" t="str">
        <f ca="1">IFERROR(__xludf.DUMMYFUNCTION("""COMPUTED_VALUE"""),"Afghanistan")</f>
        <v>Afghanistan</v>
      </c>
      <c r="B2" t="str">
        <f ca="1">IFERROR(__xludf.DUMMYFUNCTION("""COMPUTED_VALUE"""),"AF")</f>
        <v>AF</v>
      </c>
    </row>
    <row r="3" spans="1:3" ht="12.5" x14ac:dyDescent="0.25">
      <c r="A3" t="str">
        <f ca="1">IFERROR(__xludf.DUMMYFUNCTION("""COMPUTED_VALUE"""),"Aland Islands")</f>
        <v>Aland Islands</v>
      </c>
      <c r="B3" t="str">
        <f ca="1">IFERROR(__xludf.DUMMYFUNCTION("""COMPUTED_VALUE"""),"AX")</f>
        <v>AX</v>
      </c>
    </row>
    <row r="4" spans="1:3" ht="12.5" x14ac:dyDescent="0.25">
      <c r="A4" t="str">
        <f ca="1">IFERROR(__xludf.DUMMYFUNCTION("""COMPUTED_VALUE"""),"Albania")</f>
        <v>Albania</v>
      </c>
      <c r="B4" t="str">
        <f ca="1">IFERROR(__xludf.DUMMYFUNCTION("""COMPUTED_VALUE"""),"AL")</f>
        <v>AL</v>
      </c>
    </row>
    <row r="5" spans="1:3" ht="12.5" x14ac:dyDescent="0.25">
      <c r="A5" t="str">
        <f ca="1">IFERROR(__xludf.DUMMYFUNCTION("""COMPUTED_VALUE"""),"Algeria")</f>
        <v>Algeria</v>
      </c>
      <c r="B5" t="str">
        <f ca="1">IFERROR(__xludf.DUMMYFUNCTION("""COMPUTED_VALUE"""),"DZ")</f>
        <v>DZ</v>
      </c>
    </row>
    <row r="6" spans="1:3" ht="12.5" x14ac:dyDescent="0.25">
      <c r="A6" t="str">
        <f ca="1">IFERROR(__xludf.DUMMYFUNCTION("""COMPUTED_VALUE"""),"American Samoa")</f>
        <v>American Samoa</v>
      </c>
      <c r="B6" t="str">
        <f ca="1">IFERROR(__xludf.DUMMYFUNCTION("""COMPUTED_VALUE"""),"AS")</f>
        <v>AS</v>
      </c>
    </row>
    <row r="7" spans="1:3" ht="12.5" x14ac:dyDescent="0.25">
      <c r="A7" t="str">
        <f ca="1">IFERROR(__xludf.DUMMYFUNCTION("""COMPUTED_VALUE"""),"Andorra")</f>
        <v>Andorra</v>
      </c>
      <c r="B7" t="str">
        <f ca="1">IFERROR(__xludf.DUMMYFUNCTION("""COMPUTED_VALUE"""),"AD")</f>
        <v>AD</v>
      </c>
    </row>
    <row r="8" spans="1:3" ht="12.5" x14ac:dyDescent="0.25">
      <c r="A8" t="str">
        <f ca="1">IFERROR(__xludf.DUMMYFUNCTION("""COMPUTED_VALUE"""),"Angola")</f>
        <v>Angola</v>
      </c>
      <c r="B8" t="str">
        <f ca="1">IFERROR(__xludf.DUMMYFUNCTION("""COMPUTED_VALUE"""),"AO")</f>
        <v>AO</v>
      </c>
    </row>
    <row r="9" spans="1:3" ht="12.5" x14ac:dyDescent="0.25">
      <c r="A9" t="str">
        <f ca="1">IFERROR(__xludf.DUMMYFUNCTION("""COMPUTED_VALUE"""),"Anguilla")</f>
        <v>Anguilla</v>
      </c>
      <c r="B9" t="str">
        <f ca="1">IFERROR(__xludf.DUMMYFUNCTION("""COMPUTED_VALUE"""),"AI")</f>
        <v>AI</v>
      </c>
    </row>
    <row r="10" spans="1:3" ht="12.5" x14ac:dyDescent="0.25">
      <c r="A10" t="str">
        <f ca="1">IFERROR(__xludf.DUMMYFUNCTION("""COMPUTED_VALUE"""),"Antarctica")</f>
        <v>Antarctica</v>
      </c>
      <c r="B10" t="str">
        <f ca="1">IFERROR(__xludf.DUMMYFUNCTION("""COMPUTED_VALUE"""),"AQ")</f>
        <v>AQ</v>
      </c>
    </row>
    <row r="11" spans="1:3" ht="12.5" x14ac:dyDescent="0.25">
      <c r="A11" t="str">
        <f ca="1">IFERROR(__xludf.DUMMYFUNCTION("""COMPUTED_VALUE"""),"Antigua and Barbuda")</f>
        <v>Antigua and Barbuda</v>
      </c>
      <c r="B11" t="str">
        <f ca="1">IFERROR(__xludf.DUMMYFUNCTION("""COMPUTED_VALUE"""),"AG")</f>
        <v>AG</v>
      </c>
    </row>
    <row r="12" spans="1:3" ht="12.5" x14ac:dyDescent="0.25">
      <c r="A12" t="str">
        <f ca="1">IFERROR(__xludf.DUMMYFUNCTION("""COMPUTED_VALUE"""),"Argentina")</f>
        <v>Argentina</v>
      </c>
      <c r="B12" t="str">
        <f ca="1">IFERROR(__xludf.DUMMYFUNCTION("""COMPUTED_VALUE"""),"AR")</f>
        <v>AR</v>
      </c>
    </row>
    <row r="13" spans="1:3" ht="12.5" x14ac:dyDescent="0.25">
      <c r="A13" t="str">
        <f ca="1">IFERROR(__xludf.DUMMYFUNCTION("""COMPUTED_VALUE"""),"Armenia")</f>
        <v>Armenia</v>
      </c>
      <c r="B13" t="str">
        <f ca="1">IFERROR(__xludf.DUMMYFUNCTION("""COMPUTED_VALUE"""),"AM")</f>
        <v>AM</v>
      </c>
    </row>
    <row r="14" spans="1:3" ht="12.5" x14ac:dyDescent="0.25">
      <c r="A14" t="str">
        <f ca="1">IFERROR(__xludf.DUMMYFUNCTION("""COMPUTED_VALUE"""),"Aruba")</f>
        <v>Aruba</v>
      </c>
      <c r="B14" t="str">
        <f ca="1">IFERROR(__xludf.DUMMYFUNCTION("""COMPUTED_VALUE"""),"AW")</f>
        <v>AW</v>
      </c>
    </row>
    <row r="15" spans="1:3" ht="12.5" x14ac:dyDescent="0.25">
      <c r="A15" t="str">
        <f ca="1">IFERROR(__xludf.DUMMYFUNCTION("""COMPUTED_VALUE"""),"Australia")</f>
        <v>Australia</v>
      </c>
      <c r="B15" t="str">
        <f ca="1">IFERROR(__xludf.DUMMYFUNCTION("""COMPUTED_VALUE"""),"AU")</f>
        <v>AU</v>
      </c>
    </row>
    <row r="16" spans="1:3" ht="12.5" x14ac:dyDescent="0.25">
      <c r="A16" t="str">
        <f ca="1">IFERROR(__xludf.DUMMYFUNCTION("""COMPUTED_VALUE"""),"Austria")</f>
        <v>Austria</v>
      </c>
      <c r="B16" t="str">
        <f ca="1">IFERROR(__xludf.DUMMYFUNCTION("""COMPUTED_VALUE"""),"AT")</f>
        <v>AT</v>
      </c>
    </row>
    <row r="17" spans="1:2" ht="12.5" x14ac:dyDescent="0.25">
      <c r="A17" t="str">
        <f ca="1">IFERROR(__xludf.DUMMYFUNCTION("""COMPUTED_VALUE"""),"Azerbaijan")</f>
        <v>Azerbaijan</v>
      </c>
      <c r="B17" t="str">
        <f ca="1">IFERROR(__xludf.DUMMYFUNCTION("""COMPUTED_VALUE"""),"AZ")</f>
        <v>AZ</v>
      </c>
    </row>
    <row r="18" spans="1:2" ht="12.5" x14ac:dyDescent="0.25">
      <c r="A18" t="str">
        <f ca="1">IFERROR(__xludf.DUMMYFUNCTION("""COMPUTED_VALUE"""),"Bahamas")</f>
        <v>Bahamas</v>
      </c>
      <c r="B18" t="str">
        <f ca="1">IFERROR(__xludf.DUMMYFUNCTION("""COMPUTED_VALUE"""),"BS")</f>
        <v>BS</v>
      </c>
    </row>
    <row r="19" spans="1:2" ht="12.5" x14ac:dyDescent="0.25">
      <c r="A19" t="str">
        <f ca="1">IFERROR(__xludf.DUMMYFUNCTION("""COMPUTED_VALUE"""),"Bahrain")</f>
        <v>Bahrain</v>
      </c>
      <c r="B19" t="str">
        <f ca="1">IFERROR(__xludf.DUMMYFUNCTION("""COMPUTED_VALUE"""),"BH")</f>
        <v>BH</v>
      </c>
    </row>
    <row r="20" spans="1:2" ht="12.5" x14ac:dyDescent="0.25">
      <c r="A20" t="str">
        <f ca="1">IFERROR(__xludf.DUMMYFUNCTION("""COMPUTED_VALUE"""),"Bangladesh")</f>
        <v>Bangladesh</v>
      </c>
      <c r="B20" t="str">
        <f ca="1">IFERROR(__xludf.DUMMYFUNCTION("""COMPUTED_VALUE"""),"BD")</f>
        <v>BD</v>
      </c>
    </row>
    <row r="21" spans="1:2" ht="12.5" x14ac:dyDescent="0.25">
      <c r="A21" t="str">
        <f ca="1">IFERROR(__xludf.DUMMYFUNCTION("""COMPUTED_VALUE"""),"Barbados")</f>
        <v>Barbados</v>
      </c>
      <c r="B21" t="str">
        <f ca="1">IFERROR(__xludf.DUMMYFUNCTION("""COMPUTED_VALUE"""),"BB")</f>
        <v>BB</v>
      </c>
    </row>
    <row r="22" spans="1:2" ht="12.5" x14ac:dyDescent="0.25">
      <c r="A22" t="str">
        <f ca="1">IFERROR(__xludf.DUMMYFUNCTION("""COMPUTED_VALUE"""),"Belarus")</f>
        <v>Belarus</v>
      </c>
      <c r="B22" t="str">
        <f ca="1">IFERROR(__xludf.DUMMYFUNCTION("""COMPUTED_VALUE"""),"BY")</f>
        <v>BY</v>
      </c>
    </row>
    <row r="23" spans="1:2" ht="12.5" x14ac:dyDescent="0.25">
      <c r="A23" t="str">
        <f ca="1">IFERROR(__xludf.DUMMYFUNCTION("""COMPUTED_VALUE"""),"Belgium")</f>
        <v>Belgium</v>
      </c>
      <c r="B23" t="str">
        <f ca="1">IFERROR(__xludf.DUMMYFUNCTION("""COMPUTED_VALUE"""),"BE")</f>
        <v>BE</v>
      </c>
    </row>
    <row r="24" spans="1:2" ht="12.5" x14ac:dyDescent="0.25">
      <c r="A24" t="str">
        <f ca="1">IFERROR(__xludf.DUMMYFUNCTION("""COMPUTED_VALUE"""),"Belize")</f>
        <v>Belize</v>
      </c>
      <c r="B24" t="str">
        <f ca="1">IFERROR(__xludf.DUMMYFUNCTION("""COMPUTED_VALUE"""),"BZ")</f>
        <v>BZ</v>
      </c>
    </row>
    <row r="25" spans="1:2" ht="12.5" x14ac:dyDescent="0.25">
      <c r="A25" t="str">
        <f ca="1">IFERROR(__xludf.DUMMYFUNCTION("""COMPUTED_VALUE"""),"Benin")</f>
        <v>Benin</v>
      </c>
      <c r="B25" t="str">
        <f ca="1">IFERROR(__xludf.DUMMYFUNCTION("""COMPUTED_VALUE"""),"BJ")</f>
        <v>BJ</v>
      </c>
    </row>
    <row r="26" spans="1:2" ht="12.5" x14ac:dyDescent="0.25">
      <c r="A26" t="str">
        <f ca="1">IFERROR(__xludf.DUMMYFUNCTION("""COMPUTED_VALUE"""),"Bermuda")</f>
        <v>Bermuda</v>
      </c>
      <c r="B26" t="str">
        <f ca="1">IFERROR(__xludf.DUMMYFUNCTION("""COMPUTED_VALUE"""),"BM")</f>
        <v>BM</v>
      </c>
    </row>
    <row r="27" spans="1:2" ht="12.5" x14ac:dyDescent="0.25">
      <c r="A27" t="str">
        <f ca="1">IFERROR(__xludf.DUMMYFUNCTION("""COMPUTED_VALUE"""),"Bhutan")</f>
        <v>Bhutan</v>
      </c>
      <c r="B27" t="str">
        <f ca="1">IFERROR(__xludf.DUMMYFUNCTION("""COMPUTED_VALUE"""),"BT")</f>
        <v>BT</v>
      </c>
    </row>
    <row r="28" spans="1:2" ht="12.5" x14ac:dyDescent="0.25">
      <c r="A28" t="str">
        <f ca="1">IFERROR(__xludf.DUMMYFUNCTION("""COMPUTED_VALUE"""),"Bolivia, Plurinational State of")</f>
        <v>Bolivia, Plurinational State of</v>
      </c>
      <c r="B28" t="str">
        <f ca="1">IFERROR(__xludf.DUMMYFUNCTION("""COMPUTED_VALUE"""),"BO")</f>
        <v>BO</v>
      </c>
    </row>
    <row r="29" spans="1:2" ht="12.5" x14ac:dyDescent="0.25">
      <c r="A29" t="str">
        <f ca="1">IFERROR(__xludf.DUMMYFUNCTION("""COMPUTED_VALUE"""),"Bonaire, Sint Eustatius and Saba")</f>
        <v>Bonaire, Sint Eustatius and Saba</v>
      </c>
      <c r="B29" t="str">
        <f ca="1">IFERROR(__xludf.DUMMYFUNCTION("""COMPUTED_VALUE"""),"BQ")</f>
        <v>BQ</v>
      </c>
    </row>
    <row r="30" spans="1:2" ht="12.5" x14ac:dyDescent="0.25">
      <c r="A30" t="str">
        <f ca="1">IFERROR(__xludf.DUMMYFUNCTION("""COMPUTED_VALUE"""),"Bosnia and Herzegovina")</f>
        <v>Bosnia and Herzegovina</v>
      </c>
      <c r="B30" t="str">
        <f ca="1">IFERROR(__xludf.DUMMYFUNCTION("""COMPUTED_VALUE"""),"BA")</f>
        <v>BA</v>
      </c>
    </row>
    <row r="31" spans="1:2" ht="12.5" x14ac:dyDescent="0.25">
      <c r="A31" t="str">
        <f ca="1">IFERROR(__xludf.DUMMYFUNCTION("""COMPUTED_VALUE"""),"Botswana")</f>
        <v>Botswana</v>
      </c>
      <c r="B31" t="str">
        <f ca="1">IFERROR(__xludf.DUMMYFUNCTION("""COMPUTED_VALUE"""),"BW")</f>
        <v>BW</v>
      </c>
    </row>
    <row r="32" spans="1:2" ht="12.5" x14ac:dyDescent="0.25">
      <c r="A32" t="str">
        <f ca="1">IFERROR(__xludf.DUMMYFUNCTION("""COMPUTED_VALUE"""),"Bouvet Island")</f>
        <v>Bouvet Island</v>
      </c>
      <c r="B32" t="str">
        <f ca="1">IFERROR(__xludf.DUMMYFUNCTION("""COMPUTED_VALUE"""),"BV")</f>
        <v>BV</v>
      </c>
    </row>
    <row r="33" spans="1:2" ht="12.5" x14ac:dyDescent="0.25">
      <c r="A33" t="str">
        <f ca="1">IFERROR(__xludf.DUMMYFUNCTION("""COMPUTED_VALUE"""),"Brazil")</f>
        <v>Brazil</v>
      </c>
      <c r="B33" t="str">
        <f ca="1">IFERROR(__xludf.DUMMYFUNCTION("""COMPUTED_VALUE"""),"BR")</f>
        <v>BR</v>
      </c>
    </row>
    <row r="34" spans="1:2" ht="12.5" x14ac:dyDescent="0.25">
      <c r="A34" t="str">
        <f ca="1">IFERROR(__xludf.DUMMYFUNCTION("""COMPUTED_VALUE"""),"British Indian Ocean Territory")</f>
        <v>British Indian Ocean Territory</v>
      </c>
      <c r="B34" t="str">
        <f ca="1">IFERROR(__xludf.DUMMYFUNCTION("""COMPUTED_VALUE"""),"IO")</f>
        <v>IO</v>
      </c>
    </row>
    <row r="35" spans="1:2" ht="12.5" x14ac:dyDescent="0.25">
      <c r="A35" t="str">
        <f ca="1">IFERROR(__xludf.DUMMYFUNCTION("""COMPUTED_VALUE"""),"Brunei Darussalam")</f>
        <v>Brunei Darussalam</v>
      </c>
      <c r="B35" t="str">
        <f ca="1">IFERROR(__xludf.DUMMYFUNCTION("""COMPUTED_VALUE"""),"BN")</f>
        <v>BN</v>
      </c>
    </row>
    <row r="36" spans="1:2" ht="12.5" x14ac:dyDescent="0.25">
      <c r="A36" t="str">
        <f ca="1">IFERROR(__xludf.DUMMYFUNCTION("""COMPUTED_VALUE"""),"Bulgaria")</f>
        <v>Bulgaria</v>
      </c>
      <c r="B36" t="str">
        <f ca="1">IFERROR(__xludf.DUMMYFUNCTION("""COMPUTED_VALUE"""),"BG")</f>
        <v>BG</v>
      </c>
    </row>
    <row r="37" spans="1:2" ht="12.5" x14ac:dyDescent="0.25">
      <c r="A37" t="str">
        <f ca="1">IFERROR(__xludf.DUMMYFUNCTION("""COMPUTED_VALUE"""),"Burkina Faso")</f>
        <v>Burkina Faso</v>
      </c>
      <c r="B37" t="str">
        <f ca="1">IFERROR(__xludf.DUMMYFUNCTION("""COMPUTED_VALUE"""),"BF")</f>
        <v>BF</v>
      </c>
    </row>
    <row r="38" spans="1:2" ht="12.5" x14ac:dyDescent="0.25">
      <c r="A38" t="str">
        <f ca="1">IFERROR(__xludf.DUMMYFUNCTION("""COMPUTED_VALUE"""),"Burundi")</f>
        <v>Burundi</v>
      </c>
      <c r="B38" t="str">
        <f ca="1">IFERROR(__xludf.DUMMYFUNCTION("""COMPUTED_VALUE"""),"BI")</f>
        <v>BI</v>
      </c>
    </row>
    <row r="39" spans="1:2" ht="12.5" x14ac:dyDescent="0.25">
      <c r="A39" t="str">
        <f ca="1">IFERROR(__xludf.DUMMYFUNCTION("""COMPUTED_VALUE"""),"Cambodia")</f>
        <v>Cambodia</v>
      </c>
      <c r="B39" t="str">
        <f ca="1">IFERROR(__xludf.DUMMYFUNCTION("""COMPUTED_VALUE"""),"KH")</f>
        <v>KH</v>
      </c>
    </row>
    <row r="40" spans="1:2" ht="12.5" x14ac:dyDescent="0.25">
      <c r="A40" t="str">
        <f ca="1">IFERROR(__xludf.DUMMYFUNCTION("""COMPUTED_VALUE"""),"Cameroon")</f>
        <v>Cameroon</v>
      </c>
      <c r="B40" t="str">
        <f ca="1">IFERROR(__xludf.DUMMYFUNCTION("""COMPUTED_VALUE"""),"CM")</f>
        <v>CM</v>
      </c>
    </row>
    <row r="41" spans="1:2" ht="12.5" x14ac:dyDescent="0.25">
      <c r="A41" t="str">
        <f ca="1">IFERROR(__xludf.DUMMYFUNCTION("""COMPUTED_VALUE"""),"Canada")</f>
        <v>Canada</v>
      </c>
      <c r="B41" t="str">
        <f ca="1">IFERROR(__xludf.DUMMYFUNCTION("""COMPUTED_VALUE"""),"CA")</f>
        <v>CA</v>
      </c>
    </row>
    <row r="42" spans="1:2" ht="12.5" x14ac:dyDescent="0.25">
      <c r="A42" t="str">
        <f ca="1">IFERROR(__xludf.DUMMYFUNCTION("""COMPUTED_VALUE"""),"Cape Verde")</f>
        <v>Cape Verde</v>
      </c>
      <c r="B42" t="str">
        <f ca="1">IFERROR(__xludf.DUMMYFUNCTION("""COMPUTED_VALUE"""),"CV")</f>
        <v>CV</v>
      </c>
    </row>
    <row r="43" spans="1:2" ht="12.5" x14ac:dyDescent="0.25">
      <c r="A43" t="str">
        <f ca="1">IFERROR(__xludf.DUMMYFUNCTION("""COMPUTED_VALUE"""),"Cayman Islands")</f>
        <v>Cayman Islands</v>
      </c>
      <c r="B43" t="str">
        <f ca="1">IFERROR(__xludf.DUMMYFUNCTION("""COMPUTED_VALUE"""),"KY")</f>
        <v>KY</v>
      </c>
    </row>
    <row r="44" spans="1:2" ht="12.5" x14ac:dyDescent="0.25">
      <c r="A44" t="str">
        <f ca="1">IFERROR(__xludf.DUMMYFUNCTION("""COMPUTED_VALUE"""),"Central African Republic")</f>
        <v>Central African Republic</v>
      </c>
      <c r="B44" t="str">
        <f ca="1">IFERROR(__xludf.DUMMYFUNCTION("""COMPUTED_VALUE"""),"CF")</f>
        <v>CF</v>
      </c>
    </row>
    <row r="45" spans="1:2" ht="12.5" x14ac:dyDescent="0.25">
      <c r="A45" t="str">
        <f ca="1">IFERROR(__xludf.DUMMYFUNCTION("""COMPUTED_VALUE"""),"Chad")</f>
        <v>Chad</v>
      </c>
      <c r="B45" t="str">
        <f ca="1">IFERROR(__xludf.DUMMYFUNCTION("""COMPUTED_VALUE"""),"TD")</f>
        <v>TD</v>
      </c>
    </row>
    <row r="46" spans="1:2" ht="12.5" x14ac:dyDescent="0.25">
      <c r="A46" t="str">
        <f ca="1">IFERROR(__xludf.DUMMYFUNCTION("""COMPUTED_VALUE"""),"Chile")</f>
        <v>Chile</v>
      </c>
      <c r="B46" t="str">
        <f ca="1">IFERROR(__xludf.DUMMYFUNCTION("""COMPUTED_VALUE"""),"CL")</f>
        <v>CL</v>
      </c>
    </row>
    <row r="47" spans="1:2" ht="12.5" x14ac:dyDescent="0.25">
      <c r="A47" t="str">
        <f ca="1">IFERROR(__xludf.DUMMYFUNCTION("""COMPUTED_VALUE"""),"China")</f>
        <v>China</v>
      </c>
      <c r="B47" t="str">
        <f ca="1">IFERROR(__xludf.DUMMYFUNCTION("""COMPUTED_VALUE"""),"CN")</f>
        <v>CN</v>
      </c>
    </row>
    <row r="48" spans="1:2" ht="12.5" x14ac:dyDescent="0.25">
      <c r="A48" t="str">
        <f ca="1">IFERROR(__xludf.DUMMYFUNCTION("""COMPUTED_VALUE"""),"Christmas Island")</f>
        <v>Christmas Island</v>
      </c>
      <c r="B48" t="str">
        <f ca="1">IFERROR(__xludf.DUMMYFUNCTION("""COMPUTED_VALUE"""),"CX")</f>
        <v>CX</v>
      </c>
    </row>
    <row r="49" spans="1:2" ht="12.5" x14ac:dyDescent="0.25">
      <c r="A49" t="str">
        <f ca="1">IFERROR(__xludf.DUMMYFUNCTION("""COMPUTED_VALUE"""),"Cocos (Keeling) Islands")</f>
        <v>Cocos (Keeling) Islands</v>
      </c>
      <c r="B49" t="str">
        <f ca="1">IFERROR(__xludf.DUMMYFUNCTION("""COMPUTED_VALUE"""),"CC")</f>
        <v>CC</v>
      </c>
    </row>
    <row r="50" spans="1:2" ht="12.5" x14ac:dyDescent="0.25">
      <c r="A50" t="str">
        <f ca="1">IFERROR(__xludf.DUMMYFUNCTION("""COMPUTED_VALUE"""),"Colombia")</f>
        <v>Colombia</v>
      </c>
      <c r="B50" t="str">
        <f ca="1">IFERROR(__xludf.DUMMYFUNCTION("""COMPUTED_VALUE"""),"CO")</f>
        <v>CO</v>
      </c>
    </row>
    <row r="51" spans="1:2" ht="12.5" x14ac:dyDescent="0.25">
      <c r="A51" t="str">
        <f ca="1">IFERROR(__xludf.DUMMYFUNCTION("""COMPUTED_VALUE"""),"Comoros")</f>
        <v>Comoros</v>
      </c>
      <c r="B51" t="str">
        <f ca="1">IFERROR(__xludf.DUMMYFUNCTION("""COMPUTED_VALUE"""),"KM")</f>
        <v>KM</v>
      </c>
    </row>
    <row r="52" spans="1:2" ht="12.5" x14ac:dyDescent="0.25">
      <c r="A52" t="str">
        <f ca="1">IFERROR(__xludf.DUMMYFUNCTION("""COMPUTED_VALUE"""),"Congo")</f>
        <v>Congo</v>
      </c>
      <c r="B52" t="str">
        <f ca="1">IFERROR(__xludf.DUMMYFUNCTION("""COMPUTED_VALUE"""),"CG")</f>
        <v>CG</v>
      </c>
    </row>
    <row r="53" spans="1:2" ht="12.5" x14ac:dyDescent="0.25">
      <c r="A53" t="str">
        <f ca="1">IFERROR(__xludf.DUMMYFUNCTION("""COMPUTED_VALUE"""),"Congo, The Democratic Republic of the")</f>
        <v>Congo, The Democratic Republic of the</v>
      </c>
      <c r="B53" t="str">
        <f ca="1">IFERROR(__xludf.DUMMYFUNCTION("""COMPUTED_VALUE"""),"CD")</f>
        <v>CD</v>
      </c>
    </row>
    <row r="54" spans="1:2" ht="12.5" x14ac:dyDescent="0.25">
      <c r="A54" t="str">
        <f ca="1">IFERROR(__xludf.DUMMYFUNCTION("""COMPUTED_VALUE"""),"Cook Islands")</f>
        <v>Cook Islands</v>
      </c>
      <c r="B54" t="str">
        <f ca="1">IFERROR(__xludf.DUMMYFUNCTION("""COMPUTED_VALUE"""),"CK")</f>
        <v>CK</v>
      </c>
    </row>
    <row r="55" spans="1:2" ht="12.5" x14ac:dyDescent="0.25">
      <c r="A55" t="str">
        <f ca="1">IFERROR(__xludf.DUMMYFUNCTION("""COMPUTED_VALUE"""),"Costa Rica")</f>
        <v>Costa Rica</v>
      </c>
      <c r="B55" t="str">
        <f ca="1">IFERROR(__xludf.DUMMYFUNCTION("""COMPUTED_VALUE"""),"CR")</f>
        <v>CR</v>
      </c>
    </row>
    <row r="56" spans="1:2" ht="12.5" x14ac:dyDescent="0.25">
      <c r="A56" t="str">
        <f ca="1">IFERROR(__xludf.DUMMYFUNCTION("""COMPUTED_VALUE"""),"Côte d'Ivoire")</f>
        <v>Côte d'Ivoire</v>
      </c>
      <c r="B56" t="str">
        <f ca="1">IFERROR(__xludf.DUMMYFUNCTION("""COMPUTED_VALUE"""),"CI")</f>
        <v>CI</v>
      </c>
    </row>
    <row r="57" spans="1:2" ht="12.5" x14ac:dyDescent="0.25">
      <c r="A57" t="str">
        <f ca="1">IFERROR(__xludf.DUMMYFUNCTION("""COMPUTED_VALUE"""),"Croatia")</f>
        <v>Croatia</v>
      </c>
      <c r="B57" t="str">
        <f ca="1">IFERROR(__xludf.DUMMYFUNCTION("""COMPUTED_VALUE"""),"HR")</f>
        <v>HR</v>
      </c>
    </row>
    <row r="58" spans="1:2" ht="12.5" x14ac:dyDescent="0.25">
      <c r="A58" t="str">
        <f ca="1">IFERROR(__xludf.DUMMYFUNCTION("""COMPUTED_VALUE"""),"Cuba")</f>
        <v>Cuba</v>
      </c>
      <c r="B58" t="str">
        <f ca="1">IFERROR(__xludf.DUMMYFUNCTION("""COMPUTED_VALUE"""),"CU")</f>
        <v>CU</v>
      </c>
    </row>
    <row r="59" spans="1:2" ht="12.5" x14ac:dyDescent="0.25">
      <c r="A59" t="str">
        <f ca="1">IFERROR(__xludf.DUMMYFUNCTION("""COMPUTED_VALUE"""),"Curaçao")</f>
        <v>Curaçao</v>
      </c>
      <c r="B59" t="str">
        <f ca="1">IFERROR(__xludf.DUMMYFUNCTION("""COMPUTED_VALUE"""),"CW")</f>
        <v>CW</v>
      </c>
    </row>
    <row r="60" spans="1:2" ht="12.5" x14ac:dyDescent="0.25">
      <c r="A60" t="str">
        <f ca="1">IFERROR(__xludf.DUMMYFUNCTION("""COMPUTED_VALUE"""),"Cyprus")</f>
        <v>Cyprus</v>
      </c>
      <c r="B60" t="str">
        <f ca="1">IFERROR(__xludf.DUMMYFUNCTION("""COMPUTED_VALUE"""),"CY")</f>
        <v>CY</v>
      </c>
    </row>
    <row r="61" spans="1:2" ht="12.5" x14ac:dyDescent="0.25">
      <c r="A61" t="str">
        <f ca="1">IFERROR(__xludf.DUMMYFUNCTION("""COMPUTED_VALUE"""),"Czech Republic")</f>
        <v>Czech Republic</v>
      </c>
      <c r="B61" t="str">
        <f ca="1">IFERROR(__xludf.DUMMYFUNCTION("""COMPUTED_VALUE"""),"CZ")</f>
        <v>CZ</v>
      </c>
    </row>
    <row r="62" spans="1:2" ht="12.5" x14ac:dyDescent="0.25">
      <c r="A62" t="str">
        <f ca="1">IFERROR(__xludf.DUMMYFUNCTION("""COMPUTED_VALUE"""),"Denmark")</f>
        <v>Denmark</v>
      </c>
      <c r="B62" t="str">
        <f ca="1">IFERROR(__xludf.DUMMYFUNCTION("""COMPUTED_VALUE"""),"DK")</f>
        <v>DK</v>
      </c>
    </row>
    <row r="63" spans="1:2" ht="12.5" x14ac:dyDescent="0.25">
      <c r="A63" t="str">
        <f ca="1">IFERROR(__xludf.DUMMYFUNCTION("""COMPUTED_VALUE"""),"Djibouti")</f>
        <v>Djibouti</v>
      </c>
      <c r="B63" t="str">
        <f ca="1">IFERROR(__xludf.DUMMYFUNCTION("""COMPUTED_VALUE"""),"DJ")</f>
        <v>DJ</v>
      </c>
    </row>
    <row r="64" spans="1:2" ht="12.5" x14ac:dyDescent="0.25">
      <c r="A64" t="str">
        <f ca="1">IFERROR(__xludf.DUMMYFUNCTION("""COMPUTED_VALUE"""),"Dominica")</f>
        <v>Dominica</v>
      </c>
      <c r="B64" t="str">
        <f ca="1">IFERROR(__xludf.DUMMYFUNCTION("""COMPUTED_VALUE"""),"DM")</f>
        <v>DM</v>
      </c>
    </row>
    <row r="65" spans="1:2" ht="12.5" x14ac:dyDescent="0.25">
      <c r="A65" t="str">
        <f ca="1">IFERROR(__xludf.DUMMYFUNCTION("""COMPUTED_VALUE"""),"Dominican Republic")</f>
        <v>Dominican Republic</v>
      </c>
      <c r="B65" t="str">
        <f ca="1">IFERROR(__xludf.DUMMYFUNCTION("""COMPUTED_VALUE"""),"DO")</f>
        <v>DO</v>
      </c>
    </row>
    <row r="66" spans="1:2" ht="12.5" x14ac:dyDescent="0.25">
      <c r="A66" t="str">
        <f ca="1">IFERROR(__xludf.DUMMYFUNCTION("""COMPUTED_VALUE"""),"Ecuador")</f>
        <v>Ecuador</v>
      </c>
      <c r="B66" t="str">
        <f ca="1">IFERROR(__xludf.DUMMYFUNCTION("""COMPUTED_VALUE"""),"EC")</f>
        <v>EC</v>
      </c>
    </row>
    <row r="67" spans="1:2" ht="12.5" x14ac:dyDescent="0.25">
      <c r="A67" t="str">
        <f ca="1">IFERROR(__xludf.DUMMYFUNCTION("""COMPUTED_VALUE"""),"EEA")</f>
        <v>EEA</v>
      </c>
      <c r="B67" t="str">
        <f ca="1">IFERROR(__xludf.DUMMYFUNCTION("""COMPUTED_VALUE"""),"AA")</f>
        <v>AA</v>
      </c>
    </row>
    <row r="68" spans="1:2" ht="12.5" x14ac:dyDescent="0.25">
      <c r="A68" t="str">
        <f ca="1">IFERROR(__xludf.DUMMYFUNCTION("""COMPUTED_VALUE"""),"Egypt")</f>
        <v>Egypt</v>
      </c>
      <c r="B68" t="str">
        <f ca="1">IFERROR(__xludf.DUMMYFUNCTION("""COMPUTED_VALUE"""),"EG")</f>
        <v>EG</v>
      </c>
    </row>
    <row r="69" spans="1:2" ht="12.5" x14ac:dyDescent="0.25">
      <c r="A69" t="str">
        <f ca="1">IFERROR(__xludf.DUMMYFUNCTION("""COMPUTED_VALUE"""),"El Salvador")</f>
        <v>El Salvador</v>
      </c>
      <c r="B69" t="str">
        <f ca="1">IFERROR(__xludf.DUMMYFUNCTION("""COMPUTED_VALUE"""),"SV")</f>
        <v>SV</v>
      </c>
    </row>
    <row r="70" spans="1:2" ht="12.5" x14ac:dyDescent="0.25">
      <c r="A70" t="str">
        <f ca="1">IFERROR(__xludf.DUMMYFUNCTION("""COMPUTED_VALUE"""),"Equatorial Guinea")</f>
        <v>Equatorial Guinea</v>
      </c>
      <c r="B70" t="str">
        <f ca="1">IFERROR(__xludf.DUMMYFUNCTION("""COMPUTED_VALUE"""),"GQ")</f>
        <v>GQ</v>
      </c>
    </row>
    <row r="71" spans="1:2" ht="12.5" x14ac:dyDescent="0.25">
      <c r="A71" t="str">
        <f ca="1">IFERROR(__xludf.DUMMYFUNCTION("""COMPUTED_VALUE"""),"Eritrea")</f>
        <v>Eritrea</v>
      </c>
      <c r="B71" t="str">
        <f ca="1">IFERROR(__xludf.DUMMYFUNCTION("""COMPUTED_VALUE"""),"ER")</f>
        <v>ER</v>
      </c>
    </row>
    <row r="72" spans="1:2" ht="12.5" x14ac:dyDescent="0.25">
      <c r="A72" t="str">
        <f ca="1">IFERROR(__xludf.DUMMYFUNCTION("""COMPUTED_VALUE"""),"Estonia")</f>
        <v>Estonia</v>
      </c>
      <c r="B72" t="str">
        <f ca="1">IFERROR(__xludf.DUMMYFUNCTION("""COMPUTED_VALUE"""),"EE")</f>
        <v>EE</v>
      </c>
    </row>
    <row r="73" spans="1:2" ht="12.5" x14ac:dyDescent="0.25">
      <c r="A73" t="str">
        <f ca="1">IFERROR(__xludf.DUMMYFUNCTION("""COMPUTED_VALUE"""),"Ethiopia")</f>
        <v>Ethiopia</v>
      </c>
      <c r="B73" t="str">
        <f ca="1">IFERROR(__xludf.DUMMYFUNCTION("""COMPUTED_VALUE"""),"ET")</f>
        <v>ET</v>
      </c>
    </row>
    <row r="74" spans="1:2" ht="12.5" x14ac:dyDescent="0.25">
      <c r="A74" t="str">
        <f ca="1">IFERROR(__xludf.DUMMYFUNCTION("""COMPUTED_VALUE"""),"European Union")</f>
        <v>European Union</v>
      </c>
      <c r="B74" t="str">
        <f ca="1">IFERROR(__xludf.DUMMYFUNCTION("""COMPUTED_VALUE"""),"EU")</f>
        <v>EU</v>
      </c>
    </row>
    <row r="75" spans="1:2" ht="12.5" x14ac:dyDescent="0.25">
      <c r="A75" t="str">
        <f ca="1">IFERROR(__xludf.DUMMYFUNCTION("""COMPUTED_VALUE"""),"Falkland Islands (Malvinas)")</f>
        <v>Falkland Islands (Malvinas)</v>
      </c>
      <c r="B75" t="str">
        <f ca="1">IFERROR(__xludf.DUMMYFUNCTION("""COMPUTED_VALUE"""),"FK")</f>
        <v>FK</v>
      </c>
    </row>
    <row r="76" spans="1:2" ht="12.5" x14ac:dyDescent="0.25">
      <c r="A76" t="str">
        <f ca="1">IFERROR(__xludf.DUMMYFUNCTION("""COMPUTED_VALUE"""),"Faroe Islands")</f>
        <v>Faroe Islands</v>
      </c>
      <c r="B76" t="str">
        <f ca="1">IFERROR(__xludf.DUMMYFUNCTION("""COMPUTED_VALUE"""),"FO")</f>
        <v>FO</v>
      </c>
    </row>
    <row r="77" spans="1:2" ht="12.5" x14ac:dyDescent="0.25">
      <c r="A77" t="str">
        <f ca="1">IFERROR(__xludf.DUMMYFUNCTION("""COMPUTED_VALUE"""),"Fiji")</f>
        <v>Fiji</v>
      </c>
      <c r="B77" t="str">
        <f ca="1">IFERROR(__xludf.DUMMYFUNCTION("""COMPUTED_VALUE"""),"FJ")</f>
        <v>FJ</v>
      </c>
    </row>
    <row r="78" spans="1:2" ht="12.5" x14ac:dyDescent="0.25">
      <c r="A78" t="str">
        <f ca="1">IFERROR(__xludf.DUMMYFUNCTION("""COMPUTED_VALUE"""),"Finland")</f>
        <v>Finland</v>
      </c>
      <c r="B78" t="str">
        <f ca="1">IFERROR(__xludf.DUMMYFUNCTION("""COMPUTED_VALUE"""),"FI")</f>
        <v>FI</v>
      </c>
    </row>
    <row r="79" spans="1:2" ht="12.5" x14ac:dyDescent="0.25">
      <c r="A79" t="str">
        <f ca="1">IFERROR(__xludf.DUMMYFUNCTION("""COMPUTED_VALUE"""),"France")</f>
        <v>France</v>
      </c>
      <c r="B79" t="str">
        <f ca="1">IFERROR(__xludf.DUMMYFUNCTION("""COMPUTED_VALUE"""),"FR")</f>
        <v>FR</v>
      </c>
    </row>
    <row r="80" spans="1:2" ht="12.5" x14ac:dyDescent="0.25">
      <c r="A80" t="str">
        <f ca="1">IFERROR(__xludf.DUMMYFUNCTION("""COMPUTED_VALUE"""),"French Guiana")</f>
        <v>French Guiana</v>
      </c>
      <c r="B80" t="str">
        <f ca="1">IFERROR(__xludf.DUMMYFUNCTION("""COMPUTED_VALUE"""),"GF")</f>
        <v>GF</v>
      </c>
    </row>
    <row r="81" spans="1:2" ht="12.5" x14ac:dyDescent="0.25">
      <c r="A81" t="str">
        <f ca="1">IFERROR(__xludf.DUMMYFUNCTION("""COMPUTED_VALUE"""),"French Polynesia")</f>
        <v>French Polynesia</v>
      </c>
      <c r="B81" t="str">
        <f ca="1">IFERROR(__xludf.DUMMYFUNCTION("""COMPUTED_VALUE"""),"PF")</f>
        <v>PF</v>
      </c>
    </row>
    <row r="82" spans="1:2" ht="12.5" x14ac:dyDescent="0.25">
      <c r="A82" t="str">
        <f ca="1">IFERROR(__xludf.DUMMYFUNCTION("""COMPUTED_VALUE"""),"French Southern Territories")</f>
        <v>French Southern Territories</v>
      </c>
      <c r="B82" t="str">
        <f ca="1">IFERROR(__xludf.DUMMYFUNCTION("""COMPUTED_VALUE"""),"TF")</f>
        <v>TF</v>
      </c>
    </row>
    <row r="83" spans="1:2" ht="12.5" x14ac:dyDescent="0.25">
      <c r="A83" t="str">
        <f ca="1">IFERROR(__xludf.DUMMYFUNCTION("""COMPUTED_VALUE"""),"Gabon")</f>
        <v>Gabon</v>
      </c>
      <c r="B83" t="str">
        <f ca="1">IFERROR(__xludf.DUMMYFUNCTION("""COMPUTED_VALUE"""),"GA")</f>
        <v>GA</v>
      </c>
    </row>
    <row r="84" spans="1:2" ht="12.5" x14ac:dyDescent="0.25">
      <c r="A84" t="str">
        <f ca="1">IFERROR(__xludf.DUMMYFUNCTION("""COMPUTED_VALUE"""),"Gambia")</f>
        <v>Gambia</v>
      </c>
      <c r="B84" t="str">
        <f ca="1">IFERROR(__xludf.DUMMYFUNCTION("""COMPUTED_VALUE"""),"GM")</f>
        <v>GM</v>
      </c>
    </row>
    <row r="85" spans="1:2" ht="12.5" x14ac:dyDescent="0.25">
      <c r="A85" t="str">
        <f ca="1">IFERROR(__xludf.DUMMYFUNCTION("""COMPUTED_VALUE"""),"Georgia")</f>
        <v>Georgia</v>
      </c>
      <c r="B85" t="str">
        <f ca="1">IFERROR(__xludf.DUMMYFUNCTION("""COMPUTED_VALUE"""),"GE")</f>
        <v>GE</v>
      </c>
    </row>
    <row r="86" spans="1:2" ht="12.5" x14ac:dyDescent="0.25">
      <c r="A86" t="str">
        <f ca="1">IFERROR(__xludf.DUMMYFUNCTION("""COMPUTED_VALUE"""),"Germany")</f>
        <v>Germany</v>
      </c>
      <c r="B86" t="str">
        <f ca="1">IFERROR(__xludf.DUMMYFUNCTION("""COMPUTED_VALUE"""),"DE")</f>
        <v>DE</v>
      </c>
    </row>
    <row r="87" spans="1:2" ht="12.5" x14ac:dyDescent="0.25">
      <c r="A87" t="str">
        <f ca="1">IFERROR(__xludf.DUMMYFUNCTION("""COMPUTED_VALUE"""),"Ghana")</f>
        <v>Ghana</v>
      </c>
      <c r="B87" t="str">
        <f ca="1">IFERROR(__xludf.DUMMYFUNCTION("""COMPUTED_VALUE"""),"GH")</f>
        <v>GH</v>
      </c>
    </row>
    <row r="88" spans="1:2" ht="12.5" x14ac:dyDescent="0.25">
      <c r="A88" t="str">
        <f ca="1">IFERROR(__xludf.DUMMYFUNCTION("""COMPUTED_VALUE"""),"Gibraltar")</f>
        <v>Gibraltar</v>
      </c>
      <c r="B88" t="str">
        <f ca="1">IFERROR(__xludf.DUMMYFUNCTION("""COMPUTED_VALUE"""),"GI")</f>
        <v>GI</v>
      </c>
    </row>
    <row r="89" spans="1:2" ht="12.5" x14ac:dyDescent="0.25">
      <c r="A89" t="str">
        <f ca="1">IFERROR(__xludf.DUMMYFUNCTION("""COMPUTED_VALUE"""),"Greece")</f>
        <v>Greece</v>
      </c>
      <c r="B89" t="str">
        <f ca="1">IFERROR(__xludf.DUMMYFUNCTION("""COMPUTED_VALUE"""),"GR")</f>
        <v>GR</v>
      </c>
    </row>
    <row r="90" spans="1:2" ht="12.5" x14ac:dyDescent="0.25">
      <c r="A90" t="str">
        <f ca="1">IFERROR(__xludf.DUMMYFUNCTION("""COMPUTED_VALUE"""),"Greenland")</f>
        <v>Greenland</v>
      </c>
      <c r="B90" t="str">
        <f ca="1">IFERROR(__xludf.DUMMYFUNCTION("""COMPUTED_VALUE"""),"GL")</f>
        <v>GL</v>
      </c>
    </row>
    <row r="91" spans="1:2" ht="12.5" x14ac:dyDescent="0.25">
      <c r="A91" t="str">
        <f ca="1">IFERROR(__xludf.DUMMYFUNCTION("""COMPUTED_VALUE"""),"Grenada")</f>
        <v>Grenada</v>
      </c>
      <c r="B91" t="str">
        <f ca="1">IFERROR(__xludf.DUMMYFUNCTION("""COMPUTED_VALUE"""),"GD")</f>
        <v>GD</v>
      </c>
    </row>
    <row r="92" spans="1:2" ht="12.5" x14ac:dyDescent="0.25">
      <c r="A92" t="str">
        <f ca="1">IFERROR(__xludf.DUMMYFUNCTION("""COMPUTED_VALUE"""),"Guadeloupe")</f>
        <v>Guadeloupe</v>
      </c>
      <c r="B92" t="str">
        <f ca="1">IFERROR(__xludf.DUMMYFUNCTION("""COMPUTED_VALUE"""),"GP")</f>
        <v>GP</v>
      </c>
    </row>
    <row r="93" spans="1:2" ht="12.5" x14ac:dyDescent="0.25">
      <c r="A93" t="str">
        <f ca="1">IFERROR(__xludf.DUMMYFUNCTION("""COMPUTED_VALUE"""),"Guam")</f>
        <v>Guam</v>
      </c>
      <c r="B93" t="str">
        <f ca="1">IFERROR(__xludf.DUMMYFUNCTION("""COMPUTED_VALUE"""),"GU")</f>
        <v>GU</v>
      </c>
    </row>
    <row r="94" spans="1:2" ht="12.5" x14ac:dyDescent="0.25">
      <c r="A94" t="str">
        <f ca="1">IFERROR(__xludf.DUMMYFUNCTION("""COMPUTED_VALUE"""),"Guatemala")</f>
        <v>Guatemala</v>
      </c>
      <c r="B94" t="str">
        <f ca="1">IFERROR(__xludf.DUMMYFUNCTION("""COMPUTED_VALUE"""),"GT")</f>
        <v>GT</v>
      </c>
    </row>
    <row r="95" spans="1:2" ht="12.5" x14ac:dyDescent="0.25">
      <c r="A95" t="str">
        <f ca="1">IFERROR(__xludf.DUMMYFUNCTION("""COMPUTED_VALUE"""),"Guernsey")</f>
        <v>Guernsey</v>
      </c>
      <c r="B95" t="str">
        <f ca="1">IFERROR(__xludf.DUMMYFUNCTION("""COMPUTED_VALUE"""),"GG")</f>
        <v>GG</v>
      </c>
    </row>
    <row r="96" spans="1:2" ht="12.5" x14ac:dyDescent="0.25">
      <c r="A96" t="str">
        <f ca="1">IFERROR(__xludf.DUMMYFUNCTION("""COMPUTED_VALUE"""),"Guinea")</f>
        <v>Guinea</v>
      </c>
      <c r="B96" t="str">
        <f ca="1">IFERROR(__xludf.DUMMYFUNCTION("""COMPUTED_VALUE"""),"GN")</f>
        <v>GN</v>
      </c>
    </row>
    <row r="97" spans="1:2" ht="12.5" x14ac:dyDescent="0.25">
      <c r="A97" t="str">
        <f ca="1">IFERROR(__xludf.DUMMYFUNCTION("""COMPUTED_VALUE"""),"Guinea-Bissau")</f>
        <v>Guinea-Bissau</v>
      </c>
      <c r="B97" t="str">
        <f ca="1">IFERROR(__xludf.DUMMYFUNCTION("""COMPUTED_VALUE"""),"GW")</f>
        <v>GW</v>
      </c>
    </row>
    <row r="98" spans="1:2" ht="12.5" x14ac:dyDescent="0.25">
      <c r="A98" t="str">
        <f ca="1">IFERROR(__xludf.DUMMYFUNCTION("""COMPUTED_VALUE"""),"Guyana")</f>
        <v>Guyana</v>
      </c>
      <c r="B98" t="str">
        <f ca="1">IFERROR(__xludf.DUMMYFUNCTION("""COMPUTED_VALUE"""),"GY")</f>
        <v>GY</v>
      </c>
    </row>
    <row r="99" spans="1:2" ht="12.5" x14ac:dyDescent="0.25">
      <c r="A99" t="str">
        <f ca="1">IFERROR(__xludf.DUMMYFUNCTION("""COMPUTED_VALUE"""),"Haiti")</f>
        <v>Haiti</v>
      </c>
      <c r="B99" t="str">
        <f ca="1">IFERROR(__xludf.DUMMYFUNCTION("""COMPUTED_VALUE"""),"HT")</f>
        <v>HT</v>
      </c>
    </row>
    <row r="100" spans="1:2" ht="12.5" x14ac:dyDescent="0.25">
      <c r="A100" t="str">
        <f ca="1">IFERROR(__xludf.DUMMYFUNCTION("""COMPUTED_VALUE"""),"Heard Island and McDonald Islands")</f>
        <v>Heard Island and McDonald Islands</v>
      </c>
      <c r="B100" t="str">
        <f ca="1">IFERROR(__xludf.DUMMYFUNCTION("""COMPUTED_VALUE"""),"HM")</f>
        <v>HM</v>
      </c>
    </row>
    <row r="101" spans="1:2" ht="12.5" x14ac:dyDescent="0.25">
      <c r="A101" t="str">
        <f ca="1">IFERROR(__xludf.DUMMYFUNCTION("""COMPUTED_VALUE"""),"Holy See (Vatican City State)")</f>
        <v>Holy See (Vatican City State)</v>
      </c>
      <c r="B101" t="str">
        <f ca="1">IFERROR(__xludf.DUMMYFUNCTION("""COMPUTED_VALUE"""),"VA")</f>
        <v>VA</v>
      </c>
    </row>
    <row r="102" spans="1:2" ht="12.5" x14ac:dyDescent="0.25">
      <c r="A102" t="str">
        <f ca="1">IFERROR(__xludf.DUMMYFUNCTION("""COMPUTED_VALUE"""),"Honduras")</f>
        <v>Honduras</v>
      </c>
      <c r="B102" t="str">
        <f ca="1">IFERROR(__xludf.DUMMYFUNCTION("""COMPUTED_VALUE"""),"HN")</f>
        <v>HN</v>
      </c>
    </row>
    <row r="103" spans="1:2" ht="12.5" x14ac:dyDescent="0.25">
      <c r="A103" t="str">
        <f ca="1">IFERROR(__xludf.DUMMYFUNCTION("""COMPUTED_VALUE"""),"Hong Kong")</f>
        <v>Hong Kong</v>
      </c>
      <c r="B103" t="str">
        <f ca="1">IFERROR(__xludf.DUMMYFUNCTION("""COMPUTED_VALUE"""),"HK")</f>
        <v>HK</v>
      </c>
    </row>
    <row r="104" spans="1:2" ht="12.5" x14ac:dyDescent="0.25">
      <c r="A104" t="str">
        <f ca="1">IFERROR(__xludf.DUMMYFUNCTION("""COMPUTED_VALUE"""),"Hungary")</f>
        <v>Hungary</v>
      </c>
      <c r="B104" t="str">
        <f ca="1">IFERROR(__xludf.DUMMYFUNCTION("""COMPUTED_VALUE"""),"HU")</f>
        <v>HU</v>
      </c>
    </row>
    <row r="105" spans="1:2" ht="12.5" x14ac:dyDescent="0.25">
      <c r="A105" t="str">
        <f ca="1">IFERROR(__xludf.DUMMYFUNCTION("""COMPUTED_VALUE"""),"Iceland")</f>
        <v>Iceland</v>
      </c>
      <c r="B105" t="str">
        <f ca="1">IFERROR(__xludf.DUMMYFUNCTION("""COMPUTED_VALUE"""),"IS")</f>
        <v>IS</v>
      </c>
    </row>
    <row r="106" spans="1:2" ht="12.5" x14ac:dyDescent="0.25">
      <c r="A106" t="str">
        <f ca="1">IFERROR(__xludf.DUMMYFUNCTION("""COMPUTED_VALUE"""),"India")</f>
        <v>India</v>
      </c>
      <c r="B106" t="str">
        <f ca="1">IFERROR(__xludf.DUMMYFUNCTION("""COMPUTED_VALUE"""),"IN")</f>
        <v>IN</v>
      </c>
    </row>
    <row r="107" spans="1:2" ht="12.5" x14ac:dyDescent="0.25">
      <c r="A107" t="str">
        <f ca="1">IFERROR(__xludf.DUMMYFUNCTION("""COMPUTED_VALUE"""),"Indonesia")</f>
        <v>Indonesia</v>
      </c>
      <c r="B107" t="str">
        <f ca="1">IFERROR(__xludf.DUMMYFUNCTION("""COMPUTED_VALUE"""),"ID")</f>
        <v>ID</v>
      </c>
    </row>
    <row r="108" spans="1:2" ht="12.5" x14ac:dyDescent="0.25">
      <c r="A108" t="str">
        <f ca="1">IFERROR(__xludf.DUMMYFUNCTION("""COMPUTED_VALUE"""),"Iran, Islamic Republic of")</f>
        <v>Iran, Islamic Republic of</v>
      </c>
      <c r="B108" t="str">
        <f ca="1">IFERROR(__xludf.DUMMYFUNCTION("""COMPUTED_VALUE"""),"IR")</f>
        <v>IR</v>
      </c>
    </row>
    <row r="109" spans="1:2" ht="12.5" x14ac:dyDescent="0.25">
      <c r="A109" t="str">
        <f ca="1">IFERROR(__xludf.DUMMYFUNCTION("""COMPUTED_VALUE"""),"Iraq")</f>
        <v>Iraq</v>
      </c>
      <c r="B109" t="str">
        <f ca="1">IFERROR(__xludf.DUMMYFUNCTION("""COMPUTED_VALUE"""),"IQ")</f>
        <v>IQ</v>
      </c>
    </row>
    <row r="110" spans="1:2" ht="12.5" x14ac:dyDescent="0.25">
      <c r="A110" t="str">
        <f ca="1">IFERROR(__xludf.DUMMYFUNCTION("""COMPUTED_VALUE"""),"Ireland")</f>
        <v>Ireland</v>
      </c>
      <c r="B110" t="str">
        <f ca="1">IFERROR(__xludf.DUMMYFUNCTION("""COMPUTED_VALUE"""),"IE")</f>
        <v>IE</v>
      </c>
    </row>
    <row r="111" spans="1:2" ht="12.5" x14ac:dyDescent="0.25">
      <c r="A111" t="str">
        <f ca="1">IFERROR(__xludf.DUMMYFUNCTION("""COMPUTED_VALUE"""),"Isle of Man")</f>
        <v>Isle of Man</v>
      </c>
      <c r="B111" t="str">
        <f ca="1">IFERROR(__xludf.DUMMYFUNCTION("""COMPUTED_VALUE"""),"IM")</f>
        <v>IM</v>
      </c>
    </row>
    <row r="112" spans="1:2" ht="12.5" x14ac:dyDescent="0.25">
      <c r="A112" t="str">
        <f ca="1">IFERROR(__xludf.DUMMYFUNCTION("""COMPUTED_VALUE"""),"Israel")</f>
        <v>Israel</v>
      </c>
      <c r="B112" t="str">
        <f ca="1">IFERROR(__xludf.DUMMYFUNCTION("""COMPUTED_VALUE"""),"IL")</f>
        <v>IL</v>
      </c>
    </row>
    <row r="113" spans="1:2" ht="12.5" x14ac:dyDescent="0.25">
      <c r="A113" t="str">
        <f ca="1">IFERROR(__xludf.DUMMYFUNCTION("""COMPUTED_VALUE"""),"Italy")</f>
        <v>Italy</v>
      </c>
      <c r="B113" t="str">
        <f ca="1">IFERROR(__xludf.DUMMYFUNCTION("""COMPUTED_VALUE"""),"IT")</f>
        <v>IT</v>
      </c>
    </row>
    <row r="114" spans="1:2" ht="12.5" x14ac:dyDescent="0.25">
      <c r="A114" t="str">
        <f ca="1">IFERROR(__xludf.DUMMYFUNCTION("""COMPUTED_VALUE"""),"Jamaica")</f>
        <v>Jamaica</v>
      </c>
      <c r="B114" t="str">
        <f ca="1">IFERROR(__xludf.DUMMYFUNCTION("""COMPUTED_VALUE"""),"JM")</f>
        <v>JM</v>
      </c>
    </row>
    <row r="115" spans="1:2" ht="12.5" x14ac:dyDescent="0.25">
      <c r="A115" t="str">
        <f ca="1">IFERROR(__xludf.DUMMYFUNCTION("""COMPUTED_VALUE"""),"Japan")</f>
        <v>Japan</v>
      </c>
      <c r="B115" t="str">
        <f ca="1">IFERROR(__xludf.DUMMYFUNCTION("""COMPUTED_VALUE"""),"JP")</f>
        <v>JP</v>
      </c>
    </row>
    <row r="116" spans="1:2" ht="12.5" x14ac:dyDescent="0.25">
      <c r="A116" t="str">
        <f ca="1">IFERROR(__xludf.DUMMYFUNCTION("""COMPUTED_VALUE"""),"Jersey")</f>
        <v>Jersey</v>
      </c>
      <c r="B116" t="str">
        <f ca="1">IFERROR(__xludf.DUMMYFUNCTION("""COMPUTED_VALUE"""),"JE")</f>
        <v>JE</v>
      </c>
    </row>
    <row r="117" spans="1:2" ht="12.5" x14ac:dyDescent="0.25">
      <c r="A117" t="str">
        <f ca="1">IFERROR(__xludf.DUMMYFUNCTION("""COMPUTED_VALUE"""),"Jordan")</f>
        <v>Jordan</v>
      </c>
      <c r="B117" t="str">
        <f ca="1">IFERROR(__xludf.DUMMYFUNCTION("""COMPUTED_VALUE"""),"JO")</f>
        <v>JO</v>
      </c>
    </row>
    <row r="118" spans="1:2" ht="12.5" x14ac:dyDescent="0.25">
      <c r="A118" t="str">
        <f ca="1">IFERROR(__xludf.DUMMYFUNCTION("""COMPUTED_VALUE"""),"Kazakhstan")</f>
        <v>Kazakhstan</v>
      </c>
      <c r="B118" t="str">
        <f ca="1">IFERROR(__xludf.DUMMYFUNCTION("""COMPUTED_VALUE"""),"KZ")</f>
        <v>KZ</v>
      </c>
    </row>
    <row r="119" spans="1:2" ht="12.5" x14ac:dyDescent="0.25">
      <c r="A119" t="str">
        <f ca="1">IFERROR(__xludf.DUMMYFUNCTION("""COMPUTED_VALUE"""),"Kenya")</f>
        <v>Kenya</v>
      </c>
      <c r="B119" t="str">
        <f ca="1">IFERROR(__xludf.DUMMYFUNCTION("""COMPUTED_VALUE"""),"KE")</f>
        <v>KE</v>
      </c>
    </row>
    <row r="120" spans="1:2" ht="12.5" x14ac:dyDescent="0.25">
      <c r="A120" t="str">
        <f ca="1">IFERROR(__xludf.DUMMYFUNCTION("""COMPUTED_VALUE"""),"Kiribati")</f>
        <v>Kiribati</v>
      </c>
      <c r="B120" t="str">
        <f ca="1">IFERROR(__xludf.DUMMYFUNCTION("""COMPUTED_VALUE"""),"KI")</f>
        <v>KI</v>
      </c>
    </row>
    <row r="121" spans="1:2" ht="12.5" x14ac:dyDescent="0.25">
      <c r="A121" t="str">
        <f ca="1">IFERROR(__xludf.DUMMYFUNCTION("""COMPUTED_VALUE"""),"Korea, Democratic People's Republic of")</f>
        <v>Korea, Democratic People's Republic of</v>
      </c>
      <c r="B121" t="str">
        <f ca="1">IFERROR(__xludf.DUMMYFUNCTION("""COMPUTED_VALUE"""),"KP")</f>
        <v>KP</v>
      </c>
    </row>
    <row r="122" spans="1:2" ht="12.5" x14ac:dyDescent="0.25">
      <c r="A122" t="str">
        <f ca="1">IFERROR(__xludf.DUMMYFUNCTION("""COMPUTED_VALUE"""),"Korea, Republic of")</f>
        <v>Korea, Republic of</v>
      </c>
      <c r="B122" t="str">
        <f ca="1">IFERROR(__xludf.DUMMYFUNCTION("""COMPUTED_VALUE"""),"KR")</f>
        <v>KR</v>
      </c>
    </row>
    <row r="123" spans="1:2" ht="12.5" x14ac:dyDescent="0.25">
      <c r="A123" t="str">
        <f ca="1">IFERROR(__xludf.DUMMYFUNCTION("""COMPUTED_VALUE"""),"Kuwait")</f>
        <v>Kuwait</v>
      </c>
      <c r="B123" t="str">
        <f ca="1">IFERROR(__xludf.DUMMYFUNCTION("""COMPUTED_VALUE"""),"KW")</f>
        <v>KW</v>
      </c>
    </row>
    <row r="124" spans="1:2" ht="12.5" x14ac:dyDescent="0.25">
      <c r="A124" t="str">
        <f ca="1">IFERROR(__xludf.DUMMYFUNCTION("""COMPUTED_VALUE"""),"Kyrgyzstan")</f>
        <v>Kyrgyzstan</v>
      </c>
      <c r="B124" t="str">
        <f ca="1">IFERROR(__xludf.DUMMYFUNCTION("""COMPUTED_VALUE"""),"KG")</f>
        <v>KG</v>
      </c>
    </row>
    <row r="125" spans="1:2" ht="12.5" x14ac:dyDescent="0.25">
      <c r="A125" t="str">
        <f ca="1">IFERROR(__xludf.DUMMYFUNCTION("""COMPUTED_VALUE"""),"Lao People's Democratic Republic")</f>
        <v>Lao People's Democratic Republic</v>
      </c>
      <c r="B125" t="str">
        <f ca="1">IFERROR(__xludf.DUMMYFUNCTION("""COMPUTED_VALUE"""),"LA")</f>
        <v>LA</v>
      </c>
    </row>
    <row r="126" spans="1:2" ht="12.5" x14ac:dyDescent="0.25">
      <c r="A126" t="str">
        <f ca="1">IFERROR(__xludf.DUMMYFUNCTION("""COMPUTED_VALUE"""),"Latvia")</f>
        <v>Latvia</v>
      </c>
      <c r="B126" t="str">
        <f ca="1">IFERROR(__xludf.DUMMYFUNCTION("""COMPUTED_VALUE"""),"LV")</f>
        <v>LV</v>
      </c>
    </row>
    <row r="127" spans="1:2" ht="12.5" x14ac:dyDescent="0.25">
      <c r="A127" t="str">
        <f ca="1">IFERROR(__xludf.DUMMYFUNCTION("""COMPUTED_VALUE"""),"Lebanon")</f>
        <v>Lebanon</v>
      </c>
      <c r="B127" t="str">
        <f ca="1">IFERROR(__xludf.DUMMYFUNCTION("""COMPUTED_VALUE"""),"LB")</f>
        <v>LB</v>
      </c>
    </row>
    <row r="128" spans="1:2" ht="12.5" x14ac:dyDescent="0.25">
      <c r="A128" t="str">
        <f ca="1">IFERROR(__xludf.DUMMYFUNCTION("""COMPUTED_VALUE"""),"Lesotho")</f>
        <v>Lesotho</v>
      </c>
      <c r="B128" t="str">
        <f ca="1">IFERROR(__xludf.DUMMYFUNCTION("""COMPUTED_VALUE"""),"LS")</f>
        <v>LS</v>
      </c>
    </row>
    <row r="129" spans="1:2" ht="12.5" x14ac:dyDescent="0.25">
      <c r="A129" t="str">
        <f ca="1">IFERROR(__xludf.DUMMYFUNCTION("""COMPUTED_VALUE"""),"Liberia")</f>
        <v>Liberia</v>
      </c>
      <c r="B129" t="str">
        <f ca="1">IFERROR(__xludf.DUMMYFUNCTION("""COMPUTED_VALUE"""),"LR")</f>
        <v>LR</v>
      </c>
    </row>
    <row r="130" spans="1:2" ht="12.5" x14ac:dyDescent="0.25">
      <c r="A130" t="str">
        <f ca="1">IFERROR(__xludf.DUMMYFUNCTION("""COMPUTED_VALUE"""),"Libya")</f>
        <v>Libya</v>
      </c>
      <c r="B130" t="str">
        <f ca="1">IFERROR(__xludf.DUMMYFUNCTION("""COMPUTED_VALUE"""),"LY")</f>
        <v>LY</v>
      </c>
    </row>
    <row r="131" spans="1:2" ht="12.5" x14ac:dyDescent="0.25">
      <c r="A131" t="str">
        <f ca="1">IFERROR(__xludf.DUMMYFUNCTION("""COMPUTED_VALUE"""),"Liechtenstein")</f>
        <v>Liechtenstein</v>
      </c>
      <c r="B131" t="str">
        <f ca="1">IFERROR(__xludf.DUMMYFUNCTION("""COMPUTED_VALUE"""),"LI")</f>
        <v>LI</v>
      </c>
    </row>
    <row r="132" spans="1:2" ht="12.5" x14ac:dyDescent="0.25">
      <c r="A132" t="str">
        <f ca="1">IFERROR(__xludf.DUMMYFUNCTION("""COMPUTED_VALUE"""),"Lithuania")</f>
        <v>Lithuania</v>
      </c>
      <c r="B132" t="str">
        <f ca="1">IFERROR(__xludf.DUMMYFUNCTION("""COMPUTED_VALUE"""),"LT")</f>
        <v>LT</v>
      </c>
    </row>
    <row r="133" spans="1:2" ht="12.5" x14ac:dyDescent="0.25">
      <c r="A133" t="str">
        <f ca="1">IFERROR(__xludf.DUMMYFUNCTION("""COMPUTED_VALUE"""),"Luxembourg")</f>
        <v>Luxembourg</v>
      </c>
      <c r="B133" t="str">
        <f ca="1">IFERROR(__xludf.DUMMYFUNCTION("""COMPUTED_VALUE"""),"LU")</f>
        <v>LU</v>
      </c>
    </row>
    <row r="134" spans="1:2" ht="12.5" x14ac:dyDescent="0.25">
      <c r="A134" t="str">
        <f ca="1">IFERROR(__xludf.DUMMYFUNCTION("""COMPUTED_VALUE"""),"Macao")</f>
        <v>Macao</v>
      </c>
      <c r="B134" t="str">
        <f ca="1">IFERROR(__xludf.DUMMYFUNCTION("""COMPUTED_VALUE"""),"MO")</f>
        <v>MO</v>
      </c>
    </row>
    <row r="135" spans="1:2" ht="12.5" x14ac:dyDescent="0.25">
      <c r="A135" t="str">
        <f ca="1">IFERROR(__xludf.DUMMYFUNCTION("""COMPUTED_VALUE"""),"Macedonia, The Former Yugoslav Republic of")</f>
        <v>Macedonia, The Former Yugoslav Republic of</v>
      </c>
      <c r="B135" t="str">
        <f ca="1">IFERROR(__xludf.DUMMYFUNCTION("""COMPUTED_VALUE"""),"MK")</f>
        <v>MK</v>
      </c>
    </row>
    <row r="136" spans="1:2" ht="12.5" x14ac:dyDescent="0.25">
      <c r="A136" t="str">
        <f ca="1">IFERROR(__xludf.DUMMYFUNCTION("""COMPUTED_VALUE"""),"Madagascar")</f>
        <v>Madagascar</v>
      </c>
      <c r="B136" t="str">
        <f ca="1">IFERROR(__xludf.DUMMYFUNCTION("""COMPUTED_VALUE"""),"MG")</f>
        <v>MG</v>
      </c>
    </row>
    <row r="137" spans="1:2" ht="12.5" x14ac:dyDescent="0.25">
      <c r="A137" t="str">
        <f ca="1">IFERROR(__xludf.DUMMYFUNCTION("""COMPUTED_VALUE"""),"Malawi")</f>
        <v>Malawi</v>
      </c>
      <c r="B137" t="str">
        <f ca="1">IFERROR(__xludf.DUMMYFUNCTION("""COMPUTED_VALUE"""),"MW")</f>
        <v>MW</v>
      </c>
    </row>
    <row r="138" spans="1:2" ht="12.5" x14ac:dyDescent="0.25">
      <c r="A138" t="str">
        <f ca="1">IFERROR(__xludf.DUMMYFUNCTION("""COMPUTED_VALUE"""),"Malaysia")</f>
        <v>Malaysia</v>
      </c>
      <c r="B138" t="str">
        <f ca="1">IFERROR(__xludf.DUMMYFUNCTION("""COMPUTED_VALUE"""),"MY")</f>
        <v>MY</v>
      </c>
    </row>
    <row r="139" spans="1:2" ht="12.5" x14ac:dyDescent="0.25">
      <c r="A139" t="str">
        <f ca="1">IFERROR(__xludf.DUMMYFUNCTION("""COMPUTED_VALUE"""),"Maldives")</f>
        <v>Maldives</v>
      </c>
      <c r="B139" t="str">
        <f ca="1">IFERROR(__xludf.DUMMYFUNCTION("""COMPUTED_VALUE"""),"MV")</f>
        <v>MV</v>
      </c>
    </row>
    <row r="140" spans="1:2" ht="12.5" x14ac:dyDescent="0.25">
      <c r="A140" t="str">
        <f ca="1">IFERROR(__xludf.DUMMYFUNCTION("""COMPUTED_VALUE"""),"Mali")</f>
        <v>Mali</v>
      </c>
      <c r="B140" t="str">
        <f ca="1">IFERROR(__xludf.DUMMYFUNCTION("""COMPUTED_VALUE"""),"ML")</f>
        <v>ML</v>
      </c>
    </row>
    <row r="141" spans="1:2" ht="12.5" x14ac:dyDescent="0.25">
      <c r="A141" t="str">
        <f ca="1">IFERROR(__xludf.DUMMYFUNCTION("""COMPUTED_VALUE"""),"Malta")</f>
        <v>Malta</v>
      </c>
      <c r="B141" t="str">
        <f ca="1">IFERROR(__xludf.DUMMYFUNCTION("""COMPUTED_VALUE"""),"MT")</f>
        <v>MT</v>
      </c>
    </row>
    <row r="142" spans="1:2" ht="12.5" x14ac:dyDescent="0.25">
      <c r="A142" t="str">
        <f ca="1">IFERROR(__xludf.DUMMYFUNCTION("""COMPUTED_VALUE"""),"Marshall Islands")</f>
        <v>Marshall Islands</v>
      </c>
      <c r="B142" t="str">
        <f ca="1">IFERROR(__xludf.DUMMYFUNCTION("""COMPUTED_VALUE"""),"MH")</f>
        <v>MH</v>
      </c>
    </row>
    <row r="143" spans="1:2" ht="12.5" x14ac:dyDescent="0.25">
      <c r="A143" t="str">
        <f ca="1">IFERROR(__xludf.DUMMYFUNCTION("""COMPUTED_VALUE"""),"Martinique")</f>
        <v>Martinique</v>
      </c>
      <c r="B143" t="str">
        <f ca="1">IFERROR(__xludf.DUMMYFUNCTION("""COMPUTED_VALUE"""),"MQ")</f>
        <v>MQ</v>
      </c>
    </row>
    <row r="144" spans="1:2" ht="12.5" x14ac:dyDescent="0.25">
      <c r="A144" t="str">
        <f ca="1">IFERROR(__xludf.DUMMYFUNCTION("""COMPUTED_VALUE"""),"Mauritania")</f>
        <v>Mauritania</v>
      </c>
      <c r="B144" t="str">
        <f ca="1">IFERROR(__xludf.DUMMYFUNCTION("""COMPUTED_VALUE"""),"MR")</f>
        <v>MR</v>
      </c>
    </row>
    <row r="145" spans="1:2" ht="12.5" x14ac:dyDescent="0.25">
      <c r="A145" t="str">
        <f ca="1">IFERROR(__xludf.DUMMYFUNCTION("""COMPUTED_VALUE"""),"Mauritius")</f>
        <v>Mauritius</v>
      </c>
      <c r="B145" t="str">
        <f ca="1">IFERROR(__xludf.DUMMYFUNCTION("""COMPUTED_VALUE"""),"MU")</f>
        <v>MU</v>
      </c>
    </row>
    <row r="146" spans="1:2" ht="12.5" x14ac:dyDescent="0.25">
      <c r="A146" t="str">
        <f ca="1">IFERROR(__xludf.DUMMYFUNCTION("""COMPUTED_VALUE"""),"Mayotte")</f>
        <v>Mayotte</v>
      </c>
      <c r="B146" t="str">
        <f ca="1">IFERROR(__xludf.DUMMYFUNCTION("""COMPUTED_VALUE"""),"YT")</f>
        <v>YT</v>
      </c>
    </row>
    <row r="147" spans="1:2" ht="12.5" x14ac:dyDescent="0.25">
      <c r="A147" t="str">
        <f ca="1">IFERROR(__xludf.DUMMYFUNCTION("""COMPUTED_VALUE"""),"Mexico")</f>
        <v>Mexico</v>
      </c>
      <c r="B147" t="str">
        <f ca="1">IFERROR(__xludf.DUMMYFUNCTION("""COMPUTED_VALUE"""),"MX")</f>
        <v>MX</v>
      </c>
    </row>
    <row r="148" spans="1:2" ht="12.5" x14ac:dyDescent="0.25">
      <c r="A148" t="str">
        <f ca="1">IFERROR(__xludf.DUMMYFUNCTION("""COMPUTED_VALUE"""),"Micronesia, Federated States of")</f>
        <v>Micronesia, Federated States of</v>
      </c>
      <c r="B148" t="str">
        <f ca="1">IFERROR(__xludf.DUMMYFUNCTION("""COMPUTED_VALUE"""),"FM")</f>
        <v>FM</v>
      </c>
    </row>
    <row r="149" spans="1:2" ht="12.5" x14ac:dyDescent="0.25">
      <c r="A149" t="str">
        <f ca="1">IFERROR(__xludf.DUMMYFUNCTION("""COMPUTED_VALUE"""),"Moldova, Republic of")</f>
        <v>Moldova, Republic of</v>
      </c>
      <c r="B149" t="str">
        <f ca="1">IFERROR(__xludf.DUMMYFUNCTION("""COMPUTED_VALUE"""),"MD")</f>
        <v>MD</v>
      </c>
    </row>
    <row r="150" spans="1:2" ht="12.5" x14ac:dyDescent="0.25">
      <c r="A150" t="str">
        <f ca="1">IFERROR(__xludf.DUMMYFUNCTION("""COMPUTED_VALUE"""),"Monaco")</f>
        <v>Monaco</v>
      </c>
      <c r="B150" t="str">
        <f ca="1">IFERROR(__xludf.DUMMYFUNCTION("""COMPUTED_VALUE"""),"MC")</f>
        <v>MC</v>
      </c>
    </row>
    <row r="151" spans="1:2" ht="12.5" x14ac:dyDescent="0.25">
      <c r="A151" t="str">
        <f ca="1">IFERROR(__xludf.DUMMYFUNCTION("""COMPUTED_VALUE"""),"Mongolia")</f>
        <v>Mongolia</v>
      </c>
      <c r="B151" t="str">
        <f ca="1">IFERROR(__xludf.DUMMYFUNCTION("""COMPUTED_VALUE"""),"MN")</f>
        <v>MN</v>
      </c>
    </row>
    <row r="152" spans="1:2" ht="12.5" x14ac:dyDescent="0.25">
      <c r="A152" t="str">
        <f ca="1">IFERROR(__xludf.DUMMYFUNCTION("""COMPUTED_VALUE"""),"Montenegro")</f>
        <v>Montenegro</v>
      </c>
      <c r="B152" t="str">
        <f ca="1">IFERROR(__xludf.DUMMYFUNCTION("""COMPUTED_VALUE"""),"ME")</f>
        <v>ME</v>
      </c>
    </row>
    <row r="153" spans="1:2" ht="12.5" x14ac:dyDescent="0.25">
      <c r="A153" t="str">
        <f ca="1">IFERROR(__xludf.DUMMYFUNCTION("""COMPUTED_VALUE"""),"Montserrat")</f>
        <v>Montserrat</v>
      </c>
      <c r="B153" t="str">
        <f ca="1">IFERROR(__xludf.DUMMYFUNCTION("""COMPUTED_VALUE"""),"MS")</f>
        <v>MS</v>
      </c>
    </row>
    <row r="154" spans="1:2" ht="12.5" x14ac:dyDescent="0.25">
      <c r="A154" t="str">
        <f ca="1">IFERROR(__xludf.DUMMYFUNCTION("""COMPUTED_VALUE"""),"Morocco")</f>
        <v>Morocco</v>
      </c>
      <c r="B154" t="str">
        <f ca="1">IFERROR(__xludf.DUMMYFUNCTION("""COMPUTED_VALUE"""),"MA")</f>
        <v>MA</v>
      </c>
    </row>
    <row r="155" spans="1:2" ht="12.5" x14ac:dyDescent="0.25">
      <c r="A155" t="str">
        <f ca="1">IFERROR(__xludf.DUMMYFUNCTION("""COMPUTED_VALUE"""),"Mozambique")</f>
        <v>Mozambique</v>
      </c>
      <c r="B155" t="str">
        <f ca="1">IFERROR(__xludf.DUMMYFUNCTION("""COMPUTED_VALUE"""),"MZ")</f>
        <v>MZ</v>
      </c>
    </row>
    <row r="156" spans="1:2" ht="12.5" x14ac:dyDescent="0.25">
      <c r="A156" t="str">
        <f ca="1">IFERROR(__xludf.DUMMYFUNCTION("""COMPUTED_VALUE"""),"Myanmar")</f>
        <v>Myanmar</v>
      </c>
      <c r="B156" t="str">
        <f ca="1">IFERROR(__xludf.DUMMYFUNCTION("""COMPUTED_VALUE"""),"MM")</f>
        <v>MM</v>
      </c>
    </row>
    <row r="157" spans="1:2" ht="12.5" x14ac:dyDescent="0.25">
      <c r="A157" t="str">
        <f ca="1">IFERROR(__xludf.DUMMYFUNCTION("""COMPUTED_VALUE"""),"Namibia")</f>
        <v>Namibia</v>
      </c>
      <c r="B157" t="str">
        <f ca="1">IFERROR(__xludf.DUMMYFUNCTION("""COMPUTED_VALUE"""),"NA")</f>
        <v>NA</v>
      </c>
    </row>
    <row r="158" spans="1:2" ht="12.5" x14ac:dyDescent="0.25">
      <c r="A158" t="str">
        <f ca="1">IFERROR(__xludf.DUMMYFUNCTION("""COMPUTED_VALUE"""),"Nauru")</f>
        <v>Nauru</v>
      </c>
      <c r="B158" t="str">
        <f ca="1">IFERROR(__xludf.DUMMYFUNCTION("""COMPUTED_VALUE"""),"NR")</f>
        <v>NR</v>
      </c>
    </row>
    <row r="159" spans="1:2" ht="12.5" x14ac:dyDescent="0.25">
      <c r="A159" t="str">
        <f ca="1">IFERROR(__xludf.DUMMYFUNCTION("""COMPUTED_VALUE"""),"Nepal")</f>
        <v>Nepal</v>
      </c>
      <c r="B159" t="str">
        <f ca="1">IFERROR(__xludf.DUMMYFUNCTION("""COMPUTED_VALUE"""),"NP")</f>
        <v>NP</v>
      </c>
    </row>
    <row r="160" spans="1:2" ht="12.5" x14ac:dyDescent="0.25">
      <c r="A160" t="str">
        <f ca="1">IFERROR(__xludf.DUMMYFUNCTION("""COMPUTED_VALUE"""),"Netherlands")</f>
        <v>Netherlands</v>
      </c>
      <c r="B160" t="str">
        <f ca="1">IFERROR(__xludf.DUMMYFUNCTION("""COMPUTED_VALUE"""),"NL")</f>
        <v>NL</v>
      </c>
    </row>
    <row r="161" spans="1:2" ht="12.5" x14ac:dyDescent="0.25">
      <c r="A161" t="str">
        <f ca="1">IFERROR(__xludf.DUMMYFUNCTION("""COMPUTED_VALUE"""),"Netherlands Antilles")</f>
        <v>Netherlands Antilles</v>
      </c>
      <c r="B161" t="str">
        <f ca="1">IFERROR(__xludf.DUMMYFUNCTION("""COMPUTED_VALUE"""),"AN")</f>
        <v>AN</v>
      </c>
    </row>
    <row r="162" spans="1:2" ht="12.5" x14ac:dyDescent="0.25">
      <c r="A162" t="str">
        <f ca="1">IFERROR(__xludf.DUMMYFUNCTION("""COMPUTED_VALUE"""),"New Caledonia")</f>
        <v>New Caledonia</v>
      </c>
      <c r="B162" t="str">
        <f ca="1">IFERROR(__xludf.DUMMYFUNCTION("""COMPUTED_VALUE"""),"NC")</f>
        <v>NC</v>
      </c>
    </row>
    <row r="163" spans="1:2" ht="12.5" x14ac:dyDescent="0.25">
      <c r="A163" t="str">
        <f ca="1">IFERROR(__xludf.DUMMYFUNCTION("""COMPUTED_VALUE"""),"New Zealand")</f>
        <v>New Zealand</v>
      </c>
      <c r="B163" t="str">
        <f ca="1">IFERROR(__xludf.DUMMYFUNCTION("""COMPUTED_VALUE"""),"NZ")</f>
        <v>NZ</v>
      </c>
    </row>
    <row r="164" spans="1:2" ht="12.5" x14ac:dyDescent="0.25">
      <c r="A164" t="str">
        <f ca="1">IFERROR(__xludf.DUMMYFUNCTION("""COMPUTED_VALUE"""),"Nicaragua")</f>
        <v>Nicaragua</v>
      </c>
      <c r="B164" t="str">
        <f ca="1">IFERROR(__xludf.DUMMYFUNCTION("""COMPUTED_VALUE"""),"NI")</f>
        <v>NI</v>
      </c>
    </row>
    <row r="165" spans="1:2" ht="12.5" x14ac:dyDescent="0.25">
      <c r="A165" t="str">
        <f ca="1">IFERROR(__xludf.DUMMYFUNCTION("""COMPUTED_VALUE"""),"Niger")</f>
        <v>Niger</v>
      </c>
      <c r="B165" t="str">
        <f ca="1">IFERROR(__xludf.DUMMYFUNCTION("""COMPUTED_VALUE"""),"NE")</f>
        <v>NE</v>
      </c>
    </row>
    <row r="166" spans="1:2" ht="12.5" x14ac:dyDescent="0.25">
      <c r="A166" t="str">
        <f ca="1">IFERROR(__xludf.DUMMYFUNCTION("""COMPUTED_VALUE"""),"Nigeria")</f>
        <v>Nigeria</v>
      </c>
      <c r="B166" t="str">
        <f ca="1">IFERROR(__xludf.DUMMYFUNCTION("""COMPUTED_VALUE"""),"NG")</f>
        <v>NG</v>
      </c>
    </row>
    <row r="167" spans="1:2" ht="12.5" x14ac:dyDescent="0.25">
      <c r="A167" t="str">
        <f ca="1">IFERROR(__xludf.DUMMYFUNCTION("""COMPUTED_VALUE"""),"Niue")</f>
        <v>Niue</v>
      </c>
      <c r="B167" t="str">
        <f ca="1">IFERROR(__xludf.DUMMYFUNCTION("""COMPUTED_VALUE"""),"NU")</f>
        <v>NU</v>
      </c>
    </row>
    <row r="168" spans="1:2" ht="12.5" x14ac:dyDescent="0.25">
      <c r="A168" t="str">
        <f ca="1">IFERROR(__xludf.DUMMYFUNCTION("""COMPUTED_VALUE"""),"Non domestic, import")</f>
        <v>Non domestic, import</v>
      </c>
      <c r="B168" t="str">
        <f ca="1">IFERROR(__xludf.DUMMYFUNCTION("""COMPUTED_VALUE"""),"XD")</f>
        <v>XD</v>
      </c>
    </row>
    <row r="169" spans="1:2" ht="12.5" x14ac:dyDescent="0.25">
      <c r="A169" t="str">
        <f ca="1">IFERROR(__xludf.DUMMYFUNCTION("""COMPUTED_VALUE"""),"Non EEA")</f>
        <v>Non EEA</v>
      </c>
      <c r="B169" t="str">
        <f ca="1">IFERROR(__xludf.DUMMYFUNCTION("""COMPUTED_VALUE"""),"XC")</f>
        <v>XC</v>
      </c>
    </row>
    <row r="170" spans="1:2" ht="12.5" x14ac:dyDescent="0.25">
      <c r="A170" t="str">
        <f ca="1">IFERROR(__xludf.DUMMYFUNCTION("""COMPUTED_VALUE"""),"Non European Union")</f>
        <v>Non European Union</v>
      </c>
      <c r="B170" t="str">
        <f ca="1">IFERROR(__xludf.DUMMYFUNCTION("""COMPUTED_VALUE"""),"XE")</f>
        <v>XE</v>
      </c>
    </row>
    <row r="171" spans="1:2" ht="12.5" x14ac:dyDescent="0.25">
      <c r="A171" t="str">
        <f ca="1">IFERROR(__xludf.DUMMYFUNCTION("""COMPUTED_VALUE"""),"Norfolk Island")</f>
        <v>Norfolk Island</v>
      </c>
      <c r="B171" t="str">
        <f ca="1">IFERROR(__xludf.DUMMYFUNCTION("""COMPUTED_VALUE"""),"NF")</f>
        <v>NF</v>
      </c>
    </row>
    <row r="172" spans="1:2" ht="12.5" x14ac:dyDescent="0.25">
      <c r="A172" t="str">
        <f ca="1">IFERROR(__xludf.DUMMYFUNCTION("""COMPUTED_VALUE"""),"Northern Mariana Islands")</f>
        <v>Northern Mariana Islands</v>
      </c>
      <c r="B172" t="str">
        <f ca="1">IFERROR(__xludf.DUMMYFUNCTION("""COMPUTED_VALUE"""),"MP")</f>
        <v>MP</v>
      </c>
    </row>
    <row r="173" spans="1:2" ht="12.5" x14ac:dyDescent="0.25">
      <c r="A173" t="str">
        <f ca="1">IFERROR(__xludf.DUMMYFUNCTION("""COMPUTED_VALUE"""),"Norway")</f>
        <v>Norway</v>
      </c>
      <c r="B173" t="str">
        <f ca="1">IFERROR(__xludf.DUMMYFUNCTION("""COMPUTED_VALUE"""),"NO")</f>
        <v>NO</v>
      </c>
    </row>
    <row r="174" spans="1:2" ht="12.5" x14ac:dyDescent="0.25">
      <c r="A174" t="str">
        <f ca="1">IFERROR(__xludf.DUMMYFUNCTION("""COMPUTED_VALUE"""),"Oman")</f>
        <v>Oman</v>
      </c>
      <c r="B174" t="str">
        <f ca="1">IFERROR(__xludf.DUMMYFUNCTION("""COMPUTED_VALUE"""),"OM")</f>
        <v>OM</v>
      </c>
    </row>
    <row r="175" spans="1:2" ht="12.5" x14ac:dyDescent="0.25">
      <c r="A175" t="str">
        <f ca="1">IFERROR(__xludf.DUMMYFUNCTION("""COMPUTED_VALUE"""),"Pakistan")</f>
        <v>Pakistan</v>
      </c>
      <c r="B175" t="str">
        <f ca="1">IFERROR(__xludf.DUMMYFUNCTION("""COMPUTED_VALUE"""),"PK")</f>
        <v>PK</v>
      </c>
    </row>
    <row r="176" spans="1:2" ht="12.5" x14ac:dyDescent="0.25">
      <c r="A176" t="str">
        <f ca="1">IFERROR(__xludf.DUMMYFUNCTION("""COMPUTED_VALUE"""),"Palau")</f>
        <v>Palau</v>
      </c>
      <c r="B176" t="str">
        <f ca="1">IFERROR(__xludf.DUMMYFUNCTION("""COMPUTED_VALUE"""),"PW")</f>
        <v>PW</v>
      </c>
    </row>
    <row r="177" spans="1:2" ht="12.5" x14ac:dyDescent="0.25">
      <c r="A177" t="str">
        <f ca="1">IFERROR(__xludf.DUMMYFUNCTION("""COMPUTED_VALUE"""),"Palestinian Territory, Occupied")</f>
        <v>Palestinian Territory, Occupied</v>
      </c>
      <c r="B177" t="str">
        <f ca="1">IFERROR(__xludf.DUMMYFUNCTION("""COMPUTED_VALUE"""),"PS")</f>
        <v>PS</v>
      </c>
    </row>
    <row r="178" spans="1:2" ht="12.5" x14ac:dyDescent="0.25">
      <c r="A178" t="str">
        <f ca="1">IFERROR(__xludf.DUMMYFUNCTION("""COMPUTED_VALUE"""),"Panama")</f>
        <v>Panama</v>
      </c>
      <c r="B178" t="str">
        <f ca="1">IFERROR(__xludf.DUMMYFUNCTION("""COMPUTED_VALUE"""),"PA")</f>
        <v>PA</v>
      </c>
    </row>
    <row r="179" spans="1:2" ht="12.5" x14ac:dyDescent="0.25">
      <c r="A179" t="str">
        <f ca="1">IFERROR(__xludf.DUMMYFUNCTION("""COMPUTED_VALUE"""),"Papua New Guinea")</f>
        <v>Papua New Guinea</v>
      </c>
      <c r="B179" t="str">
        <f ca="1">IFERROR(__xludf.DUMMYFUNCTION("""COMPUTED_VALUE"""),"PG")</f>
        <v>PG</v>
      </c>
    </row>
    <row r="180" spans="1:2" ht="12.5" x14ac:dyDescent="0.25">
      <c r="A180" t="str">
        <f ca="1">IFERROR(__xludf.DUMMYFUNCTION("""COMPUTED_VALUE"""),"Paraguay")</f>
        <v>Paraguay</v>
      </c>
      <c r="B180" t="str">
        <f ca="1">IFERROR(__xludf.DUMMYFUNCTION("""COMPUTED_VALUE"""),"PY")</f>
        <v>PY</v>
      </c>
    </row>
    <row r="181" spans="1:2" ht="12.5" x14ac:dyDescent="0.25">
      <c r="A181" t="str">
        <f ca="1">IFERROR(__xludf.DUMMYFUNCTION("""COMPUTED_VALUE"""),"Peru")</f>
        <v>Peru</v>
      </c>
      <c r="B181" t="str">
        <f ca="1">IFERROR(__xludf.DUMMYFUNCTION("""COMPUTED_VALUE"""),"PE")</f>
        <v>PE</v>
      </c>
    </row>
    <row r="182" spans="1:2" ht="12.5" x14ac:dyDescent="0.25">
      <c r="A182" t="str">
        <f ca="1">IFERROR(__xludf.DUMMYFUNCTION("""COMPUTED_VALUE"""),"Philippines")</f>
        <v>Philippines</v>
      </c>
      <c r="B182" t="str">
        <f ca="1">IFERROR(__xludf.DUMMYFUNCTION("""COMPUTED_VALUE"""),"PH")</f>
        <v>PH</v>
      </c>
    </row>
    <row r="183" spans="1:2" ht="12.5" x14ac:dyDescent="0.25">
      <c r="A183" t="str">
        <f ca="1">IFERROR(__xludf.DUMMYFUNCTION("""COMPUTED_VALUE"""),"Pitcairn")</f>
        <v>Pitcairn</v>
      </c>
      <c r="B183" t="str">
        <f ca="1">IFERROR(__xludf.DUMMYFUNCTION("""COMPUTED_VALUE"""),"PN")</f>
        <v>PN</v>
      </c>
    </row>
    <row r="184" spans="1:2" ht="12.5" x14ac:dyDescent="0.25">
      <c r="A184" t="str">
        <f ca="1">IFERROR(__xludf.DUMMYFUNCTION("""COMPUTED_VALUE"""),"Poland")</f>
        <v>Poland</v>
      </c>
      <c r="B184" t="str">
        <f ca="1">IFERROR(__xludf.DUMMYFUNCTION("""COMPUTED_VALUE"""),"PL")</f>
        <v>PL</v>
      </c>
    </row>
    <row r="185" spans="1:2" ht="12.5" x14ac:dyDescent="0.25">
      <c r="A185" t="str">
        <f ca="1">IFERROR(__xludf.DUMMYFUNCTION("""COMPUTED_VALUE"""),"Portugal")</f>
        <v>Portugal</v>
      </c>
      <c r="B185" t="str">
        <f ca="1">IFERROR(__xludf.DUMMYFUNCTION("""COMPUTED_VALUE"""),"PT")</f>
        <v>PT</v>
      </c>
    </row>
    <row r="186" spans="1:2" ht="12.5" x14ac:dyDescent="0.25">
      <c r="A186" t="str">
        <f ca="1">IFERROR(__xludf.DUMMYFUNCTION("""COMPUTED_VALUE"""),"Puerto Rico")</f>
        <v>Puerto Rico</v>
      </c>
      <c r="B186" t="str">
        <f ca="1">IFERROR(__xludf.DUMMYFUNCTION("""COMPUTED_VALUE"""),"PR")</f>
        <v>PR</v>
      </c>
    </row>
    <row r="187" spans="1:2" ht="12.5" x14ac:dyDescent="0.25">
      <c r="A187" t="str">
        <f ca="1">IFERROR(__xludf.DUMMYFUNCTION("""COMPUTED_VALUE"""),"Qatar")</f>
        <v>Qatar</v>
      </c>
      <c r="B187" t="str">
        <f ca="1">IFERROR(__xludf.DUMMYFUNCTION("""COMPUTED_VALUE"""),"QA")</f>
        <v>QA</v>
      </c>
    </row>
    <row r="188" spans="1:2" ht="12.5" x14ac:dyDescent="0.25">
      <c r="A188" t="str">
        <f ca="1">IFERROR(__xludf.DUMMYFUNCTION("""COMPUTED_VALUE"""),"Reunion")</f>
        <v>Reunion</v>
      </c>
      <c r="B188" t="str">
        <f ca="1">IFERROR(__xludf.DUMMYFUNCTION("""COMPUTED_VALUE"""),"RE")</f>
        <v>RE</v>
      </c>
    </row>
    <row r="189" spans="1:2" ht="12.5" x14ac:dyDescent="0.25">
      <c r="A189" t="str">
        <f ca="1">IFERROR(__xludf.DUMMYFUNCTION("""COMPUTED_VALUE"""),"Romania")</f>
        <v>Romania</v>
      </c>
      <c r="B189" t="str">
        <f ca="1">IFERROR(__xludf.DUMMYFUNCTION("""COMPUTED_VALUE"""),"RO")</f>
        <v>RO</v>
      </c>
    </row>
    <row r="190" spans="1:2" ht="12.5" x14ac:dyDescent="0.25">
      <c r="A190" t="str">
        <f ca="1">IFERROR(__xludf.DUMMYFUNCTION("""COMPUTED_VALUE"""),"Russian Federation")</f>
        <v>Russian Federation</v>
      </c>
      <c r="B190" t="str">
        <f ca="1">IFERROR(__xludf.DUMMYFUNCTION("""COMPUTED_VALUE"""),"RU")</f>
        <v>RU</v>
      </c>
    </row>
    <row r="191" spans="1:2" ht="12.5" x14ac:dyDescent="0.25">
      <c r="A191" t="str">
        <f ca="1">IFERROR(__xludf.DUMMYFUNCTION("""COMPUTED_VALUE"""),"Rwanda")</f>
        <v>Rwanda</v>
      </c>
      <c r="B191" t="str">
        <f ca="1">IFERROR(__xludf.DUMMYFUNCTION("""COMPUTED_VALUE"""),"RW")</f>
        <v>RW</v>
      </c>
    </row>
    <row r="192" spans="1:2" ht="12.5" x14ac:dyDescent="0.25">
      <c r="A192" t="str">
        <f ca="1">IFERROR(__xludf.DUMMYFUNCTION("""COMPUTED_VALUE"""),"Saint Barthélemy")</f>
        <v>Saint Barthélemy</v>
      </c>
      <c r="B192" t="str">
        <f ca="1">IFERROR(__xludf.DUMMYFUNCTION("""COMPUTED_VALUE"""),"BL")</f>
        <v>BL</v>
      </c>
    </row>
    <row r="193" spans="1:2" ht="12.5" x14ac:dyDescent="0.25">
      <c r="A193" t="str">
        <f ca="1">IFERROR(__xludf.DUMMYFUNCTION("""COMPUTED_VALUE"""),"Saint Helena, Ascension and Tristan Da Cunha")</f>
        <v>Saint Helena, Ascension and Tristan Da Cunha</v>
      </c>
      <c r="B193" t="str">
        <f ca="1">IFERROR(__xludf.DUMMYFUNCTION("""COMPUTED_VALUE"""),"SH")</f>
        <v>SH</v>
      </c>
    </row>
    <row r="194" spans="1:2" ht="12.5" x14ac:dyDescent="0.25">
      <c r="A194" t="str">
        <f ca="1">IFERROR(__xludf.DUMMYFUNCTION("""COMPUTED_VALUE"""),"Saint Kitts and Nevis")</f>
        <v>Saint Kitts and Nevis</v>
      </c>
      <c r="B194" t="str">
        <f ca="1">IFERROR(__xludf.DUMMYFUNCTION("""COMPUTED_VALUE"""),"KN")</f>
        <v>KN</v>
      </c>
    </row>
    <row r="195" spans="1:2" ht="12.5" x14ac:dyDescent="0.25">
      <c r="A195" t="str">
        <f ca="1">IFERROR(__xludf.DUMMYFUNCTION("""COMPUTED_VALUE"""),"Saint Lucia")</f>
        <v>Saint Lucia</v>
      </c>
      <c r="B195" t="str">
        <f ca="1">IFERROR(__xludf.DUMMYFUNCTION("""COMPUTED_VALUE"""),"LC")</f>
        <v>LC</v>
      </c>
    </row>
    <row r="196" spans="1:2" ht="12.5" x14ac:dyDescent="0.25">
      <c r="A196" t="str">
        <f ca="1">IFERROR(__xludf.DUMMYFUNCTION("""COMPUTED_VALUE"""),"Saint Martin (French Part)")</f>
        <v>Saint Martin (French Part)</v>
      </c>
      <c r="B196" t="str">
        <f ca="1">IFERROR(__xludf.DUMMYFUNCTION("""COMPUTED_VALUE"""),"MF")</f>
        <v>MF</v>
      </c>
    </row>
    <row r="197" spans="1:2" ht="12.5" x14ac:dyDescent="0.25">
      <c r="A197" t="str">
        <f ca="1">IFERROR(__xludf.DUMMYFUNCTION("""COMPUTED_VALUE"""),"Saint Pierre And Miquelon")</f>
        <v>Saint Pierre And Miquelon</v>
      </c>
      <c r="B197" t="str">
        <f ca="1">IFERROR(__xludf.DUMMYFUNCTION("""COMPUTED_VALUE"""),"PM")</f>
        <v>PM</v>
      </c>
    </row>
    <row r="198" spans="1:2" ht="12.5" x14ac:dyDescent="0.25">
      <c r="A198" t="str">
        <f ca="1">IFERROR(__xludf.DUMMYFUNCTION("""COMPUTED_VALUE"""),"Saint Vincent and the Grenadines")</f>
        <v>Saint Vincent and the Grenadines</v>
      </c>
      <c r="B198" t="str">
        <f ca="1">IFERROR(__xludf.DUMMYFUNCTION("""COMPUTED_VALUE"""),"VC")</f>
        <v>VC</v>
      </c>
    </row>
    <row r="199" spans="1:2" ht="12.5" x14ac:dyDescent="0.25">
      <c r="A199" t="str">
        <f ca="1">IFERROR(__xludf.DUMMYFUNCTION("""COMPUTED_VALUE"""),"Samoa")</f>
        <v>Samoa</v>
      </c>
      <c r="B199" t="str">
        <f ca="1">IFERROR(__xludf.DUMMYFUNCTION("""COMPUTED_VALUE"""),"WS")</f>
        <v>WS</v>
      </c>
    </row>
    <row r="200" spans="1:2" ht="12.5" x14ac:dyDescent="0.25">
      <c r="A200" t="str">
        <f ca="1">IFERROR(__xludf.DUMMYFUNCTION("""COMPUTED_VALUE"""),"San Marino")</f>
        <v>San Marino</v>
      </c>
      <c r="B200" t="str">
        <f ca="1">IFERROR(__xludf.DUMMYFUNCTION("""COMPUTED_VALUE"""),"SM")</f>
        <v>SM</v>
      </c>
    </row>
    <row r="201" spans="1:2" ht="12.5" x14ac:dyDescent="0.25">
      <c r="A201" t="str">
        <f ca="1">IFERROR(__xludf.DUMMYFUNCTION("""COMPUTED_VALUE"""),"Sao Tome and Principe")</f>
        <v>Sao Tome and Principe</v>
      </c>
      <c r="B201" t="str">
        <f ca="1">IFERROR(__xludf.DUMMYFUNCTION("""COMPUTED_VALUE"""),"ST")</f>
        <v>ST</v>
      </c>
    </row>
    <row r="202" spans="1:2" ht="12.5" x14ac:dyDescent="0.25">
      <c r="A202" t="str">
        <f ca="1">IFERROR(__xludf.DUMMYFUNCTION("""COMPUTED_VALUE"""),"Saudi Arabia")</f>
        <v>Saudi Arabia</v>
      </c>
      <c r="B202" t="str">
        <f ca="1">IFERROR(__xludf.DUMMYFUNCTION("""COMPUTED_VALUE"""),"SA")</f>
        <v>SA</v>
      </c>
    </row>
    <row r="203" spans="1:2" ht="12.5" x14ac:dyDescent="0.25">
      <c r="A203" t="str">
        <f ca="1">IFERROR(__xludf.DUMMYFUNCTION("""COMPUTED_VALUE"""),"Senegal")</f>
        <v>Senegal</v>
      </c>
      <c r="B203" t="str">
        <f ca="1">IFERROR(__xludf.DUMMYFUNCTION("""COMPUTED_VALUE"""),"SN")</f>
        <v>SN</v>
      </c>
    </row>
    <row r="204" spans="1:2" ht="12.5" x14ac:dyDescent="0.25">
      <c r="A204" t="str">
        <f ca="1">IFERROR(__xludf.DUMMYFUNCTION("""COMPUTED_VALUE"""),"Serbia")</f>
        <v>Serbia</v>
      </c>
      <c r="B204" t="str">
        <f ca="1">IFERROR(__xludf.DUMMYFUNCTION("""COMPUTED_VALUE"""),"RS")</f>
        <v>RS</v>
      </c>
    </row>
    <row r="205" spans="1:2" ht="12.5" x14ac:dyDescent="0.25">
      <c r="A205" t="str">
        <f ca="1">IFERROR(__xludf.DUMMYFUNCTION("""COMPUTED_VALUE"""),"Seychelles")</f>
        <v>Seychelles</v>
      </c>
      <c r="B205" t="str">
        <f ca="1">IFERROR(__xludf.DUMMYFUNCTION("""COMPUTED_VALUE"""),"SC")</f>
        <v>SC</v>
      </c>
    </row>
    <row r="206" spans="1:2" ht="12.5" x14ac:dyDescent="0.25">
      <c r="A206" t="str">
        <f ca="1">IFERROR(__xludf.DUMMYFUNCTION("""COMPUTED_VALUE"""),"Sierra Leone")</f>
        <v>Sierra Leone</v>
      </c>
      <c r="B206" t="str">
        <f ca="1">IFERROR(__xludf.DUMMYFUNCTION("""COMPUTED_VALUE"""),"SL")</f>
        <v>SL</v>
      </c>
    </row>
    <row r="207" spans="1:2" ht="12.5" x14ac:dyDescent="0.25">
      <c r="A207" t="str">
        <f ca="1">IFERROR(__xludf.DUMMYFUNCTION("""COMPUTED_VALUE"""),"Singapore")</f>
        <v>Singapore</v>
      </c>
      <c r="B207" t="str">
        <f ca="1">IFERROR(__xludf.DUMMYFUNCTION("""COMPUTED_VALUE"""),"SG")</f>
        <v>SG</v>
      </c>
    </row>
    <row r="208" spans="1:2" ht="12.5" x14ac:dyDescent="0.25">
      <c r="A208" t="str">
        <f ca="1">IFERROR(__xludf.DUMMYFUNCTION("""COMPUTED_VALUE"""),"Sint Maarten (Dutch Part)")</f>
        <v>Sint Maarten (Dutch Part)</v>
      </c>
      <c r="B208" t="str">
        <f ca="1">IFERROR(__xludf.DUMMYFUNCTION("""COMPUTED_VALUE"""),"SX")</f>
        <v>SX</v>
      </c>
    </row>
    <row r="209" spans="1:2" ht="12.5" x14ac:dyDescent="0.25">
      <c r="A209" t="str">
        <f ca="1">IFERROR(__xludf.DUMMYFUNCTION("""COMPUTED_VALUE"""),"Slovakia")</f>
        <v>Slovakia</v>
      </c>
      <c r="B209" t="str">
        <f ca="1">IFERROR(__xludf.DUMMYFUNCTION("""COMPUTED_VALUE"""),"SK")</f>
        <v>SK</v>
      </c>
    </row>
    <row r="210" spans="1:2" ht="12.5" x14ac:dyDescent="0.25">
      <c r="A210" t="str">
        <f ca="1">IFERROR(__xludf.DUMMYFUNCTION("""COMPUTED_VALUE"""),"Slovenia")</f>
        <v>Slovenia</v>
      </c>
      <c r="B210" t="str">
        <f ca="1">IFERROR(__xludf.DUMMYFUNCTION("""COMPUTED_VALUE"""),"SI")</f>
        <v>SI</v>
      </c>
    </row>
    <row r="211" spans="1:2" ht="12.5" x14ac:dyDescent="0.25">
      <c r="A211" t="str">
        <f ca="1">IFERROR(__xludf.DUMMYFUNCTION("""COMPUTED_VALUE"""),"Solomon Islands")</f>
        <v>Solomon Islands</v>
      </c>
      <c r="B211" t="str">
        <f ca="1">IFERROR(__xludf.DUMMYFUNCTION("""COMPUTED_VALUE"""),"SB")</f>
        <v>SB</v>
      </c>
    </row>
    <row r="212" spans="1:2" ht="12.5" x14ac:dyDescent="0.25">
      <c r="A212" t="str">
        <f ca="1">IFERROR(__xludf.DUMMYFUNCTION("""COMPUTED_VALUE"""),"Somalia")</f>
        <v>Somalia</v>
      </c>
      <c r="B212" t="str">
        <f ca="1">IFERROR(__xludf.DUMMYFUNCTION("""COMPUTED_VALUE"""),"SO")</f>
        <v>SO</v>
      </c>
    </row>
    <row r="213" spans="1:2" ht="12.5" x14ac:dyDescent="0.25">
      <c r="A213" t="str">
        <f ca="1">IFERROR(__xludf.DUMMYFUNCTION("""COMPUTED_VALUE"""),"South Africa")</f>
        <v>South Africa</v>
      </c>
      <c r="B213" t="str">
        <f ca="1">IFERROR(__xludf.DUMMYFUNCTION("""COMPUTED_VALUE"""),"ZA")</f>
        <v>ZA</v>
      </c>
    </row>
    <row r="214" spans="1:2" ht="12.5" x14ac:dyDescent="0.25">
      <c r="A214" t="str">
        <f ca="1">IFERROR(__xludf.DUMMYFUNCTION("""COMPUTED_VALUE"""),"South Georgia and The South Sandwich Islands")</f>
        <v>South Georgia and The South Sandwich Islands</v>
      </c>
      <c r="B214" t="str">
        <f ca="1">IFERROR(__xludf.DUMMYFUNCTION("""COMPUTED_VALUE"""),"GS")</f>
        <v>GS</v>
      </c>
    </row>
    <row r="215" spans="1:2" ht="12.5" x14ac:dyDescent="0.25">
      <c r="A215" t="str">
        <f ca="1">IFERROR(__xludf.DUMMYFUNCTION("""COMPUTED_VALUE"""),"Spain")</f>
        <v>Spain</v>
      </c>
      <c r="B215" t="str">
        <f ca="1">IFERROR(__xludf.DUMMYFUNCTION("""COMPUTED_VALUE"""),"ES")</f>
        <v>ES</v>
      </c>
    </row>
    <row r="216" spans="1:2" ht="12.5" x14ac:dyDescent="0.25">
      <c r="A216" t="str">
        <f ca="1">IFERROR(__xludf.DUMMYFUNCTION("""COMPUTED_VALUE"""),"Sri Lanka")</f>
        <v>Sri Lanka</v>
      </c>
      <c r="B216" t="str">
        <f ca="1">IFERROR(__xludf.DUMMYFUNCTION("""COMPUTED_VALUE"""),"LK")</f>
        <v>LK</v>
      </c>
    </row>
    <row r="217" spans="1:2" ht="12.5" x14ac:dyDescent="0.25">
      <c r="A217" t="str">
        <f ca="1">IFERROR(__xludf.DUMMYFUNCTION("""COMPUTED_VALUE"""),"Sudan")</f>
        <v>Sudan</v>
      </c>
      <c r="B217" t="str">
        <f ca="1">IFERROR(__xludf.DUMMYFUNCTION("""COMPUTED_VALUE"""),"SD")</f>
        <v>SD</v>
      </c>
    </row>
    <row r="218" spans="1:2" ht="12.5" x14ac:dyDescent="0.25">
      <c r="A218" t="str">
        <f ca="1">IFERROR(__xludf.DUMMYFUNCTION("""COMPUTED_VALUE"""),"Suriname")</f>
        <v>Suriname</v>
      </c>
      <c r="B218" t="str">
        <f ca="1">IFERROR(__xludf.DUMMYFUNCTION("""COMPUTED_VALUE"""),"SR")</f>
        <v>SR</v>
      </c>
    </row>
    <row r="219" spans="1:2" ht="12.5" x14ac:dyDescent="0.25">
      <c r="A219" t="str">
        <f ca="1">IFERROR(__xludf.DUMMYFUNCTION("""COMPUTED_VALUE"""),"Svalbard And Jan Mayen")</f>
        <v>Svalbard And Jan Mayen</v>
      </c>
      <c r="B219" t="str">
        <f ca="1">IFERROR(__xludf.DUMMYFUNCTION("""COMPUTED_VALUE"""),"SJ")</f>
        <v>SJ</v>
      </c>
    </row>
    <row r="220" spans="1:2" ht="12.5" x14ac:dyDescent="0.25">
      <c r="A220" t="str">
        <f ca="1">IFERROR(__xludf.DUMMYFUNCTION("""COMPUTED_VALUE"""),"Swaziland")</f>
        <v>Swaziland</v>
      </c>
      <c r="B220" t="str">
        <f ca="1">IFERROR(__xludf.DUMMYFUNCTION("""COMPUTED_VALUE"""),"SZ")</f>
        <v>SZ</v>
      </c>
    </row>
    <row r="221" spans="1:2" ht="12.5" x14ac:dyDescent="0.25">
      <c r="A221" t="str">
        <f ca="1">IFERROR(__xludf.DUMMYFUNCTION("""COMPUTED_VALUE"""),"Sweden")</f>
        <v>Sweden</v>
      </c>
      <c r="B221" t="str">
        <f ca="1">IFERROR(__xludf.DUMMYFUNCTION("""COMPUTED_VALUE"""),"SE")</f>
        <v>SE</v>
      </c>
    </row>
    <row r="222" spans="1:2" ht="12.5" x14ac:dyDescent="0.25">
      <c r="A222" t="str">
        <f ca="1">IFERROR(__xludf.DUMMYFUNCTION("""COMPUTED_VALUE"""),"Switzerland")</f>
        <v>Switzerland</v>
      </c>
      <c r="B222" t="str">
        <f ca="1">IFERROR(__xludf.DUMMYFUNCTION("""COMPUTED_VALUE"""),"CH")</f>
        <v>CH</v>
      </c>
    </row>
    <row r="223" spans="1:2" ht="12.5" x14ac:dyDescent="0.25">
      <c r="A223" t="str">
        <f ca="1">IFERROR(__xludf.DUMMYFUNCTION("""COMPUTED_VALUE"""),"Syrian Arab Republic")</f>
        <v>Syrian Arab Republic</v>
      </c>
      <c r="B223" t="str">
        <f ca="1">IFERROR(__xludf.DUMMYFUNCTION("""COMPUTED_VALUE"""),"SY")</f>
        <v>SY</v>
      </c>
    </row>
    <row r="224" spans="1:2" ht="12.5" x14ac:dyDescent="0.25">
      <c r="A224" t="str">
        <f ca="1">IFERROR(__xludf.DUMMYFUNCTION("""COMPUTED_VALUE"""),"Taiwan, Province of China")</f>
        <v>Taiwan, Province of China</v>
      </c>
      <c r="B224" t="str">
        <f ca="1">IFERROR(__xludf.DUMMYFUNCTION("""COMPUTED_VALUE"""),"TW")</f>
        <v>TW</v>
      </c>
    </row>
    <row r="225" spans="1:2" ht="12.5" x14ac:dyDescent="0.25">
      <c r="A225" t="str">
        <f ca="1">IFERROR(__xludf.DUMMYFUNCTION("""COMPUTED_VALUE"""),"Tajikistan")</f>
        <v>Tajikistan</v>
      </c>
      <c r="B225" t="str">
        <f ca="1">IFERROR(__xludf.DUMMYFUNCTION("""COMPUTED_VALUE"""),"TJ")</f>
        <v>TJ</v>
      </c>
    </row>
    <row r="226" spans="1:2" ht="12.5" x14ac:dyDescent="0.25">
      <c r="A226" t="str">
        <f ca="1">IFERROR(__xludf.DUMMYFUNCTION("""COMPUTED_VALUE"""),"Tanzania, United Republic of")</f>
        <v>Tanzania, United Republic of</v>
      </c>
      <c r="B226" t="str">
        <f ca="1">IFERROR(__xludf.DUMMYFUNCTION("""COMPUTED_VALUE"""),"TZ")</f>
        <v>TZ</v>
      </c>
    </row>
    <row r="227" spans="1:2" ht="12.5" x14ac:dyDescent="0.25">
      <c r="A227" t="str">
        <f ca="1">IFERROR(__xludf.DUMMYFUNCTION("""COMPUTED_VALUE"""),"Thailand")</f>
        <v>Thailand</v>
      </c>
      <c r="B227" t="str">
        <f ca="1">IFERROR(__xludf.DUMMYFUNCTION("""COMPUTED_VALUE"""),"TH")</f>
        <v>TH</v>
      </c>
    </row>
    <row r="228" spans="1:2" ht="12.5" x14ac:dyDescent="0.25">
      <c r="A228" t="str">
        <f ca="1">IFERROR(__xludf.DUMMYFUNCTION("""COMPUTED_VALUE"""),"Timor-Leste")</f>
        <v>Timor-Leste</v>
      </c>
      <c r="B228" t="str">
        <f ca="1">IFERROR(__xludf.DUMMYFUNCTION("""COMPUTED_VALUE"""),"TL")</f>
        <v>TL</v>
      </c>
    </row>
    <row r="229" spans="1:2" ht="12.5" x14ac:dyDescent="0.25">
      <c r="A229" t="str">
        <f ca="1">IFERROR(__xludf.DUMMYFUNCTION("""COMPUTED_VALUE"""),"Togo")</f>
        <v>Togo</v>
      </c>
      <c r="B229" t="str">
        <f ca="1">IFERROR(__xludf.DUMMYFUNCTION("""COMPUTED_VALUE"""),"TG")</f>
        <v>TG</v>
      </c>
    </row>
    <row r="230" spans="1:2" ht="12.5" x14ac:dyDescent="0.25">
      <c r="A230" t="str">
        <f ca="1">IFERROR(__xludf.DUMMYFUNCTION("""COMPUTED_VALUE"""),"Tokelau")</f>
        <v>Tokelau</v>
      </c>
      <c r="B230" t="str">
        <f ca="1">IFERROR(__xludf.DUMMYFUNCTION("""COMPUTED_VALUE"""),"TK")</f>
        <v>TK</v>
      </c>
    </row>
    <row r="231" spans="1:2" ht="12.5" x14ac:dyDescent="0.25">
      <c r="A231" t="str">
        <f ca="1">IFERROR(__xludf.DUMMYFUNCTION("""COMPUTED_VALUE"""),"Tonga")</f>
        <v>Tonga</v>
      </c>
      <c r="B231" t="str">
        <f ca="1">IFERROR(__xludf.DUMMYFUNCTION("""COMPUTED_VALUE"""),"TO")</f>
        <v>TO</v>
      </c>
    </row>
    <row r="232" spans="1:2" ht="12.5" x14ac:dyDescent="0.25">
      <c r="A232" t="str">
        <f ca="1">IFERROR(__xludf.DUMMYFUNCTION("""COMPUTED_VALUE"""),"Trinidad And Tobago")</f>
        <v>Trinidad And Tobago</v>
      </c>
      <c r="B232" t="str">
        <f ca="1">IFERROR(__xludf.DUMMYFUNCTION("""COMPUTED_VALUE"""),"TT")</f>
        <v>TT</v>
      </c>
    </row>
    <row r="233" spans="1:2" ht="12.5" x14ac:dyDescent="0.25">
      <c r="A233" t="str">
        <f ca="1">IFERROR(__xludf.DUMMYFUNCTION("""COMPUTED_VALUE"""),"Tunisia")</f>
        <v>Tunisia</v>
      </c>
      <c r="B233" t="str">
        <f ca="1">IFERROR(__xludf.DUMMYFUNCTION("""COMPUTED_VALUE"""),"TN")</f>
        <v>TN</v>
      </c>
    </row>
    <row r="234" spans="1:2" ht="12.5" x14ac:dyDescent="0.25">
      <c r="A234" t="str">
        <f ca="1">IFERROR(__xludf.DUMMYFUNCTION("""COMPUTED_VALUE"""),"Turkey")</f>
        <v>Turkey</v>
      </c>
      <c r="B234" t="str">
        <f ca="1">IFERROR(__xludf.DUMMYFUNCTION("""COMPUTED_VALUE"""),"TR")</f>
        <v>TR</v>
      </c>
    </row>
    <row r="235" spans="1:2" ht="12.5" x14ac:dyDescent="0.25">
      <c r="A235" t="str">
        <f ca="1">IFERROR(__xludf.DUMMYFUNCTION("""COMPUTED_VALUE"""),"Turkmenistan")</f>
        <v>Turkmenistan</v>
      </c>
      <c r="B235" t="str">
        <f ca="1">IFERROR(__xludf.DUMMYFUNCTION("""COMPUTED_VALUE"""),"TM")</f>
        <v>TM</v>
      </c>
    </row>
    <row r="236" spans="1:2" ht="12.5" x14ac:dyDescent="0.25">
      <c r="A236" t="str">
        <f ca="1">IFERROR(__xludf.DUMMYFUNCTION("""COMPUTED_VALUE"""),"Turks and Caicos Islands")</f>
        <v>Turks and Caicos Islands</v>
      </c>
      <c r="B236" t="str">
        <f ca="1">IFERROR(__xludf.DUMMYFUNCTION("""COMPUTED_VALUE"""),"TC")</f>
        <v>TC</v>
      </c>
    </row>
    <row r="237" spans="1:2" ht="12.5" x14ac:dyDescent="0.25">
      <c r="A237" t="str">
        <f ca="1">IFERROR(__xludf.DUMMYFUNCTION("""COMPUTED_VALUE"""),"Tuvalu")</f>
        <v>Tuvalu</v>
      </c>
      <c r="B237" t="str">
        <f ca="1">IFERROR(__xludf.DUMMYFUNCTION("""COMPUTED_VALUE"""),"TV")</f>
        <v>TV</v>
      </c>
    </row>
    <row r="238" spans="1:2" ht="12.5" x14ac:dyDescent="0.25">
      <c r="A238" t="str">
        <f ca="1">IFERROR(__xludf.DUMMYFUNCTION("""COMPUTED_VALUE"""),"Uganda")</f>
        <v>Uganda</v>
      </c>
      <c r="B238" t="str">
        <f ca="1">IFERROR(__xludf.DUMMYFUNCTION("""COMPUTED_VALUE"""),"UG")</f>
        <v>UG</v>
      </c>
    </row>
    <row r="239" spans="1:2" ht="12.5" x14ac:dyDescent="0.25">
      <c r="A239" t="str">
        <f ca="1">IFERROR(__xludf.DUMMYFUNCTION("""COMPUTED_VALUE"""),"Ukraine")</f>
        <v>Ukraine</v>
      </c>
      <c r="B239" t="str">
        <f ca="1">IFERROR(__xludf.DUMMYFUNCTION("""COMPUTED_VALUE"""),"UA")</f>
        <v>UA</v>
      </c>
    </row>
    <row r="240" spans="1:2" ht="12.5" x14ac:dyDescent="0.25">
      <c r="A240" t="str">
        <f ca="1">IFERROR(__xludf.DUMMYFUNCTION("""COMPUTED_VALUE"""),"United Arab Emirates")</f>
        <v>United Arab Emirates</v>
      </c>
      <c r="B240" t="str">
        <f ca="1">IFERROR(__xludf.DUMMYFUNCTION("""COMPUTED_VALUE"""),"AE")</f>
        <v>AE</v>
      </c>
    </row>
    <row r="241" spans="1:2" ht="12.5" x14ac:dyDescent="0.25">
      <c r="A241" t="str">
        <f ca="1">IFERROR(__xludf.DUMMYFUNCTION("""COMPUTED_VALUE"""),"United Kingdom")</f>
        <v>United Kingdom</v>
      </c>
      <c r="B241" t="str">
        <f ca="1">IFERROR(__xludf.DUMMYFUNCTION("""COMPUTED_VALUE"""),"GB")</f>
        <v>GB</v>
      </c>
    </row>
    <row r="242" spans="1:2" ht="12.5" x14ac:dyDescent="0.25">
      <c r="A242" t="str">
        <f ca="1">IFERROR(__xludf.DUMMYFUNCTION("""COMPUTED_VALUE"""),"United States")</f>
        <v>United States</v>
      </c>
      <c r="B242" t="str">
        <f ca="1">IFERROR(__xludf.DUMMYFUNCTION("""COMPUTED_VALUE"""),"US")</f>
        <v>US</v>
      </c>
    </row>
    <row r="243" spans="1:2" ht="12.5" x14ac:dyDescent="0.25">
      <c r="A243" t="str">
        <f ca="1">IFERROR(__xludf.DUMMYFUNCTION("""COMPUTED_VALUE"""),"United States Minor Outlying Islands")</f>
        <v>United States Minor Outlying Islands</v>
      </c>
      <c r="B243" t="str">
        <f ca="1">IFERROR(__xludf.DUMMYFUNCTION("""COMPUTED_VALUE"""),"UM")</f>
        <v>UM</v>
      </c>
    </row>
    <row r="244" spans="1:2" ht="12.5" x14ac:dyDescent="0.25">
      <c r="A244" t="str">
        <f ca="1">IFERROR(__xludf.DUMMYFUNCTION("""COMPUTED_VALUE"""),"Unknown")</f>
        <v>Unknown</v>
      </c>
      <c r="B244" t="str">
        <f ca="1">IFERROR(__xludf.DUMMYFUNCTION("""COMPUTED_VALUE"""),"XX")</f>
        <v>XX</v>
      </c>
    </row>
    <row r="245" spans="1:2" ht="12.5" x14ac:dyDescent="0.25">
      <c r="A245" t="str">
        <f ca="1">IFERROR(__xludf.DUMMYFUNCTION("""COMPUTED_VALUE"""),"Uruguay")</f>
        <v>Uruguay</v>
      </c>
      <c r="B245" t="str">
        <f ca="1">IFERROR(__xludf.DUMMYFUNCTION("""COMPUTED_VALUE"""),"UY")</f>
        <v>UY</v>
      </c>
    </row>
    <row r="246" spans="1:2" ht="12.5" x14ac:dyDescent="0.25">
      <c r="A246" t="str">
        <f ca="1">IFERROR(__xludf.DUMMYFUNCTION("""COMPUTED_VALUE"""),"Uzbekistan")</f>
        <v>Uzbekistan</v>
      </c>
      <c r="B246" t="str">
        <f ca="1">IFERROR(__xludf.DUMMYFUNCTION("""COMPUTED_VALUE"""),"UZ")</f>
        <v>UZ</v>
      </c>
    </row>
    <row r="247" spans="1:2" ht="12.5" x14ac:dyDescent="0.25">
      <c r="A247" t="str">
        <f ca="1">IFERROR(__xludf.DUMMYFUNCTION("""COMPUTED_VALUE"""),"Vanuatu")</f>
        <v>Vanuatu</v>
      </c>
      <c r="B247" t="str">
        <f ca="1">IFERROR(__xludf.DUMMYFUNCTION("""COMPUTED_VALUE"""),"VU")</f>
        <v>VU</v>
      </c>
    </row>
    <row r="248" spans="1:2" ht="12.5" x14ac:dyDescent="0.25">
      <c r="A248" t="str">
        <f ca="1">IFERROR(__xludf.DUMMYFUNCTION("""COMPUTED_VALUE"""),"Venezuela, Bolivarian Republic of")</f>
        <v>Venezuela, Bolivarian Republic of</v>
      </c>
      <c r="B248" t="str">
        <f ca="1">IFERROR(__xludf.DUMMYFUNCTION("""COMPUTED_VALUE"""),"VE")</f>
        <v>VE</v>
      </c>
    </row>
    <row r="249" spans="1:2" ht="12.5" x14ac:dyDescent="0.25">
      <c r="A249" t="str">
        <f ca="1">IFERROR(__xludf.DUMMYFUNCTION("""COMPUTED_VALUE"""),"Viet Nam")</f>
        <v>Viet Nam</v>
      </c>
      <c r="B249" t="str">
        <f ca="1">IFERROR(__xludf.DUMMYFUNCTION("""COMPUTED_VALUE"""),"VN")</f>
        <v>VN</v>
      </c>
    </row>
    <row r="250" spans="1:2" ht="12.5" x14ac:dyDescent="0.25">
      <c r="A250" t="str">
        <f ca="1">IFERROR(__xludf.DUMMYFUNCTION("""COMPUTED_VALUE"""),"Virgin Islands, British")</f>
        <v>Virgin Islands, British</v>
      </c>
      <c r="B250" t="str">
        <f ca="1">IFERROR(__xludf.DUMMYFUNCTION("""COMPUTED_VALUE"""),"VG")</f>
        <v>VG</v>
      </c>
    </row>
    <row r="251" spans="1:2" ht="12.5" x14ac:dyDescent="0.25">
      <c r="A251" t="str">
        <f ca="1">IFERROR(__xludf.DUMMYFUNCTION("""COMPUTED_VALUE"""),"Virgin Islands, U.S.")</f>
        <v>Virgin Islands, U.S.</v>
      </c>
      <c r="B251" t="str">
        <f ca="1">IFERROR(__xludf.DUMMYFUNCTION("""COMPUTED_VALUE"""),"VI")</f>
        <v>VI</v>
      </c>
    </row>
    <row r="252" spans="1:2" ht="12.5" x14ac:dyDescent="0.25">
      <c r="A252" t="str">
        <f ca="1">IFERROR(__xludf.DUMMYFUNCTION("""COMPUTED_VALUE"""),"Wallis and Futuna Islands")</f>
        <v>Wallis and Futuna Islands</v>
      </c>
      <c r="B252" t="str">
        <f ca="1">IFERROR(__xludf.DUMMYFUNCTION("""COMPUTED_VALUE"""),"WF")</f>
        <v>WF</v>
      </c>
    </row>
    <row r="253" spans="1:2" ht="12.5" x14ac:dyDescent="0.25">
      <c r="A253" t="str">
        <f ca="1">IFERROR(__xludf.DUMMYFUNCTION("""COMPUTED_VALUE"""),"Western Sahara")</f>
        <v>Western Sahara</v>
      </c>
      <c r="B253" t="str">
        <f ca="1">IFERROR(__xludf.DUMMYFUNCTION("""COMPUTED_VALUE"""),"EH")</f>
        <v>EH</v>
      </c>
    </row>
    <row r="254" spans="1:2" ht="12.5" x14ac:dyDescent="0.25">
      <c r="A254" t="str">
        <f ca="1">IFERROR(__xludf.DUMMYFUNCTION("""COMPUTED_VALUE"""),"Yemen")</f>
        <v>Yemen</v>
      </c>
      <c r="B254" t="str">
        <f ca="1">IFERROR(__xludf.DUMMYFUNCTION("""COMPUTED_VALUE"""),"YE")</f>
        <v>YE</v>
      </c>
    </row>
    <row r="255" spans="1:2" ht="12.5" x14ac:dyDescent="0.25">
      <c r="A255" t="str">
        <f ca="1">IFERROR(__xludf.DUMMYFUNCTION("""COMPUTED_VALUE"""),"Zambia")</f>
        <v>Zambia</v>
      </c>
      <c r="B255" t="str">
        <f ca="1">IFERROR(__xludf.DUMMYFUNCTION("""COMPUTED_VALUE"""),"ZM")</f>
        <v>ZM</v>
      </c>
    </row>
    <row r="256" spans="1:2" ht="12.5" x14ac:dyDescent="0.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x14ac:dyDescent="0.25">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x14ac:dyDescent="0.25">
      <c r="A2" t="str">
        <f ca="1">IFERROR(__xludf.DUMMYFUNCTION("""COMPUTED_VALUE"""),"According to OIE guidelines")</f>
        <v>According to OIE guidelines</v>
      </c>
      <c r="B2" t="str">
        <f ca="1">IFERROR(__xludf.DUMMYFUNCTION("""COMPUTED_VALUE"""),"V006A")</f>
        <v>V006A</v>
      </c>
    </row>
    <row r="3" spans="1:3" x14ac:dyDescent="0.25">
      <c r="A3" t="str">
        <f ca="1">IFERROR(__xludf.DUMMYFUNCTION("""COMPUTED_VALUE"""),"Internally validated")</f>
        <v>Internally validated</v>
      </c>
      <c r="B3" t="str">
        <f ca="1">IFERROR(__xludf.DUMMYFUNCTION("""COMPUTED_VALUE"""),"V005A")</f>
        <v>V005A</v>
      </c>
    </row>
    <row r="4" spans="1:3" x14ac:dyDescent="0.25">
      <c r="A4" t="str">
        <f ca="1">IFERROR(__xludf.DUMMYFUNCTION("""COMPUTED_VALUE"""),"ISO/IEC17025")</f>
        <v>ISO/IEC17025</v>
      </c>
      <c r="B4" t="str">
        <f ca="1">IFERROR(__xludf.DUMMYFUNCTION("""COMPUTED_VALUE"""),"V001A")</f>
        <v>V001A</v>
      </c>
    </row>
    <row r="5" spans="1:3" x14ac:dyDescent="0.25">
      <c r="A5" t="str">
        <f ca="1">IFERROR(__xludf.DUMMYFUNCTION("""COMPUTED_VALUE"""),"Not validated")</f>
        <v>Not validated</v>
      </c>
      <c r="B5" t="str">
        <f ca="1">IFERROR(__xludf.DUMMYFUNCTION("""COMPUTED_VALUE"""),"V999A")</f>
        <v>V999A</v>
      </c>
    </row>
    <row r="6" spans="1:3" x14ac:dyDescent="0.25">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x14ac:dyDescent="0.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x14ac:dyDescent="0.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x14ac:dyDescent="0.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x14ac:dyDescent="0.25">
      <c r="A5" t="str">
        <f ca="1">IFERROR(__xludf.DUMMYFUNCTION("""COMPUTED_VALUE"""),"Agglutination")</f>
        <v>Agglutination</v>
      </c>
      <c r="B5" t="str">
        <f ca="1">IFERROR(__xludf.DUMMYFUNCTION("""COMPUTED_VALUE"""),"F082A")</f>
        <v>F082A</v>
      </c>
    </row>
    <row r="6" spans="1:3" ht="12.5" x14ac:dyDescent="0.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x14ac:dyDescent="0.25">
      <c r="A7" t="str">
        <f ca="1">IFERROR(__xludf.DUMMYFUNCTION("""COMPUTED_VALUE"""),"Anatomic-pathologic standard tests")</f>
        <v>Anatomic-pathologic standard tests</v>
      </c>
      <c r="B7" t="str">
        <f ca="1">IFERROR(__xludf.DUMMYFUNCTION("""COMPUTED_VALUE"""),"F103A")</f>
        <v>F103A</v>
      </c>
    </row>
    <row r="8" spans="1:3" ht="12.5" x14ac:dyDescent="0.25">
      <c r="A8" t="str">
        <f ca="1">IFERROR(__xludf.DUMMYFUNCTION("""COMPUTED_VALUE"""),"Anatomic-pathologic Tests")</f>
        <v>Anatomic-pathologic Tests</v>
      </c>
      <c r="B8" t="str">
        <f ca="1">IFERROR(__xludf.DUMMYFUNCTION("""COMPUTED_VALUE"""),"F102A")</f>
        <v>F102A</v>
      </c>
    </row>
    <row r="9" spans="1:3" ht="12.5" x14ac:dyDescent="0.25">
      <c r="A9" t="str">
        <f ca="1">IFERROR(__xludf.DUMMYFUNCTION("""COMPUTED_VALUE"""),"Animal based tests")</f>
        <v>Animal based tests</v>
      </c>
      <c r="B9" t="str">
        <f ca="1">IFERROR(__xludf.DUMMYFUNCTION("""COMPUTED_VALUE"""),"F112A")</f>
        <v>F112A</v>
      </c>
    </row>
    <row r="10" spans="1:3" ht="12.5" x14ac:dyDescent="0.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x14ac:dyDescent="0.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x14ac:dyDescent="0.25">
      <c r="A12" t="str">
        <f ca="1">IFERROR(__xludf.DUMMYFUNCTION("""COMPUTED_VALUE"""),"Cell based tests")</f>
        <v>Cell based tests</v>
      </c>
      <c r="B12" t="str">
        <f ca="1">IFERROR(__xludf.DUMMYFUNCTION("""COMPUTED_VALUE"""),"F117A")</f>
        <v>F117A</v>
      </c>
    </row>
    <row r="13" spans="1:3" ht="12.5" x14ac:dyDescent="0.25">
      <c r="A13" t="str">
        <f ca="1">IFERROR(__xludf.DUMMYFUNCTION("""COMPUTED_VALUE"""),"Chemical-physical investigations on animals")</f>
        <v>Chemical-physical investigations on animals</v>
      </c>
      <c r="B13" t="str">
        <f ca="1">IFERROR(__xludf.DUMMYFUNCTION("""COMPUTED_VALUE"""),"F107A")</f>
        <v>F107A</v>
      </c>
    </row>
    <row r="14" spans="1:3" ht="12.5" x14ac:dyDescent="0.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x14ac:dyDescent="0.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x14ac:dyDescent="0.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x14ac:dyDescent="0.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x14ac:dyDescent="0.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x14ac:dyDescent="0.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x14ac:dyDescent="0.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x14ac:dyDescent="0.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x14ac:dyDescent="0.25">
      <c r="A22" t="str">
        <f ca="1">IFERROR(__xludf.DUMMYFUNCTION("""COMPUTED_VALUE"""),"DNA based tests")</f>
        <v>DNA based tests</v>
      </c>
      <c r="B22" t="str">
        <f ca="1">IFERROR(__xludf.DUMMYFUNCTION("""COMPUTED_VALUE"""),"F115A")</f>
        <v>F115A</v>
      </c>
    </row>
    <row r="23" spans="1:3" ht="12.5" x14ac:dyDescent="0.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x14ac:dyDescent="0.25">
      <c r="A24" t="str">
        <f ca="1">IFERROR(__xludf.DUMMYFUNCTION("""COMPUTED_VALUE"""),"DNA sequencing")</f>
        <v>DNA sequencing</v>
      </c>
      <c r="B24" t="str">
        <f ca="1">IFERROR(__xludf.DUMMYFUNCTION("""COMPUTED_VALUE"""),"F089A")</f>
        <v>F089A</v>
      </c>
    </row>
    <row r="25" spans="1:3" ht="12.5" x14ac:dyDescent="0.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x14ac:dyDescent="0.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x14ac:dyDescent="0.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x14ac:dyDescent="0.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x14ac:dyDescent="0.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x14ac:dyDescent="0.25">
      <c r="A30" t="str">
        <f ca="1">IFERROR(__xludf.DUMMYFUNCTION("""COMPUTED_VALUE"""),"Electron microscopical tests")</f>
        <v>Electron microscopical tests</v>
      </c>
      <c r="B30" t="str">
        <f ca="1">IFERROR(__xludf.DUMMYFUNCTION("""COMPUTED_VALUE"""),"F096A")</f>
        <v>F096A</v>
      </c>
    </row>
    <row r="31" spans="1:3" ht="12.5" x14ac:dyDescent="0.25">
      <c r="A31" t="str">
        <f ca="1">IFERROR(__xludf.DUMMYFUNCTION("""COMPUTED_VALUE"""),"Electron Spin Resonance (ESR) spectroscopy")</f>
        <v>Electron Spin Resonance (ESR) spectroscopy</v>
      </c>
      <c r="B31" t="str">
        <f ca="1">IFERROR(__xludf.DUMMYFUNCTION("""COMPUTED_VALUE"""),"F062A")</f>
        <v>F062A</v>
      </c>
    </row>
    <row r="32" spans="1:3" ht="12.5" x14ac:dyDescent="0.25">
      <c r="A32" t="str">
        <f ca="1">IFERROR(__xludf.DUMMYFUNCTION("""COMPUTED_VALUE"""),"Electrophoretical tests")</f>
        <v>Electrophoretical tests</v>
      </c>
      <c r="B32" t="str">
        <f ca="1">IFERROR(__xludf.DUMMYFUNCTION("""COMPUTED_VALUE"""),"F070A")</f>
        <v>F070A</v>
      </c>
    </row>
    <row r="33" spans="1:3" ht="12.5" x14ac:dyDescent="0.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x14ac:dyDescent="0.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x14ac:dyDescent="0.25">
      <c r="A35" t="str">
        <f ca="1">IFERROR(__xludf.DUMMYFUNCTION("""COMPUTED_VALUE"""),"Enzymatic tests")</f>
        <v>Enzymatic tests</v>
      </c>
      <c r="B35" t="str">
        <f ca="1">IFERROR(__xludf.DUMMYFUNCTION("""COMPUTED_VALUE"""),"F069A")</f>
        <v>F069A</v>
      </c>
    </row>
    <row r="36" spans="1:3" ht="12.5" x14ac:dyDescent="0.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x14ac:dyDescent="0.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x14ac:dyDescent="0.25">
      <c r="A38" t="str">
        <f ca="1">IFERROR(__xludf.DUMMYFUNCTION("""COMPUTED_VALUE"""),"Fluorimetry, Nephelometry and Polarimetry")</f>
        <v>Fluorimetry, Nephelometry and Polarimetry</v>
      </c>
      <c r="B38" t="str">
        <f ca="1">IFERROR(__xludf.DUMMYFUNCTION("""COMPUTED_VALUE"""),"F011A")</f>
        <v>F011A</v>
      </c>
    </row>
    <row r="39" spans="1:3" ht="12.5" x14ac:dyDescent="0.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x14ac:dyDescent="0.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x14ac:dyDescent="0.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x14ac:dyDescent="0.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x14ac:dyDescent="0.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x14ac:dyDescent="0.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x14ac:dyDescent="0.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x14ac:dyDescent="0.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x14ac:dyDescent="0.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x14ac:dyDescent="0.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x14ac:dyDescent="0.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x14ac:dyDescent="0.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x14ac:dyDescent="0.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x14ac:dyDescent="0.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x14ac:dyDescent="0.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x14ac:dyDescent="0.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x14ac:dyDescent="0.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x14ac:dyDescent="0.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x14ac:dyDescent="0.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x14ac:dyDescent="0.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x14ac:dyDescent="0.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x14ac:dyDescent="0.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x14ac:dyDescent="0.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x14ac:dyDescent="0.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x14ac:dyDescent="0.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x14ac:dyDescent="0.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x14ac:dyDescent="0.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x14ac:dyDescent="0.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x14ac:dyDescent="0.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x14ac:dyDescent="0.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x14ac:dyDescent="0.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x14ac:dyDescent="0.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x14ac:dyDescent="0.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x14ac:dyDescent="0.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x14ac:dyDescent="0.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x14ac:dyDescent="0.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x14ac:dyDescent="0.25">
      <c r="A75" t="str">
        <f ca="1">IFERROR(__xludf.DUMMYFUNCTION("""COMPUTED_VALUE"""),"Histometrical standard tests")</f>
        <v>Histometrical standard tests</v>
      </c>
      <c r="B75" t="str">
        <f ca="1">IFERROR(__xludf.DUMMYFUNCTION("""COMPUTED_VALUE"""),"F097A")</f>
        <v>F097A</v>
      </c>
    </row>
    <row r="76" spans="1:3" ht="12.5" x14ac:dyDescent="0.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x14ac:dyDescent="0.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x14ac:dyDescent="0.25">
      <c r="A78" t="str">
        <f ca="1">IFERROR(__xludf.DUMMYFUNCTION("""COMPUTED_VALUE"""),"HPLC with standard detection methods")</f>
        <v>HPLC with standard detection methods</v>
      </c>
      <c r="B78" t="str">
        <f ca="1">IFERROR(__xludf.DUMMYFUNCTION("""COMPUTED_VALUE"""),"F019A")</f>
        <v>F019A</v>
      </c>
    </row>
    <row r="79" spans="1:3" ht="12.5" x14ac:dyDescent="0.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x14ac:dyDescent="0.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x14ac:dyDescent="0.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x14ac:dyDescent="0.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x14ac:dyDescent="0.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x14ac:dyDescent="0.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x14ac:dyDescent="0.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x14ac:dyDescent="0.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x14ac:dyDescent="0.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x14ac:dyDescent="0.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x14ac:dyDescent="0.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x14ac:dyDescent="0.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x14ac:dyDescent="0.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x14ac:dyDescent="0.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x14ac:dyDescent="0.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x14ac:dyDescent="0.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x14ac:dyDescent="0.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x14ac:dyDescent="0.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x14ac:dyDescent="0.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x14ac:dyDescent="0.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x14ac:dyDescent="0.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x14ac:dyDescent="0.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x14ac:dyDescent="0.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x14ac:dyDescent="0.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x14ac:dyDescent="0.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x14ac:dyDescent="0.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x14ac:dyDescent="0.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x14ac:dyDescent="0.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x14ac:dyDescent="0.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x14ac:dyDescent="0.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x14ac:dyDescent="0.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x14ac:dyDescent="0.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x14ac:dyDescent="0.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x14ac:dyDescent="0.25">
      <c r="A112" t="str">
        <f ca="1">IFERROR(__xludf.DUMMYFUNCTION("""COMPUTED_VALUE"""),"IR and Raman Spectroscopy")</f>
        <v>IR and Raman Spectroscopy</v>
      </c>
      <c r="B112" t="str">
        <f ca="1">IFERROR(__xludf.DUMMYFUNCTION("""COMPUTED_VALUE"""),"F010A")</f>
        <v>F010A</v>
      </c>
    </row>
    <row r="113" spans="1:3" ht="12.5" x14ac:dyDescent="0.25">
      <c r="A113" t="str">
        <f ca="1">IFERROR(__xludf.DUMMYFUNCTION("""COMPUTED_VALUE"""),"Lateral flow tests")</f>
        <v>Lateral flow tests</v>
      </c>
      <c r="B113" t="str">
        <f ca="1">IFERROR(__xludf.DUMMYFUNCTION("""COMPUTED_VALUE"""),"F084A")</f>
        <v>F084A</v>
      </c>
    </row>
    <row r="114" spans="1:3" ht="12.5" x14ac:dyDescent="0.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x14ac:dyDescent="0.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x14ac:dyDescent="0.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x14ac:dyDescent="0.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x14ac:dyDescent="0.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x14ac:dyDescent="0.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x14ac:dyDescent="0.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x14ac:dyDescent="0.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x14ac:dyDescent="0.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x14ac:dyDescent="0.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x14ac:dyDescent="0.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x14ac:dyDescent="0.25">
      <c r="A125" t="str">
        <f ca="1">IFERROR(__xludf.DUMMYFUNCTION("""COMPUTED_VALUE"""),"liquid injection")</f>
        <v>liquid injection</v>
      </c>
      <c r="B125" t="str">
        <f ca="1">IFERROR(__xludf.DUMMYFUNCTION("""COMPUTED_VALUE"""),"F173A")</f>
        <v>F173A</v>
      </c>
    </row>
    <row r="126" spans="1:3" ht="12.5" x14ac:dyDescent="0.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x14ac:dyDescent="0.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x14ac:dyDescent="0.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x14ac:dyDescent="0.25">
      <c r="A129" t="str">
        <f ca="1">IFERROR(__xludf.DUMMYFUNCTION("""COMPUTED_VALUE"""),"MBA")</f>
        <v>MBA</v>
      </c>
      <c r="B129" t="str">
        <f ca="1">IFERROR(__xludf.DUMMYFUNCTION("""COMPUTED_VALUE"""),"F108A")</f>
        <v>F108A</v>
      </c>
      <c r="C129" t="str">
        <f ca="1">IFERROR(__xludf.DUMMYFUNCTION("""COMPUTED_VALUE"""),"Mouse bioassay")</f>
        <v>Mouse bioassay</v>
      </c>
    </row>
    <row r="130" spans="1:3" ht="12.5" x14ac:dyDescent="0.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x14ac:dyDescent="0.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x14ac:dyDescent="0.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x14ac:dyDescent="0.25">
      <c r="A133" t="str">
        <f ca="1">IFERROR(__xludf.DUMMYFUNCTION("""COMPUTED_VALUE"""),"Microbiological tests")</f>
        <v>Microbiological tests</v>
      </c>
      <c r="B133" t="str">
        <f ca="1">IFERROR(__xludf.DUMMYFUNCTION("""COMPUTED_VALUE"""),"F099A")</f>
        <v>F099A</v>
      </c>
    </row>
    <row r="134" spans="1:3" ht="12.5" x14ac:dyDescent="0.25">
      <c r="A134" t="str">
        <f ca="1">IFERROR(__xludf.DUMMYFUNCTION("""COMPUTED_VALUE"""),"Microscopical and histometrical tests")</f>
        <v>Microscopical and histometrical tests</v>
      </c>
      <c r="B134" t="str">
        <f ca="1">IFERROR(__xludf.DUMMYFUNCTION("""COMPUTED_VALUE"""),"F095A")</f>
        <v>F095A</v>
      </c>
    </row>
    <row r="135" spans="1:3" ht="12.5" x14ac:dyDescent="0.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x14ac:dyDescent="0.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x14ac:dyDescent="0.25">
      <c r="A137" t="str">
        <f ca="1">IFERROR(__xludf.DUMMYFUNCTION("""COMPUTED_VALUE"""),"Molecular biological tests")</f>
        <v>Molecular biological tests</v>
      </c>
      <c r="B137" t="str">
        <f ca="1">IFERROR(__xludf.DUMMYFUNCTION("""COMPUTED_VALUE"""),"F085A")</f>
        <v>F085A</v>
      </c>
    </row>
    <row r="138" spans="1:3" ht="12.5" x14ac:dyDescent="0.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x14ac:dyDescent="0.25">
      <c r="A139" t="str">
        <f ca="1">IFERROR(__xludf.DUMMYFUNCTION("""COMPUTED_VALUE"""),"Nephelometry")</f>
        <v>Nephelometry</v>
      </c>
      <c r="B139" t="str">
        <f ca="1">IFERROR(__xludf.DUMMYFUNCTION("""COMPUTED_VALUE"""),"F083A")</f>
        <v>F083A</v>
      </c>
    </row>
    <row r="140" spans="1:3" ht="12.5" x14ac:dyDescent="0.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x14ac:dyDescent="0.25">
      <c r="A141" t="str">
        <f ca="1">IFERROR(__xludf.DUMMYFUNCTION("""COMPUTED_VALUE"""),"Nuclear Magnetic Resonance (NMR)")</f>
        <v>Nuclear Magnetic Resonance (NMR)</v>
      </c>
      <c r="B141" t="str">
        <f ca="1">IFERROR(__xludf.DUMMYFUNCTION("""COMPUTED_VALUE"""),"F061A")</f>
        <v>F061A</v>
      </c>
    </row>
    <row r="142" spans="1:3" ht="12.5" x14ac:dyDescent="0.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x14ac:dyDescent="0.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x14ac:dyDescent="0.25">
      <c r="A144" t="str">
        <f ca="1">IFERROR(__xludf.DUMMYFUNCTION("""COMPUTED_VALUE"""),"Other")</f>
        <v>Other</v>
      </c>
      <c r="B144" t="str">
        <f ca="1">IFERROR(__xludf.DUMMYFUNCTION("""COMPUTED_VALUE"""),"Other")</f>
        <v>Other</v>
      </c>
    </row>
    <row r="145" spans="1:3" ht="12.5" x14ac:dyDescent="0.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x14ac:dyDescent="0.25">
      <c r="A146" t="str">
        <f ca="1">IFERROR(__xludf.DUMMYFUNCTION("""COMPUTED_VALUE"""),"PCR  RNAsn U1")</f>
        <v>PCR  RNAsn U1</v>
      </c>
      <c r="B146" t="str">
        <f ca="1">IFERROR(__xludf.DUMMYFUNCTION("""COMPUTED_VALUE"""),"F184A")</f>
        <v>F184A</v>
      </c>
    </row>
    <row r="147" spans="1:3" ht="12.5" x14ac:dyDescent="0.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x14ac:dyDescent="0.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x14ac:dyDescent="0.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x14ac:dyDescent="0.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x14ac:dyDescent="0.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x14ac:dyDescent="0.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x14ac:dyDescent="0.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x14ac:dyDescent="0.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x14ac:dyDescent="0.25">
      <c r="A155" t="str">
        <f ca="1">IFERROR(__xludf.DUMMYFUNCTION("""COMPUTED_VALUE"""),"Radiochemical tests")</f>
        <v>Radiochemical tests</v>
      </c>
      <c r="B155" t="str">
        <f ca="1">IFERROR(__xludf.DUMMYFUNCTION("""COMPUTED_VALUE"""),"F091A")</f>
        <v>F091A</v>
      </c>
    </row>
    <row r="156" spans="1:3" ht="12.5" x14ac:dyDescent="0.25">
      <c r="A156" t="str">
        <f ca="1">IFERROR(__xludf.DUMMYFUNCTION("""COMPUTED_VALUE"""),"RBA")</f>
        <v>RBA</v>
      </c>
      <c r="B156" t="str">
        <f ca="1">IFERROR(__xludf.DUMMYFUNCTION("""COMPUTED_VALUE"""),"F110A")</f>
        <v>F110A</v>
      </c>
      <c r="C156" t="str">
        <f ca="1">IFERROR(__xludf.DUMMYFUNCTION("""COMPUTED_VALUE"""),"Rat bioassay")</f>
        <v>Rat bioassay</v>
      </c>
    </row>
    <row r="157" spans="1:3" ht="12.5" x14ac:dyDescent="0.25">
      <c r="A157" t="str">
        <f ca="1">IFERROR(__xludf.DUMMYFUNCTION("""COMPUTED_VALUE"""),"Receptor based tests")</f>
        <v>Receptor based tests</v>
      </c>
      <c r="B157" t="str">
        <f ca="1">IFERROR(__xludf.DUMMYFUNCTION("""COMPUTED_VALUE"""),"F116A")</f>
        <v>F116A</v>
      </c>
    </row>
    <row r="158" spans="1:3" ht="12.5" x14ac:dyDescent="0.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x14ac:dyDescent="0.25">
      <c r="A159" t="str">
        <f ca="1">IFERROR(__xludf.DUMMYFUNCTION("""COMPUTED_VALUE"""),"Sample introduction")</f>
        <v>Sample introduction</v>
      </c>
      <c r="B159" t="str">
        <f ca="1">IFERROR(__xludf.DUMMYFUNCTION("""COMPUTED_VALUE"""),"F172A")</f>
        <v>F172A</v>
      </c>
    </row>
    <row r="160" spans="1:3" ht="12.5" x14ac:dyDescent="0.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x14ac:dyDescent="0.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x14ac:dyDescent="0.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x14ac:dyDescent="0.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x14ac:dyDescent="0.25">
      <c r="A164" t="str">
        <f ca="1">IFERROR(__xludf.DUMMYFUNCTION("""COMPUTED_VALUE"""),"Special tests")</f>
        <v>Special tests</v>
      </c>
      <c r="B164" t="str">
        <f ca="1">IFERROR(__xludf.DUMMYFUNCTION("""COMPUTED_VALUE"""),"F098A")</f>
        <v>F098A</v>
      </c>
    </row>
    <row r="165" spans="1:3" ht="12.5" x14ac:dyDescent="0.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x14ac:dyDescent="0.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x14ac:dyDescent="0.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x14ac:dyDescent="0.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x14ac:dyDescent="0.25">
      <c r="A169" t="str">
        <f ca="1">IFERROR(__xludf.DUMMYFUNCTION("""COMPUTED_VALUE"""),"TD")</f>
        <v>TD</v>
      </c>
      <c r="B169" t="str">
        <f ca="1">IFERROR(__xludf.DUMMYFUNCTION("""COMPUTED_VALUE"""),"F176A")</f>
        <v>F176A</v>
      </c>
      <c r="C169" t="str">
        <f ca="1">IFERROR(__xludf.DUMMYFUNCTION("""COMPUTED_VALUE"""),"Thermo desorption")</f>
        <v>Thermo desorption</v>
      </c>
    </row>
    <row r="170" spans="1:3" ht="12.5" x14ac:dyDescent="0.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x14ac:dyDescent="0.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x14ac:dyDescent="0.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x14ac:dyDescent="0.25">
      <c r="A173" t="str">
        <f ca="1">IFERROR(__xludf.DUMMYFUNCTION("""COMPUTED_VALUE"""),"UV-VIS spectroscopy (photometry)")</f>
        <v>UV-VIS spectroscopy (photometry)</v>
      </c>
      <c r="B173" t="str">
        <f ca="1">IFERROR(__xludf.DUMMYFUNCTION("""COMPUTED_VALUE"""),"F009A")</f>
        <v>F009A</v>
      </c>
    </row>
    <row r="174" spans="1:3" ht="12.5" x14ac:dyDescent="0.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x14ac:dyDescent="0.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x14ac:dyDescent="0.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x14ac:dyDescent="0.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x14ac:dyDescent="0.25">
      <c r="A4" t="str">
        <f ca="1">IFERROR(__xludf.DUMMYFUNCTION("""COMPUTED_VALUE"""),"Not specified")</f>
        <v>Not specified</v>
      </c>
      <c r="B4" t="str">
        <f ca="1">IFERROR(__xludf.DUMMYFUNCTION("""COMPUTED_VALUE"""),"Sampling strategy_7")</f>
        <v>Sampling strategy_7</v>
      </c>
    </row>
    <row r="5" spans="1:3" ht="12.5" x14ac:dyDescent="0.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x14ac:dyDescent="0.25">
      <c r="A6" t="str">
        <f ca="1">IFERROR(__xludf.DUMMYFUNCTION("""COMPUTED_VALUE"""),"Other")</f>
        <v>Other</v>
      </c>
      <c r="B6" t="str">
        <f ca="1">IFERROR(__xludf.DUMMYFUNCTION("""COMPUTED_VALUE"""),"Sampling strategy_6")</f>
        <v>Sampling strategy_6</v>
      </c>
    </row>
    <row r="7" spans="1:3" ht="12.5" x14ac:dyDescent="0.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x14ac:dyDescent="0.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x14ac:dyDescent="0.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x14ac:dyDescent="0.25">
      <c r="A2" t="str">
        <f ca="1">IFERROR(__xludf.DUMMYFUNCTION("""COMPUTED_VALUE"""),"Clinical investigations")</f>
        <v>Clinical investigations</v>
      </c>
      <c r="B2" t="str">
        <f ca="1">IFERROR(__xludf.DUMMYFUNCTION("""COMPUTED_VALUE"""),"K020A")</f>
        <v>K020A</v>
      </c>
    </row>
    <row r="3" spans="1:3" ht="12.5" x14ac:dyDescent="0.25">
      <c r="A3" t="str">
        <f ca="1">IFERROR(__xludf.DUMMYFUNCTION("""COMPUTED_VALUE"""),"Control and eradication programmes")</f>
        <v>Control and eradication programmes</v>
      </c>
      <c r="B3" t="str">
        <f ca="1">IFERROR(__xludf.DUMMYFUNCTION("""COMPUTED_VALUE"""),"K021A")</f>
        <v>K021A</v>
      </c>
    </row>
    <row r="4" spans="1:3" ht="12.5" x14ac:dyDescent="0.25">
      <c r="A4" t="str">
        <f ca="1">IFERROR(__xludf.DUMMYFUNCTION("""COMPUTED_VALUE"""),"Diet study")</f>
        <v>Diet study</v>
      </c>
      <c r="B4" t="str">
        <f ca="1">IFERROR(__xludf.DUMMYFUNCTION("""COMPUTED_VALUE"""),"K010A")</f>
        <v>K010A</v>
      </c>
    </row>
    <row r="5" spans="1:3" ht="12.5" x14ac:dyDescent="0.25">
      <c r="A5" t="str">
        <f ca="1">IFERROR(__xludf.DUMMYFUNCTION("""COMPUTED_VALUE"""),"EU increased control programme on imported food")</f>
        <v>EU increased control programme on imported food</v>
      </c>
      <c r="B5" t="str">
        <f ca="1">IFERROR(__xludf.DUMMYFUNCTION("""COMPUTED_VALUE"""),"K019A")</f>
        <v>K019A</v>
      </c>
    </row>
    <row r="6" spans="1:3" ht="12.5" x14ac:dyDescent="0.25">
      <c r="A6" t="str">
        <f ca="1">IFERROR(__xludf.DUMMYFUNCTION("""COMPUTED_VALUE"""),"Industry - private programme")</f>
        <v>Industry - private programme</v>
      </c>
      <c r="B6" t="str">
        <f ca="1">IFERROR(__xludf.DUMMYFUNCTION("""COMPUTED_VALUE"""),"K012A")</f>
        <v>K012A</v>
      </c>
    </row>
    <row r="7" spans="1:3" ht="12.5" x14ac:dyDescent="0.25">
      <c r="A7" t="str">
        <f ca="1">IFERROR(__xludf.DUMMYFUNCTION("""COMPUTED_VALUE"""),"Monitoring")</f>
        <v>Monitoring</v>
      </c>
      <c r="B7" t="str">
        <f ca="1">IFERROR(__xludf.DUMMYFUNCTION("""COMPUTED_VALUE"""),"K022A")</f>
        <v>K022A</v>
      </c>
    </row>
    <row r="8" spans="1:3" ht="12.5" x14ac:dyDescent="0.25">
      <c r="A8" t="str">
        <f ca="1">IFERROR(__xludf.DUMMYFUNCTION("""COMPUTED_VALUE"""),"Monitoring - active")</f>
        <v>Monitoring - active</v>
      </c>
      <c r="B8" t="str">
        <f ca="1">IFERROR(__xludf.DUMMYFUNCTION("""COMPUTED_VALUE"""),"K023A")</f>
        <v>K023A</v>
      </c>
    </row>
    <row r="9" spans="1:3" ht="12.5" x14ac:dyDescent="0.25">
      <c r="A9" t="str">
        <f ca="1">IFERROR(__xludf.DUMMYFUNCTION("""COMPUTED_VALUE"""),"Monitoring - EFSA specifications")</f>
        <v>Monitoring - EFSA specifications</v>
      </c>
      <c r="B9" t="str">
        <f ca="1">IFERROR(__xludf.DUMMYFUNCTION("""COMPUTED_VALUE"""),"K025A")</f>
        <v>K025A</v>
      </c>
    </row>
    <row r="10" spans="1:3" ht="12.5" x14ac:dyDescent="0.25">
      <c r="A10" t="str">
        <f ca="1">IFERROR(__xludf.DUMMYFUNCTION("""COMPUTED_VALUE"""),"Monitoring - passive")</f>
        <v>Monitoring - passive</v>
      </c>
      <c r="B10" t="str">
        <f ca="1">IFERROR(__xludf.DUMMYFUNCTION("""COMPUTED_VALUE"""),"K024A")</f>
        <v>K024A</v>
      </c>
    </row>
    <row r="11" spans="1:3" ht="12.5" x14ac:dyDescent="0.25">
      <c r="A11" t="str">
        <f ca="1">IFERROR(__xludf.DUMMYFUNCTION("""COMPUTED_VALUE"""),"Official (EU) programme")</f>
        <v>Official (EU) programme</v>
      </c>
      <c r="B11" t="str">
        <f ca="1">IFERROR(__xludf.DUMMYFUNCTION("""COMPUTED_VALUE"""),"K009A")</f>
        <v>K009A</v>
      </c>
    </row>
    <row r="12" spans="1:3" ht="12.5" x14ac:dyDescent="0.25">
      <c r="A12" t="str">
        <f ca="1">IFERROR(__xludf.DUMMYFUNCTION("""COMPUTED_VALUE"""),"Official (National and EU) programme")</f>
        <v>Official (National and EU) programme</v>
      </c>
      <c r="B12" t="str">
        <f ca="1">IFERROR(__xludf.DUMMYFUNCTION("""COMPUTED_VALUE"""),"K018A")</f>
        <v>K018A</v>
      </c>
    </row>
    <row r="13" spans="1:3" ht="12.5" x14ac:dyDescent="0.25">
      <c r="A13" t="str">
        <f ca="1">IFERROR(__xludf.DUMMYFUNCTION("""COMPUTED_VALUE"""),"Official (National) programme")</f>
        <v>Official (National) programme</v>
      </c>
      <c r="B13" t="str">
        <f ca="1">IFERROR(__xludf.DUMMYFUNCTION("""COMPUTED_VALUE"""),"K005A")</f>
        <v>K005A</v>
      </c>
    </row>
    <row r="14" spans="1:3" ht="12.5" x14ac:dyDescent="0.25">
      <c r="A14" t="str">
        <f ca="1">IFERROR(__xludf.DUMMYFUNCTION("""COMPUTED_VALUE"""),"Other - Combination of several programmes")</f>
        <v>Other - Combination of several programmes</v>
      </c>
      <c r="B14" t="str">
        <f ca="1">IFERROR(__xludf.DUMMYFUNCTION("""COMPUTED_VALUE"""),"K014A")</f>
        <v>K014A</v>
      </c>
    </row>
    <row r="15" spans="1:3" ht="12.5" x14ac:dyDescent="0.25">
      <c r="A15" t="str">
        <f ca="1">IFERROR(__xludf.DUMMYFUNCTION("""COMPUTED_VALUE"""),"Surveillance")</f>
        <v>Surveillance</v>
      </c>
      <c r="B15" t="str">
        <f ca="1">IFERROR(__xludf.DUMMYFUNCTION("""COMPUTED_VALUE"""),"K026A")</f>
        <v>K026A</v>
      </c>
    </row>
    <row r="16" spans="1:3" ht="12.5" x14ac:dyDescent="0.25">
      <c r="A16" t="str">
        <f ca="1">IFERROR(__xludf.DUMMYFUNCTION("""COMPUTED_VALUE"""),"Surveillance active")</f>
        <v>Surveillance active</v>
      </c>
      <c r="B16" t="str">
        <f ca="1">IFERROR(__xludf.DUMMYFUNCTION("""COMPUTED_VALUE"""),"K030A")</f>
        <v>K030A</v>
      </c>
    </row>
    <row r="17" spans="1:2" ht="12.5" x14ac:dyDescent="0.25">
      <c r="A17" t="str">
        <f ca="1">IFERROR(__xludf.DUMMYFUNCTION("""COMPUTED_VALUE"""),"Surveillance passive")</f>
        <v>Surveillance passive</v>
      </c>
      <c r="B17" t="str">
        <f ca="1">IFERROR(__xludf.DUMMYFUNCTION("""COMPUTED_VALUE"""),"K031A")</f>
        <v>K031A</v>
      </c>
    </row>
    <row r="18" spans="1:2" ht="12.5" x14ac:dyDescent="0.25">
      <c r="A18" t="str">
        <f ca="1">IFERROR(__xludf.DUMMYFUNCTION("""COMPUTED_VALUE"""),"Survey")</f>
        <v>Survey</v>
      </c>
      <c r="B18" t="str">
        <f ca="1">IFERROR(__xludf.DUMMYFUNCTION("""COMPUTED_VALUE"""),"K013A")</f>
        <v>K013A</v>
      </c>
    </row>
    <row r="19" spans="1:2" ht="12.5" x14ac:dyDescent="0.25">
      <c r="A19" t="str">
        <f ca="1">IFERROR(__xludf.DUMMYFUNCTION("""COMPUTED_VALUE"""),"Survey - EU baseline survey")</f>
        <v>Survey - EU baseline survey</v>
      </c>
      <c r="B19" t="str">
        <f ca="1">IFERROR(__xludf.DUMMYFUNCTION("""COMPUTED_VALUE"""),"K027A")</f>
        <v>K027A</v>
      </c>
    </row>
    <row r="20" spans="1:2" ht="12.5" x14ac:dyDescent="0.25">
      <c r="A20" t="str">
        <f ca="1">IFERROR(__xludf.DUMMYFUNCTION("""COMPUTED_VALUE"""),"Survey - national survey")</f>
        <v>Survey - national survey</v>
      </c>
      <c r="B20" t="str">
        <f ca="1">IFERROR(__xludf.DUMMYFUNCTION("""COMPUTED_VALUE"""),"K028A")</f>
        <v>K028A</v>
      </c>
    </row>
    <row r="21" spans="1:2" ht="12.5" x14ac:dyDescent="0.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x14ac:dyDescent="0.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x14ac:dyDescent="0.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x14ac:dyDescent="0.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x14ac:dyDescent="0.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x14ac:dyDescent="0.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x14ac:dyDescent="0.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x14ac:dyDescent="0.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x14ac:dyDescent="0.25">
      <c r="A9" t="str">
        <f ca="1">IFERROR(__xludf.DUMMYFUNCTION("""COMPUTED_VALUE"""),"HACCP and owns check")</f>
        <v>HACCP and owns check</v>
      </c>
      <c r="B9" t="str">
        <f ca="1">IFERROR(__xludf.DUMMYFUNCTION("""COMPUTED_VALUE"""),"N019A")</f>
        <v>N019A</v>
      </c>
    </row>
    <row r="10" spans="1:3" ht="12.5" x14ac:dyDescent="0.25">
      <c r="A10" t="str">
        <f ca="1">IFERROR(__xludf.DUMMYFUNCTION("""COMPUTED_VALUE"""),"Individual")</f>
        <v>Individual</v>
      </c>
      <c r="B10" t="str">
        <f ca="1">IFERROR(__xludf.DUMMYFUNCTION("""COMPUTED_VALUE"""),"N030A")</f>
        <v>N030A</v>
      </c>
    </row>
    <row r="11" spans="1:3" ht="12.5" x14ac:dyDescent="0.25">
      <c r="A11" t="str">
        <f ca="1">IFERROR(__xludf.DUMMYFUNCTION("""COMPUTED_VALUE"""),"Individual/single")</f>
        <v>Individual/single</v>
      </c>
      <c r="B11" t="str">
        <f ca="1">IFERROR(__xludf.DUMMYFUNCTION("""COMPUTED_VALUE"""),"N001A")</f>
        <v>N001A</v>
      </c>
    </row>
    <row r="12" spans="1:3" ht="12.5" x14ac:dyDescent="0.25">
      <c r="A12" t="str">
        <f ca="1">IFERROR(__xludf.DUMMYFUNCTION("""COMPUTED_VALUE"""),"Industry sampling")</f>
        <v>Industry sampling</v>
      </c>
      <c r="B12" t="str">
        <f ca="1">IFERROR(__xludf.DUMMYFUNCTION("""COMPUTED_VALUE"""),"N016A")</f>
        <v>N016A</v>
      </c>
    </row>
    <row r="13" spans="1:3" ht="12.5" x14ac:dyDescent="0.25">
      <c r="A13" t="str">
        <f ca="1">IFERROR(__xludf.DUMMYFUNCTION("""COMPUTED_VALUE"""),"Not applicable")</f>
        <v>Not applicable</v>
      </c>
      <c r="B13" t="str">
        <f ca="1">IFERROR(__xludf.DUMMYFUNCTION("""COMPUTED_VALUE"""),"N020A")</f>
        <v>N020A</v>
      </c>
    </row>
    <row r="14" spans="1:3" ht="12.5" x14ac:dyDescent="0.25">
      <c r="A14" t="str">
        <f ca="1">IFERROR(__xludf.DUMMYFUNCTION("""COMPUTED_VALUE"""),"Official and industry sampling")</f>
        <v>Official and industry sampling</v>
      </c>
      <c r="B14" t="str">
        <f ca="1">IFERROR(__xludf.DUMMYFUNCTION("""COMPUTED_VALUE"""),"N018A")</f>
        <v>N018A</v>
      </c>
    </row>
    <row r="15" spans="1:3" ht="12.5" x14ac:dyDescent="0.25">
      <c r="A15" t="str">
        <f ca="1">IFERROR(__xludf.DUMMYFUNCTION("""COMPUTED_VALUE"""),"Official sampling")</f>
        <v>Official sampling</v>
      </c>
      <c r="B15" t="str">
        <f ca="1">IFERROR(__xludf.DUMMYFUNCTION("""COMPUTED_VALUE"""),"N017A")</f>
        <v>N017A</v>
      </c>
    </row>
    <row r="16" spans="1:3" ht="12.5" x14ac:dyDescent="0.25">
      <c r="A16" t="str">
        <f ca="1">IFERROR(__xludf.DUMMYFUNCTION("""COMPUTED_VALUE"""),"Other")</f>
        <v>Other</v>
      </c>
      <c r="B16" t="str">
        <f ca="1">IFERROR(__xludf.DUMMYFUNCTION("""COMPUTED_VALUE"""),"Other")</f>
        <v>Other</v>
      </c>
    </row>
    <row r="17" spans="1:2" ht="12.5" x14ac:dyDescent="0.25">
      <c r="A17" t="str">
        <f ca="1">IFERROR(__xludf.DUMMYFUNCTION("""COMPUTED_VALUE"""),"Pooled")</f>
        <v>Pooled</v>
      </c>
      <c r="B17" t="str">
        <f ca="1">IFERROR(__xludf.DUMMYFUNCTION("""COMPUTED_VALUE"""),"N031A")</f>
        <v>N031A</v>
      </c>
    </row>
    <row r="18" spans="1:2" ht="12.5" x14ac:dyDescent="0.25">
      <c r="A18" t="str">
        <f ca="1">IFERROR(__xludf.DUMMYFUNCTION("""COMPUTED_VALUE"""),"Pooled/batch")</f>
        <v>Pooled/batch</v>
      </c>
      <c r="B18" t="str">
        <f ca="1">IFERROR(__xludf.DUMMYFUNCTION("""COMPUTED_VALUE"""),"N002A")</f>
        <v>N002A</v>
      </c>
    </row>
    <row r="19" spans="1:2" ht="12.5" x14ac:dyDescent="0.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x14ac:dyDescent="0.25">
      <c r="A2" t="str">
        <f ca="1">IFERROR(__xludf.DUMMYFUNCTION("""COMPUTED_VALUE"""),"Air transport")</f>
        <v>Air transport</v>
      </c>
      <c r="B2" t="str">
        <f ca="1">IFERROR(__xludf.DUMMYFUNCTION("""COMPUTED_VALUE"""),"E840A")</f>
        <v>E840A</v>
      </c>
    </row>
    <row r="3" spans="1:3" ht="12.5" x14ac:dyDescent="0.25">
      <c r="A3" t="str">
        <f ca="1">IFERROR(__xludf.DUMMYFUNCTION("""COMPUTED_VALUE"""),"Aquaculture")</f>
        <v>Aquaculture</v>
      </c>
      <c r="B3" t="str">
        <f ca="1">IFERROR(__xludf.DUMMYFUNCTION("""COMPUTED_VALUE"""),"E152A")</f>
        <v>E152A</v>
      </c>
    </row>
    <row r="4" spans="1:3" ht="12.5" x14ac:dyDescent="0.25">
      <c r="A4" t="str">
        <f ca="1">IFERROR(__xludf.DUMMYFUNCTION("""COMPUTED_VALUE"""),"Bee hives")</f>
        <v>Bee hives</v>
      </c>
      <c r="B4" t="str">
        <f ca="1">IFERROR(__xludf.DUMMYFUNCTION("""COMPUTED_VALUE"""),"E112A")</f>
        <v>E112A</v>
      </c>
    </row>
    <row r="5" spans="1:3" ht="12.5" x14ac:dyDescent="0.25">
      <c r="A5" t="str">
        <f ca="1">IFERROR(__xludf.DUMMYFUNCTION("""COMPUTED_VALUE"""),"Border inspection activities")</f>
        <v>Border inspection activities</v>
      </c>
      <c r="B5" t="str">
        <f ca="1">IFERROR(__xludf.DUMMYFUNCTION("""COMPUTED_VALUE"""),"E010A")</f>
        <v>E010A</v>
      </c>
    </row>
    <row r="6" spans="1:3" ht="12.5" x14ac:dyDescent="0.25">
      <c r="A6" t="str">
        <f ca="1">IFERROR(__xludf.DUMMYFUNCTION("""COMPUTED_VALUE"""),"Breeding")</f>
        <v>Breeding</v>
      </c>
      <c r="B6" t="str">
        <f ca="1">IFERROR(__xludf.DUMMYFUNCTION("""COMPUTED_VALUE"""),"E121A")</f>
        <v>E121A</v>
      </c>
    </row>
    <row r="7" spans="1:3" ht="12.5" x14ac:dyDescent="0.25">
      <c r="A7" t="str">
        <f ca="1">IFERROR(__xludf.DUMMYFUNCTION("""COMPUTED_VALUE"""),"Camp, picnic")</f>
        <v>Camp, picnic</v>
      </c>
      <c r="B7" t="str">
        <f ca="1">IFERROR(__xludf.DUMMYFUNCTION("""COMPUTED_VALUE"""),"E960A")</f>
        <v>E960A</v>
      </c>
    </row>
    <row r="8" spans="1:3" ht="12.5" x14ac:dyDescent="0.25">
      <c r="A8" t="str">
        <f ca="1">IFERROR(__xludf.DUMMYFUNCTION("""COMPUTED_VALUE"""),"Canteen or workplace catering")</f>
        <v>Canteen or workplace catering</v>
      </c>
      <c r="B8" t="str">
        <f ca="1">IFERROR(__xludf.DUMMYFUNCTION("""COMPUTED_VALUE"""),"E940A")</f>
        <v>E940A</v>
      </c>
    </row>
    <row r="9" spans="1:3" ht="12.5" x14ac:dyDescent="0.25">
      <c r="A9" t="str">
        <f ca="1">IFERROR(__xludf.DUMMYFUNCTION("""COMPUTED_VALUE"""),"Catering")</f>
        <v>Catering</v>
      </c>
      <c r="B9" t="str">
        <f ca="1">IFERROR(__xludf.DUMMYFUNCTION("""COMPUTED_VALUE"""),"E900A")</f>
        <v>E900A</v>
      </c>
    </row>
    <row r="10" spans="1:3" ht="12.5" x14ac:dyDescent="0.25">
      <c r="A10" t="str">
        <f ca="1">IFERROR(__xludf.DUMMYFUNCTION("""COMPUTED_VALUE"""),"Catering on aircraft, ship, train")</f>
        <v>Catering on aircraft, ship, train</v>
      </c>
      <c r="B10" t="str">
        <f ca="1">IFERROR(__xludf.DUMMYFUNCTION("""COMPUTED_VALUE"""),"E990A")</f>
        <v>E990A</v>
      </c>
    </row>
    <row r="11" spans="1:3" ht="12.5" x14ac:dyDescent="0.25">
      <c r="A11" t="str">
        <f ca="1">IFERROR(__xludf.DUMMYFUNCTION("""COMPUTED_VALUE"""),"Cold storage")</f>
        <v>Cold storage</v>
      </c>
      <c r="B11" t="str">
        <f ca="1">IFERROR(__xludf.DUMMYFUNCTION("""COMPUTED_VALUE"""),"E710A")</f>
        <v>E710A</v>
      </c>
    </row>
    <row r="12" spans="1:3" ht="12.5" x14ac:dyDescent="0.25">
      <c r="A12" t="str">
        <f ca="1">IFERROR(__xludf.DUMMYFUNCTION("""COMPUTED_VALUE"""),"Conservation Facilities")</f>
        <v>Conservation Facilities</v>
      </c>
      <c r="B12" t="str">
        <f ca="1">IFERROR(__xludf.DUMMYFUNCTION("""COMPUTED_VALUE"""),"E720A")</f>
        <v>E720A</v>
      </c>
    </row>
    <row r="13" spans="1:3" ht="12.5" x14ac:dyDescent="0.25">
      <c r="A13" t="str">
        <f ca="1">IFERROR(__xludf.DUMMYFUNCTION("""COMPUTED_VALUE"""),"Disseminated cases")</f>
        <v>Disseminated cases</v>
      </c>
      <c r="B13" t="str">
        <f ca="1">IFERROR(__xludf.DUMMYFUNCTION("""COMPUTED_VALUE"""),"E970A")</f>
        <v>E970A</v>
      </c>
    </row>
    <row r="14" spans="1:3" ht="12.5" x14ac:dyDescent="0.25">
      <c r="A14" t="str">
        <f ca="1">IFERROR(__xludf.DUMMYFUNCTION("""COMPUTED_VALUE"""),"Distribution: wholesale and retail sale")</f>
        <v>Distribution: wholesale and retail sale</v>
      </c>
      <c r="B14" t="str">
        <f ca="1">IFERROR(__xludf.DUMMYFUNCTION("""COMPUTED_VALUE"""),"E500A")</f>
        <v>E500A</v>
      </c>
    </row>
    <row r="15" spans="1:3" ht="12.5" x14ac:dyDescent="0.25">
      <c r="A15" t="str">
        <f ca="1">IFERROR(__xludf.DUMMYFUNCTION("""COMPUTED_VALUE"""),"Farming")</f>
        <v>Farming</v>
      </c>
      <c r="B15" t="str">
        <f ca="1">IFERROR(__xludf.DUMMYFUNCTION("""COMPUTED_VALUE"""),"E101A")</f>
        <v>E101A</v>
      </c>
    </row>
    <row r="16" spans="1:3" ht="12.5" x14ac:dyDescent="0.25">
      <c r="A16" t="str">
        <f ca="1">IFERROR(__xludf.DUMMYFUNCTION("""COMPUTED_VALUE"""),"Feed mill")</f>
        <v>Feed mill</v>
      </c>
      <c r="B16" t="str">
        <f ca="1">IFERROR(__xludf.DUMMYFUNCTION("""COMPUTED_VALUE"""),"E354A")</f>
        <v>E354A</v>
      </c>
    </row>
    <row r="17" spans="1:2" ht="12.5" x14ac:dyDescent="0.25">
      <c r="A17" t="str">
        <f ca="1">IFERROR(__xludf.DUMMYFUNCTION("""COMPUTED_VALUE"""),"Fish freezing")</f>
        <v>Fish freezing</v>
      </c>
      <c r="B17" t="str">
        <f ca="1">IFERROR(__xludf.DUMMYFUNCTION("""COMPUTED_VALUE"""),"E321A")</f>
        <v>E321A</v>
      </c>
    </row>
    <row r="18" spans="1:2" ht="12.5" x14ac:dyDescent="0.25">
      <c r="A18" t="str">
        <f ca="1">IFERROR(__xludf.DUMMYFUNCTION("""COMPUTED_VALUE"""),"Fish processing")</f>
        <v>Fish processing</v>
      </c>
      <c r="B18" t="str">
        <f ca="1">IFERROR(__xludf.DUMMYFUNCTION("""COMPUTED_VALUE"""),"E320A")</f>
        <v>E320A</v>
      </c>
    </row>
    <row r="19" spans="1:2" ht="12.5" x14ac:dyDescent="0.25">
      <c r="A19" t="str">
        <f ca="1">IFERROR(__xludf.DUMMYFUNCTION("""COMPUTED_VALUE"""),"Fish processing activities, other than freezing")</f>
        <v>Fish processing activities, other than freezing</v>
      </c>
      <c r="B19" t="str">
        <f ca="1">IFERROR(__xludf.DUMMYFUNCTION("""COMPUTED_VALUE"""),"E329A")</f>
        <v>E329A</v>
      </c>
    </row>
    <row r="20" spans="1:2" ht="12.5" x14ac:dyDescent="0.25">
      <c r="A20" t="str">
        <f ca="1">IFERROR(__xludf.DUMMYFUNCTION("""COMPUTED_VALUE"""),"Fishery activities")</f>
        <v>Fishery activities</v>
      </c>
      <c r="B20" t="str">
        <f ca="1">IFERROR(__xludf.DUMMYFUNCTION("""COMPUTED_VALUE"""),"E150A")</f>
        <v>E150A</v>
      </c>
    </row>
    <row r="21" spans="1:2" ht="12.5" x14ac:dyDescent="0.25">
      <c r="A21" t="str">
        <f ca="1">IFERROR(__xludf.DUMMYFUNCTION("""COMPUTED_VALUE"""),"Fishing and fish processing")</f>
        <v>Fishing and fish processing</v>
      </c>
      <c r="B21" t="str">
        <f ca="1">IFERROR(__xludf.DUMMYFUNCTION("""COMPUTED_VALUE"""),"E151A")</f>
        <v>E151A</v>
      </c>
    </row>
    <row r="22" spans="1:2" ht="12.5" x14ac:dyDescent="0.25">
      <c r="A22" t="str">
        <f ca="1">IFERROR(__xludf.DUMMYFUNCTION("""COMPUTED_VALUE"""),"Game handling estabilishment")</f>
        <v>Game handling estabilishment</v>
      </c>
      <c r="B22" t="str">
        <f ca="1">IFERROR(__xludf.DUMMYFUNCTION("""COMPUTED_VALUE"""),"E170A")</f>
        <v>E170A</v>
      </c>
    </row>
    <row r="23" spans="1:2" ht="12.5" x14ac:dyDescent="0.25">
      <c r="A23" t="str">
        <f ca="1">IFERROR(__xludf.DUMMYFUNCTION("""COMPUTED_VALUE"""),"Growing crops")</f>
        <v>Growing crops</v>
      </c>
      <c r="B23" t="str">
        <f ca="1">IFERROR(__xludf.DUMMYFUNCTION("""COMPUTED_VALUE"""),"E110A")</f>
        <v>E110A</v>
      </c>
    </row>
    <row r="24" spans="1:2" ht="12.5" x14ac:dyDescent="0.25">
      <c r="A24" t="str">
        <f ca="1">IFERROR(__xludf.DUMMYFUNCTION("""COMPUTED_VALUE"""),"Hatchery")</f>
        <v>Hatchery</v>
      </c>
      <c r="B24" t="str">
        <f ca="1">IFERROR(__xludf.DUMMYFUNCTION("""COMPUTED_VALUE"""),"E160A")</f>
        <v>E160A</v>
      </c>
    </row>
    <row r="25" spans="1:2" ht="12.5" x14ac:dyDescent="0.25">
      <c r="A25" t="str">
        <f ca="1">IFERROR(__xludf.DUMMYFUNCTION("""COMPUTED_VALUE"""),"Hospital or medical care facility")</f>
        <v>Hospital or medical care facility</v>
      </c>
      <c r="B25" t="str">
        <f ca="1">IFERROR(__xludf.DUMMYFUNCTION("""COMPUTED_VALUE"""),"E210A")</f>
        <v>E210A</v>
      </c>
    </row>
    <row r="26" spans="1:2" ht="12.5" x14ac:dyDescent="0.25">
      <c r="A26" t="str">
        <f ca="1">IFERROR(__xludf.DUMMYFUNCTION("""COMPUTED_VALUE"""),"Household")</f>
        <v>Household</v>
      </c>
      <c r="B26" t="str">
        <f ca="1">IFERROR(__xludf.DUMMYFUNCTION("""COMPUTED_VALUE"""),"E230A")</f>
        <v>E230A</v>
      </c>
    </row>
    <row r="27" spans="1:2" ht="12.5" x14ac:dyDescent="0.25">
      <c r="A27" t="str">
        <f ca="1">IFERROR(__xludf.DUMMYFUNCTION("""COMPUTED_VALUE"""),"Hunting")</f>
        <v>Hunting</v>
      </c>
      <c r="B27" t="str">
        <f ca="1">IFERROR(__xludf.DUMMYFUNCTION("""COMPUTED_VALUE"""),"E180A")</f>
        <v>E180A</v>
      </c>
    </row>
    <row r="28" spans="1:2" ht="12.5" x14ac:dyDescent="0.25">
      <c r="A28" t="str">
        <f ca="1">IFERROR(__xludf.DUMMYFUNCTION("""COMPUTED_VALUE"""),"Import activities")</f>
        <v>Import activities</v>
      </c>
      <c r="B28" t="str">
        <f ca="1">IFERROR(__xludf.DUMMYFUNCTION("""COMPUTED_VALUE"""),"E530A")</f>
        <v>E530A</v>
      </c>
    </row>
    <row r="29" spans="1:2" ht="12.5" x14ac:dyDescent="0.25">
      <c r="A29" t="str">
        <f ca="1">IFERROR(__xludf.DUMMYFUNCTION("""COMPUTED_VALUE"""),"Insemination")</f>
        <v>Insemination</v>
      </c>
      <c r="B29" t="str">
        <f ca="1">IFERROR(__xludf.DUMMYFUNCTION("""COMPUTED_VALUE"""),"E132A")</f>
        <v>E132A</v>
      </c>
    </row>
    <row r="30" spans="1:2" ht="12.5" x14ac:dyDescent="0.25">
      <c r="A30" t="str">
        <f ca="1">IFERROR(__xludf.DUMMYFUNCTION("""COMPUTED_VALUE"""),"Manufacture of  compound feedingstuffs")</f>
        <v>Manufacture of  compound feedingstuffs</v>
      </c>
      <c r="B30" t="str">
        <f ca="1">IFERROR(__xludf.DUMMYFUNCTION("""COMPUTED_VALUE"""),"E351A")</f>
        <v>E351A</v>
      </c>
    </row>
    <row r="31" spans="1:2" ht="12.5" x14ac:dyDescent="0.25">
      <c r="A31" t="str">
        <f ca="1">IFERROR(__xludf.DUMMYFUNCTION("""COMPUTED_VALUE"""),"Manufacture of feed additives and pre-mixtures")</f>
        <v>Manufacture of feed additives and pre-mixtures</v>
      </c>
      <c r="B31" t="str">
        <f ca="1">IFERROR(__xludf.DUMMYFUNCTION("""COMPUTED_VALUE"""),"E352A")</f>
        <v>E352A</v>
      </c>
    </row>
    <row r="32" spans="1:2" ht="12.5" x14ac:dyDescent="0.25">
      <c r="A32" t="str">
        <f ca="1">IFERROR(__xludf.DUMMYFUNCTION("""COMPUTED_VALUE"""),"Manufacture of prepared animal feeds")</f>
        <v>Manufacture of prepared animal feeds</v>
      </c>
      <c r="B32" t="str">
        <f ca="1">IFERROR(__xludf.DUMMYFUNCTION("""COMPUTED_VALUE"""),"E350A")</f>
        <v>E350A</v>
      </c>
    </row>
    <row r="33" spans="1:2" ht="12.5" x14ac:dyDescent="0.25">
      <c r="A33" t="str">
        <f ca="1">IFERROR(__xludf.DUMMYFUNCTION("""COMPUTED_VALUE"""),"Manufacture of prepared petfoods")</f>
        <v>Manufacture of prepared petfoods</v>
      </c>
      <c r="B33" t="str">
        <f ca="1">IFERROR(__xludf.DUMMYFUNCTION("""COMPUTED_VALUE"""),"E353A")</f>
        <v>E353A</v>
      </c>
    </row>
    <row r="34" spans="1:2" ht="12.5" x14ac:dyDescent="0.25">
      <c r="A34" t="str">
        <f ca="1">IFERROR(__xludf.DUMMYFUNCTION("""COMPUTED_VALUE"""),"Manufacturing")</f>
        <v>Manufacturing</v>
      </c>
      <c r="B34" t="str">
        <f ca="1">IFERROR(__xludf.DUMMYFUNCTION("""COMPUTED_VALUE"""),"E300A")</f>
        <v>E300A</v>
      </c>
    </row>
    <row r="35" spans="1:2" ht="12.5" x14ac:dyDescent="0.25">
      <c r="A35" t="str">
        <f ca="1">IFERROR(__xludf.DUMMYFUNCTION("""COMPUTED_VALUE"""),"Meat cutting")</f>
        <v>Meat cutting</v>
      </c>
      <c r="B35" t="str">
        <f ca="1">IFERROR(__xludf.DUMMYFUNCTION("""COMPUTED_VALUE"""),"E312A")</f>
        <v>E312A</v>
      </c>
    </row>
    <row r="36" spans="1:2" ht="12.5" x14ac:dyDescent="0.25">
      <c r="A36" t="str">
        <f ca="1">IFERROR(__xludf.DUMMYFUNCTION("""COMPUTED_VALUE"""),"Meat mincing")</f>
        <v>Meat mincing</v>
      </c>
      <c r="B36" t="str">
        <f ca="1">IFERROR(__xludf.DUMMYFUNCTION("""COMPUTED_VALUE"""),"E313A")</f>
        <v>E313A</v>
      </c>
    </row>
    <row r="37" spans="1:2" ht="12.5" x14ac:dyDescent="0.25">
      <c r="A37" t="str">
        <f ca="1">IFERROR(__xludf.DUMMYFUNCTION("""COMPUTED_VALUE"""),"Meat preparing")</f>
        <v>Meat preparing</v>
      </c>
      <c r="B37" t="str">
        <f ca="1">IFERROR(__xludf.DUMMYFUNCTION("""COMPUTED_VALUE"""),"E314A")</f>
        <v>E314A</v>
      </c>
    </row>
    <row r="38" spans="1:2" ht="12.5" x14ac:dyDescent="0.25">
      <c r="A38" t="str">
        <f ca="1">IFERROR(__xludf.DUMMYFUNCTION("""COMPUTED_VALUE"""),"Meat processing")</f>
        <v>Meat processing</v>
      </c>
      <c r="B38" t="str">
        <f ca="1">IFERROR(__xludf.DUMMYFUNCTION("""COMPUTED_VALUE"""),"E310A")</f>
        <v>E310A</v>
      </c>
    </row>
    <row r="39" spans="1:2" ht="12.5" x14ac:dyDescent="0.25">
      <c r="A39" t="str">
        <f ca="1">IFERROR(__xludf.DUMMYFUNCTION("""COMPUTED_VALUE"""),"Mechanical separation of meat")</f>
        <v>Mechanical separation of meat</v>
      </c>
      <c r="B39" t="str">
        <f ca="1">IFERROR(__xludf.DUMMYFUNCTION("""COMPUTED_VALUE"""),"E315A")</f>
        <v>E315A</v>
      </c>
    </row>
    <row r="40" spans="1:2" ht="12.5" x14ac:dyDescent="0.25">
      <c r="A40" t="str">
        <f ca="1">IFERROR(__xludf.DUMMYFUNCTION("""COMPUTED_VALUE"""),"Mobile retailer, market-street vendor")</f>
        <v>Mobile retailer, market-street vendor</v>
      </c>
      <c r="B40" t="str">
        <f ca="1">IFERROR(__xludf.DUMMYFUNCTION("""COMPUTED_VALUE"""),"E920A")</f>
        <v>E920A</v>
      </c>
    </row>
    <row r="41" spans="1:2" ht="12.5" x14ac:dyDescent="0.25">
      <c r="A41" t="str">
        <f ca="1">IFERROR(__xludf.DUMMYFUNCTION("""COMPUTED_VALUE"""),"Natural habitat")</f>
        <v>Natural habitat</v>
      </c>
      <c r="B41" t="str">
        <f ca="1">IFERROR(__xludf.DUMMYFUNCTION("""COMPUTED_VALUE"""),"E191A")</f>
        <v>E191A</v>
      </c>
    </row>
    <row r="42" spans="1:2" ht="12.5" x14ac:dyDescent="0.25">
      <c r="A42" t="str">
        <f ca="1">IFERROR(__xludf.DUMMYFUNCTION("""COMPUTED_VALUE"""),"Not specified")</f>
        <v>Not specified</v>
      </c>
      <c r="B42" t="str">
        <f ca="1">IFERROR(__xludf.DUMMYFUNCTION("""COMPUTED_VALUE"""),"E098A")</f>
        <v>E098A</v>
      </c>
    </row>
    <row r="43" spans="1:2" ht="12.5" x14ac:dyDescent="0.25">
      <c r="A43" t="str">
        <f ca="1">IFERROR(__xludf.DUMMYFUNCTION("""COMPUTED_VALUE"""),"Other activities, n.e.c.")</f>
        <v>Other activities, n.e.c.</v>
      </c>
      <c r="B43" t="str">
        <f ca="1">IFERROR(__xludf.DUMMYFUNCTION("""COMPUTED_VALUE"""),"E099A")</f>
        <v>E099A</v>
      </c>
    </row>
    <row r="44" spans="1:2" ht="12.5" x14ac:dyDescent="0.25">
      <c r="A44" t="str">
        <f ca="1">IFERROR(__xludf.DUMMYFUNCTION("""COMPUTED_VALUE"""),"Other animal production support activity n.e.c")</f>
        <v>Other animal production support activity n.e.c</v>
      </c>
      <c r="B44" t="str">
        <f ca="1">IFERROR(__xludf.DUMMYFUNCTION("""COMPUTED_VALUE"""),"E139A")</f>
        <v>E139A</v>
      </c>
    </row>
    <row r="45" spans="1:2" ht="12.5" x14ac:dyDescent="0.25">
      <c r="A45" t="str">
        <f ca="1">IFERROR(__xludf.DUMMYFUNCTION("""COMPUTED_VALUE"""),"Other meat processing activities")</f>
        <v>Other meat processing activities</v>
      </c>
      <c r="B45" t="str">
        <f ca="1">IFERROR(__xludf.DUMMYFUNCTION("""COMPUTED_VALUE"""),"E319A")</f>
        <v>E319A</v>
      </c>
    </row>
    <row r="46" spans="1:2" ht="12.5" x14ac:dyDescent="0.25">
      <c r="A46" t="str">
        <f ca="1">IFERROR(__xludf.DUMMYFUNCTION("""COMPUTED_VALUE"""),"Other processing activities, N.E.C.")</f>
        <v>Other processing activities, N.E.C.</v>
      </c>
      <c r="B46" t="str">
        <f ca="1">IFERROR(__xludf.DUMMYFUNCTION("""COMPUTED_VALUE"""),"E355A")</f>
        <v>E355A</v>
      </c>
    </row>
    <row r="47" spans="1:2" ht="12.5" x14ac:dyDescent="0.25">
      <c r="A47" t="str">
        <f ca="1">IFERROR(__xludf.DUMMYFUNCTION("""COMPUTED_VALUE"""),"Packaging")</f>
        <v>Packaging</v>
      </c>
      <c r="B47" t="str">
        <f ca="1">IFERROR(__xludf.DUMMYFUNCTION("""COMPUTED_VALUE"""),"E600A")</f>
        <v>E600A</v>
      </c>
    </row>
    <row r="48" spans="1:2" ht="12.5" x14ac:dyDescent="0.25">
      <c r="A48" t="str">
        <f ca="1">IFERROR(__xludf.DUMMYFUNCTION("""COMPUTED_VALUE"""),"Primary production")</f>
        <v>Primary production</v>
      </c>
      <c r="B48" t="str">
        <f ca="1">IFERROR(__xludf.DUMMYFUNCTION("""COMPUTED_VALUE"""),"E100A")</f>
        <v>E100A</v>
      </c>
    </row>
    <row r="49" spans="1:2" ht="12.5" x14ac:dyDescent="0.25">
      <c r="A49" t="str">
        <f ca="1">IFERROR(__xludf.DUMMYFUNCTION("""COMPUTED_VALUE"""),"Processing plant")</f>
        <v>Processing plant</v>
      </c>
      <c r="B49" t="str">
        <f ca="1">IFERROR(__xludf.DUMMYFUNCTION("""COMPUTED_VALUE"""),"E301A")</f>
        <v>E301A</v>
      </c>
    </row>
    <row r="50" spans="1:2" ht="12.5" x14ac:dyDescent="0.25">
      <c r="A50" t="str">
        <f ca="1">IFERROR(__xludf.DUMMYFUNCTION("""COMPUTED_VALUE"""),"Rail transport")</f>
        <v>Rail transport</v>
      </c>
      <c r="B50" t="str">
        <f ca="1">IFERROR(__xludf.DUMMYFUNCTION("""COMPUTED_VALUE"""),"E820A")</f>
        <v>E820A</v>
      </c>
    </row>
    <row r="51" spans="1:2" ht="12.5" x14ac:dyDescent="0.25">
      <c r="A51" t="str">
        <f ca="1">IFERROR(__xludf.DUMMYFUNCTION("""COMPUTED_VALUE"""),"Re-wrapping")</f>
        <v>Re-wrapping</v>
      </c>
      <c r="B51" t="str">
        <f ca="1">IFERROR(__xludf.DUMMYFUNCTION("""COMPUTED_VALUE"""),"E610A")</f>
        <v>E610A</v>
      </c>
    </row>
    <row r="52" spans="1:2" ht="12.5" x14ac:dyDescent="0.25">
      <c r="A52" t="str">
        <f ca="1">IFERROR(__xludf.DUMMYFUNCTION("""COMPUTED_VALUE"""),"Rearing of animals")</f>
        <v>Rearing of animals</v>
      </c>
      <c r="B52" t="str">
        <f ca="1">IFERROR(__xludf.DUMMYFUNCTION("""COMPUTED_VALUE"""),"E120A")</f>
        <v>E120A</v>
      </c>
    </row>
    <row r="53" spans="1:2" ht="12.5" x14ac:dyDescent="0.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x14ac:dyDescent="0.25">
      <c r="A54" t="str">
        <f ca="1">IFERROR(__xludf.DUMMYFUNCTION("""COMPUTED_VALUE"""),"Restaurant, Cafe, Pub, Bar, Hotel, Catering service")</f>
        <v>Restaurant, Cafe, Pub, Bar, Hotel, Catering service</v>
      </c>
      <c r="B54" t="str">
        <f ca="1">IFERROR(__xludf.DUMMYFUNCTION("""COMPUTED_VALUE"""),"E910A")</f>
        <v>E910A</v>
      </c>
    </row>
    <row r="55" spans="1:2" ht="12.5" x14ac:dyDescent="0.25">
      <c r="A55" t="str">
        <f ca="1">IFERROR(__xludf.DUMMYFUNCTION("""COMPUTED_VALUE"""),"Retail sale")</f>
        <v>Retail sale</v>
      </c>
      <c r="B55" t="str">
        <f ca="1">IFERROR(__xludf.DUMMYFUNCTION("""COMPUTED_VALUE"""),"E520A")</f>
        <v>E520A</v>
      </c>
    </row>
    <row r="56" spans="1:2" ht="12.5" x14ac:dyDescent="0.25">
      <c r="A56" t="str">
        <f ca="1">IFERROR(__xludf.DUMMYFUNCTION("""COMPUTED_VALUE"""),"Road transport")</f>
        <v>Road transport</v>
      </c>
      <c r="B56" t="str">
        <f ca="1">IFERROR(__xludf.DUMMYFUNCTION("""COMPUTED_VALUE"""),"E810A")</f>
        <v>E810A</v>
      </c>
    </row>
    <row r="57" spans="1:2" ht="12.5" x14ac:dyDescent="0.25">
      <c r="A57" t="str">
        <f ca="1">IFERROR(__xludf.DUMMYFUNCTION("""COMPUTED_VALUE"""),"School, kindergarten")</f>
        <v>School, kindergarten</v>
      </c>
      <c r="B57" t="str">
        <f ca="1">IFERROR(__xludf.DUMMYFUNCTION("""COMPUTED_VALUE"""),"E240A")</f>
        <v>E240A</v>
      </c>
    </row>
    <row r="58" spans="1:2" ht="12.5" x14ac:dyDescent="0.25">
      <c r="A58" t="str">
        <f ca="1">IFERROR(__xludf.DUMMYFUNCTION("""COMPUTED_VALUE"""),"Slaughtering")</f>
        <v>Slaughtering</v>
      </c>
      <c r="B58" t="str">
        <f ca="1">IFERROR(__xludf.DUMMYFUNCTION("""COMPUTED_VALUE"""),"E311A")</f>
        <v>E311A</v>
      </c>
    </row>
    <row r="59" spans="1:2" ht="12.5" x14ac:dyDescent="0.25">
      <c r="A59" t="str">
        <f ca="1">IFERROR(__xludf.DUMMYFUNCTION("""COMPUTED_VALUE"""),"Storage")</f>
        <v>Storage</v>
      </c>
      <c r="B59" t="str">
        <f ca="1">IFERROR(__xludf.DUMMYFUNCTION("""COMPUTED_VALUE"""),"E700A")</f>
        <v>E700A</v>
      </c>
    </row>
    <row r="60" spans="1:2" ht="12.5" x14ac:dyDescent="0.25">
      <c r="A60" t="str">
        <f ca="1">IFERROR(__xludf.DUMMYFUNCTION("""COMPUTED_VALUE"""),"Support activities for crop production")</f>
        <v>Support activities for crop production</v>
      </c>
      <c r="B60" t="str">
        <f ca="1">IFERROR(__xludf.DUMMYFUNCTION("""COMPUTED_VALUE"""),"E131A")</f>
        <v>E131A</v>
      </c>
    </row>
    <row r="61" spans="1:2" ht="12.5" x14ac:dyDescent="0.25">
      <c r="A61" t="str">
        <f ca="1">IFERROR(__xludf.DUMMYFUNCTION("""COMPUTED_VALUE"""),"Support activities to agriculture")</f>
        <v>Support activities to agriculture</v>
      </c>
      <c r="B61" t="str">
        <f ca="1">IFERROR(__xludf.DUMMYFUNCTION("""COMPUTED_VALUE"""),"E130A")</f>
        <v>E130A</v>
      </c>
    </row>
    <row r="62" spans="1:2" ht="12.5" x14ac:dyDescent="0.25">
      <c r="A62" t="str">
        <f ca="1">IFERROR(__xludf.DUMMYFUNCTION("""COMPUTED_VALUE"""),"Take-away or fast-food outlet")</f>
        <v>Take-away or fast-food outlet</v>
      </c>
      <c r="B62" t="str">
        <f ca="1">IFERROR(__xludf.DUMMYFUNCTION("""COMPUTED_VALUE"""),"E930A")</f>
        <v>E930A</v>
      </c>
    </row>
    <row r="63" spans="1:2" ht="12.5" x14ac:dyDescent="0.25">
      <c r="A63" t="str">
        <f ca="1">IFERROR(__xludf.DUMMYFUNCTION("""COMPUTED_VALUE"""),"Temporary mass catering (fairs, festivals)")</f>
        <v>Temporary mass catering (fairs, festivals)</v>
      </c>
      <c r="B63" t="str">
        <f ca="1">IFERROR(__xludf.DUMMYFUNCTION("""COMPUTED_VALUE"""),"E950A")</f>
        <v>E950A</v>
      </c>
    </row>
    <row r="64" spans="1:2" ht="12.5" x14ac:dyDescent="0.25">
      <c r="A64" t="str">
        <f ca="1">IFERROR(__xludf.DUMMYFUNCTION("""COMPUTED_VALUE"""),"Transport")</f>
        <v>Transport</v>
      </c>
      <c r="B64" t="str">
        <f ca="1">IFERROR(__xludf.DUMMYFUNCTION("""COMPUTED_VALUE"""),"E800A")</f>
        <v>E800A</v>
      </c>
    </row>
    <row r="65" spans="1:2" ht="12.5" x14ac:dyDescent="0.25">
      <c r="A65" t="str">
        <f ca="1">IFERROR(__xludf.DUMMYFUNCTION("""COMPUTED_VALUE"""),"Travel (abroad)")</f>
        <v>Travel (abroad)</v>
      </c>
      <c r="B65" t="str">
        <f ca="1">IFERROR(__xludf.DUMMYFUNCTION("""COMPUTED_VALUE"""),"E850A")</f>
        <v>E850A</v>
      </c>
    </row>
    <row r="66" spans="1:2" ht="12.5" x14ac:dyDescent="0.25">
      <c r="A66" t="str">
        <f ca="1">IFERROR(__xludf.DUMMYFUNCTION("""COMPUTED_VALUE"""),"Unknown")</f>
        <v>Unknown</v>
      </c>
      <c r="B66" t="str">
        <f ca="1">IFERROR(__xludf.DUMMYFUNCTION("""COMPUTED_VALUE"""),"E980A")</f>
        <v>E980A</v>
      </c>
    </row>
    <row r="67" spans="1:2" ht="12.5" x14ac:dyDescent="0.25">
      <c r="A67" t="str">
        <f ca="1">IFERROR(__xludf.DUMMYFUNCTION("""COMPUTED_VALUE"""),"Veterinary activities")</f>
        <v>Veterinary activities</v>
      </c>
      <c r="B67" t="str">
        <f ca="1">IFERROR(__xludf.DUMMYFUNCTION("""COMPUTED_VALUE"""),"E011A")</f>
        <v>E011A</v>
      </c>
    </row>
    <row r="68" spans="1:2" ht="12.5" x14ac:dyDescent="0.25">
      <c r="A68" t="str">
        <f ca="1">IFERROR(__xludf.DUMMYFUNCTION("""COMPUTED_VALUE"""),"Veterinary clinics")</f>
        <v>Veterinary clinics</v>
      </c>
      <c r="B68" t="str">
        <f ca="1">IFERROR(__xludf.DUMMYFUNCTION("""COMPUTED_VALUE"""),"E013A")</f>
        <v>E013A</v>
      </c>
    </row>
    <row r="69" spans="1:2" ht="12.5" x14ac:dyDescent="0.25">
      <c r="A69" t="str">
        <f ca="1">IFERROR(__xludf.DUMMYFUNCTION("""COMPUTED_VALUE"""),"Water collection, treatment and supply")</f>
        <v>Water collection, treatment and supply</v>
      </c>
      <c r="B69" t="str">
        <f ca="1">IFERROR(__xludf.DUMMYFUNCTION("""COMPUTED_VALUE"""),"E400A")</f>
        <v>E400A</v>
      </c>
    </row>
    <row r="70" spans="1:2" ht="12.5" x14ac:dyDescent="0.25">
      <c r="A70" t="str">
        <f ca="1">IFERROR(__xludf.DUMMYFUNCTION("""COMPUTED_VALUE"""),"Water distribution system")</f>
        <v>Water distribution system</v>
      </c>
      <c r="B70" t="str">
        <f ca="1">IFERROR(__xludf.DUMMYFUNCTION("""COMPUTED_VALUE"""),"E410A")</f>
        <v>E410A</v>
      </c>
    </row>
    <row r="71" spans="1:2" ht="12.5" x14ac:dyDescent="0.25">
      <c r="A71" t="str">
        <f ca="1">IFERROR(__xludf.DUMMYFUNCTION("""COMPUTED_VALUE"""),"Water source")</f>
        <v>Water source</v>
      </c>
      <c r="B71" t="str">
        <f ca="1">IFERROR(__xludf.DUMMYFUNCTION("""COMPUTED_VALUE"""),"E420A")</f>
        <v>E420A</v>
      </c>
    </row>
    <row r="72" spans="1:2" ht="12.5" x14ac:dyDescent="0.25">
      <c r="A72" t="str">
        <f ca="1">IFERROR(__xludf.DUMMYFUNCTION("""COMPUTED_VALUE"""),"Water transport")</f>
        <v>Water transport</v>
      </c>
      <c r="B72" t="str">
        <f ca="1">IFERROR(__xludf.DUMMYFUNCTION("""COMPUTED_VALUE"""),"E830A")</f>
        <v>E830A</v>
      </c>
    </row>
    <row r="73" spans="1:2" ht="12.5" x14ac:dyDescent="0.25">
      <c r="A73" t="str">
        <f ca="1">IFERROR(__xludf.DUMMYFUNCTION("""COMPUTED_VALUE"""),"Water treatment plant")</f>
        <v>Water treatment plant</v>
      </c>
      <c r="B73" t="str">
        <f ca="1">IFERROR(__xludf.DUMMYFUNCTION("""COMPUTED_VALUE"""),"E430A")</f>
        <v>E430A</v>
      </c>
    </row>
    <row r="74" spans="1:2" ht="12.5" x14ac:dyDescent="0.25">
      <c r="A74" t="str">
        <f ca="1">IFERROR(__xludf.DUMMYFUNCTION("""COMPUTED_VALUE"""),"Wholesale")</f>
        <v>Wholesale</v>
      </c>
      <c r="B74" t="str">
        <f ca="1">IFERROR(__xludf.DUMMYFUNCTION("""COMPUTED_VALUE"""),"E510A")</f>
        <v>E510A</v>
      </c>
    </row>
    <row r="75" spans="1:2" ht="12.5" x14ac:dyDescent="0.25">
      <c r="A75" t="str">
        <f ca="1">IFERROR(__xludf.DUMMYFUNCTION("""COMPUTED_VALUE"""),"Wildlife Research Station")</f>
        <v>Wildlife Research Station</v>
      </c>
      <c r="B75" t="str">
        <f ca="1">IFERROR(__xludf.DUMMYFUNCTION("""COMPUTED_VALUE"""),"E190A")</f>
        <v>E190A</v>
      </c>
    </row>
    <row r="76" spans="1:2" ht="12.5" x14ac:dyDescent="0.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x14ac:dyDescent="0.25">
      <c r="A2" t="str">
        <f ca="1">IFERROR(__xludf.DUMMYFUNCTION("""COMPUTED_VALUE"""),"24-hour recall interview")</f>
        <v>24-hour recall interview</v>
      </c>
      <c r="B2" t="str">
        <f ca="1">IFERROR(__xludf.DUMMYFUNCTION("""COMPUTED_VALUE"""),"Method. Tool to collect data_3")</f>
        <v>Method. Tool to collect data_3</v>
      </c>
    </row>
    <row r="3" spans="1:3" ht="12.5" x14ac:dyDescent="0.25">
      <c r="A3" t="str">
        <f ca="1">IFERROR(__xludf.DUMMYFUNCTION("""COMPUTED_VALUE"""),"eating outside questionnaire")</f>
        <v>eating outside questionnaire</v>
      </c>
      <c r="B3" t="str">
        <f ca="1">IFERROR(__xludf.DUMMYFUNCTION("""COMPUTED_VALUE"""),"Method. Tool to collect data_6")</f>
        <v>Method. Tool to collect data_6</v>
      </c>
    </row>
    <row r="4" spans="1:3" ht="12.5" x14ac:dyDescent="0.25">
      <c r="A4" t="str">
        <f ca="1">IFERROR(__xludf.DUMMYFUNCTION("""COMPUTED_VALUE"""),"food diaries")</f>
        <v>food diaries</v>
      </c>
      <c r="B4" t="str">
        <f ca="1">IFERROR(__xludf.DUMMYFUNCTION("""COMPUTED_VALUE"""),"Method. Tool to collect data_1")</f>
        <v>Method. Tool to collect data_1</v>
      </c>
    </row>
    <row r="5" spans="1:3" ht="12.5" x14ac:dyDescent="0.25">
      <c r="A5" t="str">
        <f ca="1">IFERROR(__xludf.DUMMYFUNCTION("""COMPUTED_VALUE"""),"food propensy questionnaire")</f>
        <v>food propensy questionnaire</v>
      </c>
      <c r="B5" t="str">
        <f ca="1">IFERROR(__xludf.DUMMYFUNCTION("""COMPUTED_VALUE"""),"Method. Tool to collect data_4")</f>
        <v>Method. Tool to collect data_4</v>
      </c>
    </row>
    <row r="6" spans="1:3" ht="12.5" x14ac:dyDescent="0.25">
      <c r="A6" t="str">
        <f ca="1">IFERROR(__xludf.DUMMYFUNCTION("""COMPUTED_VALUE"""),"interview")</f>
        <v>interview</v>
      </c>
      <c r="B6" t="str">
        <f ca="1">IFERROR(__xludf.DUMMYFUNCTION("""COMPUTED_VALUE"""),"Method. Tool to collect data_2")</f>
        <v>Method. Tool to collect data_2</v>
      </c>
    </row>
    <row r="7" spans="1:3" ht="12.5" x14ac:dyDescent="0.25">
      <c r="A7" t="str">
        <f ca="1">IFERROR(__xludf.DUMMYFUNCTION("""COMPUTED_VALUE"""),"Other experimental studies")</f>
        <v>Other experimental studies</v>
      </c>
      <c r="B7" t="str">
        <f ca="1">IFERROR(__xludf.DUMMYFUNCTION("""COMPUTED_VALUE"""),"Method. Tool to collect data_8")</f>
        <v>Method. Tool to collect data_8</v>
      </c>
    </row>
    <row r="8" spans="1:3" ht="12.5" x14ac:dyDescent="0.25">
      <c r="A8" t="str">
        <f ca="1">IFERROR(__xludf.DUMMYFUNCTION("""COMPUTED_VALUE"""),"Other observational studies")</f>
        <v>Other observational studies</v>
      </c>
      <c r="B8" t="str">
        <f ca="1">IFERROR(__xludf.DUMMYFUNCTION("""COMPUTED_VALUE"""),"Method. Tool to collect data_7")</f>
        <v>Method. Tool to collect data_7</v>
      </c>
    </row>
    <row r="9" spans="1:3" ht="12.5" x14ac:dyDescent="0.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IFERROR(__xludf.DUMMYFUNCTION("importrange(""https://docs.google.com/spreadsheets/d/1C6N4-YWX9OMmNStd2rYlSUaVys-aiJGLj00cD44aVc8/edit#gid=1894320575"",""Availability!A2:A500"")"),"Closed access")</f>
        <v>Closed access</v>
      </c>
    </row>
    <row r="2" spans="1:1" ht="12.5" x14ac:dyDescent="0.25">
      <c r="A2" t="str">
        <f ca="1">IFERROR(__xludf.DUMMYFUNCTION("""COMPUTED_VALUE"""),"Embargoed access")</f>
        <v>Embargoed access</v>
      </c>
    </row>
    <row r="3" spans="1:1" ht="12.5" x14ac:dyDescent="0.25">
      <c r="A3" t="str">
        <f ca="1">IFERROR(__xludf.DUMMYFUNCTION("""COMPUTED_VALUE"""),"Open access")</f>
        <v>Open access</v>
      </c>
    </row>
    <row r="4" spans="1:1" ht="12.5" x14ac:dyDescent="0.25">
      <c r="A4" t="str">
        <f ca="1">IFERROR(__xludf.DUMMYFUNCTION("""COMPUTED_VALUE"""),"Other")</f>
        <v>Other</v>
      </c>
    </row>
    <row r="5" spans="1:1" ht="12.5" x14ac:dyDescent="0.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2020-08-03T15:37:44Z</dcterms:modified>
</cp:coreProperties>
</file>