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ksina/Desktop/4th Year project/Experimental Data/"/>
    </mc:Choice>
  </mc:AlternateContent>
  <xr:revisionPtr revIDLastSave="0" documentId="13_ncr:1_{E48736CC-D59C-9D48-80CF-5BF2E6B8767A}" xr6:coauthVersionLast="47" xr6:coauthVersionMax="47" xr10:uidLastSave="{00000000-0000-0000-0000-000000000000}"/>
  <bookViews>
    <workbookView xWindow="260" yWindow="500" windowWidth="35840" windowHeight="20340" activeTab="4" xr2:uid="{18ACD67C-766F-1942-AD90-63DE6B6AE692}"/>
  </bookViews>
  <sheets>
    <sheet name="Gripper tip Force - deflection" sheetId="3" r:id="rId1"/>
    <sheet name="Gecko-adhesion Characterisation" sheetId="1" r:id="rId2"/>
    <sheet name="Area dependent max loading" sheetId="2" r:id="rId3"/>
    <sheet name="Biopsy pick and place" sheetId="5" r:id="rId4"/>
    <sheet name="Reusability test" sheetId="4" r:id="rId5"/>
  </sheets>
  <definedNames>
    <definedName name="solver_adj" localSheetId="0" hidden="1">'Gripper tip Force - deflection'!$I$2,'Gripper tip Force - deflection'!$I$9,'Gripper tip Force - deflection'!$I$10</definedName>
    <definedName name="solver_adj" localSheetId="4" hidden="1">'Reusability test'!$AA$2:$AA$4</definedName>
    <definedName name="solver_cvg" localSheetId="0" hidden="1">0.0001</definedName>
    <definedName name="solver_cvg" localSheetId="4" hidden="1">0.0001</definedName>
    <definedName name="solver_drv" localSheetId="0" hidden="1">1</definedName>
    <definedName name="solver_drv" localSheetId="4" hidden="1">1</definedName>
    <definedName name="solver_eng" localSheetId="0" hidden="1">3</definedName>
    <definedName name="solver_eng" localSheetId="4" hidden="1">1</definedName>
    <definedName name="solver_itr" localSheetId="0" hidden="1">2147483647</definedName>
    <definedName name="solver_itr" localSheetId="4" hidden="1">2147483647</definedName>
    <definedName name="solver_lhs1" localSheetId="0" hidden="1">'Gripper tip Force - deflection'!$I$10</definedName>
    <definedName name="solver_lhs2" localSheetId="0" hidden="1">'Gripper tip Force - deflection'!$I$10</definedName>
    <definedName name="solver_lhs3" localSheetId="0" hidden="1">'Gripper tip Force - deflection'!$I$2</definedName>
    <definedName name="solver_lhs4" localSheetId="0" hidden="1">'Gripper tip Force - deflection'!$I$2</definedName>
    <definedName name="solver_lhs5" localSheetId="0" hidden="1">'Gripper tip Force - deflection'!$I$9</definedName>
    <definedName name="solver_lhs6" localSheetId="0" hidden="1">'Gripper tip Force - deflection'!$I$9</definedName>
    <definedName name="solver_lin" localSheetId="0" hidden="1">2</definedName>
    <definedName name="solver_lin" localSheetId="4" hidden="1">2</definedName>
    <definedName name="solver_mip" localSheetId="0" hidden="1">2147483647</definedName>
    <definedName name="solver_mip" localSheetId="4" hidden="1">2147483647</definedName>
    <definedName name="solver_mni" localSheetId="0" hidden="1">30</definedName>
    <definedName name="solver_mni" localSheetId="4" hidden="1">30</definedName>
    <definedName name="solver_mrt" localSheetId="0" hidden="1">0.075</definedName>
    <definedName name="solver_mrt" localSheetId="4" hidden="1">0.075</definedName>
    <definedName name="solver_msl" localSheetId="0" hidden="1">2</definedName>
    <definedName name="solver_msl" localSheetId="4" hidden="1">2</definedName>
    <definedName name="solver_neg" localSheetId="0" hidden="1">1</definedName>
    <definedName name="solver_neg" localSheetId="4" hidden="1">2</definedName>
    <definedName name="solver_nod" localSheetId="0" hidden="1">2147483647</definedName>
    <definedName name="solver_nod" localSheetId="4" hidden="1">2147483647</definedName>
    <definedName name="solver_num" localSheetId="0" hidden="1">6</definedName>
    <definedName name="solver_num" localSheetId="4" hidden="1">0</definedName>
    <definedName name="solver_opt" localSheetId="0" hidden="1">'Gripper tip Force - deflection'!$G$41</definedName>
    <definedName name="solver_opt" localSheetId="4" hidden="1">'Reusability test'!$V$22</definedName>
    <definedName name="solver_pre" localSheetId="0" hidden="1">0.000001</definedName>
    <definedName name="solver_pre" localSheetId="4" hidden="1">0.000001</definedName>
    <definedName name="solver_rbv" localSheetId="0" hidden="1">1</definedName>
    <definedName name="solver_rbv" localSheetId="4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hs1" localSheetId="0" hidden="1">1</definedName>
    <definedName name="solver_rhs2" localSheetId="0" hidden="1">0</definedName>
    <definedName name="solver_rhs3" localSheetId="0" hidden="1">700000</definedName>
    <definedName name="solver_rhs4" localSheetId="0" hidden="1">60000</definedName>
    <definedName name="solver_rhs5" localSheetId="0" hidden="1">1</definedName>
    <definedName name="solver_rhs6" localSheetId="0" hidden="1">0.0001</definedName>
    <definedName name="solver_rlx" localSheetId="0" hidden="1">1</definedName>
    <definedName name="solver_rlx" localSheetId="4" hidden="1">1</definedName>
    <definedName name="solver_rsd" localSheetId="0" hidden="1">0</definedName>
    <definedName name="solver_rsd" localSheetId="4" hidden="1">0</definedName>
    <definedName name="solver_scl" localSheetId="0" hidden="1">2</definedName>
    <definedName name="solver_scl" localSheetId="4" hidden="1">2</definedName>
    <definedName name="solver_sho" localSheetId="0" hidden="1">2</definedName>
    <definedName name="solver_sho" localSheetId="4" hidden="1">2</definedName>
    <definedName name="solver_ssz" localSheetId="0" hidden="1">100</definedName>
    <definedName name="solver_ssz" localSheetId="4" hidden="1">100</definedName>
    <definedName name="solver_tim" localSheetId="0" hidden="1">2147483647</definedName>
    <definedName name="solver_tim" localSheetId="4" hidden="1">2147483647</definedName>
    <definedName name="solver_tol" localSheetId="0" hidden="1">0.01</definedName>
    <definedName name="solver_tol" localSheetId="4" hidden="1">0.01</definedName>
    <definedName name="solver_typ" localSheetId="0" hidden="1">2</definedName>
    <definedName name="solver_typ" localSheetId="4" hidden="1">2</definedName>
    <definedName name="solver_val" localSheetId="0" hidden="1">0</definedName>
    <definedName name="solver_val" localSheetId="4" hidden="1">0</definedName>
    <definedName name="solver_ver" localSheetId="0" hidden="1">2</definedName>
    <definedName name="solver_ver" localSheetId="4" hidden="1">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L7" i="3"/>
  <c r="L6" i="3"/>
  <c r="K2" i="3"/>
  <c r="AB2" i="4"/>
  <c r="U3" i="4"/>
  <c r="V3" i="4" s="1"/>
  <c r="U4" i="4"/>
  <c r="V4" i="4" s="1"/>
  <c r="U5" i="4"/>
  <c r="V5" i="4" s="1"/>
  <c r="U6" i="4"/>
  <c r="V6" i="4" s="1"/>
  <c r="U7" i="4"/>
  <c r="V7" i="4" s="1"/>
  <c r="U8" i="4"/>
  <c r="V8" i="4" s="1"/>
  <c r="U9" i="4"/>
  <c r="V9" i="4" s="1"/>
  <c r="U10" i="4"/>
  <c r="V10" i="4" s="1"/>
  <c r="U11" i="4"/>
  <c r="V11" i="4" s="1"/>
  <c r="U12" i="4"/>
  <c r="V12" i="4" s="1"/>
  <c r="U13" i="4"/>
  <c r="V13" i="4" s="1"/>
  <c r="U14" i="4"/>
  <c r="V14" i="4" s="1"/>
  <c r="U15" i="4"/>
  <c r="V15" i="4" s="1"/>
  <c r="U16" i="4"/>
  <c r="V16" i="4" s="1"/>
  <c r="U17" i="4"/>
  <c r="V17" i="4" s="1"/>
  <c r="U18" i="4"/>
  <c r="V18" i="4" s="1"/>
  <c r="U19" i="4"/>
  <c r="V19" i="4" s="1"/>
  <c r="U20" i="4"/>
  <c r="V20" i="4" s="1"/>
  <c r="U21" i="4"/>
  <c r="V21" i="4" s="1"/>
  <c r="U2" i="4"/>
  <c r="V2" i="4" s="1"/>
  <c r="J23" i="5"/>
  <c r="O16" i="5"/>
  <c r="U27" i="5"/>
  <c r="T27" i="5"/>
  <c r="S27" i="5"/>
  <c r="U26" i="5"/>
  <c r="T26" i="5"/>
  <c r="S26" i="5"/>
  <c r="G27" i="5"/>
  <c r="I28" i="5"/>
  <c r="I27" i="5"/>
  <c r="I26" i="5"/>
  <c r="H28" i="5"/>
  <c r="H27" i="5"/>
  <c r="H26" i="5"/>
  <c r="G28" i="5"/>
  <c r="G26" i="5"/>
  <c r="H21" i="5"/>
  <c r="H22" i="5"/>
  <c r="G21" i="5"/>
  <c r="P23" i="5"/>
  <c r="O23" i="5"/>
  <c r="N23" i="5"/>
  <c r="Q23" i="5" s="1"/>
  <c r="O5" i="5"/>
  <c r="O6" i="5"/>
  <c r="O7" i="5"/>
  <c r="O8" i="5"/>
  <c r="O9" i="5"/>
  <c r="O10" i="5"/>
  <c r="O11" i="5"/>
  <c r="O12" i="5"/>
  <c r="O13" i="5"/>
  <c r="O14" i="5"/>
  <c r="O15" i="5"/>
  <c r="O4" i="5"/>
  <c r="H23" i="5"/>
  <c r="D3" i="3"/>
  <c r="I8" i="3"/>
  <c r="T23" i="4"/>
  <c r="V22" i="4" l="1"/>
  <c r="O17" i="5"/>
  <c r="K23" i="5" s="1"/>
  <c r="I3" i="3"/>
  <c r="C3" i="3"/>
  <c r="E3" i="3" s="1"/>
  <c r="C5" i="3"/>
  <c r="C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C40" i="3" s="1"/>
  <c r="B2" i="3"/>
  <c r="D2" i="3" s="1"/>
  <c r="Z5" i="5"/>
  <c r="Z8" i="5"/>
  <c r="Z9" i="5"/>
  <c r="Z12" i="5"/>
  <c r="Z13" i="5"/>
  <c r="Z14" i="5"/>
  <c r="Z15" i="5"/>
  <c r="W5" i="5"/>
  <c r="W6" i="5"/>
  <c r="W7" i="5"/>
  <c r="W8" i="5"/>
  <c r="W9" i="5"/>
  <c r="W10" i="5"/>
  <c r="W11" i="5"/>
  <c r="W12" i="5"/>
  <c r="W13" i="5"/>
  <c r="W14" i="5"/>
  <c r="W15" i="5"/>
  <c r="W4" i="5"/>
  <c r="S5" i="5"/>
  <c r="S6" i="5"/>
  <c r="S7" i="5"/>
  <c r="S8" i="5"/>
  <c r="S9" i="5"/>
  <c r="S10" i="5"/>
  <c r="S11" i="5"/>
  <c r="S12" i="5"/>
  <c r="S13" i="5"/>
  <c r="S14" i="5"/>
  <c r="S15" i="5"/>
  <c r="S4" i="5"/>
  <c r="I23" i="5"/>
  <c r="K5" i="5"/>
  <c r="K6" i="5"/>
  <c r="K7" i="5"/>
  <c r="K8" i="5"/>
  <c r="K9" i="5"/>
  <c r="K10" i="5"/>
  <c r="K11" i="5"/>
  <c r="K12" i="5"/>
  <c r="K13" i="5"/>
  <c r="K15" i="5"/>
  <c r="K4" i="5"/>
  <c r="G5" i="5"/>
  <c r="G6" i="5"/>
  <c r="G7" i="5"/>
  <c r="G8" i="5"/>
  <c r="G9" i="5"/>
  <c r="G10" i="5"/>
  <c r="G11" i="5"/>
  <c r="G12" i="5"/>
  <c r="G13" i="5"/>
  <c r="G14" i="5"/>
  <c r="G15" i="5"/>
  <c r="G4" i="5"/>
  <c r="C2" i="3"/>
  <c r="N22" i="5" l="1"/>
  <c r="W17" i="5"/>
  <c r="R22" i="5" s="1"/>
  <c r="Z17" i="5"/>
  <c r="R23" i="5" s="1"/>
  <c r="S17" i="5"/>
  <c r="R21" i="5" s="1"/>
  <c r="P22" i="5"/>
  <c r="K17" i="5"/>
  <c r="K22" i="5" s="1"/>
  <c r="P21" i="5"/>
  <c r="G17" i="5"/>
  <c r="K21" i="5" s="1"/>
  <c r="N21" i="5"/>
  <c r="O22" i="5"/>
  <c r="O21" i="5"/>
  <c r="I22" i="5"/>
  <c r="I21" i="5"/>
  <c r="C23" i="5"/>
  <c r="G22" i="5"/>
  <c r="Z16" i="5"/>
  <c r="D23" i="5" s="1"/>
  <c r="K16" i="5"/>
  <c r="C22" i="5" s="1"/>
  <c r="S16" i="5"/>
  <c r="D21" i="5" s="1"/>
  <c r="W16" i="5"/>
  <c r="D22" i="5" s="1"/>
  <c r="G16" i="5"/>
  <c r="C21" i="5" s="1"/>
  <c r="G23" i="5"/>
  <c r="D40" i="3"/>
  <c r="E40" i="3" s="1"/>
  <c r="Q21" i="5" l="1"/>
  <c r="J21" i="5"/>
  <c r="J22" i="5"/>
  <c r="Q22" i="5"/>
  <c r="P29" i="1"/>
  <c r="P30" i="1"/>
  <c r="P31" i="1"/>
  <c r="P32" i="1"/>
  <c r="P28" i="1"/>
  <c r="P21" i="1"/>
  <c r="P22" i="1"/>
  <c r="P23" i="1"/>
  <c r="P24" i="1"/>
  <c r="P20" i="1"/>
  <c r="P13" i="1"/>
  <c r="P14" i="1"/>
  <c r="P15" i="1"/>
  <c r="P16" i="1"/>
  <c r="P12" i="1"/>
  <c r="K29" i="1"/>
  <c r="K30" i="1"/>
  <c r="K31" i="1"/>
  <c r="K32" i="1"/>
  <c r="K28" i="1"/>
  <c r="K21" i="1"/>
  <c r="K22" i="1"/>
  <c r="K23" i="1"/>
  <c r="K24" i="1"/>
  <c r="K20" i="1"/>
  <c r="K13" i="1"/>
  <c r="K14" i="1"/>
  <c r="K15" i="1"/>
  <c r="K16" i="1"/>
  <c r="K12" i="1"/>
  <c r="F29" i="1"/>
  <c r="F30" i="1"/>
  <c r="F31" i="1"/>
  <c r="F32" i="1"/>
  <c r="F33" i="1"/>
  <c r="F34" i="1"/>
  <c r="F28" i="1"/>
  <c r="F21" i="1"/>
  <c r="F22" i="1"/>
  <c r="F23" i="1"/>
  <c r="F24" i="1"/>
  <c r="F25" i="1"/>
  <c r="F26" i="1"/>
  <c r="F20" i="1"/>
  <c r="F13" i="1"/>
  <c r="F14" i="1"/>
  <c r="F15" i="1"/>
  <c r="F16" i="1"/>
  <c r="F17" i="1"/>
  <c r="F18" i="1"/>
  <c r="F12" i="1"/>
  <c r="F8" i="2"/>
  <c r="M32" i="1"/>
  <c r="M31" i="1"/>
  <c r="M30" i="1"/>
  <c r="M29" i="1"/>
  <c r="M28" i="1"/>
  <c r="M24" i="1"/>
  <c r="M23" i="1"/>
  <c r="M22" i="1"/>
  <c r="M21" i="1"/>
  <c r="M20" i="1"/>
  <c r="M16" i="1"/>
  <c r="M15" i="1"/>
  <c r="M14" i="1"/>
  <c r="M13" i="1"/>
  <c r="M12" i="1"/>
  <c r="H32" i="1"/>
  <c r="H31" i="1"/>
  <c r="H30" i="1"/>
  <c r="H29" i="1"/>
  <c r="H28" i="1"/>
  <c r="H24" i="1"/>
  <c r="H23" i="1"/>
  <c r="H22" i="1"/>
  <c r="H21" i="1"/>
  <c r="H20" i="1"/>
  <c r="H16" i="1"/>
  <c r="H15" i="1"/>
  <c r="H14" i="1"/>
  <c r="H13" i="1"/>
  <c r="H12" i="1"/>
  <c r="C12" i="1"/>
  <c r="C13" i="1"/>
  <c r="C14" i="1"/>
  <c r="C15" i="1"/>
  <c r="C16" i="1"/>
  <c r="C17" i="1"/>
  <c r="C18" i="1"/>
  <c r="C20" i="1"/>
  <c r="C21" i="1"/>
  <c r="C22" i="1"/>
  <c r="C23" i="1"/>
  <c r="C24" i="1"/>
  <c r="C25" i="1"/>
  <c r="C26" i="1"/>
  <c r="C28" i="1"/>
  <c r="C29" i="1"/>
  <c r="C30" i="1"/>
  <c r="C31" i="1"/>
  <c r="C32" i="1"/>
  <c r="C33" i="1"/>
  <c r="C34" i="1"/>
  <c r="W16" i="4"/>
  <c r="P5" i="4"/>
  <c r="Q5" i="4" s="1"/>
  <c r="P7" i="4"/>
  <c r="Q7" i="4" s="1"/>
  <c r="P3" i="4"/>
  <c r="Q3" i="4" s="1"/>
  <c r="P4" i="4"/>
  <c r="Q4" i="4" s="1"/>
  <c r="P6" i="4"/>
  <c r="Q6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T15" i="4" s="1"/>
  <c r="P16" i="4"/>
  <c r="Q16" i="4" s="1"/>
  <c r="P17" i="4"/>
  <c r="Q17" i="4" s="1"/>
  <c r="X17" i="4" s="1"/>
  <c r="P18" i="4"/>
  <c r="Q18" i="4" s="1"/>
  <c r="P19" i="4"/>
  <c r="Q19" i="4" s="1"/>
  <c r="P20" i="4"/>
  <c r="Q20" i="4" s="1"/>
  <c r="P21" i="4"/>
  <c r="Q21" i="4" s="1"/>
  <c r="P2" i="4"/>
  <c r="Q2" i="4" s="1"/>
  <c r="H9" i="2"/>
  <c r="H5" i="2"/>
  <c r="H6" i="2"/>
  <c r="H7" i="2"/>
  <c r="H8" i="2"/>
  <c r="F5" i="2"/>
  <c r="F6" i="2"/>
  <c r="F7" i="2"/>
  <c r="F9" i="2"/>
  <c r="D5" i="2"/>
  <c r="D6" i="2"/>
  <c r="D7" i="2"/>
  <c r="D8" i="2"/>
  <c r="D9" i="2"/>
  <c r="J21" i="4"/>
  <c r="K21" i="4" s="1"/>
  <c r="J20" i="4"/>
  <c r="K20" i="4" s="1"/>
  <c r="J19" i="4"/>
  <c r="K19" i="4" s="1"/>
  <c r="J18" i="4"/>
  <c r="K18" i="4" s="1"/>
  <c r="J17" i="4"/>
  <c r="K17" i="4" s="1"/>
  <c r="J16" i="4"/>
  <c r="K16" i="4" s="1"/>
  <c r="J15" i="4"/>
  <c r="K15" i="4" s="1"/>
  <c r="J14" i="4"/>
  <c r="K14" i="4" s="1"/>
  <c r="J13" i="4"/>
  <c r="K13" i="4" s="1"/>
  <c r="J12" i="4"/>
  <c r="K12" i="4" s="1"/>
  <c r="J11" i="4"/>
  <c r="K11" i="4" s="1"/>
  <c r="J10" i="4"/>
  <c r="K10" i="4" s="1"/>
  <c r="J9" i="4"/>
  <c r="K9" i="4" s="1"/>
  <c r="J8" i="4"/>
  <c r="K8" i="4" s="1"/>
  <c r="J7" i="4"/>
  <c r="K7" i="4" s="1"/>
  <c r="J6" i="4"/>
  <c r="K6" i="4" s="1"/>
  <c r="J5" i="4"/>
  <c r="K5" i="4" s="1"/>
  <c r="J4" i="4"/>
  <c r="K4" i="4" s="1"/>
  <c r="J3" i="4"/>
  <c r="K3" i="4" s="1"/>
  <c r="J2" i="4"/>
  <c r="K2" i="4" s="1"/>
  <c r="D2" i="4"/>
  <c r="E2" i="4" s="1"/>
  <c r="D3" i="4"/>
  <c r="E3" i="4" s="1"/>
  <c r="D4" i="4"/>
  <c r="E4" i="4" s="1"/>
  <c r="W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X13" i="4" s="1"/>
  <c r="D14" i="4"/>
  <c r="E14" i="4" s="1"/>
  <c r="X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P2" i="2"/>
  <c r="C3" i="1"/>
  <c r="C4" i="1"/>
  <c r="C5" i="1"/>
  <c r="C6" i="1"/>
  <c r="C7" i="1"/>
  <c r="C8" i="1"/>
  <c r="C9" i="1"/>
  <c r="H3" i="1"/>
  <c r="H4" i="1"/>
  <c r="H5" i="1"/>
  <c r="H6" i="1"/>
  <c r="H7" i="1"/>
  <c r="M3" i="1"/>
  <c r="M4" i="1"/>
  <c r="M5" i="1"/>
  <c r="M6" i="1"/>
  <c r="M7" i="1"/>
  <c r="X12" i="4" l="1"/>
  <c r="X11" i="4"/>
  <c r="X6" i="4"/>
  <c r="X16" i="4"/>
  <c r="T18" i="4"/>
  <c r="X2" i="4"/>
  <c r="W15" i="4"/>
  <c r="T16" i="4"/>
  <c r="X15" i="4"/>
  <c r="W8" i="4"/>
  <c r="T8" i="4"/>
  <c r="W11" i="4"/>
  <c r="T11" i="4"/>
  <c r="W12" i="4"/>
  <c r="T12" i="4"/>
  <c r="W9" i="4"/>
  <c r="T9" i="4"/>
  <c r="W17" i="4"/>
  <c r="T17" i="4"/>
  <c r="W14" i="4"/>
  <c r="T14" i="4"/>
  <c r="W6" i="4"/>
  <c r="T6" i="4"/>
  <c r="W13" i="4"/>
  <c r="T13" i="4"/>
  <c r="X4" i="4"/>
  <c r="T4" i="4"/>
  <c r="X21" i="4"/>
  <c r="T21" i="4"/>
  <c r="W10" i="4"/>
  <c r="T10" i="4"/>
  <c r="T2" i="4"/>
  <c r="T3" i="4"/>
  <c r="X20" i="4"/>
  <c r="T20" i="4"/>
  <c r="X7" i="4"/>
  <c r="T7" i="4"/>
  <c r="X8" i="4"/>
  <c r="W19" i="4"/>
  <c r="T19" i="4"/>
  <c r="T5" i="4"/>
  <c r="C11" i="3"/>
  <c r="D11" i="3"/>
  <c r="D27" i="3"/>
  <c r="C27" i="3"/>
  <c r="C13" i="3"/>
  <c r="D13" i="3"/>
  <c r="C29" i="3"/>
  <c r="D29" i="3"/>
  <c r="C28" i="3"/>
  <c r="D28" i="3"/>
  <c r="C32" i="3"/>
  <c r="D32" i="3"/>
  <c r="C14" i="3"/>
  <c r="D14" i="3"/>
  <c r="D31" i="3"/>
  <c r="C31" i="3"/>
  <c r="C17" i="3"/>
  <c r="D17" i="3"/>
  <c r="C18" i="3"/>
  <c r="D18" i="3"/>
  <c r="D19" i="3"/>
  <c r="C19" i="3"/>
  <c r="D20" i="3"/>
  <c r="C20" i="3"/>
  <c r="D5" i="3"/>
  <c r="E5" i="3" s="1"/>
  <c r="D38" i="3"/>
  <c r="C38" i="3"/>
  <c r="D39" i="3"/>
  <c r="C39" i="3"/>
  <c r="C8" i="3"/>
  <c r="D8" i="3"/>
  <c r="D24" i="3"/>
  <c r="C24" i="3"/>
  <c r="C12" i="3"/>
  <c r="D12" i="3"/>
  <c r="D30" i="3"/>
  <c r="C30" i="3"/>
  <c r="C15" i="3"/>
  <c r="D15" i="3"/>
  <c r="C16" i="3"/>
  <c r="D16" i="3"/>
  <c r="D34" i="3"/>
  <c r="C34" i="3"/>
  <c r="C35" i="3"/>
  <c r="D35" i="3"/>
  <c r="D4" i="3"/>
  <c r="E4" i="3" s="1"/>
  <c r="D37" i="3"/>
  <c r="C37" i="3"/>
  <c r="C22" i="3"/>
  <c r="D22" i="3"/>
  <c r="C7" i="3"/>
  <c r="D7" i="3"/>
  <c r="D23" i="3"/>
  <c r="C23" i="3"/>
  <c r="D9" i="3"/>
  <c r="C9" i="3"/>
  <c r="C25" i="3"/>
  <c r="D25" i="3"/>
  <c r="C33" i="3"/>
  <c r="D33" i="3"/>
  <c r="D36" i="3"/>
  <c r="C36" i="3"/>
  <c r="C21" i="3"/>
  <c r="D21" i="3"/>
  <c r="D6" i="3"/>
  <c r="C6" i="3"/>
  <c r="D10" i="3"/>
  <c r="C10" i="3"/>
  <c r="D26" i="3"/>
  <c r="C26" i="3"/>
  <c r="F6" i="1"/>
  <c r="F9" i="1"/>
  <c r="F3" i="1"/>
  <c r="K6" i="1"/>
  <c r="P4" i="1"/>
  <c r="P3" i="1"/>
  <c r="K7" i="1"/>
  <c r="X5" i="4"/>
  <c r="W5" i="4"/>
  <c r="X3" i="4"/>
  <c r="W3" i="4"/>
  <c r="W18" i="4"/>
  <c r="W21" i="4"/>
  <c r="W20" i="4"/>
  <c r="X10" i="4"/>
  <c r="X19" i="4"/>
  <c r="W7" i="4"/>
  <c r="X9" i="4"/>
  <c r="X18" i="4"/>
  <c r="W2" i="4"/>
  <c r="F8" i="1"/>
  <c r="P5" i="1"/>
  <c r="P6" i="1"/>
  <c r="F7" i="1"/>
  <c r="P7" i="1"/>
  <c r="F5" i="1"/>
  <c r="F4" i="1"/>
  <c r="K4" i="1"/>
  <c r="K5" i="1"/>
  <c r="K3" i="1"/>
  <c r="E10" i="3" l="1"/>
  <c r="E27" i="3"/>
  <c r="E23" i="3"/>
  <c r="E26" i="3"/>
  <c r="E24" i="3"/>
  <c r="E6" i="3"/>
  <c r="E25" i="3"/>
  <c r="E21" i="3"/>
  <c r="E16" i="3"/>
  <c r="E15" i="3"/>
  <c r="E18" i="3"/>
  <c r="E22" i="3"/>
  <c r="E11" i="3"/>
  <c r="E8" i="3"/>
  <c r="E14" i="3"/>
  <c r="E17" i="3"/>
  <c r="E19" i="3"/>
  <c r="E12" i="3"/>
  <c r="E28" i="3"/>
  <c r="E13" i="3"/>
  <c r="E7" i="3"/>
  <c r="E9" i="3"/>
  <c r="E20" i="3"/>
  <c r="U5" i="1"/>
  <c r="T5" i="1"/>
  <c r="U6" i="1"/>
  <c r="T6" i="1"/>
  <c r="U7" i="1"/>
  <c r="T7" i="1"/>
  <c r="B15" i="2" l="1"/>
  <c r="B16" i="2"/>
  <c r="C19" i="2" s="1"/>
  <c r="T9" i="1"/>
  <c r="C15" i="2" s="1"/>
  <c r="T10" i="1"/>
  <c r="C16" i="2" s="1"/>
  <c r="B19" i="2" l="1"/>
  <c r="J10" i="2" s="1"/>
  <c r="I5" i="2"/>
  <c r="J5" i="2" s="1"/>
  <c r="M5" i="2" s="1"/>
  <c r="I6" i="2"/>
  <c r="J6" i="2" s="1"/>
  <c r="M6" i="2" s="1"/>
  <c r="I9" i="2"/>
  <c r="K9" i="2" s="1"/>
  <c r="N9" i="2" s="1"/>
  <c r="I7" i="2"/>
  <c r="J7" i="2" s="1"/>
  <c r="M7" i="2" s="1"/>
  <c r="I8" i="2"/>
  <c r="K8" i="2" s="1"/>
  <c r="N8" i="2" s="1"/>
  <c r="E39" i="3"/>
  <c r="E29" i="3"/>
  <c r="E35" i="3"/>
  <c r="E34" i="3"/>
  <c r="E30" i="3"/>
  <c r="E36" i="3"/>
  <c r="E2" i="3"/>
  <c r="E38" i="3"/>
  <c r="E33" i="3"/>
  <c r="E32" i="3"/>
  <c r="E31" i="3"/>
  <c r="E37" i="3"/>
  <c r="L6" i="2" l="1"/>
  <c r="O6" i="2" s="1"/>
  <c r="J9" i="2"/>
  <c r="M9" i="2" s="1"/>
  <c r="L9" i="2"/>
  <c r="O9" i="2" s="1"/>
  <c r="L5" i="2"/>
  <c r="O5" i="2" s="1"/>
  <c r="K5" i="2"/>
  <c r="N5" i="2" s="1"/>
  <c r="K7" i="2"/>
  <c r="N7" i="2" s="1"/>
  <c r="J8" i="2"/>
  <c r="M8" i="2" s="1"/>
  <c r="L7" i="2"/>
  <c r="O7" i="2" s="1"/>
  <c r="L8" i="2"/>
  <c r="O8" i="2" s="1"/>
  <c r="K6" i="2"/>
  <c r="N6" i="2" s="1"/>
  <c r="M10" i="2" l="1"/>
  <c r="N10" i="2"/>
  <c r="O10" i="2"/>
</calcChain>
</file>

<file path=xl/sharedStrings.xml><?xml version="1.0" encoding="utf-8"?>
<sst xmlns="http://schemas.openxmlformats.org/spreadsheetml/2006/main" count="180" uniqueCount="85">
  <si>
    <t>0.25cm^2</t>
  </si>
  <si>
    <t>offset</t>
  </si>
  <si>
    <t>Area</t>
  </si>
  <si>
    <t>Slope</t>
  </si>
  <si>
    <t>delta</t>
  </si>
  <si>
    <t>0.25 cm</t>
  </si>
  <si>
    <t>Force</t>
  </si>
  <si>
    <t>m</t>
  </si>
  <si>
    <t>cycle</t>
  </si>
  <si>
    <t xml:space="preserve"> Force (Average)</t>
  </si>
  <si>
    <t>Force (Min)</t>
  </si>
  <si>
    <t>Force (Max)</t>
  </si>
  <si>
    <t>A = 0.4</t>
  </si>
  <si>
    <t>A = 0.48</t>
  </si>
  <si>
    <t>A = 0.56</t>
  </si>
  <si>
    <t>0.49cm^2</t>
  </si>
  <si>
    <t>0.49 cm</t>
  </si>
  <si>
    <t>Grasping</t>
  </si>
  <si>
    <t>Releasing</t>
  </si>
  <si>
    <t>GA</t>
  </si>
  <si>
    <t>GA + SMA</t>
  </si>
  <si>
    <t>Silicone</t>
  </si>
  <si>
    <t>-</t>
  </si>
  <si>
    <t>Average</t>
  </si>
  <si>
    <t>0.09cm^2</t>
  </si>
  <si>
    <t>0.09 cm</t>
  </si>
  <si>
    <t>Normal Force (N)</t>
  </si>
  <si>
    <t>Slope for slope</t>
  </si>
  <si>
    <t>Area / cm^2</t>
  </si>
  <si>
    <t>Slope for offset</t>
  </si>
  <si>
    <t>A</t>
  </si>
  <si>
    <t>Raw Data</t>
  </si>
  <si>
    <t>spring extension / mm</t>
  </si>
  <si>
    <t>Normal load mass (g)</t>
  </si>
  <si>
    <t>Overall spring constant</t>
  </si>
  <si>
    <t>N/mm</t>
  </si>
  <si>
    <t>1st Run</t>
  </si>
  <si>
    <t>2nd Run</t>
  </si>
  <si>
    <t>3rd Run</t>
  </si>
  <si>
    <t>deflection / mm</t>
  </si>
  <si>
    <t>Maximum Loading</t>
  </si>
  <si>
    <t>unit</t>
  </si>
  <si>
    <t>g</t>
  </si>
  <si>
    <t>N</t>
  </si>
  <si>
    <t>Gripping/compressive force model prediction based on Beam model / N</t>
  </si>
  <si>
    <t>Maximum Loading based on model prediction</t>
  </si>
  <si>
    <t>Useful constants</t>
  </si>
  <si>
    <t>offset / mm</t>
  </si>
  <si>
    <t>final reading / mm</t>
  </si>
  <si>
    <t>Spring extension / mm</t>
  </si>
  <si>
    <t>Measured load (g)</t>
  </si>
  <si>
    <t>Measured load (N)</t>
  </si>
  <si>
    <t>theta</t>
  </si>
  <si>
    <t>deflection based on beam model</t>
  </si>
  <si>
    <t>Constants</t>
  </si>
  <si>
    <t>E</t>
  </si>
  <si>
    <t>I</t>
  </si>
  <si>
    <t>L1</t>
  </si>
  <si>
    <t>L2</t>
  </si>
  <si>
    <t>w</t>
  </si>
  <si>
    <t xml:space="preserve">theta </t>
  </si>
  <si>
    <t>k</t>
  </si>
  <si>
    <t>l_0</t>
  </si>
  <si>
    <t>Measured deflection / mm</t>
  </si>
  <si>
    <t>m^4</t>
  </si>
  <si>
    <t>rad</t>
  </si>
  <si>
    <t>mm</t>
  </si>
  <si>
    <t>Added data point to extend line</t>
  </si>
  <si>
    <t>Sample</t>
  </si>
  <si>
    <t>Description</t>
  </si>
  <si>
    <t>Mass / g</t>
  </si>
  <si>
    <t>Large</t>
  </si>
  <si>
    <t>Medium</t>
  </si>
  <si>
    <t>Large and porous</t>
  </si>
  <si>
    <t>Small</t>
  </si>
  <si>
    <t>Medium and thin</t>
  </si>
  <si>
    <t>Very small and thin</t>
  </si>
  <si>
    <t>Avg</t>
  </si>
  <si>
    <t>b</t>
  </si>
  <si>
    <t>pa</t>
  </si>
  <si>
    <t>GA+SMA</t>
  </si>
  <si>
    <t>SD</t>
  </si>
  <si>
    <t>B</t>
  </si>
  <si>
    <t>C</t>
  </si>
  <si>
    <t>Decaying Exponential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</si>
</sst>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9" fontId="0" fillId="0" borderId="0" xfId="1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right"/>
    </xf>
    <xf numFmtId="0" fontId="4" fillId="2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0" borderId="0" xfId="0" applyFont="1" applyAlignment="1">
      <alignment horizontal="left"/>
    </xf>
    <xf numFmtId="9" fontId="0" fillId="0" borderId="0" xfId="0" applyNumberFormat="1"/>
    <xf numFmtId="9" fontId="1" fillId="0" borderId="3" xfId="0" applyNumberFormat="1" applyFont="1" applyBorder="1"/>
    <xf numFmtId="9" fontId="1" fillId="0" borderId="0" xfId="0" applyNumberFormat="1" applyFont="1"/>
    <xf numFmtId="9" fontId="1" fillId="0" borderId="4" xfId="0" applyNumberFormat="1" applyFont="1" applyBorder="1"/>
    <xf numFmtId="9" fontId="1" fillId="0" borderId="5" xfId="0" applyNumberFormat="1" applyFont="1" applyBorder="1"/>
    <xf numFmtId="9" fontId="1" fillId="0" borderId="6" xfId="0" applyNumberFormat="1" applyFont="1" applyBorder="1"/>
    <xf numFmtId="9" fontId="1" fillId="0" borderId="7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1" fillId="0" borderId="11" xfId="0" applyFont="1" applyBorder="1"/>
    <xf numFmtId="0" fontId="1" fillId="0" borderId="2" xfId="0" applyFont="1" applyBorder="1"/>
    <xf numFmtId="0" fontId="1" fillId="0" borderId="4" xfId="0" applyFont="1" applyBorder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23A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Measured</c:v>
          </c:tx>
          <c:spPr>
            <a:ln w="19050">
              <a:noFill/>
            </a:ln>
          </c:spPr>
          <c:marker>
            <c:symbol val="circle"/>
            <c:size val="5"/>
          </c:marker>
          <c:xVal>
            <c:numRef>
              <c:f>'Gripper tip Force - deflection'!$F$2:$F$997</c:f>
              <c:numCache>
                <c:formatCode>General</c:formatCode>
                <c:ptCount val="99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2.7</c:v>
                </c:pt>
                <c:pt idx="27">
                  <c:v>2.8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3.4</c:v>
                </c:pt>
                <c:pt idx="32">
                  <c:v>3.5</c:v>
                </c:pt>
                <c:pt idx="33">
                  <c:v>3.6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3.9999999999999898</c:v>
                </c:pt>
              </c:numCache>
            </c:numRef>
          </c:xVal>
          <c:yVal>
            <c:numRef>
              <c:f>'Gripper tip Force - deflection'!$B$2:$B$997</c:f>
              <c:numCache>
                <c:formatCode>General</c:formatCode>
                <c:ptCount val="996"/>
                <c:pt idx="0">
                  <c:v>0</c:v>
                </c:pt>
                <c:pt idx="1">
                  <c:v>1.9620000000000003E-4</c:v>
                </c:pt>
                <c:pt idx="2">
                  <c:v>7.848000000000001E-4</c:v>
                </c:pt>
                <c:pt idx="3">
                  <c:v>1.3734000000000001E-3</c:v>
                </c:pt>
                <c:pt idx="4">
                  <c:v>1.9620000000000002E-3</c:v>
                </c:pt>
                <c:pt idx="5">
                  <c:v>2.9429999999999999E-3</c:v>
                </c:pt>
                <c:pt idx="6">
                  <c:v>4.0220999999999998E-3</c:v>
                </c:pt>
                <c:pt idx="7">
                  <c:v>4.7088E-3</c:v>
                </c:pt>
                <c:pt idx="8">
                  <c:v>5.8859999999999997E-3</c:v>
                </c:pt>
                <c:pt idx="9">
                  <c:v>6.7688999999999996E-3</c:v>
                </c:pt>
                <c:pt idx="10">
                  <c:v>7.7499000000000014E-3</c:v>
                </c:pt>
                <c:pt idx="11">
                  <c:v>8.829E-3</c:v>
                </c:pt>
                <c:pt idx="12">
                  <c:v>1.0398600000000003E-2</c:v>
                </c:pt>
                <c:pt idx="13">
                  <c:v>1.1870100000000001E-2</c:v>
                </c:pt>
                <c:pt idx="14">
                  <c:v>1.2753000000000002E-2</c:v>
                </c:pt>
                <c:pt idx="15">
                  <c:v>1.4126400000000001E-2</c:v>
                </c:pt>
                <c:pt idx="16">
                  <c:v>1.5696000000000002E-2</c:v>
                </c:pt>
                <c:pt idx="17">
                  <c:v>1.6971299999999998E-2</c:v>
                </c:pt>
                <c:pt idx="18">
                  <c:v>1.8344700000000002E-2</c:v>
                </c:pt>
                <c:pt idx="19">
                  <c:v>1.9423800000000001E-2</c:v>
                </c:pt>
                <c:pt idx="20">
                  <c:v>2.0404800000000001E-2</c:v>
                </c:pt>
                <c:pt idx="21">
                  <c:v>2.1385800000000003E-2</c:v>
                </c:pt>
                <c:pt idx="22">
                  <c:v>2.2563E-2</c:v>
                </c:pt>
                <c:pt idx="23">
                  <c:v>2.3642100000000003E-2</c:v>
                </c:pt>
                <c:pt idx="24">
                  <c:v>2.4426900000000005E-2</c:v>
                </c:pt>
                <c:pt idx="25">
                  <c:v>2.4917399999999999E-2</c:v>
                </c:pt>
                <c:pt idx="26">
                  <c:v>2.5702200000000001E-2</c:v>
                </c:pt>
                <c:pt idx="27">
                  <c:v>2.6683200000000004E-2</c:v>
                </c:pt>
                <c:pt idx="28">
                  <c:v>2.7860399999999997E-2</c:v>
                </c:pt>
                <c:pt idx="29">
                  <c:v>2.8350900000000002E-2</c:v>
                </c:pt>
                <c:pt idx="30">
                  <c:v>2.8939500000000003E-2</c:v>
                </c:pt>
                <c:pt idx="31">
                  <c:v>2.9822400000000002E-2</c:v>
                </c:pt>
                <c:pt idx="32">
                  <c:v>3.1195800000000003E-2</c:v>
                </c:pt>
                <c:pt idx="33">
                  <c:v>3.2176799999999998E-2</c:v>
                </c:pt>
                <c:pt idx="34">
                  <c:v>3.3059699999999997E-2</c:v>
                </c:pt>
                <c:pt idx="35">
                  <c:v>3.3157800000000001E-2</c:v>
                </c:pt>
                <c:pt idx="36">
                  <c:v>3.4629300000000002E-2</c:v>
                </c:pt>
                <c:pt idx="37">
                  <c:v>3.5904600000000002E-2</c:v>
                </c:pt>
                <c:pt idx="38">
                  <c:v>5.3955000000000003E-2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E7-FE44-B8EC-10F4E35D4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0096"/>
        <c:axId val="87363088"/>
      </c:scatterChart>
      <c:scatterChart>
        <c:scatterStyle val="smoothMarker"/>
        <c:varyColors val="0"/>
        <c:ser>
          <c:idx val="0"/>
          <c:order val="1"/>
          <c:tx>
            <c:v>Beam Model</c:v>
          </c:tx>
          <c:marker>
            <c:symbol val="none"/>
          </c:marker>
          <c:xVal>
            <c:numRef>
              <c:f>'Gripper tip Force - deflection'!$E$2:$E$997</c:f>
              <c:numCache>
                <c:formatCode>General</c:formatCode>
                <c:ptCount val="996"/>
                <c:pt idx="0">
                  <c:v>0</c:v>
                </c:pt>
                <c:pt idx="1">
                  <c:v>4.2153420883714779E-2</c:v>
                </c:pt>
                <c:pt idx="2">
                  <c:v>0.16861368353227724</c:v>
                </c:pt>
                <c:pt idx="3">
                  <c:v>0.29507394617154475</c:v>
                </c:pt>
                <c:pt idx="4">
                  <c:v>0.42153420879454623</c:v>
                </c:pt>
                <c:pt idx="5">
                  <c:v>0.5546128657468915</c:v>
                </c:pt>
                <c:pt idx="6">
                  <c:v>0.6446220368345118</c:v>
                </c:pt>
                <c:pt idx="7">
                  <c:v>0.70190060017325417</c:v>
                </c:pt>
                <c:pt idx="8">
                  <c:v>0.80009242285693571</c:v>
                </c:pt>
                <c:pt idx="9">
                  <c:v>0.87373628968975536</c:v>
                </c:pt>
                <c:pt idx="10">
                  <c:v>0.95556280818031325</c:v>
                </c:pt>
                <c:pt idx="11">
                  <c:v>1.0455719782242059</c:v>
                </c:pt>
                <c:pt idx="12">
                  <c:v>1.1764944067399494</c:v>
                </c:pt>
                <c:pt idx="13">
                  <c:v>1.2992341826805929</c:v>
                </c:pt>
                <c:pt idx="14">
                  <c:v>1.3728780478302105</c:v>
                </c:pt>
                <c:pt idx="15">
                  <c:v>1.4874351707121609</c:v>
                </c:pt>
                <c:pt idx="16">
                  <c:v>1.6183575957424754</c:v>
                </c:pt>
                <c:pt idx="17">
                  <c:v>1.724732065112375</c:v>
                </c:pt>
                <c:pt idx="18">
                  <c:v>1.8392891849150601</c:v>
                </c:pt>
                <c:pt idx="19">
                  <c:v>1.9292983496489859</c:v>
                </c:pt>
                <c:pt idx="20">
                  <c:v>2.0111248623736904</c:v>
                </c:pt>
                <c:pt idx="21">
                  <c:v>2.0929513744271775</c:v>
                </c:pt>
                <c:pt idx="22">
                  <c:v>2.1911431879599301</c:v>
                </c:pt>
                <c:pt idx="23">
                  <c:v>2.2811523494274404</c:v>
                </c:pt>
                <c:pt idx="24">
                  <c:v>2.3466135571788653</c:v>
                </c:pt>
                <c:pt idx="25">
                  <c:v>2.3875268117634221</c:v>
                </c:pt>
                <c:pt idx="26">
                  <c:v>2.4529880186708373</c:v>
                </c:pt>
                <c:pt idx="27">
                  <c:v>2.5348145265422972</c:v>
                </c:pt>
                <c:pt idx="28">
                  <c:v>2.6330063348266832</c:v>
                </c:pt>
                <c:pt idx="29">
                  <c:v>2.6739195878922506</c:v>
                </c:pt>
                <c:pt idx="30">
                  <c:v>2.7230154912628506</c:v>
                </c:pt>
                <c:pt idx="31">
                  <c:v>2.7966593456740738</c:v>
                </c:pt>
                <c:pt idx="32">
                  <c:v>2.9112164509481118</c:v>
                </c:pt>
                <c:pt idx="33">
                  <c:v>2.9930429534892129</c:v>
                </c:pt>
                <c:pt idx="34">
                  <c:v>3.0666868048723028</c:v>
                </c:pt>
                <c:pt idx="35">
                  <c:v>3.0748694549720446</c:v>
                </c:pt>
                <c:pt idx="36">
                  <c:v>3.1976092051415033</c:v>
                </c:pt>
                <c:pt idx="37">
                  <c:v>3.3039836532195248</c:v>
                </c:pt>
                <c:pt idx="38">
                  <c:v>4.8095909787165549</c:v>
                </c:pt>
              </c:numCache>
            </c:numRef>
          </c:xVal>
          <c:yVal>
            <c:numRef>
              <c:f>'Gripper tip Force - deflection'!$B$2:$B$997</c:f>
              <c:numCache>
                <c:formatCode>General</c:formatCode>
                <c:ptCount val="996"/>
                <c:pt idx="0">
                  <c:v>0</c:v>
                </c:pt>
                <c:pt idx="1">
                  <c:v>1.9620000000000003E-4</c:v>
                </c:pt>
                <c:pt idx="2">
                  <c:v>7.848000000000001E-4</c:v>
                </c:pt>
                <c:pt idx="3">
                  <c:v>1.3734000000000001E-3</c:v>
                </c:pt>
                <c:pt idx="4">
                  <c:v>1.9620000000000002E-3</c:v>
                </c:pt>
                <c:pt idx="5">
                  <c:v>2.9429999999999999E-3</c:v>
                </c:pt>
                <c:pt idx="6">
                  <c:v>4.0220999999999998E-3</c:v>
                </c:pt>
                <c:pt idx="7">
                  <c:v>4.7088E-3</c:v>
                </c:pt>
                <c:pt idx="8">
                  <c:v>5.8859999999999997E-3</c:v>
                </c:pt>
                <c:pt idx="9">
                  <c:v>6.7688999999999996E-3</c:v>
                </c:pt>
                <c:pt idx="10">
                  <c:v>7.7499000000000014E-3</c:v>
                </c:pt>
                <c:pt idx="11">
                  <c:v>8.829E-3</c:v>
                </c:pt>
                <c:pt idx="12">
                  <c:v>1.0398600000000003E-2</c:v>
                </c:pt>
                <c:pt idx="13">
                  <c:v>1.1870100000000001E-2</c:v>
                </c:pt>
                <c:pt idx="14">
                  <c:v>1.2753000000000002E-2</c:v>
                </c:pt>
                <c:pt idx="15">
                  <c:v>1.4126400000000001E-2</c:v>
                </c:pt>
                <c:pt idx="16">
                  <c:v>1.5696000000000002E-2</c:v>
                </c:pt>
                <c:pt idx="17">
                  <c:v>1.6971299999999998E-2</c:v>
                </c:pt>
                <c:pt idx="18">
                  <c:v>1.8344700000000002E-2</c:v>
                </c:pt>
                <c:pt idx="19">
                  <c:v>1.9423800000000001E-2</c:v>
                </c:pt>
                <c:pt idx="20">
                  <c:v>2.0404800000000001E-2</c:v>
                </c:pt>
                <c:pt idx="21">
                  <c:v>2.1385800000000003E-2</c:v>
                </c:pt>
                <c:pt idx="22">
                  <c:v>2.2563E-2</c:v>
                </c:pt>
                <c:pt idx="23">
                  <c:v>2.3642100000000003E-2</c:v>
                </c:pt>
                <c:pt idx="24">
                  <c:v>2.4426900000000005E-2</c:v>
                </c:pt>
                <c:pt idx="25">
                  <c:v>2.4917399999999999E-2</c:v>
                </c:pt>
                <c:pt idx="26">
                  <c:v>2.5702200000000001E-2</c:v>
                </c:pt>
                <c:pt idx="27">
                  <c:v>2.6683200000000004E-2</c:v>
                </c:pt>
                <c:pt idx="28">
                  <c:v>2.7860399999999997E-2</c:v>
                </c:pt>
                <c:pt idx="29">
                  <c:v>2.8350900000000002E-2</c:v>
                </c:pt>
                <c:pt idx="30">
                  <c:v>2.8939500000000003E-2</c:v>
                </c:pt>
                <c:pt idx="31">
                  <c:v>2.9822400000000002E-2</c:v>
                </c:pt>
                <c:pt idx="32">
                  <c:v>3.1195800000000003E-2</c:v>
                </c:pt>
                <c:pt idx="33">
                  <c:v>3.2176799999999998E-2</c:v>
                </c:pt>
                <c:pt idx="34">
                  <c:v>3.3059699999999997E-2</c:v>
                </c:pt>
                <c:pt idx="35">
                  <c:v>3.3157800000000001E-2</c:v>
                </c:pt>
                <c:pt idx="36">
                  <c:v>3.4629300000000002E-2</c:v>
                </c:pt>
                <c:pt idx="37">
                  <c:v>3.5904600000000002E-2</c:v>
                </c:pt>
                <c:pt idx="38">
                  <c:v>5.3955000000000003E-2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E7-FE44-B8EC-10F4E35D4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0096"/>
        <c:axId val="87363088"/>
      </c:scatterChart>
      <c:valAx>
        <c:axId val="72450096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Deflection / mm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3088"/>
        <c:crosses val="autoZero"/>
        <c:crossBetween val="midCat"/>
      </c:valAx>
      <c:valAx>
        <c:axId val="87363088"/>
        <c:scaling>
          <c:orientation val="minMax"/>
          <c:max val="0.0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/ N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009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'Biopsy pick and place'!$F$21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'Biopsy pick and place'!$S$26:$U$26</c:f>
                <c:numCache>
                  <c:formatCode>General</c:formatCode>
                  <c:ptCount val="3"/>
                  <c:pt idx="0">
                    <c:v>0.31549490810001535</c:v>
                  </c:pt>
                  <c:pt idx="1">
                    <c:v>0</c:v>
                  </c:pt>
                  <c:pt idx="2">
                    <c:v>0.16666666666666727</c:v>
                  </c:pt>
                </c:numCache>
              </c:numRef>
            </c:plus>
            <c:minus>
              <c:numRef>
                <c:f>'Biopsy pick and place'!$S$26:$U$26</c:f>
                <c:numCache>
                  <c:formatCode>General</c:formatCode>
                  <c:ptCount val="3"/>
                  <c:pt idx="0">
                    <c:v>0.31549490810001535</c:v>
                  </c:pt>
                  <c:pt idx="1">
                    <c:v>0</c:v>
                  </c:pt>
                  <c:pt idx="2">
                    <c:v>0.16666666666666727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'Biopsy pick and place'!$N$20:$P$20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'Biopsy pick and place'!$N$21:$P$21</c:f>
              <c:numCache>
                <c:formatCode>0%</c:formatCode>
                <c:ptCount val="3"/>
                <c:pt idx="0">
                  <c:v>0.45833333333333326</c:v>
                </c:pt>
                <c:pt idx="1">
                  <c:v>1</c:v>
                </c:pt>
                <c:pt idx="2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1-C948-9C1F-2B0EE8516F3F}"/>
            </c:ext>
          </c:extLst>
        </c:ser>
        <c:ser>
          <c:idx val="1"/>
          <c:order val="1"/>
          <c:tx>
            <c:strRef>
              <c:f>'Biopsy pick and place'!$F$22</c:f>
              <c:strCache>
                <c:ptCount val="1"/>
                <c:pt idx="0">
                  <c:v>GA+SMA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'Biopsy pick and place'!$S$27:$U$27</c:f>
                <c:numCache>
                  <c:formatCode>General</c:formatCode>
                  <c:ptCount val="3"/>
                  <c:pt idx="0">
                    <c:v>0.16666666666666727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'Biopsy pick and place'!$S$27:$U$27</c:f>
                <c:numCache>
                  <c:formatCode>General</c:formatCode>
                  <c:ptCount val="3"/>
                  <c:pt idx="0">
                    <c:v>0.16666666666666727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'Biopsy pick and place'!$N$20:$P$20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'Biopsy pick and place'!$N$22:$P$22</c:f>
              <c:numCache>
                <c:formatCode>0%</c:formatCode>
                <c:ptCount val="3"/>
                <c:pt idx="0">
                  <c:v>0.74999999999999989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1-C948-9C1F-2B0EE8516F3F}"/>
            </c:ext>
          </c:extLst>
        </c:ser>
        <c:ser>
          <c:idx val="2"/>
          <c:order val="2"/>
          <c:tx>
            <c:strRef>
              <c:f>'Biopsy pick and place'!$F$23</c:f>
              <c:strCache>
                <c:ptCount val="1"/>
                <c:pt idx="0">
                  <c:v>Silicone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'Biopsy pick and place'!$S$28:$U$28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'Biopsy pick and place'!$S$28:$U$28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'Biopsy pick and place'!$N$20:$P$20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'Biopsy pick and place'!$N$23:$P$23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1-C948-9C1F-2B0EE851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axId val="210012528"/>
        <c:axId val="210282560"/>
      </c:barChart>
      <c:catAx>
        <c:axId val="21001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Biopsy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2560"/>
        <c:crosses val="autoZero"/>
        <c:auto val="1"/>
        <c:lblAlgn val="ctr"/>
        <c:lblOffset val="100"/>
        <c:noMultiLvlLbl val="0"/>
      </c:catAx>
      <c:valAx>
        <c:axId val="210282560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success</a:t>
                </a:r>
                <a:r>
                  <a:rPr lang="en-US" b="1" baseline="0"/>
                  <a:t> rate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'Reusability test'!$W$1</c:f>
              <c:strCache>
                <c:ptCount val="1"/>
                <c:pt idx="0">
                  <c:v>Force (Min)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'Reusability test'!$S$2:$S$21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'Reusability test'!$W$2:$W$21</c:f>
              <c:numCache>
                <c:formatCode>General</c:formatCode>
                <c:ptCount val="20"/>
                <c:pt idx="0">
                  <c:v>9.1200000000000003E-2</c:v>
                </c:pt>
                <c:pt idx="1">
                  <c:v>8.1600000000000006E-2</c:v>
                </c:pt>
                <c:pt idx="2">
                  <c:v>7.6800000000000007E-2</c:v>
                </c:pt>
                <c:pt idx="3">
                  <c:v>7.6800000000000007E-2</c:v>
                </c:pt>
                <c:pt idx="4">
                  <c:v>7.6800000000000007E-2</c:v>
                </c:pt>
                <c:pt idx="5">
                  <c:v>6.7199999999999996E-2</c:v>
                </c:pt>
                <c:pt idx="6">
                  <c:v>6.9599999999999995E-2</c:v>
                </c:pt>
                <c:pt idx="7">
                  <c:v>6.239999999999999E-2</c:v>
                </c:pt>
                <c:pt idx="8">
                  <c:v>6.7199999999999996E-2</c:v>
                </c:pt>
                <c:pt idx="9">
                  <c:v>6.480000000000001E-2</c:v>
                </c:pt>
                <c:pt idx="10">
                  <c:v>6.480000000000001E-2</c:v>
                </c:pt>
                <c:pt idx="11">
                  <c:v>7.2000000000000008E-2</c:v>
                </c:pt>
                <c:pt idx="12">
                  <c:v>0.06</c:v>
                </c:pt>
                <c:pt idx="13">
                  <c:v>6.239999999999999E-2</c:v>
                </c:pt>
                <c:pt idx="14">
                  <c:v>5.7600000000000012E-2</c:v>
                </c:pt>
                <c:pt idx="15">
                  <c:v>6.2400000000000004E-2</c:v>
                </c:pt>
                <c:pt idx="16">
                  <c:v>0.06</c:v>
                </c:pt>
                <c:pt idx="17">
                  <c:v>7.2000000000000008E-2</c:v>
                </c:pt>
                <c:pt idx="18">
                  <c:v>6.7199999999999996E-2</c:v>
                </c:pt>
                <c:pt idx="19">
                  <c:v>6.9599999999999995E-2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2-3A4F-AD7E-019D158216A4}"/>
            </c:ext>
          </c:extLst>
        </c:ser>
        <c:ser>
          <c:idx val="2"/>
          <c:order val="2"/>
          <c:tx>
            <c:strRef>
              <c:f>'Reusability test'!$X$1</c:f>
              <c:strCache>
                <c:ptCount val="1"/>
                <c:pt idx="0">
                  <c:v>Force (Max)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'Reusability test'!$S$2:$S$21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'Reusability test'!$X$2:$X$21</c:f>
              <c:numCache>
                <c:formatCode>General</c:formatCode>
                <c:ptCount val="20"/>
                <c:pt idx="0">
                  <c:v>8.1599999999999964E-2</c:v>
                </c:pt>
                <c:pt idx="1">
                  <c:v>7.2000000000000008E-2</c:v>
                </c:pt>
                <c:pt idx="2">
                  <c:v>6.9600000000000009E-2</c:v>
                </c:pt>
                <c:pt idx="3">
                  <c:v>6.7200000000000024E-2</c:v>
                </c:pt>
                <c:pt idx="4">
                  <c:v>6.7199999999999996E-2</c:v>
                </c:pt>
                <c:pt idx="5">
                  <c:v>0.06</c:v>
                </c:pt>
                <c:pt idx="6">
                  <c:v>0.06</c:v>
                </c:pt>
                <c:pt idx="7">
                  <c:v>5.2800000000000007E-2</c:v>
                </c:pt>
                <c:pt idx="8">
                  <c:v>6.239999999999999E-2</c:v>
                </c:pt>
                <c:pt idx="9">
                  <c:v>5.2800000000000007E-2</c:v>
                </c:pt>
                <c:pt idx="10">
                  <c:v>0.06</c:v>
                </c:pt>
                <c:pt idx="11">
                  <c:v>6.239999999999999E-2</c:v>
                </c:pt>
                <c:pt idx="12">
                  <c:v>4.8000000000000001E-2</c:v>
                </c:pt>
                <c:pt idx="13">
                  <c:v>5.7600000000000012E-2</c:v>
                </c:pt>
                <c:pt idx="14">
                  <c:v>5.2800000000000007E-2</c:v>
                </c:pt>
                <c:pt idx="15">
                  <c:v>6.2400000000000004E-2</c:v>
                </c:pt>
                <c:pt idx="16">
                  <c:v>5.2799999999999986E-2</c:v>
                </c:pt>
                <c:pt idx="17">
                  <c:v>0.06</c:v>
                </c:pt>
                <c:pt idx="18">
                  <c:v>5.5199999999999999E-2</c:v>
                </c:pt>
                <c:pt idx="19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2-3A4F-AD7E-019D15821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805807"/>
        <c:axId val="1440313695"/>
      </c:areaChart>
      <c:lineChart>
        <c:grouping val="standard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'Reusability test'!$S$2:$S$21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'Reusability test'!$T$2:$T$21</c:f>
              <c:numCache>
                <c:formatCode>General</c:formatCode>
                <c:ptCount val="20"/>
                <c:pt idx="0">
                  <c:v>8.7199999999999986E-2</c:v>
                </c:pt>
                <c:pt idx="1">
                  <c:v>7.6800000000000007E-2</c:v>
                </c:pt>
                <c:pt idx="2">
                  <c:v>7.2800000000000017E-2</c:v>
                </c:pt>
                <c:pt idx="3">
                  <c:v>7.2000000000000008E-2</c:v>
                </c:pt>
                <c:pt idx="4">
                  <c:v>7.2000000000000008E-2</c:v>
                </c:pt>
                <c:pt idx="5">
                  <c:v>6.4000000000000001E-2</c:v>
                </c:pt>
                <c:pt idx="6">
                  <c:v>6.6400000000000001E-2</c:v>
                </c:pt>
                <c:pt idx="7">
                  <c:v>5.8400000000000001E-2</c:v>
                </c:pt>
                <c:pt idx="8">
                  <c:v>6.3999999999999987E-2</c:v>
                </c:pt>
                <c:pt idx="9">
                  <c:v>5.920000000000001E-2</c:v>
                </c:pt>
                <c:pt idx="10">
                  <c:v>6.1600000000000009E-2</c:v>
                </c:pt>
                <c:pt idx="11">
                  <c:v>6.88E-2</c:v>
                </c:pt>
                <c:pt idx="12">
                  <c:v>5.2799999999999993E-2</c:v>
                </c:pt>
                <c:pt idx="13">
                  <c:v>0.06</c:v>
                </c:pt>
                <c:pt idx="14">
                  <c:v>5.5200000000000006E-2</c:v>
                </c:pt>
                <c:pt idx="15">
                  <c:v>6.2400000000000004E-2</c:v>
                </c:pt>
                <c:pt idx="16">
                  <c:v>5.5199999999999999E-2</c:v>
                </c:pt>
                <c:pt idx="17">
                  <c:v>6.5600000000000006E-2</c:v>
                </c:pt>
                <c:pt idx="18">
                  <c:v>6.0799999999999993E-2</c:v>
                </c:pt>
                <c:pt idx="19">
                  <c:v>6.5599999999999992E-2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2-3A4F-AD7E-019D15821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805807"/>
        <c:axId val="1440313695"/>
      </c:lineChart>
      <c:catAx>
        <c:axId val="142980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13695"/>
        <c:crosses val="autoZero"/>
        <c:auto val="1"/>
        <c:lblAlgn val="ctr"/>
        <c:lblOffset val="100"/>
        <c:noMultiLvlLbl val="0"/>
      </c:catAx>
      <c:valAx>
        <c:axId val="1440313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chemeClr val="tx1"/>
                    </a:solidFill>
                  </a:rPr>
                  <a:t>Shear Force /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80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2"/>
          <c:tx>
            <c:strRef>
              <c:f>'Reusability test'!$W$1</c:f>
              <c:strCache>
                <c:ptCount val="1"/>
                <c:pt idx="0">
                  <c:v>Force (Min)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'Reusability test'!$S$2:$S$21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'Reusability test'!$W$2:$W$21</c:f>
              <c:numCache>
                <c:formatCode>General</c:formatCode>
                <c:ptCount val="20"/>
                <c:pt idx="0">
                  <c:v>9.1200000000000003E-2</c:v>
                </c:pt>
                <c:pt idx="1">
                  <c:v>8.1600000000000006E-2</c:v>
                </c:pt>
                <c:pt idx="2">
                  <c:v>7.6800000000000007E-2</c:v>
                </c:pt>
                <c:pt idx="3">
                  <c:v>7.6800000000000007E-2</c:v>
                </c:pt>
                <c:pt idx="4">
                  <c:v>7.6800000000000007E-2</c:v>
                </c:pt>
                <c:pt idx="5">
                  <c:v>6.7199999999999996E-2</c:v>
                </c:pt>
                <c:pt idx="6">
                  <c:v>6.9599999999999995E-2</c:v>
                </c:pt>
                <c:pt idx="7">
                  <c:v>6.239999999999999E-2</c:v>
                </c:pt>
                <c:pt idx="8">
                  <c:v>6.7199999999999996E-2</c:v>
                </c:pt>
                <c:pt idx="9">
                  <c:v>6.480000000000001E-2</c:v>
                </c:pt>
                <c:pt idx="10">
                  <c:v>6.480000000000001E-2</c:v>
                </c:pt>
                <c:pt idx="11">
                  <c:v>7.2000000000000008E-2</c:v>
                </c:pt>
                <c:pt idx="12">
                  <c:v>0.06</c:v>
                </c:pt>
                <c:pt idx="13">
                  <c:v>6.239999999999999E-2</c:v>
                </c:pt>
                <c:pt idx="14">
                  <c:v>5.7600000000000012E-2</c:v>
                </c:pt>
                <c:pt idx="15">
                  <c:v>6.2400000000000004E-2</c:v>
                </c:pt>
                <c:pt idx="16">
                  <c:v>0.06</c:v>
                </c:pt>
                <c:pt idx="17">
                  <c:v>7.2000000000000008E-2</c:v>
                </c:pt>
                <c:pt idx="18">
                  <c:v>6.7199999999999996E-2</c:v>
                </c:pt>
                <c:pt idx="19">
                  <c:v>6.9599999999999995E-2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C4-384C-91C3-14989739456D}"/>
            </c:ext>
          </c:extLst>
        </c:ser>
        <c:ser>
          <c:idx val="2"/>
          <c:order val="3"/>
          <c:tx>
            <c:strRef>
              <c:f>'Reusability test'!$X$1</c:f>
              <c:strCache>
                <c:ptCount val="1"/>
                <c:pt idx="0">
                  <c:v>Force (Max)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'Reusability test'!$S$2:$S$21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'Reusability test'!$X$2:$X$21</c:f>
              <c:numCache>
                <c:formatCode>General</c:formatCode>
                <c:ptCount val="20"/>
                <c:pt idx="0">
                  <c:v>8.1599999999999964E-2</c:v>
                </c:pt>
                <c:pt idx="1">
                  <c:v>7.2000000000000008E-2</c:v>
                </c:pt>
                <c:pt idx="2">
                  <c:v>6.9600000000000009E-2</c:v>
                </c:pt>
                <c:pt idx="3">
                  <c:v>6.7200000000000024E-2</c:v>
                </c:pt>
                <c:pt idx="4">
                  <c:v>6.7199999999999996E-2</c:v>
                </c:pt>
                <c:pt idx="5">
                  <c:v>0.06</c:v>
                </c:pt>
                <c:pt idx="6">
                  <c:v>0.06</c:v>
                </c:pt>
                <c:pt idx="7">
                  <c:v>5.2800000000000007E-2</c:v>
                </c:pt>
                <c:pt idx="8">
                  <c:v>6.239999999999999E-2</c:v>
                </c:pt>
                <c:pt idx="9">
                  <c:v>5.2800000000000007E-2</c:v>
                </c:pt>
                <c:pt idx="10">
                  <c:v>0.06</c:v>
                </c:pt>
                <c:pt idx="11">
                  <c:v>6.239999999999999E-2</c:v>
                </c:pt>
                <c:pt idx="12">
                  <c:v>4.8000000000000001E-2</c:v>
                </c:pt>
                <c:pt idx="13">
                  <c:v>5.7600000000000012E-2</c:v>
                </c:pt>
                <c:pt idx="14">
                  <c:v>5.2800000000000007E-2</c:v>
                </c:pt>
                <c:pt idx="15">
                  <c:v>6.2400000000000004E-2</c:v>
                </c:pt>
                <c:pt idx="16">
                  <c:v>5.2799999999999986E-2</c:v>
                </c:pt>
                <c:pt idx="17">
                  <c:v>0.06</c:v>
                </c:pt>
                <c:pt idx="18">
                  <c:v>5.5199999999999999E-2</c:v>
                </c:pt>
                <c:pt idx="19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C4-384C-91C3-149897394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805807"/>
        <c:axId val="1440313695"/>
      </c:areaChart>
      <c:lineChart>
        <c:grouping val="standard"/>
        <c:varyColors val="0"/>
        <c:ser>
          <c:idx val="3"/>
          <c:order val="0"/>
          <c:tx>
            <c:strRef>
              <c:f>'Reusability test'!$U$1</c:f>
              <c:strCache>
                <c:ptCount val="1"/>
                <c:pt idx="0">
                  <c:v>Decaying Exponential</c:v>
                </c:pt>
              </c:strCache>
            </c:strRef>
          </c:tx>
          <c:spPr>
            <a:ln w="19050" cap="rnd">
              <a:solidFill>
                <a:schemeClr val="tx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'Reusability test'!$S$2:$S$21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'Reusability test'!$U$2:$U$21</c:f>
              <c:numCache>
                <c:formatCode>General</c:formatCode>
                <c:ptCount val="20"/>
                <c:pt idx="0">
                  <c:v>8.6120958310436549E-2</c:v>
                </c:pt>
                <c:pt idx="1">
                  <c:v>7.9170731668708597E-2</c:v>
                </c:pt>
                <c:pt idx="2">
                  <c:v>7.408585242452416E-2</c:v>
                </c:pt>
                <c:pt idx="3">
                  <c:v>7.0365686412569572E-2</c:v>
                </c:pt>
                <c:pt idx="4">
                  <c:v>6.7643962947389849E-2</c:v>
                </c:pt>
                <c:pt idx="5">
                  <c:v>6.5652713471666083E-2</c:v>
                </c:pt>
                <c:pt idx="6">
                  <c:v>6.4195888586516217E-2</c:v>
                </c:pt>
                <c:pt idx="7">
                  <c:v>6.313005591619221E-2</c:v>
                </c:pt>
                <c:pt idx="8">
                  <c:v>6.2350278406410636E-2</c:v>
                </c:pt>
                <c:pt idx="9">
                  <c:v>6.1779782697570798E-2</c:v>
                </c:pt>
                <c:pt idx="10">
                  <c:v>6.1362400367711296E-2</c:v>
                </c:pt>
                <c:pt idx="11">
                  <c:v>6.1057037844243385E-2</c:v>
                </c:pt>
                <c:pt idx="12">
                  <c:v>6.0833630517033159E-2</c:v>
                </c:pt>
                <c:pt idx="13">
                  <c:v>6.0670182713142902E-2</c:v>
                </c:pt>
                <c:pt idx="14">
                  <c:v>6.0550602102559754E-2</c:v>
                </c:pt>
                <c:pt idx="15">
                  <c:v>6.0463115320314335E-2</c:v>
                </c:pt>
                <c:pt idx="16">
                  <c:v>6.0399108814323678E-2</c:v>
                </c:pt>
                <c:pt idx="17">
                  <c:v>6.0352280794090406E-2</c:v>
                </c:pt>
                <c:pt idx="18">
                  <c:v>6.0318020784970582E-2</c:v>
                </c:pt>
                <c:pt idx="19">
                  <c:v>6.0292955701735304E-2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2C4-384C-91C3-14989739456D}"/>
            </c:ext>
          </c:extLst>
        </c:ser>
        <c:ser>
          <c:idx val="0"/>
          <c:order val="1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'Reusability test'!$S$2:$S$21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'Reusability test'!$T$2:$T$21</c:f>
              <c:numCache>
                <c:formatCode>General</c:formatCode>
                <c:ptCount val="20"/>
                <c:pt idx="0">
                  <c:v>8.7199999999999986E-2</c:v>
                </c:pt>
                <c:pt idx="1">
                  <c:v>7.6800000000000007E-2</c:v>
                </c:pt>
                <c:pt idx="2">
                  <c:v>7.2800000000000017E-2</c:v>
                </c:pt>
                <c:pt idx="3">
                  <c:v>7.2000000000000008E-2</c:v>
                </c:pt>
                <c:pt idx="4">
                  <c:v>7.2000000000000008E-2</c:v>
                </c:pt>
                <c:pt idx="5">
                  <c:v>6.4000000000000001E-2</c:v>
                </c:pt>
                <c:pt idx="6">
                  <c:v>6.6400000000000001E-2</c:v>
                </c:pt>
                <c:pt idx="7">
                  <c:v>5.8400000000000001E-2</c:v>
                </c:pt>
                <c:pt idx="8">
                  <c:v>6.3999999999999987E-2</c:v>
                </c:pt>
                <c:pt idx="9">
                  <c:v>5.920000000000001E-2</c:v>
                </c:pt>
                <c:pt idx="10">
                  <c:v>6.1600000000000009E-2</c:v>
                </c:pt>
                <c:pt idx="11">
                  <c:v>6.88E-2</c:v>
                </c:pt>
                <c:pt idx="12">
                  <c:v>5.2799999999999993E-2</c:v>
                </c:pt>
                <c:pt idx="13">
                  <c:v>0.06</c:v>
                </c:pt>
                <c:pt idx="14">
                  <c:v>5.5200000000000006E-2</c:v>
                </c:pt>
                <c:pt idx="15">
                  <c:v>6.2400000000000004E-2</c:v>
                </c:pt>
                <c:pt idx="16">
                  <c:v>5.5199999999999999E-2</c:v>
                </c:pt>
                <c:pt idx="17">
                  <c:v>6.5600000000000006E-2</c:v>
                </c:pt>
                <c:pt idx="18">
                  <c:v>6.0799999999999993E-2</c:v>
                </c:pt>
                <c:pt idx="19">
                  <c:v>6.5599999999999992E-2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2C4-384C-91C3-149897394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805807"/>
        <c:axId val="1440313695"/>
      </c:lineChart>
      <c:catAx>
        <c:axId val="142980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13695"/>
        <c:crosses val="autoZero"/>
        <c:auto val="1"/>
        <c:lblAlgn val="ctr"/>
        <c:lblOffset val="100"/>
        <c:noMultiLvlLbl val="0"/>
      </c:catAx>
      <c:valAx>
        <c:axId val="1440313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chemeClr val="tx1"/>
                    </a:solidFill>
                  </a:rPr>
                  <a:t>Shear force /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805807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'Gecko-adhesion Characterisation'!$F$2</c:f>
              <c:strCache>
                <c:ptCount val="1"/>
                <c:pt idx="0">
                  <c:v>0.49 cm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4"/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5"/>
            <c:backward val="5"/>
            <c:dispRSqr val="0"/>
            <c:dispEq val="0"/>
          </c:trendline>
          <c:xVal>
            <c:numRef>
              <c:f>'Gecko-adhesion Characterisation'!$C$3:$C$9</c:f>
              <c:numCache>
                <c:formatCode>General</c:formatCode>
                <c:ptCount val="7"/>
                <c:pt idx="0">
                  <c:v>9.6137999999999987E-3</c:v>
                </c:pt>
                <c:pt idx="1">
                  <c:v>1.8344700000000002E-2</c:v>
                </c:pt>
                <c:pt idx="2">
                  <c:v>2.8350900000000002E-2</c:v>
                </c:pt>
                <c:pt idx="3">
                  <c:v>4.6695599999999997E-2</c:v>
                </c:pt>
                <c:pt idx="4">
                  <c:v>5.6701800000000004E-2</c:v>
                </c:pt>
                <c:pt idx="5">
                  <c:v>7.5046500000000002E-2</c:v>
                </c:pt>
                <c:pt idx="6">
                  <c:v>8.5052699999999995E-2</c:v>
                </c:pt>
              </c:numCache>
            </c:numRef>
          </c:xVal>
          <c:yVal>
            <c:numRef>
              <c:f>'Gecko-adhesion Characterisation'!$F$3:$F$9</c:f>
              <c:numCache>
                <c:formatCode>General</c:formatCode>
                <c:ptCount val="7"/>
                <c:pt idx="0">
                  <c:v>5.8399999999999987E-2</c:v>
                </c:pt>
                <c:pt idx="1">
                  <c:v>0.1008</c:v>
                </c:pt>
                <c:pt idx="2">
                  <c:v>0.12639999999999998</c:v>
                </c:pt>
                <c:pt idx="3">
                  <c:v>0.19200000000000003</c:v>
                </c:pt>
                <c:pt idx="4">
                  <c:v>0.21440000000000001</c:v>
                </c:pt>
                <c:pt idx="5">
                  <c:v>0.27840000000000004</c:v>
                </c:pt>
                <c:pt idx="6">
                  <c:v>0.31680000000000003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D9-D64B-AEAD-B55F25199DFD}"/>
            </c:ext>
          </c:extLst>
        </c:ser>
        <c:ser>
          <c:idx val="2"/>
          <c:order val="1"/>
          <c:tx>
            <c:strRef>
              <c:f>'Gecko-adhesion Characterisation'!$K$2</c:f>
              <c:strCache>
                <c:ptCount val="1"/>
                <c:pt idx="0">
                  <c:v>0.09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4"/>
          </c:marker>
          <c:trendline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trendlineType val="linear"/>
            <c:forward val="5"/>
            <c:backward val="5"/>
            <c:dispRSqr val="0"/>
            <c:dispEq val="0"/>
          </c:trendline>
          <c:xVal>
            <c:numRef>
              <c:f>'Gecko-adhesion Characterisation'!$H$3:$H$7</c:f>
              <c:numCache>
                <c:formatCode>General</c:formatCode>
                <c:ptCount val="5"/>
                <c:pt idx="0">
                  <c:v>9.6137999999999987E-3</c:v>
                </c:pt>
                <c:pt idx="1">
                  <c:v>3.1392000000000003E-2</c:v>
                </c:pt>
                <c:pt idx="2">
                  <c:v>4.1398200000000003E-2</c:v>
                </c:pt>
                <c:pt idx="3">
                  <c:v>6.9258600000000003E-2</c:v>
                </c:pt>
                <c:pt idx="4">
                  <c:v>7.8480000000000008E-2</c:v>
                </c:pt>
              </c:numCache>
            </c:numRef>
          </c:xVal>
          <c:yVal>
            <c:numRef>
              <c:f>'Gecko-adhesion Characterisation'!$K$3:$K$7</c:f>
              <c:numCache>
                <c:formatCode>General</c:formatCode>
                <c:ptCount val="5"/>
                <c:pt idx="0">
                  <c:v>1.6E-2</c:v>
                </c:pt>
                <c:pt idx="1">
                  <c:v>3.3599999999999998E-2</c:v>
                </c:pt>
                <c:pt idx="2">
                  <c:v>5.2800000000000007E-2</c:v>
                </c:pt>
                <c:pt idx="3">
                  <c:v>6.8800000000000014E-2</c:v>
                </c:pt>
                <c:pt idx="4">
                  <c:v>8.1600000000000006E-2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D9-D64B-AEAD-B55F25199DFD}"/>
            </c:ext>
          </c:extLst>
        </c:ser>
        <c:ser>
          <c:idx val="0"/>
          <c:order val="2"/>
          <c:tx>
            <c:strRef>
              <c:f>'Gecko-adhesion Characterisation'!$P$2</c:f>
              <c:strCache>
                <c:ptCount val="1"/>
                <c:pt idx="0">
                  <c:v>0.25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4"/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forward val="10"/>
            <c:backward val="5"/>
            <c:dispRSqr val="0"/>
            <c:dispEq val="0"/>
          </c:trendline>
          <c:xVal>
            <c:numRef>
              <c:f>'Gecko-adhesion Characterisation'!$M$3:$M$7</c:f>
              <c:numCache>
                <c:formatCode>General</c:formatCode>
                <c:ptCount val="5"/>
                <c:pt idx="0">
                  <c:v>1.8344700000000002E-2</c:v>
                </c:pt>
                <c:pt idx="1">
                  <c:v>2.2464899999999999E-2</c:v>
                </c:pt>
                <c:pt idx="2">
                  <c:v>4.16925E-2</c:v>
                </c:pt>
                <c:pt idx="3">
                  <c:v>5.6701800000000004E-2</c:v>
                </c:pt>
                <c:pt idx="4">
                  <c:v>6.9749100000000008E-2</c:v>
                </c:pt>
              </c:numCache>
            </c:numRef>
          </c:xVal>
          <c:yVal>
            <c:numRef>
              <c:f>'Gecko-adhesion Characterisation'!$P$3:$P$7</c:f>
              <c:numCache>
                <c:formatCode>General</c:formatCode>
                <c:ptCount val="5"/>
                <c:pt idx="0">
                  <c:v>4.7199999999999999E-2</c:v>
                </c:pt>
                <c:pt idx="1">
                  <c:v>5.04E-2</c:v>
                </c:pt>
                <c:pt idx="2">
                  <c:v>7.2800000000000004E-2</c:v>
                </c:pt>
                <c:pt idx="3">
                  <c:v>8.72E-2</c:v>
                </c:pt>
                <c:pt idx="4">
                  <c:v>0.13200000000000001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ED9-D64B-AEAD-B55F25199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07439"/>
        <c:axId val="206000911"/>
      </c:scatterChart>
      <c:valAx>
        <c:axId val="224707439"/>
        <c:scaling>
          <c:orientation val="minMax"/>
          <c:max val="0.0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 Force / 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0911"/>
        <c:crosses val="autoZero"/>
        <c:crossBetween val="midCat"/>
      </c:valAx>
      <c:valAx>
        <c:axId val="206000911"/>
        <c:scaling>
          <c:orientation val="minMax"/>
          <c:max val="0.3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Shear</a:t>
                </a:r>
                <a:r>
                  <a:rPr lang="en-US" baseline="0"/>
                  <a:t> Force / N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07439"/>
        <c:crosses val="autoZero"/>
        <c:crossBetween val="midCat"/>
      </c:valAx>
      <c:spPr>
        <a:ln>
          <a:noFill/>
        </a:ln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'Gecko-adhesion Characterisation'!$T$4</c:f>
              <c:strCache>
                <c:ptCount val="1"/>
                <c:pt idx="0">
                  <c:v>Slope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'Gecko-adhesion Characterisation'!$S$5:$S$7</c:f>
              <c:numCache>
                <c:formatCode>General</c:formatCode>
                <c:ptCount val="3"/>
                <c:pt idx="0">
                  <c:v>0.09</c:v>
                </c:pt>
                <c:pt idx="1">
                  <c:v>0.25</c:v>
                </c:pt>
                <c:pt idx="2">
                  <c:v>0.49</c:v>
                </c:pt>
              </c:numCache>
            </c:numRef>
          </c:xVal>
          <c:yVal>
            <c:numRef>
              <c:f>'Gecko-adhesion Characterisation'!$T$5:$T$7</c:f>
              <c:numCache>
                <c:formatCode>General</c:formatCode>
                <c:ptCount val="3"/>
                <c:pt idx="0">
                  <c:v>0.92801632286489188</c:v>
                </c:pt>
                <c:pt idx="1">
                  <c:v>1.5062986924337809</c:v>
                </c:pt>
                <c:pt idx="2">
                  <c:v>3.3063962725109026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1-0445-9284-10BED4149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20656"/>
        <c:axId val="1950006720"/>
      </c:scatterChart>
      <c:valAx>
        <c:axId val="204442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Area /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06720"/>
        <c:crosses val="autoZero"/>
        <c:crossBetween val="midCat"/>
      </c:valAx>
      <c:valAx>
        <c:axId val="195000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Slope (</a:t>
                </a:r>
                <a:r>
                  <a:rPr lang="el-GR" sz="1000" b="1" i="0" u="none" strike="noStrike" baseline="0">
                    <a:solidFill>
                      <a:schemeClr val="tx1"/>
                    </a:solidFill>
                    <a:effectLst/>
                  </a:rPr>
                  <a:t>μ</a:t>
                </a:r>
                <a:r>
                  <a:rPr lang="en-US" b="1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206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'Gecko-adhesion Characterisation'!$U$4</c:f>
              <c:strCache>
                <c:ptCount val="1"/>
                <c:pt idx="0">
                  <c:v>offset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'Gecko-adhesion Characterisation'!$S$5:$S$7</c:f>
              <c:numCache>
                <c:formatCode>General</c:formatCode>
                <c:ptCount val="3"/>
                <c:pt idx="0">
                  <c:v>0.09</c:v>
                </c:pt>
                <c:pt idx="1">
                  <c:v>0.25</c:v>
                </c:pt>
                <c:pt idx="2">
                  <c:v>0.49</c:v>
                </c:pt>
              </c:numCache>
            </c:numRef>
          </c:xVal>
          <c:yVal>
            <c:numRef>
              <c:f>'Gecko-adhesion Characterisation'!$U$5:$U$7</c:f>
              <c:numCache>
                <c:formatCode>General</c:formatCode>
                <c:ptCount val="3"/>
                <c:pt idx="0">
                  <c:v>7.8447821226868691E-3</c:v>
                </c:pt>
                <c:pt idx="1">
                  <c:v>1.4970873863976844E-2</c:v>
                </c:pt>
                <c:pt idx="2">
                  <c:v>3.2827804810482641E-2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7-5148-ABCC-0444BE777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20656"/>
        <c:axId val="1950006720"/>
      </c:scatterChart>
      <c:valAx>
        <c:axId val="204442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chemeClr val="tx1"/>
                    </a:solidFill>
                  </a:rPr>
                  <a:t>Area /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06720"/>
        <c:crosses val="autoZero"/>
        <c:crossBetween val="midCat"/>
      </c:valAx>
      <c:valAx>
        <c:axId val="195000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Offset (</a:t>
                </a:r>
                <a:r>
                  <a:rPr lang="el-GR" sz="1000" b="1" i="0" u="none" strike="noStrike" baseline="0">
                    <a:solidFill>
                      <a:schemeClr val="tx1"/>
                    </a:solidFill>
                    <a:effectLst/>
                  </a:rPr>
                  <a:t>μ</a:t>
                </a:r>
                <a:r>
                  <a:rPr lang="en-US" sz="1000" b="1" i="0" u="none" strike="noStrike" baseline="0">
                    <a:solidFill>
                      <a:schemeClr val="tx1"/>
                    </a:solidFill>
                    <a:effectLst/>
                  </a:rPr>
                  <a:t>  </a:t>
                </a:r>
                <a:r>
                  <a:rPr lang="en-US" b="1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20656"/>
        <c:crosses val="autoZero"/>
        <c:crossBetween val="midCat"/>
        <c:majorUnit val="0.0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A1</c:v>
          </c:tx>
          <c:spPr>
            <a:ln w="19050">
              <a:noFill/>
            </a:ln>
          </c:spPr>
          <c:marker>
            <c:symbol val="triangle"/>
            <c:size val="6"/>
          </c:marker>
          <c:xVal>
            <c:numRef>
              <c:f>'Area dependent max loading'!$B$5:$B$9</c:f>
              <c:numCache>
                <c:formatCode>General</c:formatCode>
                <c:ptCount val="5"/>
                <c:pt idx="0">
                  <c:v>0.70499999999999996</c:v>
                </c:pt>
                <c:pt idx="1">
                  <c:v>1.7250000000000001</c:v>
                </c:pt>
                <c:pt idx="2">
                  <c:v>2.14</c:v>
                </c:pt>
                <c:pt idx="3">
                  <c:v>2.73</c:v>
                </c:pt>
                <c:pt idx="4">
                  <c:v>2.89</c:v>
                </c:pt>
              </c:numCache>
            </c:numRef>
          </c:xVal>
          <c:yVal>
            <c:numRef>
              <c:f>'Area dependent max loading'!$D$5:$D$9</c:f>
              <c:numCache>
                <c:formatCode>General</c:formatCode>
                <c:ptCount val="5"/>
                <c:pt idx="0">
                  <c:v>7.671420000000001E-2</c:v>
                </c:pt>
                <c:pt idx="1">
                  <c:v>0.1377324</c:v>
                </c:pt>
                <c:pt idx="2">
                  <c:v>0.17344080000000001</c:v>
                </c:pt>
                <c:pt idx="3">
                  <c:v>0.20159550000000001</c:v>
                </c:pt>
                <c:pt idx="4">
                  <c:v>0.21228840000000002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94-2744-A061-C53B94B6FAFF}"/>
            </c:ext>
          </c:extLst>
        </c:ser>
        <c:ser>
          <c:idx val="4"/>
          <c:order val="1"/>
          <c:tx>
            <c:v>A2</c:v>
          </c:tx>
          <c:spPr>
            <a:ln w="19050">
              <a:noFill/>
            </a:ln>
          </c:spPr>
          <c:marker>
            <c:symbol val="square"/>
            <c:size val="6"/>
          </c:marker>
          <c:xVal>
            <c:numRef>
              <c:f>'Area dependent max loading'!$B$5:$B$9</c:f>
              <c:numCache>
                <c:formatCode>General</c:formatCode>
                <c:ptCount val="5"/>
                <c:pt idx="0">
                  <c:v>0.70499999999999996</c:v>
                </c:pt>
                <c:pt idx="1">
                  <c:v>1.7250000000000001</c:v>
                </c:pt>
                <c:pt idx="2">
                  <c:v>2.14</c:v>
                </c:pt>
                <c:pt idx="3">
                  <c:v>2.73</c:v>
                </c:pt>
                <c:pt idx="4">
                  <c:v>2.89</c:v>
                </c:pt>
              </c:numCache>
            </c:numRef>
          </c:xVal>
          <c:yVal>
            <c:numRef>
              <c:f>'Area dependent max loading'!$F$5:$F$9</c:f>
              <c:numCache>
                <c:formatCode>General</c:formatCode>
                <c:ptCount val="5"/>
                <c:pt idx="0">
                  <c:v>8.7603300000000009E-2</c:v>
                </c:pt>
                <c:pt idx="1">
                  <c:v>0.16019729999999999</c:v>
                </c:pt>
                <c:pt idx="2">
                  <c:v>0.1848204</c:v>
                </c:pt>
                <c:pt idx="3">
                  <c:v>0.22474710000000001</c:v>
                </c:pt>
                <c:pt idx="4">
                  <c:v>0.25123410000000002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994-2744-A061-C53B94B6FAFF}"/>
            </c:ext>
          </c:extLst>
        </c:ser>
        <c:ser>
          <c:idx val="5"/>
          <c:order val="2"/>
          <c:tx>
            <c:v>A3</c:v>
          </c:tx>
          <c:spPr>
            <a:ln w="19050">
              <a:noFill/>
            </a:ln>
          </c:spPr>
          <c:xVal>
            <c:numRef>
              <c:f>'Area dependent max loading'!$B$5:$B$9</c:f>
              <c:numCache>
                <c:formatCode>General</c:formatCode>
                <c:ptCount val="5"/>
                <c:pt idx="0">
                  <c:v>0.70499999999999996</c:v>
                </c:pt>
                <c:pt idx="1">
                  <c:v>1.7250000000000001</c:v>
                </c:pt>
                <c:pt idx="2">
                  <c:v>2.14</c:v>
                </c:pt>
                <c:pt idx="3">
                  <c:v>2.73</c:v>
                </c:pt>
                <c:pt idx="4">
                  <c:v>2.89</c:v>
                </c:pt>
              </c:numCache>
            </c:numRef>
          </c:xVal>
          <c:yVal>
            <c:numRef>
              <c:f>'Area dependent max loading'!$H$5:$H$9</c:f>
              <c:numCache>
                <c:formatCode>General</c:formatCode>
                <c:ptCount val="5"/>
                <c:pt idx="0">
                  <c:v>0.13527990000000001</c:v>
                </c:pt>
                <c:pt idx="1">
                  <c:v>0.19904490000000002</c:v>
                </c:pt>
                <c:pt idx="2">
                  <c:v>0.21738959999999999</c:v>
                </c:pt>
                <c:pt idx="3">
                  <c:v>0.28282229999999997</c:v>
                </c:pt>
                <c:pt idx="4">
                  <c:v>0.29616390000000004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994-2744-A061-C53B94B6FAFF}"/>
            </c:ext>
          </c:extLst>
        </c:ser>
        <c:ser>
          <c:idx val="0"/>
          <c:order val="3"/>
          <c:tx>
            <c:v>A1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'Area dependent max loading'!$B$5:$B$9</c:f>
              <c:numCache>
                <c:formatCode>General</c:formatCode>
                <c:ptCount val="5"/>
                <c:pt idx="0">
                  <c:v>0.70499999999999996</c:v>
                </c:pt>
                <c:pt idx="1">
                  <c:v>1.7250000000000001</c:v>
                </c:pt>
                <c:pt idx="2">
                  <c:v>2.14</c:v>
                </c:pt>
                <c:pt idx="3">
                  <c:v>2.73</c:v>
                </c:pt>
                <c:pt idx="4">
                  <c:v>2.89</c:v>
                </c:pt>
              </c:numCache>
            </c:numRef>
          </c:xVal>
          <c:yVal>
            <c:numRef>
              <c:f>'Area dependent max loading'!$J$5:$J$9</c:f>
              <c:numCache>
                <c:formatCode>General</c:formatCode>
                <c:ptCount val="5"/>
                <c:pt idx="0">
                  <c:v>7.8293037947987129E-2</c:v>
                </c:pt>
                <c:pt idx="1">
                  <c:v>0.14379212905490815</c:v>
                </c:pt>
                <c:pt idx="2">
                  <c:v>0.17044126906409662</c:v>
                </c:pt>
                <c:pt idx="3">
                  <c:v>0.2083279982337862</c:v>
                </c:pt>
                <c:pt idx="4">
                  <c:v>0.21860236546624445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94-2744-A061-C53B94B6FAFF}"/>
            </c:ext>
          </c:extLst>
        </c:ser>
        <c:ser>
          <c:idx val="1"/>
          <c:order val="4"/>
          <c:tx>
            <c:v>A2 Model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'Area dependent max loading'!$B$5:$B$9</c:f>
              <c:numCache>
                <c:formatCode>General</c:formatCode>
                <c:ptCount val="5"/>
                <c:pt idx="0">
                  <c:v>0.70499999999999996</c:v>
                </c:pt>
                <c:pt idx="1">
                  <c:v>1.7250000000000001</c:v>
                </c:pt>
                <c:pt idx="2">
                  <c:v>2.14</c:v>
                </c:pt>
                <c:pt idx="3">
                  <c:v>2.73</c:v>
                </c:pt>
                <c:pt idx="4">
                  <c:v>2.89</c:v>
                </c:pt>
              </c:numCache>
            </c:numRef>
          </c:xVal>
          <c:yVal>
            <c:numRef>
              <c:f>'Area dependent max loading'!$K$5:$K$9</c:f>
              <c:numCache>
                <c:formatCode>General</c:formatCode>
                <c:ptCount val="5"/>
                <c:pt idx="0">
                  <c:v>9.3951645537584547E-2</c:v>
                </c:pt>
                <c:pt idx="1">
                  <c:v>0.17255055486588977</c:v>
                </c:pt>
                <c:pt idx="2">
                  <c:v>0.20452952287691595</c:v>
                </c:pt>
                <c:pt idx="3">
                  <c:v>0.24999359788054343</c:v>
                </c:pt>
                <c:pt idx="4">
                  <c:v>0.26232283855949334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94-2744-A061-C53B94B6FAFF}"/>
            </c:ext>
          </c:extLst>
        </c:ser>
        <c:ser>
          <c:idx val="2"/>
          <c:order val="5"/>
          <c:tx>
            <c:v>A3 Model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'Area dependent max loading'!$B$5:$B$9</c:f>
              <c:numCache>
                <c:formatCode>General</c:formatCode>
                <c:ptCount val="5"/>
                <c:pt idx="0">
                  <c:v>0.70499999999999996</c:v>
                </c:pt>
                <c:pt idx="1">
                  <c:v>1.7250000000000001</c:v>
                </c:pt>
                <c:pt idx="2">
                  <c:v>2.14</c:v>
                </c:pt>
                <c:pt idx="3">
                  <c:v>2.73</c:v>
                </c:pt>
                <c:pt idx="4">
                  <c:v>2.89</c:v>
                </c:pt>
              </c:numCache>
            </c:numRef>
          </c:xVal>
          <c:yVal>
            <c:numRef>
              <c:f>'Area dependent max loading'!$L$5:$L$9</c:f>
              <c:numCache>
                <c:formatCode>General</c:formatCode>
                <c:ptCount val="5"/>
                <c:pt idx="0">
                  <c:v>0.10961025312718198</c:v>
                </c:pt>
                <c:pt idx="1">
                  <c:v>0.20130898067687145</c:v>
                </c:pt>
                <c:pt idx="2">
                  <c:v>0.23861777668973527</c:v>
                </c:pt>
                <c:pt idx="3">
                  <c:v>0.29165919752730074</c:v>
                </c:pt>
                <c:pt idx="4">
                  <c:v>0.30604331165274223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94-2744-A061-C53B94B6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477888"/>
        <c:axId val="1952534112"/>
      </c:scatterChart>
      <c:valAx>
        <c:axId val="1976477888"/>
        <c:scaling>
          <c:orientation val="minMax"/>
          <c:min val="0.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 Deflection (</a:t>
                </a: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/>
                  <a:t>)</a:t>
                </a:r>
                <a:r>
                  <a:rPr lang="en-US" baseline="0"/>
                  <a:t> / mm</a:t>
                </a: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34112"/>
        <c:crosses val="autoZero"/>
        <c:crossBetween val="midCat"/>
      </c:valAx>
      <c:valAx>
        <c:axId val="195253411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Maximum Loading / 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778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Silicone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'Biopsy pick and place'!$C$4:$C$15</c:f>
              <c:numCache>
                <c:formatCode>General</c:formatCode>
                <c:ptCount val="12"/>
                <c:pt idx="0">
                  <c:v>0.05</c:v>
                </c:pt>
                <c:pt idx="1">
                  <c:v>0.25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0.41</c:v>
                </c:pt>
                <c:pt idx="5">
                  <c:v>0.44</c:v>
                </c:pt>
                <c:pt idx="6">
                  <c:v>0.44</c:v>
                </c:pt>
                <c:pt idx="7">
                  <c:v>0.49</c:v>
                </c:pt>
                <c:pt idx="8">
                  <c:v>0.57999999999999996</c:v>
                </c:pt>
                <c:pt idx="9">
                  <c:v>0.6</c:v>
                </c:pt>
                <c:pt idx="10">
                  <c:v>0.73</c:v>
                </c:pt>
                <c:pt idx="11">
                  <c:v>0.87</c:v>
                </c:pt>
              </c:numCache>
            </c:numRef>
          </c:cat>
          <c:val>
            <c:numRef>
              <c:f>'Biopsy pick and place'!$Z$4:$Z$15</c:f>
              <c:numCache>
                <c:formatCode>0%</c:formatCode>
                <c:ptCount val="12"/>
                <c:pt idx="1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D6-0542-BA10-82260C5FE204}"/>
            </c:ext>
          </c:extLst>
        </c:ser>
        <c:ser>
          <c:idx val="2"/>
          <c:order val="1"/>
          <c:tx>
            <c:v>GA</c:v>
          </c:tx>
          <c:spPr>
            <a:solidFill>
              <a:schemeClr val="accent5"/>
            </a:solidFill>
            <a:ln w="19050">
              <a:noFill/>
            </a:ln>
            <a:effectLst/>
          </c:spPr>
          <c:invertIfNegative val="0"/>
          <c:cat>
            <c:numRef>
              <c:f>'Biopsy pick and place'!$C$4:$C$15</c:f>
              <c:numCache>
                <c:formatCode>General</c:formatCode>
                <c:ptCount val="12"/>
                <c:pt idx="0">
                  <c:v>0.05</c:v>
                </c:pt>
                <c:pt idx="1">
                  <c:v>0.25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0.41</c:v>
                </c:pt>
                <c:pt idx="5">
                  <c:v>0.44</c:v>
                </c:pt>
                <c:pt idx="6">
                  <c:v>0.44</c:v>
                </c:pt>
                <c:pt idx="7">
                  <c:v>0.49</c:v>
                </c:pt>
                <c:pt idx="8">
                  <c:v>0.57999999999999996</c:v>
                </c:pt>
                <c:pt idx="9">
                  <c:v>0.6</c:v>
                </c:pt>
                <c:pt idx="10">
                  <c:v>0.73</c:v>
                </c:pt>
                <c:pt idx="11">
                  <c:v>0.87</c:v>
                </c:pt>
              </c:numCache>
            </c:numRef>
          </c:cat>
          <c:val>
            <c:numRef>
              <c:f>'Biopsy pick and place'!$G$4:$G$15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  <c:pt idx="4">
                  <c:v>0.66666666666666663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0.66666666666666663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D6-0542-BA10-82260C5FE204}"/>
            </c:ext>
          </c:extLst>
        </c:ser>
        <c:ser>
          <c:idx val="1"/>
          <c:order val="2"/>
          <c:tx>
            <c:v>GA + SMA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'Biopsy pick and place'!$C$4:$C$15</c:f>
              <c:numCache>
                <c:formatCode>General</c:formatCode>
                <c:ptCount val="12"/>
                <c:pt idx="0">
                  <c:v>0.05</c:v>
                </c:pt>
                <c:pt idx="1">
                  <c:v>0.25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0.41</c:v>
                </c:pt>
                <c:pt idx="5">
                  <c:v>0.44</c:v>
                </c:pt>
                <c:pt idx="6">
                  <c:v>0.44</c:v>
                </c:pt>
                <c:pt idx="7">
                  <c:v>0.49</c:v>
                </c:pt>
                <c:pt idx="8">
                  <c:v>0.57999999999999996</c:v>
                </c:pt>
                <c:pt idx="9">
                  <c:v>0.6</c:v>
                </c:pt>
                <c:pt idx="10">
                  <c:v>0.73</c:v>
                </c:pt>
                <c:pt idx="11">
                  <c:v>0.87</c:v>
                </c:pt>
              </c:numCache>
            </c:numRef>
          </c:cat>
          <c:val>
            <c:numRef>
              <c:f>'Biopsy pick and place'!$K$4:$K$15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0.66666666666666663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D6-0542-BA10-82260C5FE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axId val="1401098159"/>
        <c:axId val="1132653023"/>
      </c:barChart>
      <c:catAx>
        <c:axId val="140109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Biopsy</a:t>
                </a:r>
                <a:r>
                  <a:rPr lang="en-US" baseline="0"/>
                  <a:t> m</a:t>
                </a:r>
                <a:r>
                  <a:rPr lang="en-US"/>
                  <a:t>ass / 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53023"/>
        <c:crosses val="autoZero"/>
        <c:auto val="1"/>
        <c:lblAlgn val="ctr"/>
        <c:lblOffset val="100"/>
        <c:noMultiLvlLbl val="0"/>
      </c:catAx>
      <c:valAx>
        <c:axId val="1132653023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9815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GA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'Biopsy pick and place'!$C$4:$C$15</c:f>
              <c:numCache>
                <c:formatCode>General</c:formatCode>
                <c:ptCount val="12"/>
                <c:pt idx="0">
                  <c:v>0.05</c:v>
                </c:pt>
                <c:pt idx="1">
                  <c:v>0.25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0.41</c:v>
                </c:pt>
                <c:pt idx="5">
                  <c:v>0.44</c:v>
                </c:pt>
                <c:pt idx="6">
                  <c:v>0.44</c:v>
                </c:pt>
                <c:pt idx="7">
                  <c:v>0.49</c:v>
                </c:pt>
                <c:pt idx="8">
                  <c:v>0.57999999999999996</c:v>
                </c:pt>
                <c:pt idx="9">
                  <c:v>0.6</c:v>
                </c:pt>
                <c:pt idx="10">
                  <c:v>0.73</c:v>
                </c:pt>
                <c:pt idx="11">
                  <c:v>0.87</c:v>
                </c:pt>
              </c:numCache>
            </c:numRef>
          </c:cat>
          <c:val>
            <c:numRef>
              <c:f>'Biopsy pick and place'!$S$4:$S$15</c:f>
              <c:numCache>
                <c:formatCode>0%</c:formatCode>
                <c:ptCount val="12"/>
                <c:pt idx="0">
                  <c:v>0</c:v>
                </c:pt>
                <c:pt idx="1">
                  <c:v>0.66666666666666663</c:v>
                </c:pt>
                <c:pt idx="2">
                  <c:v>0.5</c:v>
                </c:pt>
                <c:pt idx="3">
                  <c:v>0.66666666666666663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0.66666666666666663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A-C448-8771-3DE1DF31B172}"/>
            </c:ext>
          </c:extLst>
        </c:ser>
        <c:ser>
          <c:idx val="1"/>
          <c:order val="1"/>
          <c:tx>
            <c:v>GA + SMA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'Biopsy pick and place'!$C$4:$C$15</c:f>
              <c:numCache>
                <c:formatCode>General</c:formatCode>
                <c:ptCount val="12"/>
                <c:pt idx="0">
                  <c:v>0.05</c:v>
                </c:pt>
                <c:pt idx="1">
                  <c:v>0.25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0.41</c:v>
                </c:pt>
                <c:pt idx="5">
                  <c:v>0.44</c:v>
                </c:pt>
                <c:pt idx="6">
                  <c:v>0.44</c:v>
                </c:pt>
                <c:pt idx="7">
                  <c:v>0.49</c:v>
                </c:pt>
                <c:pt idx="8">
                  <c:v>0.57999999999999996</c:v>
                </c:pt>
                <c:pt idx="9">
                  <c:v>0.6</c:v>
                </c:pt>
                <c:pt idx="10">
                  <c:v>0.73</c:v>
                </c:pt>
                <c:pt idx="11">
                  <c:v>0.87</c:v>
                </c:pt>
              </c:numCache>
            </c:numRef>
          </c:cat>
          <c:val>
            <c:numRef>
              <c:f>'Biopsy pick and place'!$W$4:$W$15</c:f>
              <c:numCache>
                <c:formatCode>0%</c:formatCode>
                <c:ptCount val="12"/>
                <c:pt idx="0">
                  <c:v>0.66666666666666663</c:v>
                </c:pt>
                <c:pt idx="1">
                  <c:v>1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A-C448-8771-3DE1DF31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axId val="1401098159"/>
        <c:axId val="1132653023"/>
      </c:barChart>
      <c:catAx>
        <c:axId val="140109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Biopsy mass / 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53023"/>
        <c:crosses val="autoZero"/>
        <c:auto val="1"/>
        <c:lblAlgn val="ctr"/>
        <c:lblOffset val="100"/>
        <c:noMultiLvlLbl val="0"/>
      </c:catAx>
      <c:valAx>
        <c:axId val="1132653023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9815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'Biopsy pick and place'!$C$20</c:f>
              <c:strCache>
                <c:ptCount val="1"/>
                <c:pt idx="0">
                  <c:v>Grasping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'Biopsy pick and place'!$K$21:$K$23</c:f>
                <c:numCache>
                  <c:formatCode>General</c:formatCode>
                  <c:ptCount val="3"/>
                  <c:pt idx="0">
                    <c:v>0.1507556722888829</c:v>
                  </c:pt>
                  <c:pt idx="1">
                    <c:v>0.12974982402692048</c:v>
                  </c:pt>
                  <c:pt idx="2">
                    <c:v>0.48199920365414745</c:v>
                  </c:pt>
                </c:numCache>
              </c:numRef>
            </c:plus>
            <c:minus>
              <c:numRef>
                <c:f>'Biopsy pick and place'!$K$21:$K$23</c:f>
                <c:numCache>
                  <c:formatCode>General</c:formatCode>
                  <c:ptCount val="3"/>
                  <c:pt idx="0">
                    <c:v>0.1507556722888829</c:v>
                  </c:pt>
                  <c:pt idx="1">
                    <c:v>0.12974982402692048</c:v>
                  </c:pt>
                  <c:pt idx="2">
                    <c:v>0.48199920365414745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'Biopsy pick and place'!$B$21:$B$23</c:f>
              <c:strCache>
                <c:ptCount val="3"/>
                <c:pt idx="0">
                  <c:v>GA</c:v>
                </c:pt>
                <c:pt idx="1">
                  <c:v>GA + SMA</c:v>
                </c:pt>
                <c:pt idx="2">
                  <c:v>Silicone</c:v>
                </c:pt>
              </c:strCache>
            </c:strRef>
          </c:cat>
          <c:val>
            <c:numRef>
              <c:f>'Biopsy pick and place'!$C$21:$C$23</c:f>
              <c:numCache>
                <c:formatCode>0%</c:formatCode>
                <c:ptCount val="3"/>
                <c:pt idx="0">
                  <c:v>0.91666666666666652</c:v>
                </c:pt>
                <c:pt idx="1">
                  <c:v>0.94444444444444453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C-0744-99D1-A4020116B1BA}"/>
            </c:ext>
          </c:extLst>
        </c:ser>
        <c:ser>
          <c:idx val="1"/>
          <c:order val="1"/>
          <c:tx>
            <c:strRef>
              <c:f>'Biopsy pick and place'!$D$20</c:f>
              <c:strCache>
                <c:ptCount val="1"/>
                <c:pt idx="0">
                  <c:v>Releasing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'Biopsy pick and place'!$R$21:$R$23</c:f>
                <c:numCache>
                  <c:formatCode>General</c:formatCode>
                  <c:ptCount val="3"/>
                  <c:pt idx="0">
                    <c:v>0.31079078025403067</c:v>
                  </c:pt>
                  <c:pt idx="1">
                    <c:v>0.15075567228888126</c:v>
                  </c:pt>
                  <c:pt idx="2">
                    <c:v>0</c:v>
                  </c:pt>
                </c:numCache>
              </c:numRef>
            </c:plus>
            <c:minus>
              <c:numRef>
                <c:f>'Biopsy pick and place'!$R$21:$R$23</c:f>
                <c:numCache>
                  <c:formatCode>General</c:formatCode>
                  <c:ptCount val="3"/>
                  <c:pt idx="0">
                    <c:v>0.31079078025403067</c:v>
                  </c:pt>
                  <c:pt idx="1">
                    <c:v>0.15075567228888126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'Biopsy pick and place'!$B$21:$B$23</c:f>
              <c:strCache>
                <c:ptCount val="3"/>
                <c:pt idx="0">
                  <c:v>GA</c:v>
                </c:pt>
                <c:pt idx="1">
                  <c:v>GA + SMA</c:v>
                </c:pt>
                <c:pt idx="2">
                  <c:v>Silicone</c:v>
                </c:pt>
              </c:strCache>
            </c:strRef>
          </c:cat>
          <c:val>
            <c:numRef>
              <c:f>'Biopsy pick and place'!$D$21:$D$23</c:f>
              <c:numCache>
                <c:formatCode>0%</c:formatCode>
                <c:ptCount val="3"/>
                <c:pt idx="0">
                  <c:v>0.79166666666666663</c:v>
                </c:pt>
                <c:pt idx="1">
                  <c:v>0.91666666666666663</c:v>
                </c:pt>
                <c:pt idx="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C-0744-99D1-A4020116B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axId val="1149939039"/>
        <c:axId val="1492496607"/>
      </c:barChart>
      <c:catAx>
        <c:axId val="114993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Gripper</a:t>
                </a:r>
                <a:r>
                  <a:rPr lang="en-US" b="1" baseline="0">
                    <a:solidFill>
                      <a:schemeClr val="tx1"/>
                    </a:solidFill>
                  </a:rPr>
                  <a:t> settings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96607"/>
        <c:crosses val="autoZero"/>
        <c:auto val="1"/>
        <c:lblAlgn val="ctr"/>
        <c:lblOffset val="100"/>
        <c:noMultiLvlLbl val="0"/>
      </c:catAx>
      <c:valAx>
        <c:axId val="1492496607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Average 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'Biopsy pick and place'!$F$21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'Biopsy pick and place'!$G$26:$I$26</c:f>
                <c:numCache>
                  <c:formatCode>General</c:formatCode>
                  <c:ptCount val="3"/>
                  <c:pt idx="0">
                    <c:v>0.16666666666666727</c:v>
                  </c:pt>
                  <c:pt idx="1">
                    <c:v>0.16666666666666727</c:v>
                  </c:pt>
                  <c:pt idx="2">
                    <c:v>0.16666666666666727</c:v>
                  </c:pt>
                </c:numCache>
              </c:numRef>
            </c:plus>
            <c:minus>
              <c:numRef>
                <c:f>'Biopsy pick and place'!$G$26:$I$26</c:f>
                <c:numCache>
                  <c:formatCode>General</c:formatCode>
                  <c:ptCount val="3"/>
                  <c:pt idx="0">
                    <c:v>0.16666666666666727</c:v>
                  </c:pt>
                  <c:pt idx="1">
                    <c:v>0.16666666666666727</c:v>
                  </c:pt>
                  <c:pt idx="2">
                    <c:v>0.16666666666666727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'Biopsy pick and place'!$G$20:$I$20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'Biopsy pick and place'!$G$21:$I$21</c:f>
              <c:numCache>
                <c:formatCode>0%</c:formatCode>
                <c:ptCount val="3"/>
                <c:pt idx="0">
                  <c:v>0.91666666666666663</c:v>
                </c:pt>
                <c:pt idx="1">
                  <c:v>0.91666666666666663</c:v>
                </c:pt>
                <c:pt idx="2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5-F145-80AC-630D6E9356ED}"/>
            </c:ext>
          </c:extLst>
        </c:ser>
        <c:ser>
          <c:idx val="1"/>
          <c:order val="1"/>
          <c:tx>
            <c:strRef>
              <c:f>'Biopsy pick and place'!$F$22</c:f>
              <c:strCache>
                <c:ptCount val="1"/>
                <c:pt idx="0">
                  <c:v>GA+SMA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'Biopsy pick and place'!$G$27:$I$27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0.16666666666666727</c:v>
                  </c:pt>
                  <c:pt idx="2">
                    <c:v>0.16666666666666727</c:v>
                  </c:pt>
                </c:numCache>
              </c:numRef>
            </c:plus>
            <c:minus>
              <c:numRef>
                <c:f>'Biopsy pick and place'!$G$27:$I$27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0.16666666666666727</c:v>
                  </c:pt>
                  <c:pt idx="2">
                    <c:v>0.16666666666666727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'Biopsy pick and place'!$G$20:$I$20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'Biopsy pick and place'!$G$22:$I$22</c:f>
              <c:numCache>
                <c:formatCode>0%</c:formatCode>
                <c:ptCount val="3"/>
                <c:pt idx="0">
                  <c:v>1</c:v>
                </c:pt>
                <c:pt idx="1">
                  <c:v>0.91666666666666663</c:v>
                </c:pt>
                <c:pt idx="2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5-F145-80AC-630D6E9356ED}"/>
            </c:ext>
          </c:extLst>
        </c:ser>
        <c:ser>
          <c:idx val="2"/>
          <c:order val="2"/>
          <c:tx>
            <c:strRef>
              <c:f>'Biopsy pick and place'!$F$23</c:f>
              <c:strCache>
                <c:ptCount val="1"/>
                <c:pt idx="0">
                  <c:v>Silicone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'Biopsy pick and place'!$G$28:$I$28</c:f>
                <c:numCache>
                  <c:formatCode>General</c:formatCode>
                  <c:ptCount val="3"/>
                  <c:pt idx="0">
                    <c:v>0.5</c:v>
                  </c:pt>
                  <c:pt idx="1">
                    <c:v>0.57735026918962573</c:v>
                  </c:pt>
                  <c:pt idx="2">
                    <c:v>0.31914236925211259</c:v>
                  </c:pt>
                </c:numCache>
              </c:numRef>
            </c:plus>
            <c:minus>
              <c:numRef>
                <c:f>'Biopsy pick and place'!$G$28:$I$28</c:f>
                <c:numCache>
                  <c:formatCode>General</c:formatCode>
                  <c:ptCount val="3"/>
                  <c:pt idx="0">
                    <c:v>0.5</c:v>
                  </c:pt>
                  <c:pt idx="1">
                    <c:v>0.57735026918962573</c:v>
                  </c:pt>
                  <c:pt idx="2">
                    <c:v>0.31914236925211259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'Biopsy pick and place'!$G$20:$I$20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'Biopsy pick and place'!$G$23:$I$23</c:f>
              <c:numCache>
                <c:formatCode>0%</c:formatCode>
                <c:ptCount val="3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5-F145-80AC-630D6E935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axId val="210012528"/>
        <c:axId val="210282560"/>
      </c:barChart>
      <c:catAx>
        <c:axId val="21001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Biopsy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2560"/>
        <c:crosses val="autoZero"/>
        <c:auto val="1"/>
        <c:lblAlgn val="ctr"/>
        <c:lblOffset val="100"/>
        <c:noMultiLvlLbl val="0"/>
      </c:catAx>
      <c:valAx>
        <c:axId val="210282560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success</a:t>
                </a:r>
                <a:r>
                  <a:rPr lang="en-US" b="1" baseline="0"/>
                  <a:t> rate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832474</xdr:colOff>
      <xdr:row>11</xdr:row>
      <xdr:rowOff>81281</xdr:rowOff>
    </xdr:from>
    <xdr:to>
      <xdr:col>15</xdr:col>
      <xdr:colOff>463650</xdr:colOff>
      <xdr:row>30</xdr:row>
      <xdr:rowOff>10079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907DF2-4715-3BEA-4CA1-9E9F61C25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408940</xdr:colOff>
      <xdr:row>10</xdr:row>
      <xdr:rowOff>28149</xdr:rowOff>
    </xdr:from>
    <xdr:to>
      <xdr:col>24</xdr:col>
      <xdr:colOff>0</xdr:colOff>
      <xdr:row>31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2FF3ED-2D95-1C0B-2B28-6164C7F76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406400</xdr:colOff>
      <xdr:row>32</xdr:row>
      <xdr:rowOff>137160</xdr:rowOff>
    </xdr:from>
    <xdr:to>
      <xdr:col>19</xdr:col>
      <xdr:colOff>707427</xdr:colOff>
      <xdr:row>45</xdr:row>
      <xdr:rowOff>101165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047B160-AE15-5AD4-E8E5-AF8DA2D9F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721360</xdr:colOff>
      <xdr:row>32</xdr:row>
      <xdr:rowOff>142240</xdr:rowOff>
    </xdr:from>
    <xdr:to>
      <xdr:col>23</xdr:col>
      <xdr:colOff>820057</xdr:colOff>
      <xdr:row>45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4E4ABA-0ADE-4048-82F5-95761D347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620058</xdr:colOff>
      <xdr:row>11</xdr:row>
      <xdr:rowOff>63500</xdr:rowOff>
    </xdr:from>
    <xdr:to>
      <xdr:col>10</xdr:col>
      <xdr:colOff>825500</xdr:colOff>
      <xdr:row>35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1C3BAA-CA5C-41A2-3602-6F7880E02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927652</xdr:colOff>
      <xdr:row>32</xdr:row>
      <xdr:rowOff>11044</xdr:rowOff>
    </xdr:from>
    <xdr:to>
      <xdr:col>10</xdr:col>
      <xdr:colOff>519043</xdr:colOff>
      <xdr:row>50</xdr:row>
      <xdr:rowOff>66261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A0B379-8913-8F42-8BD7-710B2E89C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971826</xdr:colOff>
      <xdr:row>50</xdr:row>
      <xdr:rowOff>66261</xdr:rowOff>
    </xdr:from>
    <xdr:to>
      <xdr:col>10</xdr:col>
      <xdr:colOff>552172</xdr:colOff>
      <xdr:row>68</xdr:row>
      <xdr:rowOff>77306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F86A44-5DF7-A345-A47D-8BA72FD1C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309214</xdr:colOff>
      <xdr:row>23</xdr:row>
      <xdr:rowOff>66261</xdr:rowOff>
    </xdr:from>
    <xdr:to>
      <xdr:col>23</xdr:col>
      <xdr:colOff>287130</xdr:colOff>
      <xdr:row>45</xdr:row>
      <xdr:rowOff>110434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49D250-71CA-F940-94EB-46C515541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668132</xdr:colOff>
      <xdr:row>24</xdr:row>
      <xdr:rowOff>135835</xdr:rowOff>
    </xdr:from>
    <xdr:to>
      <xdr:col>10</xdr:col>
      <xdr:colOff>276088</xdr:colOff>
      <xdr:row>45</xdr:row>
      <xdr:rowOff>44174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6774C2-63A6-CE2E-1397-5B562C460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154608</xdr:colOff>
      <xdr:row>24</xdr:row>
      <xdr:rowOff>143565</xdr:rowOff>
    </xdr:from>
    <xdr:to>
      <xdr:col>16</xdr:col>
      <xdr:colOff>314738</xdr:colOff>
      <xdr:row>45</xdr:row>
      <xdr:rowOff>51904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BB2C20-3169-5B4D-9EEF-4DFB482C8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992512</xdr:colOff>
      <xdr:row>21</xdr:row>
      <xdr:rowOff>199103</xdr:rowOff>
    </xdr:from>
    <xdr:to>
      <xdr:col>9</xdr:col>
      <xdr:colOff>934810</xdr:colOff>
      <xdr:row>47</xdr:row>
      <xdr:rowOff>19088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0C8EE6-7CAE-AF9E-C00A-92359C3FE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1310968</xdr:colOff>
      <xdr:row>21</xdr:row>
      <xdr:rowOff>136561</xdr:rowOff>
    </xdr:from>
    <xdr:to>
      <xdr:col>17</xdr:col>
      <xdr:colOff>734341</xdr:colOff>
      <xdr:row>46</xdr:row>
      <xdr:rowOff>161384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59CB9D-0C70-AC4A-A5D1-1C369E231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D5FD4ED-4D7F-F642-8F00-02AD0DF4F78B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34311685502613760&quot;"/>
    <we:property name="KwMs" value="&quot;&quot;"/>
    <we:property name="NBMpKS02AVAsJQxZKwgBRAETGSMtOA==" value="&quot;Vg==&quot;"/>
    <we:property name="NBMpKS02AVAsJQxZKwgBRAETGT89OUQ=" value="&quot;RF17bQ==&quot;"/>
    <we:property name="NBMpKS02AVAsJQxZKwgBRAETGT89OUc=" value="&quot;RF97bQ==&quot;"/>
    <we:property name="NBMpKS02AVAsJQxZKwgBRAETGSEwJkQ=" value="&quot;QCJifGlvUTNFfUE=&quot;"/>
    <we:property name="NBMpKS02AVAsJQxZKwgBRAETGT8wJkQ=" value="&quot;QCNifGlvUTJFfUE=&quot;"/>
    <we:property name="NBMpKS02AVAsJQxZKwgBRAETGSEwJkc=" value="&quot;QCVidGJxM1RY&quot;"/>
    <we:property name="NBMpKS02AVAsJQxZKwgBRAETGT8wJkc=" value="&quot;VA==&quot;"/>
    <we:property name="NBMpKS02AVAsJQxZDgYfWwUDKigr" value="&quot;QCVidGJxM1RY&quot;"/>
    <we:property name="NBMpKS02AVAsJQxZFwUH" value="&quot;QCVifGA=&quot;"/>
    <we:property name="NBMpKS02AVAsJQxZFQYVfw0P" value="&quot;VQ==&quot;"/>
    <we:property name="NBMpKS02AVAsJQxZKwgBRAETGSg2Mg==" value="&quot;VA==&quot;"/>
    <we:property name="NBMpKS02AVAsJQxZKwgBRAETGSM9Mg==" value="&quot;VQ==&quot;"/>
  </we:properties>
  <we:bindings>
    <we:binding id="refEdit" type="matrix" appref="{83269ADC-253D-D54E-8177-F7DA60F328A0}"/>
    <we:binding id="Worker" type="matrix" appref="{198B7F45-706F-1D42-955B-2791B0A8022D}"/>
    <we:binding id="Var0" type="matrix" appref="{004EC157-1D7A-9D44-80F1-A98EBDC40A71}"/>
    <we:binding id="Obj" type="matrix" appref="{B1689D30-76F2-B048-B2D4-0F1AC9CC783D}"/>
    <we:binding id="Reusability testrefEdit" type="matrix" appref="{E33B11E5-A7D0-F246-AB31-7F0FF553C129}"/>
    <we:binding id="Reusability testWorker" type="matrix" appref="{A9974C80-9A48-E044-B6C9-DFB292997FFF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CA57E-BE94-D845-9E4D-0C2D0FEF471E}">
  <dimension ref="A1:L42"/>
  <sheetViews>
    <sheetView topLeftCell="C1" zoomScale="141" workbookViewId="0">
      <selection activeCell="O10" sqref="O10"/>
    </sheetView>
  </sheetViews>
  <sheetFormatPr baseColWidth="10" defaultRowHeight="16" x14ac:dyDescent="0.2"/>
  <cols>
    <col min="1" max="1" width="15.1640625" bestFit="1" customWidth="1"/>
    <col min="2" max="2" width="15.33203125" bestFit="1" customWidth="1"/>
    <col min="3" max="4" width="12.6640625"/>
    <col min="5" max="5" width="27" bestFit="1" customWidth="1"/>
    <col min="6" max="6" width="21.1640625" bestFit="1" customWidth="1"/>
    <col min="8" max="8" width="5.6640625" bestFit="1" customWidth="1"/>
    <col min="9" max="9" width="12.1640625" bestFit="1" customWidth="1"/>
    <col min="12" max="12" width="11.5" bestFit="1" customWidth="1"/>
  </cols>
  <sheetData>
    <row r="1" spans="1:12" x14ac:dyDescent="0.2">
      <c r="A1" s="1" t="s">
        <v>50</v>
      </c>
      <c r="B1" s="1" t="s">
        <v>51</v>
      </c>
      <c r="C1" s="1" t="s">
        <v>4</v>
      </c>
      <c r="D1" s="1" t="s">
        <v>52</v>
      </c>
      <c r="E1" s="1" t="s">
        <v>53</v>
      </c>
      <c r="F1" s="1" t="s">
        <v>63</v>
      </c>
      <c r="G1" s="1"/>
      <c r="H1" s="25" t="s">
        <v>54</v>
      </c>
      <c r="I1" s="26"/>
      <c r="J1" s="5"/>
    </row>
    <row r="2" spans="1:12" x14ac:dyDescent="0.2">
      <c r="A2" s="1">
        <v>0</v>
      </c>
      <c r="B2" s="6">
        <f>A2*9.81/1000</f>
        <v>0</v>
      </c>
      <c r="C2" s="6">
        <f t="shared" ref="C2:C40" si="0">(B2*$I$4^3*COS($I$8)/(3*$I$2*$I$3) + B2*$I$8*$I$4^2*SIN($I$8)/(4*$I$2*$I$3))*1000</f>
        <v>0</v>
      </c>
      <c r="D2" s="6">
        <f t="shared" ref="D2:D40" si="1">(B2*$I$4^2*COS($I$8)/(2*$I$2*$I$3) + B2*$I$4*$I$6*COS($I$8)/(2*$I$2*$I$3))</f>
        <v>0</v>
      </c>
      <c r="E2" s="6">
        <f t="shared" ref="E2:E40" si="2">C2+$I$5*SIN(D2)+IF(B2/$I$9&lt;=$I$10,B2/$I$9,$I$10)</f>
        <v>0</v>
      </c>
      <c r="F2" s="1">
        <v>0</v>
      </c>
      <c r="G2" s="6"/>
      <c r="H2" s="10" t="s">
        <v>55</v>
      </c>
      <c r="I2" s="1">
        <v>127410.42335934132</v>
      </c>
      <c r="J2" s="1" t="s">
        <v>79</v>
      </c>
      <c r="K2">
        <f>I2/1000000</f>
        <v>0.12741042335934133</v>
      </c>
    </row>
    <row r="3" spans="1:12" x14ac:dyDescent="0.2">
      <c r="A3" s="1">
        <v>0.02</v>
      </c>
      <c r="B3" s="6">
        <f>A3*9.81/1000</f>
        <v>1.9620000000000003E-4</v>
      </c>
      <c r="C3" s="6">
        <f t="shared" si="0"/>
        <v>1.6361430927701367E-2</v>
      </c>
      <c r="D3" s="6">
        <f>(B3*$I$4^2*COS($I$8)/(2*$I$2*$I$3) + B3*$I$4*$I$6*COS($I$8)/(2*$I$2*$I$3))</f>
        <v>2.5819649400101656E-4</v>
      </c>
      <c r="E3" s="6">
        <f>C3+$I$5*SIN(D3)+IF(B3/$I$9&lt;=$I$10,B3/$I$9,$I$10)</f>
        <v>4.2153420883714779E-2</v>
      </c>
      <c r="F3" s="5">
        <v>0.1</v>
      </c>
      <c r="G3" s="6">
        <f>ABS(F3-E3)</f>
        <v>5.7846579116285227E-2</v>
      </c>
      <c r="H3" s="10" t="s">
        <v>56</v>
      </c>
      <c r="I3" s="1">
        <f>($I$6^3)*$I$7/12</f>
        <v>1.4399999999999999E-10</v>
      </c>
      <c r="J3" s="1" t="s">
        <v>64</v>
      </c>
    </row>
    <row r="4" spans="1:12" x14ac:dyDescent="0.2">
      <c r="A4" s="1">
        <v>0.08</v>
      </c>
      <c r="B4" s="6">
        <f t="shared" ref="B4:B40" si="3">A4*9.81/1000</f>
        <v>7.848000000000001E-4</v>
      </c>
      <c r="C4" s="6">
        <f t="shared" si="0"/>
        <v>6.5445723710805467E-2</v>
      </c>
      <c r="D4" s="6">
        <f t="shared" si="1"/>
        <v>1.0327859760040662E-3</v>
      </c>
      <c r="E4" s="6">
        <f t="shared" si="2"/>
        <v>0.16861368353227724</v>
      </c>
      <c r="F4" s="5">
        <v>0.2</v>
      </c>
      <c r="G4" s="6">
        <f t="shared" ref="G4:G25" si="4">ABS(F4-E4)</f>
        <v>3.1386316467722775E-2</v>
      </c>
      <c r="H4" s="10" t="s">
        <v>57</v>
      </c>
      <c r="I4" s="1">
        <v>5.0000000000000001E-3</v>
      </c>
      <c r="J4" s="1" t="s">
        <v>7</v>
      </c>
    </row>
    <row r="5" spans="1:12" x14ac:dyDescent="0.2">
      <c r="A5" s="1">
        <v>0.14000000000000001</v>
      </c>
      <c r="B5" s="6">
        <f t="shared" si="3"/>
        <v>1.3734000000000001E-3</v>
      </c>
      <c r="C5" s="6">
        <f t="shared" si="0"/>
        <v>0.11453001649390956</v>
      </c>
      <c r="D5" s="6">
        <f t="shared" si="1"/>
        <v>1.8073754580071159E-3</v>
      </c>
      <c r="E5" s="6">
        <f t="shared" si="2"/>
        <v>0.29507394617154475</v>
      </c>
      <c r="F5" s="5">
        <v>0.3</v>
      </c>
      <c r="G5" s="6">
        <f t="shared" si="4"/>
        <v>4.9260538284552347E-3</v>
      </c>
      <c r="H5" s="10" t="s">
        <v>58</v>
      </c>
      <c r="I5" s="1">
        <v>1.4999999999999999E-2</v>
      </c>
      <c r="J5" s="1" t="s">
        <v>7</v>
      </c>
    </row>
    <row r="6" spans="1:12" x14ac:dyDescent="0.2">
      <c r="A6" s="1">
        <v>0.2</v>
      </c>
      <c r="B6" s="6">
        <f t="shared" si="3"/>
        <v>1.9620000000000002E-3</v>
      </c>
      <c r="C6" s="6">
        <f t="shared" si="0"/>
        <v>0.16361430927701368</v>
      </c>
      <c r="D6" s="6">
        <f t="shared" si="1"/>
        <v>2.5819649400101656E-3</v>
      </c>
      <c r="E6" s="6">
        <f t="shared" si="2"/>
        <v>0.42153420879454623</v>
      </c>
      <c r="F6" s="5">
        <v>0.4</v>
      </c>
      <c r="G6" s="6">
        <f t="shared" si="4"/>
        <v>2.1534208794546206E-2</v>
      </c>
      <c r="H6" s="10" t="s">
        <v>59</v>
      </c>
      <c r="I6" s="1">
        <v>6.0000000000000001E-3</v>
      </c>
      <c r="J6" s="1" t="s">
        <v>7</v>
      </c>
      <c r="L6">
        <f>SLOPE(B7:B25,E7:E25)</f>
        <v>1.1988778789891102E-2</v>
      </c>
    </row>
    <row r="7" spans="1:12" x14ac:dyDescent="0.2">
      <c r="A7" s="1">
        <v>0.3</v>
      </c>
      <c r="B7" s="6">
        <f t="shared" si="3"/>
        <v>2.9429999999999999E-3</v>
      </c>
      <c r="C7" s="6">
        <f t="shared" si="0"/>
        <v>0.24542146391552042</v>
      </c>
      <c r="D7" s="6">
        <f t="shared" si="1"/>
        <v>3.8729474100152477E-3</v>
      </c>
      <c r="E7" s="6">
        <f t="shared" si="2"/>
        <v>0.5546128657468915</v>
      </c>
      <c r="F7" s="5">
        <v>0.5</v>
      </c>
      <c r="G7" s="6">
        <f t="shared" si="4"/>
        <v>5.4612865746891504E-2</v>
      </c>
      <c r="H7" s="10" t="s">
        <v>78</v>
      </c>
      <c r="I7" s="1">
        <v>8.0000000000000002E-3</v>
      </c>
      <c r="J7" s="1" t="s">
        <v>7</v>
      </c>
      <c r="L7">
        <f>INTERCEPT(B8:B26,E8:E26)</f>
        <v>-3.7061311957730658E-3</v>
      </c>
    </row>
    <row r="8" spans="1:12" x14ac:dyDescent="0.2">
      <c r="A8" s="1">
        <v>0.41</v>
      </c>
      <c r="B8" s="6">
        <f t="shared" si="3"/>
        <v>4.0220999999999998E-3</v>
      </c>
      <c r="C8" s="6">
        <f t="shared" si="0"/>
        <v>0.33540933401787804</v>
      </c>
      <c r="D8" s="6">
        <f t="shared" si="1"/>
        <v>5.2930281270208383E-3</v>
      </c>
      <c r="E8" s="6">
        <f t="shared" si="2"/>
        <v>0.6446220368345118</v>
      </c>
      <c r="F8" s="5">
        <v>0.6</v>
      </c>
      <c r="G8" s="6">
        <f t="shared" si="4"/>
        <v>4.4622036834511825E-2</v>
      </c>
      <c r="H8" s="10" t="s">
        <v>60</v>
      </c>
      <c r="I8" s="1">
        <f>28.6*PI()/180</f>
        <v>0.49916416607037828</v>
      </c>
      <c r="J8" s="1" t="s">
        <v>65</v>
      </c>
    </row>
    <row r="9" spans="1:12" x14ac:dyDescent="0.2">
      <c r="A9" s="1">
        <v>0.48</v>
      </c>
      <c r="B9" s="6">
        <f t="shared" si="3"/>
        <v>4.7088E-3</v>
      </c>
      <c r="C9" s="6">
        <f t="shared" si="0"/>
        <v>0.39267434226483283</v>
      </c>
      <c r="D9" s="6">
        <f t="shared" si="1"/>
        <v>6.1967158560243974E-3</v>
      </c>
      <c r="E9" s="6">
        <f t="shared" si="2"/>
        <v>0.70190060017325417</v>
      </c>
      <c r="F9" s="5">
        <v>0.7</v>
      </c>
      <c r="G9" s="6">
        <f t="shared" si="4"/>
        <v>1.9006001732542188E-3</v>
      </c>
      <c r="H9" s="10" t="s">
        <v>61</v>
      </c>
      <c r="I9" s="1">
        <v>7.608155335041198E-3</v>
      </c>
      <c r="J9" s="1" t="s">
        <v>35</v>
      </c>
    </row>
    <row r="10" spans="1:12" x14ac:dyDescent="0.2">
      <c r="A10" s="1">
        <v>0.6</v>
      </c>
      <c r="B10" s="6">
        <f t="shared" si="3"/>
        <v>5.8859999999999997E-3</v>
      </c>
      <c r="C10" s="6">
        <f t="shared" si="0"/>
        <v>0.49084292783104083</v>
      </c>
      <c r="D10" s="6">
        <f t="shared" si="1"/>
        <v>7.7458948200304955E-3</v>
      </c>
      <c r="E10" s="6">
        <f t="shared" si="2"/>
        <v>0.80009242285693571</v>
      </c>
      <c r="F10" s="5">
        <v>0.8</v>
      </c>
      <c r="G10" s="6">
        <f t="shared" si="4"/>
        <v>9.2422856935669984E-5</v>
      </c>
      <c r="H10" s="10" t="s">
        <v>62</v>
      </c>
      <c r="I10" s="1">
        <v>0.30913330776545356</v>
      </c>
      <c r="J10" s="1" t="s">
        <v>66</v>
      </c>
    </row>
    <row r="11" spans="1:12" x14ac:dyDescent="0.2">
      <c r="A11" s="1">
        <v>0.69</v>
      </c>
      <c r="B11" s="6">
        <f t="shared" si="3"/>
        <v>6.7688999999999996E-3</v>
      </c>
      <c r="C11" s="6">
        <f t="shared" si="0"/>
        <v>0.56446936700569716</v>
      </c>
      <c r="D11" s="6">
        <f t="shared" si="1"/>
        <v>8.9077790430350696E-3</v>
      </c>
      <c r="E11" s="6">
        <f t="shared" si="2"/>
        <v>0.87373628968975536</v>
      </c>
      <c r="F11" s="5">
        <v>0.9</v>
      </c>
      <c r="G11" s="6">
        <f t="shared" si="4"/>
        <v>2.6263710310244659E-2</v>
      </c>
      <c r="H11" s="1"/>
      <c r="I11" s="1"/>
    </row>
    <row r="12" spans="1:12" x14ac:dyDescent="0.2">
      <c r="A12" s="1">
        <v>0.79</v>
      </c>
      <c r="B12" s="6">
        <f t="shared" si="3"/>
        <v>7.7499000000000014E-3</v>
      </c>
      <c r="C12" s="6">
        <f t="shared" si="0"/>
        <v>0.64627652164420402</v>
      </c>
      <c r="D12" s="6">
        <f t="shared" si="1"/>
        <v>1.0198761513040156E-2</v>
      </c>
      <c r="E12" s="6">
        <f t="shared" si="2"/>
        <v>0.95556280818031325</v>
      </c>
      <c r="F12" s="5">
        <v>1</v>
      </c>
      <c r="G12" s="6">
        <f t="shared" si="4"/>
        <v>4.443719181968675E-2</v>
      </c>
      <c r="H12" s="1"/>
      <c r="I12" s="1"/>
    </row>
    <row r="13" spans="1:12" x14ac:dyDescent="0.2">
      <c r="A13" s="1">
        <v>0.9</v>
      </c>
      <c r="B13" s="6">
        <f t="shared" si="3"/>
        <v>8.829E-3</v>
      </c>
      <c r="C13" s="6">
        <f t="shared" si="0"/>
        <v>0.73626439174656155</v>
      </c>
      <c r="D13" s="6">
        <f t="shared" si="1"/>
        <v>1.1618842230045745E-2</v>
      </c>
      <c r="E13" s="6">
        <f t="shared" si="2"/>
        <v>1.0455719782242059</v>
      </c>
      <c r="F13" s="5">
        <v>1.1000000000000001</v>
      </c>
      <c r="G13" s="6">
        <f t="shared" si="4"/>
        <v>5.44280217757942E-2</v>
      </c>
      <c r="H13" s="1"/>
      <c r="I13" s="1"/>
    </row>
    <row r="14" spans="1:12" x14ac:dyDescent="0.2">
      <c r="A14" s="1">
        <v>1.06</v>
      </c>
      <c r="B14" s="6">
        <f t="shared" si="3"/>
        <v>1.0398600000000003E-2</v>
      </c>
      <c r="C14" s="6">
        <f t="shared" si="0"/>
        <v>0.86715583916817274</v>
      </c>
      <c r="D14" s="6">
        <f t="shared" si="1"/>
        <v>1.3684414182053881E-2</v>
      </c>
      <c r="E14" s="6">
        <f t="shared" si="2"/>
        <v>1.1764944067399494</v>
      </c>
      <c r="F14" s="5">
        <v>1.2</v>
      </c>
      <c r="G14" s="6">
        <f t="shared" si="4"/>
        <v>2.3505593260050528E-2</v>
      </c>
      <c r="H14" s="1"/>
      <c r="I14" s="1"/>
    </row>
    <row r="15" spans="1:12" x14ac:dyDescent="0.2">
      <c r="A15" s="1">
        <v>1.21</v>
      </c>
      <c r="B15" s="6">
        <f t="shared" si="3"/>
        <v>1.1870100000000001E-2</v>
      </c>
      <c r="C15" s="6">
        <f t="shared" si="0"/>
        <v>0.98986657112593279</v>
      </c>
      <c r="D15" s="6">
        <f t="shared" si="1"/>
        <v>1.5620887887061504E-2</v>
      </c>
      <c r="E15" s="6">
        <f t="shared" si="2"/>
        <v>1.2992341826805929</v>
      </c>
      <c r="F15" s="5">
        <v>1.3</v>
      </c>
      <c r="G15" s="6">
        <f t="shared" si="4"/>
        <v>7.6581731940716935E-4</v>
      </c>
      <c r="H15" s="1"/>
      <c r="I15" s="1"/>
    </row>
    <row r="16" spans="1:12" x14ac:dyDescent="0.2">
      <c r="A16" s="1">
        <v>1.3</v>
      </c>
      <c r="B16" s="6">
        <f t="shared" si="3"/>
        <v>1.2753000000000002E-2</v>
      </c>
      <c r="C16" s="6">
        <f t="shared" si="0"/>
        <v>1.0634930103005891</v>
      </c>
      <c r="D16" s="6">
        <f t="shared" si="1"/>
        <v>1.6782772110066076E-2</v>
      </c>
      <c r="E16" s="6">
        <f t="shared" si="2"/>
        <v>1.3728780478302105</v>
      </c>
      <c r="F16" s="5">
        <v>1.4</v>
      </c>
      <c r="G16" s="6">
        <f t="shared" si="4"/>
        <v>2.7121952169789409E-2</v>
      </c>
      <c r="H16" s="1"/>
      <c r="I16" s="1"/>
    </row>
    <row r="17" spans="1:9" x14ac:dyDescent="0.2">
      <c r="A17" s="1">
        <v>1.44</v>
      </c>
      <c r="B17" s="6">
        <f t="shared" si="3"/>
        <v>1.4126400000000001E-2</v>
      </c>
      <c r="C17" s="6">
        <f t="shared" si="0"/>
        <v>1.1780230267944982</v>
      </c>
      <c r="D17" s="6">
        <f t="shared" si="1"/>
        <v>1.8590147568073194E-2</v>
      </c>
      <c r="E17" s="6">
        <f t="shared" si="2"/>
        <v>1.4874351707121609</v>
      </c>
      <c r="F17" s="5">
        <v>1.5</v>
      </c>
      <c r="G17" s="6">
        <f t="shared" si="4"/>
        <v>1.2564829287839085E-2</v>
      </c>
      <c r="H17" s="1"/>
      <c r="I17" s="1"/>
    </row>
    <row r="18" spans="1:9" x14ac:dyDescent="0.2">
      <c r="A18" s="1">
        <v>1.6</v>
      </c>
      <c r="B18" s="6">
        <f t="shared" si="3"/>
        <v>1.5696000000000002E-2</v>
      </c>
      <c r="C18" s="6">
        <f t="shared" si="0"/>
        <v>1.3089144742161094</v>
      </c>
      <c r="D18" s="6">
        <f t="shared" si="1"/>
        <v>2.0655719520081325E-2</v>
      </c>
      <c r="E18" s="6">
        <f t="shared" si="2"/>
        <v>1.6183575957424754</v>
      </c>
      <c r="F18" s="5">
        <v>1.6</v>
      </c>
      <c r="G18" s="6">
        <f t="shared" si="4"/>
        <v>1.8357595742475308E-2</v>
      </c>
      <c r="H18" s="1"/>
      <c r="I18" s="1"/>
    </row>
    <row r="19" spans="1:9" x14ac:dyDescent="0.2">
      <c r="A19" s="1">
        <v>1.73</v>
      </c>
      <c r="B19" s="6">
        <f t="shared" si="3"/>
        <v>1.6971299999999998E-2</v>
      </c>
      <c r="C19" s="6">
        <f t="shared" si="0"/>
        <v>1.4152637752461681</v>
      </c>
      <c r="D19" s="6">
        <f t="shared" si="1"/>
        <v>2.2333996731087928E-2</v>
      </c>
      <c r="E19" s="6">
        <f t="shared" si="2"/>
        <v>1.724732065112375</v>
      </c>
      <c r="F19" s="5">
        <v>1.7</v>
      </c>
      <c r="G19" s="6">
        <f t="shared" si="4"/>
        <v>2.4732065112375023E-2</v>
      </c>
      <c r="H19" s="1"/>
      <c r="I19" s="1"/>
    </row>
    <row r="20" spans="1:9" x14ac:dyDescent="0.2">
      <c r="A20" s="1">
        <v>1.87</v>
      </c>
      <c r="B20" s="6">
        <f t="shared" si="3"/>
        <v>1.8344700000000002E-2</v>
      </c>
      <c r="C20" s="6">
        <f t="shared" si="0"/>
        <v>1.5297937917400777</v>
      </c>
      <c r="D20" s="6">
        <f t="shared" si="1"/>
        <v>2.414137218909505E-2</v>
      </c>
      <c r="E20" s="6">
        <f t="shared" si="2"/>
        <v>1.8392891849150601</v>
      </c>
      <c r="F20" s="5">
        <v>1.8</v>
      </c>
      <c r="G20" s="6">
        <f t="shared" si="4"/>
        <v>3.928918491506006E-2</v>
      </c>
      <c r="H20" s="1"/>
      <c r="I20" s="1"/>
    </row>
    <row r="21" spans="1:9" x14ac:dyDescent="0.2">
      <c r="A21" s="1">
        <v>1.98</v>
      </c>
      <c r="B21" s="6">
        <f t="shared" si="3"/>
        <v>1.9423800000000001E-2</v>
      </c>
      <c r="C21" s="6">
        <f t="shared" si="0"/>
        <v>1.6197816618424352</v>
      </c>
      <c r="D21" s="6">
        <f t="shared" si="1"/>
        <v>2.5561452906100637E-2</v>
      </c>
      <c r="E21" s="6">
        <f t="shared" si="2"/>
        <v>1.9292983496489859</v>
      </c>
      <c r="F21" s="5">
        <v>1.9</v>
      </c>
      <c r="G21" s="6">
        <f t="shared" si="4"/>
        <v>2.9298349648986033E-2</v>
      </c>
      <c r="H21" s="1"/>
      <c r="I21" s="1"/>
    </row>
    <row r="22" spans="1:9" x14ac:dyDescent="0.2">
      <c r="A22" s="1">
        <v>2.08</v>
      </c>
      <c r="B22" s="6">
        <f t="shared" si="3"/>
        <v>2.0404800000000001E-2</v>
      </c>
      <c r="C22" s="6">
        <f t="shared" si="0"/>
        <v>1.7015888164809418</v>
      </c>
      <c r="D22" s="6">
        <f t="shared" si="1"/>
        <v>2.685243537610572E-2</v>
      </c>
      <c r="E22" s="6">
        <f t="shared" si="2"/>
        <v>2.0111248623736904</v>
      </c>
      <c r="F22" s="5">
        <v>2</v>
      </c>
      <c r="G22" s="6">
        <f t="shared" si="4"/>
        <v>1.112486237369037E-2</v>
      </c>
      <c r="H22" s="1"/>
      <c r="I22" s="1"/>
    </row>
    <row r="23" spans="1:9" x14ac:dyDescent="0.2">
      <c r="A23" s="1">
        <v>2.1800000000000002</v>
      </c>
      <c r="B23" s="6">
        <f t="shared" si="3"/>
        <v>2.1385800000000003E-2</v>
      </c>
      <c r="C23" s="6">
        <f t="shared" si="0"/>
        <v>1.7833959711194489</v>
      </c>
      <c r="D23" s="6">
        <f t="shared" si="1"/>
        <v>2.8143417846110807E-2</v>
      </c>
      <c r="E23" s="6">
        <f t="shared" si="2"/>
        <v>2.0929513744271775</v>
      </c>
      <c r="F23" s="5">
        <v>2.1</v>
      </c>
      <c r="G23" s="6">
        <f t="shared" si="4"/>
        <v>7.0486255728225977E-3</v>
      </c>
      <c r="H23" s="1"/>
      <c r="I23" s="1"/>
    </row>
    <row r="24" spans="1:9" x14ac:dyDescent="0.2">
      <c r="A24" s="1">
        <v>2.2999999999999998</v>
      </c>
      <c r="B24" s="6">
        <f t="shared" si="3"/>
        <v>2.2563E-2</v>
      </c>
      <c r="C24" s="6">
        <f t="shared" si="0"/>
        <v>1.8815645566856574</v>
      </c>
      <c r="D24" s="6">
        <f t="shared" si="1"/>
        <v>2.9692596810116899E-2</v>
      </c>
      <c r="E24" s="6">
        <f t="shared" si="2"/>
        <v>2.1911431879599301</v>
      </c>
      <c r="F24" s="5">
        <v>2.2000000000000002</v>
      </c>
      <c r="G24" s="6">
        <f t="shared" si="4"/>
        <v>8.8568120400700501E-3</v>
      </c>
      <c r="H24" s="1"/>
      <c r="I24" s="1"/>
    </row>
    <row r="25" spans="1:9" x14ac:dyDescent="0.2">
      <c r="A25" s="1">
        <v>2.41</v>
      </c>
      <c r="B25" s="6">
        <f t="shared" si="3"/>
        <v>2.3642100000000003E-2</v>
      </c>
      <c r="C25" s="6">
        <f t="shared" si="0"/>
        <v>1.9715524267880147</v>
      </c>
      <c r="D25" s="6">
        <f t="shared" si="1"/>
        <v>3.1112677527122497E-2</v>
      </c>
      <c r="E25" s="6">
        <f t="shared" si="2"/>
        <v>2.2811523494274404</v>
      </c>
      <c r="F25" s="5">
        <v>2.2999999999999998</v>
      </c>
      <c r="G25" s="6">
        <f t="shared" si="4"/>
        <v>1.8847650572559438E-2</v>
      </c>
      <c r="H25" s="1"/>
      <c r="I25" s="1"/>
    </row>
    <row r="26" spans="1:9" x14ac:dyDescent="0.2">
      <c r="A26" s="1">
        <v>2.4900000000000002</v>
      </c>
      <c r="B26" s="6">
        <f t="shared" si="3"/>
        <v>2.4426900000000005E-2</v>
      </c>
      <c r="C26" s="6">
        <f t="shared" si="0"/>
        <v>2.0369981504988202</v>
      </c>
      <c r="D26" s="6">
        <f t="shared" si="1"/>
        <v>3.214546350312656E-2</v>
      </c>
      <c r="E26" s="6">
        <f t="shared" si="2"/>
        <v>2.3466135571788653</v>
      </c>
      <c r="F26" s="5">
        <v>2.4</v>
      </c>
      <c r="G26" s="6"/>
      <c r="H26" s="1"/>
      <c r="I26" s="1"/>
    </row>
    <row r="27" spans="1:9" x14ac:dyDescent="0.2">
      <c r="A27" s="1">
        <v>2.54</v>
      </c>
      <c r="B27" s="6">
        <f t="shared" si="3"/>
        <v>2.4917399999999999E-2</v>
      </c>
      <c r="C27" s="6">
        <f t="shared" si="0"/>
        <v>2.0779017278180736</v>
      </c>
      <c r="D27" s="6">
        <f t="shared" si="1"/>
        <v>3.2790954738129097E-2</v>
      </c>
      <c r="E27" s="6">
        <f t="shared" si="2"/>
        <v>2.3875268117634221</v>
      </c>
      <c r="F27" s="5">
        <v>2.5</v>
      </c>
      <c r="G27" s="6"/>
      <c r="H27" s="1"/>
      <c r="I27" s="1"/>
    </row>
    <row r="28" spans="1:9" x14ac:dyDescent="0.2">
      <c r="A28" s="1">
        <v>2.62</v>
      </c>
      <c r="B28" s="6">
        <f t="shared" si="3"/>
        <v>2.5702200000000001E-2</v>
      </c>
      <c r="C28" s="6">
        <f t="shared" si="0"/>
        <v>2.1433474515288786</v>
      </c>
      <c r="D28" s="6">
        <f t="shared" si="1"/>
        <v>3.3823740714133174E-2</v>
      </c>
      <c r="E28" s="6">
        <f t="shared" si="2"/>
        <v>2.4529880186708373</v>
      </c>
      <c r="F28" s="5">
        <v>2.7</v>
      </c>
      <c r="G28" s="6"/>
      <c r="H28" s="1"/>
      <c r="I28" s="1"/>
    </row>
    <row r="29" spans="1:9" x14ac:dyDescent="0.2">
      <c r="A29" s="1">
        <v>2.72</v>
      </c>
      <c r="B29" s="6">
        <f t="shared" si="3"/>
        <v>2.6683200000000004E-2</v>
      </c>
      <c r="C29" s="6">
        <f t="shared" si="0"/>
        <v>2.2251546061673859</v>
      </c>
      <c r="D29" s="6">
        <f t="shared" si="1"/>
        <v>3.5114723184138261E-2</v>
      </c>
      <c r="E29" s="6">
        <f t="shared" si="2"/>
        <v>2.5348145265422972</v>
      </c>
      <c r="F29" s="5">
        <v>2.8</v>
      </c>
      <c r="G29" s="6"/>
    </row>
    <row r="30" spans="1:9" x14ac:dyDescent="0.2">
      <c r="A30" s="1">
        <v>2.84</v>
      </c>
      <c r="B30" s="6">
        <f t="shared" si="3"/>
        <v>2.7860399999999997E-2</v>
      </c>
      <c r="C30" s="6">
        <f t="shared" si="0"/>
        <v>2.3233231917335937</v>
      </c>
      <c r="D30" s="6">
        <f t="shared" si="1"/>
        <v>3.6663902148144342E-2</v>
      </c>
      <c r="E30" s="6">
        <f t="shared" si="2"/>
        <v>2.6330063348266832</v>
      </c>
      <c r="F30" s="5">
        <v>3</v>
      </c>
      <c r="G30" s="6"/>
    </row>
    <row r="31" spans="1:9" x14ac:dyDescent="0.2">
      <c r="A31" s="1">
        <v>2.89</v>
      </c>
      <c r="B31" s="6">
        <f t="shared" si="3"/>
        <v>2.8350900000000002E-2</v>
      </c>
      <c r="C31" s="6">
        <f t="shared" si="0"/>
        <v>2.3642267690528476</v>
      </c>
      <c r="D31" s="6">
        <f t="shared" si="1"/>
        <v>3.7309393383146899E-2</v>
      </c>
      <c r="E31" s="6">
        <f t="shared" si="2"/>
        <v>2.6739195878922506</v>
      </c>
      <c r="F31" s="5">
        <v>3.1</v>
      </c>
      <c r="G31" s="6"/>
    </row>
    <row r="32" spans="1:9" x14ac:dyDescent="0.2">
      <c r="A32" s="1">
        <v>2.95</v>
      </c>
      <c r="B32" s="6">
        <f t="shared" si="3"/>
        <v>2.8939500000000003E-2</v>
      </c>
      <c r="C32" s="6">
        <f t="shared" si="0"/>
        <v>2.4133110618359517</v>
      </c>
      <c r="D32" s="6">
        <f t="shared" si="1"/>
        <v>3.8083982865149947E-2</v>
      </c>
      <c r="E32" s="6">
        <f t="shared" si="2"/>
        <v>2.7230154912628506</v>
      </c>
      <c r="F32" s="5">
        <v>3.2</v>
      </c>
      <c r="G32" s="6"/>
    </row>
    <row r="33" spans="1:8" x14ac:dyDescent="0.2">
      <c r="A33" s="1">
        <v>3.04</v>
      </c>
      <c r="B33" s="6">
        <f t="shared" si="3"/>
        <v>2.9822400000000002E-2</v>
      </c>
      <c r="C33" s="6">
        <f t="shared" si="0"/>
        <v>2.4869375010106078</v>
      </c>
      <c r="D33" s="6">
        <f t="shared" si="1"/>
        <v>3.9245867088154522E-2</v>
      </c>
      <c r="E33" s="6">
        <f t="shared" si="2"/>
        <v>2.7966593456740738</v>
      </c>
      <c r="F33" s="5">
        <v>3.4</v>
      </c>
      <c r="G33" s="6"/>
    </row>
    <row r="34" spans="1:8" x14ac:dyDescent="0.2">
      <c r="A34" s="1">
        <v>3.18</v>
      </c>
      <c r="B34" s="6">
        <f t="shared" si="3"/>
        <v>3.1195800000000003E-2</v>
      </c>
      <c r="C34" s="6">
        <f t="shared" si="0"/>
        <v>2.6014675175045174</v>
      </c>
      <c r="D34" s="6">
        <f t="shared" si="1"/>
        <v>4.1053242546161633E-2</v>
      </c>
      <c r="E34" s="6">
        <f t="shared" si="2"/>
        <v>2.9112164509481118</v>
      </c>
      <c r="F34" s="5">
        <v>3.5</v>
      </c>
      <c r="G34" s="6"/>
    </row>
    <row r="35" spans="1:8" x14ac:dyDescent="0.2">
      <c r="A35" s="1">
        <v>3.28</v>
      </c>
      <c r="B35" s="6">
        <f t="shared" si="3"/>
        <v>3.2176799999999998E-2</v>
      </c>
      <c r="C35" s="6">
        <f t="shared" si="0"/>
        <v>2.6832746721430243</v>
      </c>
      <c r="D35" s="6">
        <f t="shared" si="1"/>
        <v>4.2344225016166706E-2</v>
      </c>
      <c r="E35" s="6">
        <f t="shared" si="2"/>
        <v>2.9930429534892129</v>
      </c>
      <c r="F35" s="5">
        <v>3.6</v>
      </c>
      <c r="G35" s="6"/>
    </row>
    <row r="36" spans="1:8" x14ac:dyDescent="0.2">
      <c r="A36" s="1">
        <v>3.37</v>
      </c>
      <c r="B36" s="6">
        <f t="shared" si="3"/>
        <v>3.3059699999999997E-2</v>
      </c>
      <c r="C36" s="6">
        <f t="shared" si="0"/>
        <v>2.7569011113176805</v>
      </c>
      <c r="D36" s="6">
        <f t="shared" si="1"/>
        <v>4.3506109239171281E-2</v>
      </c>
      <c r="E36" s="6">
        <f t="shared" si="2"/>
        <v>3.0666868048723028</v>
      </c>
      <c r="F36" s="5">
        <v>3.7</v>
      </c>
      <c r="G36" s="6"/>
    </row>
    <row r="37" spans="1:8" x14ac:dyDescent="0.2">
      <c r="A37" s="1">
        <v>3.38</v>
      </c>
      <c r="B37" s="6">
        <f t="shared" si="3"/>
        <v>3.3157800000000001E-2</v>
      </c>
      <c r="C37" s="6">
        <f t="shared" si="0"/>
        <v>2.7650818267815307</v>
      </c>
      <c r="D37" s="6">
        <f t="shared" si="1"/>
        <v>4.3635207486171793E-2</v>
      </c>
      <c r="E37" s="6">
        <f t="shared" si="2"/>
        <v>3.0748694549720446</v>
      </c>
      <c r="F37" s="5">
        <v>3.8</v>
      </c>
      <c r="G37" s="6"/>
    </row>
    <row r="38" spans="1:8" x14ac:dyDescent="0.2">
      <c r="A38" s="1">
        <v>3.53</v>
      </c>
      <c r="B38" s="6">
        <f t="shared" si="3"/>
        <v>3.4629300000000002E-2</v>
      </c>
      <c r="C38" s="6">
        <f t="shared" si="0"/>
        <v>2.887792558739291</v>
      </c>
      <c r="D38" s="6">
        <f t="shared" si="1"/>
        <v>4.5571681191179422E-2</v>
      </c>
      <c r="E38" s="6">
        <f t="shared" si="2"/>
        <v>3.1976092051415033</v>
      </c>
      <c r="F38" s="5">
        <v>3.9</v>
      </c>
      <c r="G38" s="6"/>
    </row>
    <row r="39" spans="1:8" x14ac:dyDescent="0.2">
      <c r="A39" s="1">
        <v>3.66</v>
      </c>
      <c r="B39" s="6">
        <f t="shared" si="3"/>
        <v>3.5904600000000002E-2</v>
      </c>
      <c r="C39" s="6">
        <f t="shared" si="0"/>
        <v>2.9941418597693503</v>
      </c>
      <c r="D39" s="6">
        <f t="shared" si="1"/>
        <v>4.7249958402186029E-2</v>
      </c>
      <c r="E39" s="6">
        <f t="shared" si="2"/>
        <v>3.3039836532195248</v>
      </c>
      <c r="F39" s="5">
        <v>3.9999999999999898</v>
      </c>
      <c r="G39" s="6"/>
    </row>
    <row r="40" spans="1:8" x14ac:dyDescent="0.2">
      <c r="A40" s="7">
        <v>5.5</v>
      </c>
      <c r="B40" s="6">
        <f t="shared" si="3"/>
        <v>5.3955000000000003E-2</v>
      </c>
      <c r="C40" s="8">
        <f t="shared" si="0"/>
        <v>4.4993935051178759</v>
      </c>
      <c r="D40" s="8">
        <f t="shared" si="1"/>
        <v>7.1004035850279562E-2</v>
      </c>
      <c r="E40" s="8">
        <f t="shared" si="2"/>
        <v>4.8095909787165549</v>
      </c>
      <c r="F40" s="9"/>
      <c r="H40" t="s">
        <v>67</v>
      </c>
    </row>
    <row r="41" spans="1:8" x14ac:dyDescent="0.2">
      <c r="C41" s="6"/>
      <c r="D41" s="6"/>
      <c r="E41" s="6"/>
      <c r="G41" s="6">
        <f>AVERAGE(G8:G25)</f>
        <v>2.1847628988086246E-2</v>
      </c>
    </row>
    <row r="42" spans="1:8" x14ac:dyDescent="0.2">
      <c r="C42" s="6"/>
      <c r="D42" s="6"/>
      <c r="E42" s="6"/>
    </row>
  </sheetData>
  <mergeCells count="1">
    <mergeCell ref="H1:I1"/>
  </mergeCells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004EC157-1D7A-9D44-80F1-A98EBDC40A71}">
          <xm:f>#REF!</xm:f>
        </x15:webExtension>
        <x15:webExtension appRef="{B1689D30-76F2-B048-B2D4-0F1AC9CC783D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87008-AC9C-DE47-91B9-63E4C546CD6F}">
  <dimension ref="A1:V34"/>
  <sheetViews>
    <sheetView topLeftCell="I1" zoomScale="125" zoomScaleNormal="100" workbookViewId="0">
      <selection activeCell="Z29" sqref="Z29"/>
    </sheetView>
  </sheetViews>
  <sheetFormatPr baseColWidth="10" defaultRowHeight="16" x14ac:dyDescent="0.2"/>
  <cols>
    <col min="3" max="3" width="14.1640625" bestFit="1" customWidth="1"/>
    <col min="4" max="4" width="17.6640625" bestFit="1" customWidth="1"/>
    <col min="5" max="5" width="18.33203125" bestFit="1" customWidth="1"/>
    <col min="8" max="8" width="14.1640625" bestFit="1" customWidth="1"/>
    <col min="9" max="9" width="17.6640625" bestFit="1" customWidth="1"/>
    <col min="10" max="10" width="18.33203125" bestFit="1" customWidth="1"/>
    <col min="13" max="13" width="14.1640625" bestFit="1" customWidth="1"/>
    <col min="14" max="14" width="17.6640625" bestFit="1" customWidth="1"/>
    <col min="15" max="15" width="18.33203125" bestFit="1" customWidth="1"/>
    <col min="19" max="19" width="19" bestFit="1" customWidth="1"/>
  </cols>
  <sheetData>
    <row r="1" spans="1:22" x14ac:dyDescent="0.2">
      <c r="A1" s="28" t="s">
        <v>2</v>
      </c>
      <c r="B1" s="28"/>
      <c r="C1" s="25" t="s">
        <v>15</v>
      </c>
      <c r="D1" s="25"/>
      <c r="E1" s="25"/>
      <c r="F1" s="25"/>
      <c r="H1" s="25" t="s">
        <v>24</v>
      </c>
      <c r="I1" s="25"/>
      <c r="J1" s="25"/>
      <c r="K1" s="25"/>
      <c r="M1" s="25" t="s">
        <v>0</v>
      </c>
      <c r="N1" s="25"/>
      <c r="O1" s="25"/>
      <c r="P1" s="25"/>
    </row>
    <row r="2" spans="1:22" x14ac:dyDescent="0.2">
      <c r="A2" s="27" t="s">
        <v>23</v>
      </c>
      <c r="B2" s="27"/>
      <c r="C2" s="1" t="s">
        <v>26</v>
      </c>
      <c r="D2" s="1" t="s">
        <v>33</v>
      </c>
      <c r="E2" s="1" t="s">
        <v>32</v>
      </c>
      <c r="F2" s="1" t="s">
        <v>16</v>
      </c>
      <c r="H2" s="1" t="s">
        <v>26</v>
      </c>
      <c r="I2" s="1" t="s">
        <v>33</v>
      </c>
      <c r="J2" s="1" t="s">
        <v>32</v>
      </c>
      <c r="K2" s="1" t="s">
        <v>25</v>
      </c>
      <c r="M2" s="1" t="s">
        <v>26</v>
      </c>
      <c r="N2" s="1" t="s">
        <v>33</v>
      </c>
      <c r="O2" s="1" t="s">
        <v>32</v>
      </c>
      <c r="P2" s="1" t="s">
        <v>5</v>
      </c>
      <c r="Q2" s="1"/>
      <c r="S2" s="1" t="s">
        <v>34</v>
      </c>
      <c r="T2">
        <v>2.4E-2</v>
      </c>
      <c r="U2" t="s">
        <v>35</v>
      </c>
      <c r="V2" s="1"/>
    </row>
    <row r="3" spans="1:22" x14ac:dyDescent="0.2">
      <c r="A3" s="27"/>
      <c r="B3" s="27"/>
      <c r="C3" s="1">
        <f>D3*9.81/1000</f>
        <v>9.6137999999999987E-3</v>
      </c>
      <c r="D3" s="1">
        <v>0.98</v>
      </c>
      <c r="E3" s="1">
        <v>2.5</v>
      </c>
      <c r="F3" s="1">
        <f>AVERAGE(F12,F20,F28)</f>
        <v>5.8399999999999987E-2</v>
      </c>
      <c r="H3" s="1">
        <f>I3*9.81/1000</f>
        <v>9.6137999999999987E-3</v>
      </c>
      <c r="I3" s="1">
        <v>0.98</v>
      </c>
      <c r="J3" s="1">
        <v>0.5</v>
      </c>
      <c r="K3" s="1">
        <f>AVERAGE(K12,K20,K28)</f>
        <v>1.6E-2</v>
      </c>
      <c r="M3" s="1">
        <f>N3*9.81/1000</f>
        <v>1.8344700000000002E-2</v>
      </c>
      <c r="N3" s="1">
        <v>1.87</v>
      </c>
      <c r="O3" s="1">
        <v>1.8</v>
      </c>
      <c r="P3" s="1">
        <f>AVERAGE(P12,P20,P28)</f>
        <v>4.7199999999999999E-2</v>
      </c>
      <c r="Q3" s="1"/>
    </row>
    <row r="4" spans="1:22" x14ac:dyDescent="0.2">
      <c r="A4" s="27"/>
      <c r="B4" s="27"/>
      <c r="C4" s="1">
        <f t="shared" ref="C4:C9" si="0">D4*9.81/1000</f>
        <v>1.8344700000000002E-2</v>
      </c>
      <c r="D4" s="1">
        <v>1.87</v>
      </c>
      <c r="E4" s="1">
        <v>3.9</v>
      </c>
      <c r="F4" s="1">
        <f t="shared" ref="F4:F9" si="1">AVERAGE(F13,F21,F29)</f>
        <v>0.1008</v>
      </c>
      <c r="H4" s="1">
        <f>I4*9.81/1000</f>
        <v>3.1392000000000003E-2</v>
      </c>
      <c r="I4" s="1">
        <v>3.2</v>
      </c>
      <c r="J4" s="1">
        <v>1.6</v>
      </c>
      <c r="K4" s="1">
        <f>AVERAGE(K13,K21,K29)</f>
        <v>3.3599999999999998E-2</v>
      </c>
      <c r="M4" s="1">
        <f>N4*9.81/1000</f>
        <v>2.2464899999999999E-2</v>
      </c>
      <c r="N4" s="1">
        <v>2.29</v>
      </c>
      <c r="O4" s="1">
        <v>2</v>
      </c>
      <c r="P4" s="1">
        <f>AVERAGE(P13,P21,P29)</f>
        <v>5.04E-2</v>
      </c>
      <c r="Q4" s="1"/>
      <c r="S4" t="s">
        <v>28</v>
      </c>
      <c r="T4" t="s">
        <v>3</v>
      </c>
      <c r="U4" t="s">
        <v>1</v>
      </c>
    </row>
    <row r="5" spans="1:22" x14ac:dyDescent="0.2">
      <c r="A5" s="27"/>
      <c r="B5" s="27"/>
      <c r="C5" s="1">
        <f t="shared" si="0"/>
        <v>2.8350900000000002E-2</v>
      </c>
      <c r="D5" s="1">
        <v>2.89</v>
      </c>
      <c r="E5" s="1">
        <v>5.5</v>
      </c>
      <c r="F5" s="1">
        <f t="shared" si="1"/>
        <v>0.12639999999999998</v>
      </c>
      <c r="H5" s="1">
        <f>I5*9.81/1000</f>
        <v>4.1398200000000003E-2</v>
      </c>
      <c r="I5" s="1">
        <v>4.22</v>
      </c>
      <c r="J5" s="1">
        <v>2.4</v>
      </c>
      <c r="K5" s="1">
        <f>AVERAGE(K14,K22,K30)</f>
        <v>5.2800000000000007E-2</v>
      </c>
      <c r="M5" s="1">
        <f>N5*9.81/1000</f>
        <v>4.16925E-2</v>
      </c>
      <c r="N5" s="1">
        <v>4.25</v>
      </c>
      <c r="O5" s="1">
        <v>3</v>
      </c>
      <c r="P5" s="1">
        <f>AVERAGE(P14,P22,P30)</f>
        <v>7.2800000000000004E-2</v>
      </c>
      <c r="Q5" s="1"/>
      <c r="S5">
        <v>0.09</v>
      </c>
      <c r="T5">
        <f>SLOPE(K3:K7,H3:H7)</f>
        <v>0.92801632286489188</v>
      </c>
      <c r="U5">
        <f>INTERCEPT(K3:K7,H3:H7)</f>
        <v>7.8447821226868691E-3</v>
      </c>
    </row>
    <row r="6" spans="1:22" x14ac:dyDescent="0.2">
      <c r="A6" s="27"/>
      <c r="B6" s="27"/>
      <c r="C6" s="1">
        <f t="shared" si="0"/>
        <v>4.6695599999999997E-2</v>
      </c>
      <c r="D6" s="1">
        <v>4.76</v>
      </c>
      <c r="E6" s="1">
        <v>8</v>
      </c>
      <c r="F6" s="1">
        <f t="shared" si="1"/>
        <v>0.19200000000000003</v>
      </c>
      <c r="H6" s="1">
        <f>I6*9.81/1000</f>
        <v>6.9258600000000003E-2</v>
      </c>
      <c r="I6" s="1">
        <v>7.06</v>
      </c>
      <c r="J6" s="1">
        <v>3.3</v>
      </c>
      <c r="K6" s="1">
        <f>AVERAGE(K15,K23,K31)</f>
        <v>6.8800000000000014E-2</v>
      </c>
      <c r="M6" s="1">
        <f>N6*9.81/1000</f>
        <v>5.6701800000000004E-2</v>
      </c>
      <c r="N6" s="1">
        <v>5.78</v>
      </c>
      <c r="O6" s="1">
        <v>3.6</v>
      </c>
      <c r="P6" s="1">
        <f>AVERAGE(P15,P23,P31)</f>
        <v>8.72E-2</v>
      </c>
      <c r="Q6" s="1"/>
      <c r="S6">
        <v>0.25</v>
      </c>
      <c r="T6">
        <f>SLOPE(P3:P7,M3:M7)</f>
        <v>1.5062986924337809</v>
      </c>
      <c r="U6">
        <f>INTERCEPT(P3:P7,M3:M7)</f>
        <v>1.4970873863976844E-2</v>
      </c>
    </row>
    <row r="7" spans="1:22" x14ac:dyDescent="0.2">
      <c r="A7" s="27"/>
      <c r="B7" s="27"/>
      <c r="C7" s="1">
        <f t="shared" si="0"/>
        <v>5.6701800000000004E-2</v>
      </c>
      <c r="D7" s="1">
        <v>5.78</v>
      </c>
      <c r="E7" s="1">
        <v>8.9</v>
      </c>
      <c r="F7" s="1">
        <f t="shared" si="1"/>
        <v>0.21440000000000001</v>
      </c>
      <c r="H7" s="1">
        <f>I7*9.81/1000</f>
        <v>7.8480000000000008E-2</v>
      </c>
      <c r="I7" s="1">
        <v>8</v>
      </c>
      <c r="J7" s="1">
        <v>4</v>
      </c>
      <c r="K7" s="1">
        <f>AVERAGE(K16,K24,K32)</f>
        <v>8.1600000000000006E-2</v>
      </c>
      <c r="M7" s="1">
        <f>N7*9.81/1000</f>
        <v>6.9749100000000008E-2</v>
      </c>
      <c r="N7" s="1">
        <v>7.11</v>
      </c>
      <c r="O7" s="1">
        <v>5.3</v>
      </c>
      <c r="P7" s="1">
        <f>AVERAGE(P16,P24,P32)</f>
        <v>0.13200000000000001</v>
      </c>
      <c r="Q7" s="1"/>
      <c r="S7">
        <v>0.49</v>
      </c>
      <c r="T7">
        <f>SLOPE(F3:F9,C3:C9)</f>
        <v>3.3063962725109026</v>
      </c>
      <c r="U7">
        <f>INTERCEPT(F3:F9,C3:C9)</f>
        <v>3.2827804810482641E-2</v>
      </c>
    </row>
    <row r="8" spans="1:22" x14ac:dyDescent="0.2">
      <c r="A8" s="27"/>
      <c r="B8" s="27"/>
      <c r="C8" s="1">
        <f t="shared" si="0"/>
        <v>7.5046500000000002E-2</v>
      </c>
      <c r="D8" s="1">
        <v>7.65</v>
      </c>
      <c r="E8" s="1">
        <v>11.5</v>
      </c>
      <c r="F8" s="1">
        <f t="shared" si="1"/>
        <v>0.27840000000000004</v>
      </c>
      <c r="G8" s="1"/>
      <c r="H8" s="1"/>
      <c r="I8" s="1"/>
      <c r="J8" s="1"/>
      <c r="K8" s="1"/>
      <c r="M8" s="1"/>
      <c r="N8" s="1"/>
      <c r="O8" s="1"/>
      <c r="P8" s="1"/>
    </row>
    <row r="9" spans="1:22" x14ac:dyDescent="0.2">
      <c r="A9" s="27"/>
      <c r="B9" s="27"/>
      <c r="C9" s="1">
        <f t="shared" si="0"/>
        <v>8.5052699999999995E-2</v>
      </c>
      <c r="D9" s="1">
        <v>8.67</v>
      </c>
      <c r="E9" s="1">
        <v>12.9</v>
      </c>
      <c r="F9" s="1">
        <f t="shared" si="1"/>
        <v>0.31680000000000003</v>
      </c>
      <c r="G9" s="1"/>
      <c r="S9" t="s">
        <v>27</v>
      </c>
      <c r="T9">
        <f>LINEST(T5:T7,S5:S7,FALSE)</f>
        <v>6.6953019494580888</v>
      </c>
      <c r="U9" t="s">
        <v>30</v>
      </c>
    </row>
    <row r="10" spans="1:22" x14ac:dyDescent="0.2">
      <c r="S10" t="s">
        <v>29</v>
      </c>
      <c r="T10">
        <f>LINEST(U5:U7,S5:S7,FALSE)</f>
        <v>6.6090676582467076E-2</v>
      </c>
      <c r="U10" t="s">
        <v>30</v>
      </c>
    </row>
    <row r="11" spans="1:22" x14ac:dyDescent="0.2">
      <c r="A11" s="27" t="s">
        <v>31</v>
      </c>
      <c r="B11" s="4"/>
      <c r="C11" s="1" t="s">
        <v>26</v>
      </c>
      <c r="D11" s="1" t="s">
        <v>33</v>
      </c>
      <c r="E11" s="1" t="s">
        <v>32</v>
      </c>
      <c r="F11" s="1" t="s">
        <v>16</v>
      </c>
      <c r="H11" s="1" t="s">
        <v>26</v>
      </c>
      <c r="I11" s="1" t="s">
        <v>33</v>
      </c>
      <c r="J11" s="1" t="s">
        <v>32</v>
      </c>
      <c r="K11" s="1" t="s">
        <v>25</v>
      </c>
      <c r="M11" s="1" t="s">
        <v>26</v>
      </c>
      <c r="N11" s="1" t="s">
        <v>33</v>
      </c>
      <c r="O11" s="1" t="s">
        <v>32</v>
      </c>
      <c r="P11" s="1" t="s">
        <v>5</v>
      </c>
    </row>
    <row r="12" spans="1:22" x14ac:dyDescent="0.2">
      <c r="A12" s="27"/>
      <c r="B12" s="27" t="s">
        <v>36</v>
      </c>
      <c r="C12" s="1">
        <f>D12*9.81/1000</f>
        <v>9.6137999999999987E-3</v>
      </c>
      <c r="D12" s="1">
        <v>0.98</v>
      </c>
      <c r="E12" s="1">
        <v>2.5</v>
      </c>
      <c r="F12" s="1">
        <f>$T$2*E12</f>
        <v>0.06</v>
      </c>
      <c r="H12" s="1">
        <f>I12*9.81/1000</f>
        <v>9.6137999999999987E-3</v>
      </c>
      <c r="I12" s="1">
        <v>0.98</v>
      </c>
      <c r="J12" s="1">
        <v>0.5</v>
      </c>
      <c r="K12" s="1">
        <f>$T$2*J12</f>
        <v>1.2E-2</v>
      </c>
      <c r="M12" s="1">
        <f>N12*9.81/1000</f>
        <v>1.8344700000000002E-2</v>
      </c>
      <c r="N12" s="1">
        <v>1.87</v>
      </c>
      <c r="O12" s="1">
        <v>2.2000000000000002</v>
      </c>
      <c r="P12" s="1">
        <f>$T$2*O12</f>
        <v>5.2800000000000007E-2</v>
      </c>
    </row>
    <row r="13" spans="1:22" x14ac:dyDescent="0.2">
      <c r="A13" s="27"/>
      <c r="B13" s="27"/>
      <c r="C13" s="1">
        <f t="shared" ref="C13:C18" si="2">D13*9.81/1000</f>
        <v>1.8344700000000002E-2</v>
      </c>
      <c r="D13" s="1">
        <v>1.87</v>
      </c>
      <c r="E13" s="1">
        <v>3.9</v>
      </c>
      <c r="F13" s="1">
        <f t="shared" ref="F13:F34" si="3">$T$2*E13</f>
        <v>9.3600000000000003E-2</v>
      </c>
      <c r="H13" s="1">
        <f>I13*9.81/1000</f>
        <v>3.1392000000000003E-2</v>
      </c>
      <c r="I13" s="1">
        <v>3.2</v>
      </c>
      <c r="J13" s="1">
        <v>1.6</v>
      </c>
      <c r="K13" s="1">
        <f>$T$2*J13</f>
        <v>3.8400000000000004E-2</v>
      </c>
      <c r="M13" s="1">
        <f>N13*9.81/1000</f>
        <v>2.2464899999999999E-2</v>
      </c>
      <c r="N13" s="1">
        <v>2.29</v>
      </c>
      <c r="O13" s="1">
        <v>2.1</v>
      </c>
      <c r="P13" s="1">
        <f>$T$2*O13</f>
        <v>5.04E-2</v>
      </c>
    </row>
    <row r="14" spans="1:22" x14ac:dyDescent="0.2">
      <c r="A14" s="27"/>
      <c r="B14" s="27"/>
      <c r="C14" s="1">
        <f t="shared" si="2"/>
        <v>2.8350900000000002E-2</v>
      </c>
      <c r="D14" s="1">
        <v>2.89</v>
      </c>
      <c r="E14" s="1">
        <v>5.5</v>
      </c>
      <c r="F14" s="1">
        <f t="shared" si="3"/>
        <v>0.13200000000000001</v>
      </c>
      <c r="H14" s="1">
        <f>I14*9.81/1000</f>
        <v>4.1398200000000003E-2</v>
      </c>
      <c r="I14" s="1">
        <v>4.22</v>
      </c>
      <c r="J14" s="1">
        <v>2.4</v>
      </c>
      <c r="K14" s="1">
        <f>$T$2*J14</f>
        <v>5.7599999999999998E-2</v>
      </c>
      <c r="M14" s="1">
        <f>N14*9.81/1000</f>
        <v>4.16925E-2</v>
      </c>
      <c r="N14" s="1">
        <v>4.25</v>
      </c>
      <c r="O14" s="1">
        <v>3.2</v>
      </c>
      <c r="P14" s="1">
        <f>$T$2*O14</f>
        <v>7.6800000000000007E-2</v>
      </c>
    </row>
    <row r="15" spans="1:22" x14ac:dyDescent="0.2">
      <c r="A15" s="27"/>
      <c r="B15" s="27"/>
      <c r="C15" s="1">
        <f t="shared" si="2"/>
        <v>4.6695599999999997E-2</v>
      </c>
      <c r="D15" s="1">
        <v>4.76</v>
      </c>
      <c r="E15" s="1">
        <v>8</v>
      </c>
      <c r="F15" s="1">
        <f t="shared" si="3"/>
        <v>0.192</v>
      </c>
      <c r="H15" s="1">
        <f>I15*9.81/1000</f>
        <v>6.9258600000000003E-2</v>
      </c>
      <c r="I15" s="1">
        <v>7.06</v>
      </c>
      <c r="J15" s="1">
        <v>3</v>
      </c>
      <c r="K15" s="1">
        <f>$T$2*J15</f>
        <v>7.2000000000000008E-2</v>
      </c>
      <c r="M15" s="1">
        <f>N15*9.81/1000</f>
        <v>5.6701800000000004E-2</v>
      </c>
      <c r="N15" s="1">
        <v>5.78</v>
      </c>
      <c r="O15" s="1">
        <v>4</v>
      </c>
      <c r="P15" s="1">
        <f>$T$2*O15</f>
        <v>9.6000000000000002E-2</v>
      </c>
    </row>
    <row r="16" spans="1:22" x14ac:dyDescent="0.2">
      <c r="A16" s="27"/>
      <c r="B16" s="27"/>
      <c r="C16" s="1">
        <f t="shared" si="2"/>
        <v>5.6701800000000004E-2</v>
      </c>
      <c r="D16" s="1">
        <v>5.78</v>
      </c>
      <c r="E16" s="1">
        <v>8.9</v>
      </c>
      <c r="F16" s="1">
        <f t="shared" si="3"/>
        <v>0.21360000000000001</v>
      </c>
      <c r="H16" s="1">
        <f>I16*9.81/1000</f>
        <v>7.8480000000000008E-2</v>
      </c>
      <c r="I16" s="1">
        <v>8</v>
      </c>
      <c r="J16" s="1">
        <v>3.6</v>
      </c>
      <c r="K16" s="1">
        <f>$T$2*J16</f>
        <v>8.6400000000000005E-2</v>
      </c>
      <c r="M16" s="1">
        <f>N16*9.81/1000</f>
        <v>6.9749100000000008E-2</v>
      </c>
      <c r="N16" s="1">
        <v>7.11</v>
      </c>
      <c r="O16" s="1">
        <v>5.7</v>
      </c>
      <c r="P16" s="1">
        <f>$T$2*O16</f>
        <v>0.1368</v>
      </c>
    </row>
    <row r="17" spans="1:16" x14ac:dyDescent="0.2">
      <c r="A17" s="27"/>
      <c r="B17" s="27"/>
      <c r="C17" s="1">
        <f t="shared" si="2"/>
        <v>7.5046500000000002E-2</v>
      </c>
      <c r="D17" s="1">
        <v>7.65</v>
      </c>
      <c r="E17" s="1">
        <v>11.5</v>
      </c>
      <c r="F17" s="1">
        <f t="shared" si="3"/>
        <v>0.27600000000000002</v>
      </c>
    </row>
    <row r="18" spans="1:16" x14ac:dyDescent="0.2">
      <c r="A18" s="27"/>
      <c r="B18" s="27"/>
      <c r="C18" s="1">
        <f t="shared" si="2"/>
        <v>8.5052699999999995E-2</v>
      </c>
      <c r="D18" s="1">
        <v>8.67</v>
      </c>
      <c r="E18" s="1">
        <v>12.9</v>
      </c>
      <c r="F18" s="1">
        <f t="shared" si="3"/>
        <v>0.30960000000000004</v>
      </c>
    </row>
    <row r="19" spans="1:16" x14ac:dyDescent="0.2">
      <c r="A19" s="27"/>
      <c r="B19" s="4"/>
    </row>
    <row r="20" spans="1:16" x14ac:dyDescent="0.2">
      <c r="A20" s="27"/>
      <c r="B20" s="27" t="s">
        <v>37</v>
      </c>
      <c r="C20" s="1">
        <f>D20*9.81/1000</f>
        <v>9.6137999999999987E-3</v>
      </c>
      <c r="D20" s="1">
        <v>0.98</v>
      </c>
      <c r="E20" s="1">
        <v>2.8</v>
      </c>
      <c r="F20" s="1">
        <f t="shared" si="3"/>
        <v>6.7199999999999996E-2</v>
      </c>
      <c r="H20" s="1">
        <f>I20*9.81/1000</f>
        <v>9.6137999999999987E-3</v>
      </c>
      <c r="I20" s="1">
        <v>0.98</v>
      </c>
      <c r="J20" s="1">
        <v>0.5</v>
      </c>
      <c r="K20" s="1">
        <f>$T$2*J20</f>
        <v>1.2E-2</v>
      </c>
      <c r="M20" s="1">
        <f>N20*9.81/1000</f>
        <v>1.8344700000000002E-2</v>
      </c>
      <c r="N20" s="1">
        <v>1.87</v>
      </c>
      <c r="O20" s="1">
        <v>2</v>
      </c>
      <c r="P20" s="1">
        <f>$T$2*O20</f>
        <v>4.8000000000000001E-2</v>
      </c>
    </row>
    <row r="21" spans="1:16" x14ac:dyDescent="0.2">
      <c r="A21" s="27"/>
      <c r="B21" s="27"/>
      <c r="C21" s="1">
        <f t="shared" ref="C21:C26" si="4">D21*9.81/1000</f>
        <v>1.8344700000000002E-2</v>
      </c>
      <c r="D21" s="1">
        <v>1.87</v>
      </c>
      <c r="E21" s="1">
        <v>4.2</v>
      </c>
      <c r="F21" s="1">
        <f t="shared" si="3"/>
        <v>0.1008</v>
      </c>
      <c r="H21" s="1">
        <f>I21*9.81/1000</f>
        <v>3.1392000000000003E-2</v>
      </c>
      <c r="I21" s="1">
        <v>3.2</v>
      </c>
      <c r="J21" s="1">
        <v>1.4</v>
      </c>
      <c r="K21" s="1">
        <f>$T$2*J21</f>
        <v>3.3599999999999998E-2</v>
      </c>
      <c r="M21" s="1">
        <f>N21*9.81/1000</f>
        <v>2.2464899999999999E-2</v>
      </c>
      <c r="N21" s="1">
        <v>2.29</v>
      </c>
      <c r="O21" s="1">
        <v>2</v>
      </c>
      <c r="P21" s="1">
        <f>$T$2*O21</f>
        <v>4.8000000000000001E-2</v>
      </c>
    </row>
    <row r="22" spans="1:16" x14ac:dyDescent="0.2">
      <c r="A22" s="27"/>
      <c r="B22" s="27"/>
      <c r="C22" s="1">
        <f t="shared" si="4"/>
        <v>2.8350900000000002E-2</v>
      </c>
      <c r="D22" s="1">
        <v>2.89</v>
      </c>
      <c r="E22" s="1">
        <v>4.8</v>
      </c>
      <c r="F22" s="1">
        <f t="shared" si="3"/>
        <v>0.1152</v>
      </c>
      <c r="H22" s="1">
        <f>I22*9.81/1000</f>
        <v>4.1398200000000003E-2</v>
      </c>
      <c r="I22" s="1">
        <v>4.22</v>
      </c>
      <c r="J22" s="1">
        <v>2</v>
      </c>
      <c r="K22" s="1">
        <f>$T$2*J22</f>
        <v>4.8000000000000001E-2</v>
      </c>
      <c r="M22" s="1">
        <f>N22*9.81/1000</f>
        <v>4.16925E-2</v>
      </c>
      <c r="N22" s="1">
        <v>4.25</v>
      </c>
      <c r="O22" s="1">
        <v>3</v>
      </c>
      <c r="P22" s="1">
        <f>$T$2*O22</f>
        <v>7.2000000000000008E-2</v>
      </c>
    </row>
    <row r="23" spans="1:16" x14ac:dyDescent="0.2">
      <c r="A23" s="27"/>
      <c r="B23" s="27"/>
      <c r="C23" s="1">
        <f t="shared" si="4"/>
        <v>4.6695599999999997E-2</v>
      </c>
      <c r="D23" s="1">
        <v>4.76</v>
      </c>
      <c r="E23" s="1">
        <v>7.6</v>
      </c>
      <c r="F23" s="1">
        <f t="shared" si="3"/>
        <v>0.18240000000000001</v>
      </c>
      <c r="H23" s="1">
        <f>I23*9.81/1000</f>
        <v>6.9258600000000003E-2</v>
      </c>
      <c r="I23" s="1">
        <v>7.06</v>
      </c>
      <c r="J23" s="1">
        <v>2.9</v>
      </c>
      <c r="K23" s="1">
        <f>$T$2*J23</f>
        <v>6.9599999999999995E-2</v>
      </c>
      <c r="M23" s="1">
        <f>N23*9.81/1000</f>
        <v>5.6701800000000004E-2</v>
      </c>
      <c r="N23" s="1">
        <v>5.78</v>
      </c>
      <c r="O23" s="1">
        <v>3.6</v>
      </c>
      <c r="P23" s="1">
        <f>$T$2*O23</f>
        <v>8.6400000000000005E-2</v>
      </c>
    </row>
    <row r="24" spans="1:16" x14ac:dyDescent="0.2">
      <c r="A24" s="27"/>
      <c r="B24" s="27"/>
      <c r="C24" s="1">
        <f t="shared" si="4"/>
        <v>5.6701800000000004E-2</v>
      </c>
      <c r="D24" s="1">
        <v>5.78</v>
      </c>
      <c r="E24" s="1">
        <v>8.8000000000000007</v>
      </c>
      <c r="F24" s="1">
        <f t="shared" si="3"/>
        <v>0.21120000000000003</v>
      </c>
      <c r="H24" s="1">
        <f>I24*9.81/1000</f>
        <v>7.8480000000000008E-2</v>
      </c>
      <c r="I24" s="1">
        <v>8</v>
      </c>
      <c r="J24" s="1">
        <v>3.5</v>
      </c>
      <c r="K24" s="1">
        <f>$T$2*J24</f>
        <v>8.4000000000000005E-2</v>
      </c>
      <c r="M24" s="1">
        <f>N24*9.81/1000</f>
        <v>6.9749100000000008E-2</v>
      </c>
      <c r="N24" s="1">
        <v>7.11</v>
      </c>
      <c r="O24" s="1">
        <v>5.6</v>
      </c>
      <c r="P24" s="1">
        <f>$T$2*O24</f>
        <v>0.13439999999999999</v>
      </c>
    </row>
    <row r="25" spans="1:16" x14ac:dyDescent="0.2">
      <c r="A25" s="27"/>
      <c r="B25" s="27"/>
      <c r="C25" s="1">
        <f t="shared" si="4"/>
        <v>7.5046500000000002E-2</v>
      </c>
      <c r="D25" s="1">
        <v>7.65</v>
      </c>
      <c r="E25" s="1">
        <v>11.5</v>
      </c>
      <c r="F25" s="1">
        <f t="shared" si="3"/>
        <v>0.27600000000000002</v>
      </c>
    </row>
    <row r="26" spans="1:16" x14ac:dyDescent="0.2">
      <c r="A26" s="27"/>
      <c r="B26" s="27"/>
      <c r="C26" s="1">
        <f t="shared" si="4"/>
        <v>8.5052699999999995E-2</v>
      </c>
      <c r="D26" s="1">
        <v>8.67</v>
      </c>
      <c r="E26" s="1">
        <v>13.2</v>
      </c>
      <c r="F26" s="1">
        <f t="shared" si="3"/>
        <v>0.31679999999999997</v>
      </c>
    </row>
    <row r="27" spans="1:16" x14ac:dyDescent="0.2">
      <c r="A27" s="27"/>
      <c r="B27" s="4"/>
    </row>
    <row r="28" spans="1:16" x14ac:dyDescent="0.2">
      <c r="A28" s="27"/>
      <c r="B28" s="27" t="s">
        <v>38</v>
      </c>
      <c r="C28" s="1">
        <f>D28*9.81/1000</f>
        <v>9.6137999999999987E-3</v>
      </c>
      <c r="D28" s="1">
        <v>0.98</v>
      </c>
      <c r="E28" s="1">
        <v>2</v>
      </c>
      <c r="F28" s="1">
        <f t="shared" si="3"/>
        <v>4.8000000000000001E-2</v>
      </c>
      <c r="H28" s="1">
        <f>I28*9.81/1000</f>
        <v>9.6137999999999987E-3</v>
      </c>
      <c r="I28" s="1">
        <v>0.98</v>
      </c>
      <c r="J28" s="1">
        <v>1</v>
      </c>
      <c r="K28" s="1">
        <f>$T$2*J28</f>
        <v>2.4E-2</v>
      </c>
      <c r="M28" s="1">
        <f>N28*9.81/1000</f>
        <v>1.8344700000000002E-2</v>
      </c>
      <c r="N28" s="1">
        <v>1.87</v>
      </c>
      <c r="O28" s="1">
        <v>1.7</v>
      </c>
      <c r="P28" s="1">
        <f>$T$2*O28</f>
        <v>4.0800000000000003E-2</v>
      </c>
    </row>
    <row r="29" spans="1:16" x14ac:dyDescent="0.2">
      <c r="A29" s="27"/>
      <c r="B29" s="27"/>
      <c r="C29" s="1">
        <f t="shared" ref="C29:C34" si="5">D29*9.81/1000</f>
        <v>1.8344700000000002E-2</v>
      </c>
      <c r="D29" s="1">
        <v>1.87</v>
      </c>
      <c r="E29" s="1">
        <v>4.5</v>
      </c>
      <c r="F29" s="1">
        <f t="shared" si="3"/>
        <v>0.108</v>
      </c>
      <c r="H29" s="1">
        <f>I29*9.81/1000</f>
        <v>3.1392000000000003E-2</v>
      </c>
      <c r="I29" s="1">
        <v>3.2</v>
      </c>
      <c r="J29" s="1">
        <v>1.2</v>
      </c>
      <c r="K29" s="1">
        <f>$T$2*J29</f>
        <v>2.8799999999999999E-2</v>
      </c>
      <c r="M29" s="1">
        <f>N29*9.81/1000</f>
        <v>2.2464899999999999E-2</v>
      </c>
      <c r="N29" s="1">
        <v>2.29</v>
      </c>
      <c r="O29" s="1">
        <v>2.2000000000000002</v>
      </c>
      <c r="P29" s="1">
        <f>$T$2*O29</f>
        <v>5.2800000000000007E-2</v>
      </c>
    </row>
    <row r="30" spans="1:16" x14ac:dyDescent="0.2">
      <c r="A30" s="27"/>
      <c r="B30" s="27"/>
      <c r="C30" s="1">
        <f t="shared" si="5"/>
        <v>2.8350900000000002E-2</v>
      </c>
      <c r="D30" s="1">
        <v>2.89</v>
      </c>
      <c r="E30" s="1">
        <v>5.5</v>
      </c>
      <c r="F30" s="1">
        <f t="shared" si="3"/>
        <v>0.13200000000000001</v>
      </c>
      <c r="H30" s="1">
        <f>I30*9.81/1000</f>
        <v>4.1398200000000003E-2</v>
      </c>
      <c r="I30" s="1">
        <v>4.22</v>
      </c>
      <c r="J30" s="1">
        <v>2.2000000000000002</v>
      </c>
      <c r="K30" s="1">
        <f>$T$2*J30</f>
        <v>5.2800000000000007E-2</v>
      </c>
      <c r="M30" s="1">
        <f>N30*9.81/1000</f>
        <v>4.16925E-2</v>
      </c>
      <c r="N30" s="1">
        <v>4.25</v>
      </c>
      <c r="O30" s="1">
        <v>2.9</v>
      </c>
      <c r="P30" s="1">
        <f>$T$2*O30</f>
        <v>6.9599999999999995E-2</v>
      </c>
    </row>
    <row r="31" spans="1:16" x14ac:dyDescent="0.2">
      <c r="A31" s="27"/>
      <c r="B31" s="27"/>
      <c r="C31" s="1">
        <f t="shared" si="5"/>
        <v>4.6695599999999997E-2</v>
      </c>
      <c r="D31" s="1">
        <v>4.76</v>
      </c>
      <c r="E31" s="1">
        <v>8.4</v>
      </c>
      <c r="F31" s="1">
        <f t="shared" si="3"/>
        <v>0.2016</v>
      </c>
      <c r="H31" s="1">
        <f>I31*9.81/1000</f>
        <v>6.9258600000000003E-2</v>
      </c>
      <c r="I31" s="1">
        <v>7.06</v>
      </c>
      <c r="J31" s="1">
        <v>2.7</v>
      </c>
      <c r="K31" s="1">
        <f>$T$2*J31</f>
        <v>6.480000000000001E-2</v>
      </c>
      <c r="M31" s="1">
        <f>N31*9.81/1000</f>
        <v>5.6701800000000004E-2</v>
      </c>
      <c r="N31" s="1">
        <v>5.78</v>
      </c>
      <c r="O31" s="1">
        <v>3.3</v>
      </c>
      <c r="P31" s="1">
        <f>$T$2*O31</f>
        <v>7.9199999999999993E-2</v>
      </c>
    </row>
    <row r="32" spans="1:16" x14ac:dyDescent="0.2">
      <c r="A32" s="27"/>
      <c r="B32" s="27"/>
      <c r="C32" s="1">
        <f t="shared" si="5"/>
        <v>5.6701800000000004E-2</v>
      </c>
      <c r="D32" s="1">
        <v>5.78</v>
      </c>
      <c r="E32" s="1">
        <v>9.1</v>
      </c>
      <c r="F32" s="1">
        <f t="shared" si="3"/>
        <v>0.21839999999999998</v>
      </c>
      <c r="H32" s="1">
        <f>I32*9.81/1000</f>
        <v>7.8480000000000008E-2</v>
      </c>
      <c r="I32" s="1">
        <v>8</v>
      </c>
      <c r="J32" s="1">
        <v>3.1</v>
      </c>
      <c r="K32" s="1">
        <f>$T$2*J32</f>
        <v>7.4400000000000008E-2</v>
      </c>
      <c r="M32" s="1">
        <f>N32*9.81/1000</f>
        <v>6.9749100000000008E-2</v>
      </c>
      <c r="N32" s="1">
        <v>7.11</v>
      </c>
      <c r="O32" s="1">
        <v>5.2</v>
      </c>
      <c r="P32" s="1">
        <f>$T$2*O32</f>
        <v>0.12480000000000001</v>
      </c>
    </row>
    <row r="33" spans="1:6" x14ac:dyDescent="0.2">
      <c r="A33" s="27"/>
      <c r="B33" s="27"/>
      <c r="C33" s="1">
        <f t="shared" si="5"/>
        <v>7.5046500000000002E-2</v>
      </c>
      <c r="D33" s="1">
        <v>7.65</v>
      </c>
      <c r="E33" s="1">
        <v>11.8</v>
      </c>
      <c r="F33" s="1">
        <f t="shared" si="3"/>
        <v>0.28320000000000001</v>
      </c>
    </row>
    <row r="34" spans="1:6" x14ac:dyDescent="0.2">
      <c r="A34" s="27"/>
      <c r="B34" s="27"/>
      <c r="C34" s="1">
        <f t="shared" si="5"/>
        <v>8.5052699999999995E-2</v>
      </c>
      <c r="D34" s="1">
        <v>8.67</v>
      </c>
      <c r="E34" s="1">
        <v>13.5</v>
      </c>
      <c r="F34" s="1">
        <f t="shared" si="3"/>
        <v>0.32400000000000001</v>
      </c>
    </row>
  </sheetData>
  <sortState xmlns:xlrd2="http://schemas.microsoft.com/office/spreadsheetml/2017/richdata2" ref="M3:P7">
    <sortCondition ref="M3:M7"/>
  </sortState>
  <mergeCells count="9">
    <mergeCell ref="C1:F1"/>
    <mergeCell ref="H1:K1"/>
    <mergeCell ref="M1:P1"/>
    <mergeCell ref="A11:A34"/>
    <mergeCell ref="A1:B1"/>
    <mergeCell ref="A2:B9"/>
    <mergeCell ref="B12:B18"/>
    <mergeCell ref="B20:B26"/>
    <mergeCell ref="B28:B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6386-BF4C-474A-8D09-B39B9B76A041}">
  <dimension ref="A2:P19"/>
  <sheetViews>
    <sheetView workbookViewId="0">
      <selection activeCell="G43" sqref="G43"/>
    </sheetView>
  </sheetViews>
  <sheetFormatPr baseColWidth="10" defaultRowHeight="16" x14ac:dyDescent="0.2"/>
  <cols>
    <col min="1" max="1" width="30.5" bestFit="1" customWidth="1"/>
    <col min="2" max="2" width="12.83203125" bestFit="1" customWidth="1"/>
    <col min="9" max="9" width="24.83203125" customWidth="1"/>
    <col min="10" max="10" width="14.6640625" customWidth="1"/>
    <col min="11" max="11" width="15" customWidth="1"/>
    <col min="12" max="12" width="15.6640625" customWidth="1"/>
  </cols>
  <sheetData>
    <row r="2" spans="1:16" x14ac:dyDescent="0.2">
      <c r="C2" s="28" t="s">
        <v>40</v>
      </c>
      <c r="D2" s="28"/>
      <c r="E2" s="28"/>
      <c r="F2" s="28"/>
      <c r="G2" s="28"/>
      <c r="H2" s="28"/>
      <c r="I2" s="30" t="s">
        <v>44</v>
      </c>
      <c r="J2" s="28" t="s">
        <v>45</v>
      </c>
      <c r="K2" s="28"/>
      <c r="L2" s="28"/>
      <c r="P2">
        <f>14/3.5</f>
        <v>4</v>
      </c>
    </row>
    <row r="3" spans="1:16" ht="16" customHeight="1" x14ac:dyDescent="0.2">
      <c r="B3" s="1" t="s">
        <v>39</v>
      </c>
      <c r="C3" s="25">
        <v>0.4</v>
      </c>
      <c r="D3" s="25"/>
      <c r="E3" s="25">
        <v>0.48</v>
      </c>
      <c r="F3" s="25"/>
      <c r="G3" s="25">
        <v>0.56000000000000005</v>
      </c>
      <c r="H3" s="25"/>
      <c r="I3" s="30"/>
      <c r="J3" s="1" t="s">
        <v>12</v>
      </c>
      <c r="K3" s="1" t="s">
        <v>13</v>
      </c>
      <c r="L3" s="1" t="s">
        <v>14</v>
      </c>
    </row>
    <row r="4" spans="1:16" x14ac:dyDescent="0.2">
      <c r="B4" s="1" t="s">
        <v>41</v>
      </c>
      <c r="C4" s="1" t="s">
        <v>42</v>
      </c>
      <c r="D4" s="1" t="s">
        <v>43</v>
      </c>
      <c r="E4" s="1" t="s">
        <v>42</v>
      </c>
      <c r="F4" s="1" t="s">
        <v>43</v>
      </c>
      <c r="G4" s="1" t="s">
        <v>42</v>
      </c>
      <c r="H4" s="1" t="s">
        <v>43</v>
      </c>
      <c r="I4" s="30"/>
      <c r="J4" s="1"/>
      <c r="K4" s="1"/>
      <c r="L4" s="1"/>
    </row>
    <row r="5" spans="1:16" x14ac:dyDescent="0.2">
      <c r="A5" s="1"/>
      <c r="B5" s="1">
        <v>0.70499999999999996</v>
      </c>
      <c r="C5" s="1">
        <v>7.82</v>
      </c>
      <c r="D5" s="1">
        <f>C5*9.81/1000</f>
        <v>7.671420000000001E-2</v>
      </c>
      <c r="E5" s="1">
        <v>8.93</v>
      </c>
      <c r="F5" s="1">
        <f>E5*9.81/1000</f>
        <v>8.7603300000000009E-2</v>
      </c>
      <c r="G5" s="1">
        <v>13.79</v>
      </c>
      <c r="H5" s="1">
        <f>G5*9.81/1000</f>
        <v>0.13527990000000001</v>
      </c>
      <c r="I5">
        <f>$B$15*B5+$B$16</f>
        <v>4.7459578511001611E-3</v>
      </c>
      <c r="J5">
        <f>2*($C$3*$C$15*I5+$C$16*$C$3)</f>
        <v>7.8293037947987129E-2</v>
      </c>
      <c r="K5">
        <f>2*($E$3*$C$15*I5+$C$16*$E$3)</f>
        <v>9.3951645537584547E-2</v>
      </c>
      <c r="L5">
        <f>2*($G$3*$C$15*I5+$C$16*$G$3)</f>
        <v>0.10961025312718198</v>
      </c>
      <c r="M5">
        <f>ABS(D5-J5)/D5</f>
        <v>2.0580778369416859E-2</v>
      </c>
      <c r="N5">
        <f>ABS(F5-K5)/F5</f>
        <v>7.2466967997604395E-2</v>
      </c>
      <c r="O5">
        <f>ABS(H5-L5)/H5</f>
        <v>0.18975211301027003</v>
      </c>
    </row>
    <row r="6" spans="1:16" x14ac:dyDescent="0.2">
      <c r="A6" s="1"/>
      <c r="B6" s="1">
        <v>1.7250000000000001</v>
      </c>
      <c r="C6" s="1">
        <v>14.04</v>
      </c>
      <c r="D6" s="1">
        <f>C6*9.81/1000</f>
        <v>0.1377324</v>
      </c>
      <c r="E6" s="1">
        <v>16.329999999999998</v>
      </c>
      <c r="F6" s="1">
        <f>E6*9.81/1000</f>
        <v>0.16019729999999999</v>
      </c>
      <c r="G6" s="1">
        <v>20.29</v>
      </c>
      <c r="H6" s="1">
        <f>G6*9.81/1000</f>
        <v>0.19904490000000002</v>
      </c>
      <c r="I6">
        <f>$B$15*B6+$B$16</f>
        <v>1.6974512216789087E-2</v>
      </c>
      <c r="J6">
        <f>2*($C$3*$C$15*I6+$C$16*$C$3)</f>
        <v>0.14379212905490815</v>
      </c>
      <c r="K6">
        <f>2*($E$3*$C$15*I6+$C$16*$E$3)</f>
        <v>0.17255055486588977</v>
      </c>
      <c r="L6">
        <f>2*($G$3*$C$15*I6+$C$16*$G$3)</f>
        <v>0.20130898067687145</v>
      </c>
      <c r="M6">
        <f>ABS(D6-J6)/D6</f>
        <v>4.3996394856316651E-2</v>
      </c>
      <c r="N6">
        <f>ABS(F6-K6)/F6</f>
        <v>7.7112753247962268E-2</v>
      </c>
      <c r="O6">
        <f>ABS(H6-L6)/H6</f>
        <v>1.1374723375838423E-2</v>
      </c>
    </row>
    <row r="7" spans="1:16" x14ac:dyDescent="0.2">
      <c r="A7" s="1"/>
      <c r="B7" s="1">
        <v>2.14</v>
      </c>
      <c r="C7" s="1">
        <v>17.68</v>
      </c>
      <c r="D7" s="1">
        <f>C7*9.81/1000</f>
        <v>0.17344080000000001</v>
      </c>
      <c r="E7" s="1">
        <v>18.84</v>
      </c>
      <c r="F7" s="1">
        <f>E7*9.81/1000</f>
        <v>0.1848204</v>
      </c>
      <c r="G7" s="1">
        <v>22.16</v>
      </c>
      <c r="H7" s="1">
        <f>G7*9.81/1000</f>
        <v>0.21738959999999999</v>
      </c>
      <c r="I7">
        <f>$B$15*B7+$B$16</f>
        <v>2.1949855414593895E-2</v>
      </c>
      <c r="J7">
        <f>2*($C$3*$C$15*I7+$C$16*$C$3)</f>
        <v>0.17044126906409662</v>
      </c>
      <c r="K7">
        <f>2*($E$3*$C$15*I7+$C$16*$E$3)</f>
        <v>0.20452952287691595</v>
      </c>
      <c r="L7">
        <f>2*($G$3*$C$15*I7+$C$16*$G$3)</f>
        <v>0.23861777668973527</v>
      </c>
      <c r="M7">
        <f>ABS(D7-J7)/D7</f>
        <v>1.729426372516376E-2</v>
      </c>
      <c r="N7">
        <f>ABS(F7-K7)/F7</f>
        <v>0.10663932594516597</v>
      </c>
      <c r="O7">
        <f>ABS(H7-L7)/H7</f>
        <v>9.7650378351748585E-2</v>
      </c>
    </row>
    <row r="8" spans="1:16" x14ac:dyDescent="0.2">
      <c r="A8" s="1"/>
      <c r="B8" s="1">
        <v>2.73</v>
      </c>
      <c r="C8" s="1">
        <v>20.55</v>
      </c>
      <c r="D8" s="1">
        <f>C8*9.81/1000</f>
        <v>0.20159550000000001</v>
      </c>
      <c r="E8" s="1">
        <v>22.91</v>
      </c>
      <c r="F8" s="1">
        <f>E8*9.81/1000</f>
        <v>0.22474710000000001</v>
      </c>
      <c r="G8" s="1">
        <v>28.83</v>
      </c>
      <c r="H8" s="1">
        <f>G8*9.81/1000</f>
        <v>0.28282229999999997</v>
      </c>
      <c r="I8">
        <f>$B$15*B8+$B$16</f>
        <v>2.9023234900629642E-2</v>
      </c>
      <c r="J8">
        <f>2*($C$3*$C$15*I8+$C$16*$C$3)</f>
        <v>0.2083279982337862</v>
      </c>
      <c r="K8">
        <f>2*($E$3*$C$15*I8+$C$16*$E$3)</f>
        <v>0.24999359788054343</v>
      </c>
      <c r="L8">
        <f>2*($G$3*$C$15*I8+$C$16*$G$3)</f>
        <v>0.29165919752730074</v>
      </c>
      <c r="M8">
        <f>ABS(D8-J8)/D8</f>
        <v>3.3396073988686194E-2</v>
      </c>
      <c r="N8">
        <f>ABS(F8-K8)/F8</f>
        <v>0.11233291944831957</v>
      </c>
      <c r="O8">
        <f>ABS(H8-L8)/H8</f>
        <v>3.1245405780593573E-2</v>
      </c>
    </row>
    <row r="9" spans="1:16" x14ac:dyDescent="0.2">
      <c r="A9" s="1"/>
      <c r="B9" s="1">
        <v>2.89</v>
      </c>
      <c r="C9" s="1">
        <v>21.64</v>
      </c>
      <c r="D9" s="1">
        <f>C9*9.81/1000</f>
        <v>0.21228840000000002</v>
      </c>
      <c r="E9" s="1">
        <v>25.61</v>
      </c>
      <c r="F9" s="1">
        <f>E9*9.81/1000</f>
        <v>0.25123410000000002</v>
      </c>
      <c r="G9" s="1">
        <v>30.19</v>
      </c>
      <c r="H9" s="1">
        <f>G9*9.81/1000</f>
        <v>0.29616390000000004</v>
      </c>
      <c r="I9">
        <f>$B$15*B9+$B$16</f>
        <v>3.0941439507012225E-2</v>
      </c>
      <c r="J9">
        <f>2*($C$3*$C$15*I9+$C$16*$C$3)</f>
        <v>0.21860236546624445</v>
      </c>
      <c r="K9">
        <f>2*($E$3*$C$15*I9+$C$16*$E$3)</f>
        <v>0.26232283855949334</v>
      </c>
      <c r="L9">
        <f>2*($G$3*$C$15*I9+$C$16*$G$3)</f>
        <v>0.30604331165274223</v>
      </c>
      <c r="M9">
        <f>ABS(D9-J9)/D9</f>
        <v>2.9742395091980702E-2</v>
      </c>
      <c r="N9">
        <f>ABS(F9-K9)/F9</f>
        <v>4.4137075976124762E-2</v>
      </c>
      <c r="O9">
        <f>ABS(H9-L9)/H9</f>
        <v>3.3357919897537128E-2</v>
      </c>
    </row>
    <row r="10" spans="1:16" x14ac:dyDescent="0.2">
      <c r="J10">
        <f>(B19*B5+C19)*C3</f>
        <v>7.8293037947987129E-2</v>
      </c>
      <c r="M10">
        <f>AVERAGE(M5:M9)</f>
        <v>2.9001981206312831E-2</v>
      </c>
      <c r="N10">
        <f>AVERAGE(N5:N9)</f>
        <v>8.2537808523035397E-2</v>
      </c>
      <c r="O10">
        <f>AVERAGE(O5:O9)</f>
        <v>7.2676108083197549E-2</v>
      </c>
    </row>
    <row r="11" spans="1:16" x14ac:dyDescent="0.2">
      <c r="G11" s="1"/>
    </row>
    <row r="12" spans="1:16" x14ac:dyDescent="0.2">
      <c r="G12" s="1"/>
    </row>
    <row r="13" spans="1:16" ht="18" x14ac:dyDescent="0.2">
      <c r="B13" s="29"/>
      <c r="C13" s="29"/>
    </row>
    <row r="15" spans="1:16" x14ac:dyDescent="0.2">
      <c r="A15" s="28" t="s">
        <v>46</v>
      </c>
      <c r="B15" s="1">
        <f>'Gripper tip Force - deflection'!L6</f>
        <v>1.1988778789891102E-2</v>
      </c>
      <c r="C15" s="1">
        <f>'Gecko-adhesion Characterisation'!T9</f>
        <v>6.6953019494580888</v>
      </c>
    </row>
    <row r="16" spans="1:16" x14ac:dyDescent="0.2">
      <c r="A16" s="28"/>
      <c r="B16" s="1">
        <f>'Gripper tip Force - deflection'!L7</f>
        <v>-3.7061311957730658E-3</v>
      </c>
      <c r="C16" s="1">
        <f>'Gecko-adhesion Characterisation'!T10</f>
        <v>6.6090676582467076E-2</v>
      </c>
    </row>
    <row r="19" spans="2:3" x14ac:dyDescent="0.2">
      <c r="B19">
        <f>B15*C15*2</f>
        <v>0.16053698800715938</v>
      </c>
      <c r="C19">
        <f>(C15*B16+C16)*2</f>
        <v>8.2554018324920458E-2</v>
      </c>
    </row>
  </sheetData>
  <mergeCells count="8">
    <mergeCell ref="B13:C13"/>
    <mergeCell ref="A15:A16"/>
    <mergeCell ref="I2:I4"/>
    <mergeCell ref="J2:L2"/>
    <mergeCell ref="C3:D3"/>
    <mergeCell ref="E3:F3"/>
    <mergeCell ref="G3:H3"/>
    <mergeCell ref="C2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C7009-D035-684F-8DF6-313495976684}">
  <dimension ref="A1:Z28"/>
  <sheetViews>
    <sheetView zoomScale="115" workbookViewId="0">
      <selection activeCell="Z24" sqref="Z24"/>
    </sheetView>
  </sheetViews>
  <sheetFormatPr baseColWidth="10" defaultRowHeight="16" x14ac:dyDescent="0.2"/>
  <cols>
    <col min="2" max="2" width="16.1640625" bestFit="1" customWidth="1"/>
    <col min="3" max="3" width="9.1640625" bestFit="1" customWidth="1"/>
    <col min="4" max="5" width="9.1640625" customWidth="1"/>
    <col min="6" max="6" width="11" bestFit="1" customWidth="1"/>
    <col min="7" max="7" width="11" customWidth="1"/>
    <col min="8" max="10" width="11" bestFit="1" customWidth="1"/>
    <col min="11" max="15" width="11" customWidth="1"/>
    <col min="16" max="18" width="11" bestFit="1" customWidth="1"/>
    <col min="19" max="19" width="11" customWidth="1"/>
  </cols>
  <sheetData>
    <row r="1" spans="1:26" x14ac:dyDescent="0.2">
      <c r="D1" s="31" t="s">
        <v>17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  <c r="P1" s="31" t="s">
        <v>18</v>
      </c>
      <c r="Q1" s="32"/>
      <c r="R1" s="32"/>
      <c r="S1" s="32"/>
      <c r="T1" s="32"/>
      <c r="U1" s="32"/>
      <c r="V1" s="32"/>
      <c r="W1" s="32"/>
      <c r="X1" s="32"/>
      <c r="Y1" s="32"/>
      <c r="Z1" s="33"/>
    </row>
    <row r="2" spans="1:26" x14ac:dyDescent="0.2">
      <c r="A2" s="19"/>
      <c r="B2" s="23"/>
      <c r="C2" s="19"/>
      <c r="D2" s="34" t="s">
        <v>19</v>
      </c>
      <c r="E2" s="34"/>
      <c r="F2" s="34"/>
      <c r="G2" s="34"/>
      <c r="H2" s="31" t="s">
        <v>20</v>
      </c>
      <c r="I2" s="32"/>
      <c r="J2" s="32"/>
      <c r="K2" s="33"/>
      <c r="L2" s="34" t="s">
        <v>21</v>
      </c>
      <c r="M2" s="34"/>
      <c r="N2" s="34"/>
      <c r="O2" s="34"/>
      <c r="P2" s="34" t="s">
        <v>19</v>
      </c>
      <c r="Q2" s="34"/>
      <c r="R2" s="34"/>
      <c r="S2" s="34"/>
      <c r="T2" s="34" t="s">
        <v>20</v>
      </c>
      <c r="U2" s="34"/>
      <c r="V2" s="34"/>
      <c r="W2" s="34"/>
      <c r="X2" s="34" t="s">
        <v>21</v>
      </c>
      <c r="Y2" s="34"/>
      <c r="Z2" s="34"/>
    </row>
    <row r="3" spans="1:26" x14ac:dyDescent="0.2">
      <c r="A3" s="21" t="s">
        <v>68</v>
      </c>
      <c r="B3" s="22" t="s">
        <v>69</v>
      </c>
      <c r="C3" s="21" t="s">
        <v>70</v>
      </c>
      <c r="D3" s="18">
        <v>1</v>
      </c>
      <c r="E3" s="18">
        <v>2</v>
      </c>
      <c r="F3" s="18">
        <v>3</v>
      </c>
      <c r="G3" s="18" t="s">
        <v>77</v>
      </c>
      <c r="H3" s="18">
        <v>1</v>
      </c>
      <c r="I3" s="18">
        <v>2</v>
      </c>
      <c r="J3" s="18">
        <v>3</v>
      </c>
      <c r="K3" s="18" t="s">
        <v>77</v>
      </c>
      <c r="L3" s="18">
        <v>1</v>
      </c>
      <c r="M3" s="18">
        <v>2</v>
      </c>
      <c r="N3" s="18"/>
      <c r="O3" s="18" t="s">
        <v>77</v>
      </c>
      <c r="P3" s="18">
        <v>1</v>
      </c>
      <c r="Q3" s="18">
        <v>2</v>
      </c>
      <c r="R3" s="18">
        <v>3</v>
      </c>
      <c r="S3" s="18" t="s">
        <v>77</v>
      </c>
      <c r="T3" s="18">
        <v>1</v>
      </c>
      <c r="U3" s="18">
        <v>2</v>
      </c>
      <c r="V3" s="18">
        <v>3</v>
      </c>
      <c r="W3" s="18" t="s">
        <v>77</v>
      </c>
      <c r="X3" s="18">
        <v>1</v>
      </c>
      <c r="Y3" s="18">
        <v>2</v>
      </c>
      <c r="Z3" s="18" t="s">
        <v>77</v>
      </c>
    </row>
    <row r="4" spans="1:26" x14ac:dyDescent="0.2">
      <c r="A4" s="19">
        <v>11</v>
      </c>
      <c r="B4" s="21" t="s">
        <v>76</v>
      </c>
      <c r="C4" s="21">
        <v>0.05</v>
      </c>
      <c r="D4" s="12">
        <v>1</v>
      </c>
      <c r="E4" s="13">
        <v>1</v>
      </c>
      <c r="F4" s="13">
        <v>1</v>
      </c>
      <c r="G4" s="14">
        <f>AVERAGE(D4:F4)</f>
        <v>1</v>
      </c>
      <c r="H4" s="12">
        <v>1</v>
      </c>
      <c r="I4" s="13">
        <v>1</v>
      </c>
      <c r="J4" s="13">
        <v>1</v>
      </c>
      <c r="K4" s="14">
        <f>AVERAGE(H4:J4)</f>
        <v>1</v>
      </c>
      <c r="L4" s="12">
        <v>0</v>
      </c>
      <c r="M4" s="13">
        <v>0</v>
      </c>
      <c r="N4" s="13">
        <v>0</v>
      </c>
      <c r="O4" s="14">
        <f>AVERAGE(L4:N4)</f>
        <v>0</v>
      </c>
      <c r="P4" s="12">
        <v>0</v>
      </c>
      <c r="Q4" s="13">
        <v>0</v>
      </c>
      <c r="R4" s="13">
        <v>0</v>
      </c>
      <c r="S4" s="14">
        <f>AVERAGE(P4:R4)</f>
        <v>0</v>
      </c>
      <c r="T4" s="12">
        <v>1</v>
      </c>
      <c r="U4" s="13">
        <v>1</v>
      </c>
      <c r="V4" s="13">
        <v>0</v>
      </c>
      <c r="W4" s="14">
        <f>AVERAGE(T4:V4)</f>
        <v>0.66666666666666663</v>
      </c>
      <c r="X4" s="12" t="s">
        <v>22</v>
      </c>
      <c r="Y4" s="13" t="s">
        <v>22</v>
      </c>
      <c r="Z4" s="14"/>
    </row>
    <row r="5" spans="1:26" x14ac:dyDescent="0.2">
      <c r="A5" s="19">
        <v>4</v>
      </c>
      <c r="B5" s="19" t="s">
        <v>72</v>
      </c>
      <c r="C5" s="19">
        <v>0.25</v>
      </c>
      <c r="D5" s="12">
        <v>1</v>
      </c>
      <c r="E5" s="13">
        <v>1</v>
      </c>
      <c r="F5" s="13">
        <v>1</v>
      </c>
      <c r="G5" s="14">
        <f t="shared" ref="G5:G15" si="0">AVERAGE(D5:F5)</f>
        <v>1</v>
      </c>
      <c r="H5" s="12">
        <v>1</v>
      </c>
      <c r="I5" s="13">
        <v>1</v>
      </c>
      <c r="J5" s="13">
        <v>1</v>
      </c>
      <c r="K5" s="14">
        <f t="shared" ref="K5:K15" si="1">AVERAGE(H5:J5)</f>
        <v>1</v>
      </c>
      <c r="L5" s="12">
        <v>1</v>
      </c>
      <c r="M5" s="13">
        <v>1</v>
      </c>
      <c r="N5" s="13">
        <v>1</v>
      </c>
      <c r="O5" s="14">
        <f t="shared" ref="O5:O15" si="2">AVERAGE(L5:N5)</f>
        <v>1</v>
      </c>
      <c r="P5" s="12">
        <v>0</v>
      </c>
      <c r="Q5" s="13">
        <v>1</v>
      </c>
      <c r="R5" s="13">
        <v>1</v>
      </c>
      <c r="S5" s="14">
        <f t="shared" ref="S5:S15" si="3">AVERAGE(P5:R5)</f>
        <v>0.66666666666666663</v>
      </c>
      <c r="T5" s="12">
        <v>1</v>
      </c>
      <c r="U5" s="13">
        <v>1</v>
      </c>
      <c r="V5" s="13">
        <v>1</v>
      </c>
      <c r="W5" s="14">
        <f t="shared" ref="W5:W15" si="4">AVERAGE(T5:V5)</f>
        <v>1</v>
      </c>
      <c r="X5" s="12">
        <v>1</v>
      </c>
      <c r="Y5" s="13">
        <v>1</v>
      </c>
      <c r="Z5" s="14">
        <f t="shared" ref="Z5:Z15" si="5">AVERAGE(X5:Y5)</f>
        <v>1</v>
      </c>
    </row>
    <row r="6" spans="1:26" x14ac:dyDescent="0.2">
      <c r="A6" s="19">
        <v>6</v>
      </c>
      <c r="B6" s="19" t="s">
        <v>74</v>
      </c>
      <c r="C6" s="19">
        <v>0.28000000000000003</v>
      </c>
      <c r="D6" s="12">
        <v>1</v>
      </c>
      <c r="E6" s="13">
        <v>1</v>
      </c>
      <c r="F6" s="13">
        <v>0</v>
      </c>
      <c r="G6" s="14">
        <f t="shared" si="0"/>
        <v>0.66666666666666663</v>
      </c>
      <c r="H6" s="12">
        <v>1</v>
      </c>
      <c r="I6" s="13">
        <v>1</v>
      </c>
      <c r="J6" s="13">
        <v>1</v>
      </c>
      <c r="K6" s="14">
        <f t="shared" si="1"/>
        <v>1</v>
      </c>
      <c r="L6" s="12">
        <v>0</v>
      </c>
      <c r="M6" s="13">
        <v>0</v>
      </c>
      <c r="N6" s="13">
        <v>0</v>
      </c>
      <c r="O6" s="14">
        <f t="shared" si="2"/>
        <v>0</v>
      </c>
      <c r="P6" s="12">
        <v>0</v>
      </c>
      <c r="Q6" s="13">
        <v>1</v>
      </c>
      <c r="R6" s="13" t="s">
        <v>22</v>
      </c>
      <c r="S6" s="14">
        <f t="shared" si="3"/>
        <v>0.5</v>
      </c>
      <c r="T6" s="12">
        <v>1</v>
      </c>
      <c r="U6" s="13">
        <v>1</v>
      </c>
      <c r="V6" s="13">
        <v>0</v>
      </c>
      <c r="W6" s="14">
        <f t="shared" si="4"/>
        <v>0.66666666666666663</v>
      </c>
      <c r="X6" s="12" t="s">
        <v>22</v>
      </c>
      <c r="Y6" s="13" t="s">
        <v>22</v>
      </c>
      <c r="Z6" s="14"/>
    </row>
    <row r="7" spans="1:26" x14ac:dyDescent="0.2">
      <c r="A7" s="19">
        <v>9</v>
      </c>
      <c r="B7" s="19" t="s">
        <v>75</v>
      </c>
      <c r="C7" s="19">
        <v>0.28999999999999998</v>
      </c>
      <c r="D7" s="12">
        <v>1</v>
      </c>
      <c r="E7" s="13">
        <v>1</v>
      </c>
      <c r="F7" s="13">
        <v>1</v>
      </c>
      <c r="G7" s="14">
        <f t="shared" si="0"/>
        <v>1</v>
      </c>
      <c r="H7" s="12">
        <v>1</v>
      </c>
      <c r="I7" s="13">
        <v>1</v>
      </c>
      <c r="J7" s="13">
        <v>1</v>
      </c>
      <c r="K7" s="14">
        <f t="shared" si="1"/>
        <v>1</v>
      </c>
      <c r="L7" s="12">
        <v>0</v>
      </c>
      <c r="M7" s="13">
        <v>0</v>
      </c>
      <c r="N7" s="13">
        <v>0</v>
      </c>
      <c r="O7" s="14">
        <f t="shared" si="2"/>
        <v>0</v>
      </c>
      <c r="P7" s="12">
        <v>1</v>
      </c>
      <c r="Q7" s="13">
        <v>1</v>
      </c>
      <c r="R7" s="13">
        <v>0</v>
      </c>
      <c r="S7" s="14">
        <f t="shared" si="3"/>
        <v>0.66666666666666663</v>
      </c>
      <c r="T7" s="12">
        <v>1</v>
      </c>
      <c r="U7" s="13">
        <v>1</v>
      </c>
      <c r="V7" s="13">
        <v>0</v>
      </c>
      <c r="W7" s="14">
        <f t="shared" si="4"/>
        <v>0.66666666666666663</v>
      </c>
      <c r="X7" s="12"/>
      <c r="Y7" s="13"/>
      <c r="Z7" s="14"/>
    </row>
    <row r="8" spans="1:26" x14ac:dyDescent="0.2">
      <c r="A8" s="19">
        <v>10</v>
      </c>
      <c r="B8" s="19" t="s">
        <v>72</v>
      </c>
      <c r="C8" s="19">
        <v>0.41</v>
      </c>
      <c r="D8" s="12">
        <v>1</v>
      </c>
      <c r="E8" s="13">
        <v>1</v>
      </c>
      <c r="F8" s="13">
        <v>0</v>
      </c>
      <c r="G8" s="14">
        <f t="shared" si="0"/>
        <v>0.66666666666666663</v>
      </c>
      <c r="H8" s="12">
        <v>1</v>
      </c>
      <c r="I8" s="13">
        <v>1</v>
      </c>
      <c r="J8" s="13">
        <v>1</v>
      </c>
      <c r="K8" s="14">
        <f t="shared" si="1"/>
        <v>1</v>
      </c>
      <c r="L8" s="12">
        <v>1</v>
      </c>
      <c r="M8" s="13">
        <v>1</v>
      </c>
      <c r="N8" s="13">
        <v>1</v>
      </c>
      <c r="O8" s="14">
        <f t="shared" si="2"/>
        <v>1</v>
      </c>
      <c r="P8" s="12">
        <v>1</v>
      </c>
      <c r="Q8" s="13">
        <v>1</v>
      </c>
      <c r="R8" s="13" t="s">
        <v>22</v>
      </c>
      <c r="S8" s="14">
        <f t="shared" si="3"/>
        <v>1</v>
      </c>
      <c r="T8" s="12">
        <v>1</v>
      </c>
      <c r="U8" s="13">
        <v>1</v>
      </c>
      <c r="V8" s="13">
        <v>1</v>
      </c>
      <c r="W8" s="14">
        <f t="shared" si="4"/>
        <v>1</v>
      </c>
      <c r="X8" s="12">
        <v>1</v>
      </c>
      <c r="Y8" s="13">
        <v>1</v>
      </c>
      <c r="Z8" s="14">
        <f t="shared" si="5"/>
        <v>1</v>
      </c>
    </row>
    <row r="9" spans="1:26" x14ac:dyDescent="0.2">
      <c r="A9" s="19">
        <v>3</v>
      </c>
      <c r="B9" s="19" t="s">
        <v>71</v>
      </c>
      <c r="C9" s="19">
        <v>0.44</v>
      </c>
      <c r="D9" s="12">
        <v>1</v>
      </c>
      <c r="E9" s="13">
        <v>1</v>
      </c>
      <c r="F9" s="13">
        <v>1</v>
      </c>
      <c r="G9" s="14">
        <f t="shared" si="0"/>
        <v>1</v>
      </c>
      <c r="H9" s="12">
        <v>1</v>
      </c>
      <c r="I9" s="13">
        <v>1</v>
      </c>
      <c r="J9" s="13">
        <v>1</v>
      </c>
      <c r="K9" s="14">
        <f t="shared" si="1"/>
        <v>1</v>
      </c>
      <c r="L9" s="12">
        <v>1</v>
      </c>
      <c r="M9" s="13">
        <v>1</v>
      </c>
      <c r="N9" s="13">
        <v>1</v>
      </c>
      <c r="O9" s="14">
        <f t="shared" si="2"/>
        <v>1</v>
      </c>
      <c r="P9" s="12">
        <v>1</v>
      </c>
      <c r="Q9" s="13">
        <v>1</v>
      </c>
      <c r="R9" s="13">
        <v>1</v>
      </c>
      <c r="S9" s="14">
        <f t="shared" si="3"/>
        <v>1</v>
      </c>
      <c r="T9" s="12">
        <v>1</v>
      </c>
      <c r="U9" s="13">
        <v>1</v>
      </c>
      <c r="V9" s="13">
        <v>1</v>
      </c>
      <c r="W9" s="14">
        <f t="shared" si="4"/>
        <v>1</v>
      </c>
      <c r="X9" s="12">
        <v>1</v>
      </c>
      <c r="Y9" s="13">
        <v>1</v>
      </c>
      <c r="Z9" s="14">
        <f t="shared" si="5"/>
        <v>1</v>
      </c>
    </row>
    <row r="10" spans="1:26" x14ac:dyDescent="0.2">
      <c r="A10" s="19">
        <v>12</v>
      </c>
      <c r="B10" s="19" t="s">
        <v>72</v>
      </c>
      <c r="C10" s="19">
        <v>0.44</v>
      </c>
      <c r="D10" s="12">
        <v>1</v>
      </c>
      <c r="E10" s="13">
        <v>1</v>
      </c>
      <c r="F10" s="13">
        <v>1</v>
      </c>
      <c r="G10" s="14">
        <f t="shared" si="0"/>
        <v>1</v>
      </c>
      <c r="H10" s="12">
        <v>1</v>
      </c>
      <c r="I10" s="13">
        <v>1</v>
      </c>
      <c r="J10" s="13">
        <v>1</v>
      </c>
      <c r="K10" s="14">
        <f t="shared" si="1"/>
        <v>1</v>
      </c>
      <c r="L10" s="12">
        <v>0</v>
      </c>
      <c r="M10" s="13">
        <v>0</v>
      </c>
      <c r="N10" s="13">
        <v>0</v>
      </c>
      <c r="O10" s="14">
        <f t="shared" si="2"/>
        <v>0</v>
      </c>
      <c r="P10" s="12">
        <v>1</v>
      </c>
      <c r="Q10" s="13">
        <v>1</v>
      </c>
      <c r="R10" s="13">
        <v>1</v>
      </c>
      <c r="S10" s="14">
        <f t="shared" si="3"/>
        <v>1</v>
      </c>
      <c r="T10" s="12">
        <v>1</v>
      </c>
      <c r="U10" s="13">
        <v>1</v>
      </c>
      <c r="V10" s="13">
        <v>1</v>
      </c>
      <c r="W10" s="14">
        <f t="shared" si="4"/>
        <v>1</v>
      </c>
      <c r="X10" s="12" t="s">
        <v>22</v>
      </c>
      <c r="Y10" s="13" t="s">
        <v>22</v>
      </c>
      <c r="Z10" s="14"/>
    </row>
    <row r="11" spans="1:26" x14ac:dyDescent="0.2">
      <c r="A11" s="19">
        <v>1</v>
      </c>
      <c r="B11" s="19" t="s">
        <v>71</v>
      </c>
      <c r="C11" s="19">
        <v>0.49</v>
      </c>
      <c r="D11" s="12">
        <v>1</v>
      </c>
      <c r="E11" s="13">
        <v>1</v>
      </c>
      <c r="F11" s="13">
        <v>1</v>
      </c>
      <c r="G11" s="14">
        <f t="shared" si="0"/>
        <v>1</v>
      </c>
      <c r="H11" s="12">
        <v>1</v>
      </c>
      <c r="I11" s="13">
        <v>0</v>
      </c>
      <c r="J11" s="13">
        <v>1</v>
      </c>
      <c r="K11" s="14">
        <f t="shared" si="1"/>
        <v>0.66666666666666663</v>
      </c>
      <c r="L11" s="12">
        <v>0</v>
      </c>
      <c r="M11" s="13">
        <v>0</v>
      </c>
      <c r="N11" s="13">
        <v>0</v>
      </c>
      <c r="O11" s="14">
        <f t="shared" si="2"/>
        <v>0</v>
      </c>
      <c r="P11" s="12">
        <v>1</v>
      </c>
      <c r="Q11" s="13">
        <v>1</v>
      </c>
      <c r="R11" s="13">
        <v>1</v>
      </c>
      <c r="S11" s="14">
        <f t="shared" si="3"/>
        <v>1</v>
      </c>
      <c r="T11" s="12">
        <v>1</v>
      </c>
      <c r="U11" s="13">
        <v>1</v>
      </c>
      <c r="V11" s="13">
        <v>1</v>
      </c>
      <c r="W11" s="14">
        <f t="shared" si="4"/>
        <v>1</v>
      </c>
      <c r="X11" s="12" t="s">
        <v>22</v>
      </c>
      <c r="Y11" s="13" t="s">
        <v>22</v>
      </c>
      <c r="Z11" s="14"/>
    </row>
    <row r="12" spans="1:26" x14ac:dyDescent="0.2">
      <c r="A12" s="19">
        <v>5</v>
      </c>
      <c r="B12" s="19" t="s">
        <v>73</v>
      </c>
      <c r="C12" s="19">
        <v>0.57999999999999996</v>
      </c>
      <c r="D12" s="12">
        <v>1</v>
      </c>
      <c r="E12" s="13">
        <v>1</v>
      </c>
      <c r="F12" s="13">
        <v>1</v>
      </c>
      <c r="G12" s="14">
        <f t="shared" si="0"/>
        <v>1</v>
      </c>
      <c r="H12" s="12">
        <v>1</v>
      </c>
      <c r="I12" s="13">
        <v>1</v>
      </c>
      <c r="J12" s="13">
        <v>1</v>
      </c>
      <c r="K12" s="14">
        <f t="shared" si="1"/>
        <v>1</v>
      </c>
      <c r="L12" s="12">
        <v>1</v>
      </c>
      <c r="M12" s="13">
        <v>0</v>
      </c>
      <c r="N12" s="13">
        <v>0</v>
      </c>
      <c r="O12" s="14">
        <f t="shared" si="2"/>
        <v>0.33333333333333331</v>
      </c>
      <c r="P12" s="12">
        <v>1</v>
      </c>
      <c r="Q12" s="13">
        <v>0</v>
      </c>
      <c r="R12" s="13">
        <v>1</v>
      </c>
      <c r="S12" s="14">
        <f t="shared" si="3"/>
        <v>0.66666666666666663</v>
      </c>
      <c r="T12" s="12">
        <v>1</v>
      </c>
      <c r="U12" s="13">
        <v>1</v>
      </c>
      <c r="V12" s="13">
        <v>1</v>
      </c>
      <c r="W12" s="14">
        <f t="shared" si="4"/>
        <v>1</v>
      </c>
      <c r="X12" s="12">
        <v>1</v>
      </c>
      <c r="Y12" s="13">
        <v>1</v>
      </c>
      <c r="Z12" s="14">
        <f t="shared" si="5"/>
        <v>1</v>
      </c>
    </row>
    <row r="13" spans="1:26" x14ac:dyDescent="0.2">
      <c r="A13" s="19">
        <v>2</v>
      </c>
      <c r="B13" s="19" t="s">
        <v>72</v>
      </c>
      <c r="C13" s="19">
        <v>0.6</v>
      </c>
      <c r="D13" s="12">
        <v>1</v>
      </c>
      <c r="E13" s="13">
        <v>0</v>
      </c>
      <c r="F13" s="13">
        <v>1</v>
      </c>
      <c r="G13" s="14">
        <f t="shared" si="0"/>
        <v>0.66666666666666663</v>
      </c>
      <c r="H13" s="12">
        <v>1</v>
      </c>
      <c r="I13" s="13">
        <v>1</v>
      </c>
      <c r="J13" s="13">
        <v>1</v>
      </c>
      <c r="K13" s="14">
        <f t="shared" si="1"/>
        <v>1</v>
      </c>
      <c r="L13" s="12">
        <v>1</v>
      </c>
      <c r="M13" s="13">
        <v>1</v>
      </c>
      <c r="N13" s="13">
        <v>0</v>
      </c>
      <c r="O13" s="14">
        <f t="shared" si="2"/>
        <v>0.66666666666666663</v>
      </c>
      <c r="P13" s="12">
        <v>1</v>
      </c>
      <c r="Q13" s="13">
        <v>1</v>
      </c>
      <c r="R13" s="13">
        <v>1</v>
      </c>
      <c r="S13" s="14">
        <f t="shared" si="3"/>
        <v>1</v>
      </c>
      <c r="T13" s="12">
        <v>1</v>
      </c>
      <c r="U13" s="13">
        <v>1</v>
      </c>
      <c r="V13" s="13">
        <v>1</v>
      </c>
      <c r="W13" s="14">
        <f t="shared" si="4"/>
        <v>1</v>
      </c>
      <c r="X13" s="12">
        <v>1</v>
      </c>
      <c r="Y13" s="13">
        <v>1</v>
      </c>
      <c r="Z13" s="14">
        <f t="shared" si="5"/>
        <v>1</v>
      </c>
    </row>
    <row r="14" spans="1:26" x14ac:dyDescent="0.2">
      <c r="A14" s="19">
        <v>7</v>
      </c>
      <c r="B14" s="19" t="s">
        <v>71</v>
      </c>
      <c r="C14" s="19">
        <v>0.73</v>
      </c>
      <c r="D14" s="12">
        <v>1</v>
      </c>
      <c r="E14" s="13">
        <v>1</v>
      </c>
      <c r="F14" s="13">
        <v>1</v>
      </c>
      <c r="G14" s="14">
        <f t="shared" si="0"/>
        <v>1</v>
      </c>
      <c r="H14" s="12">
        <v>1</v>
      </c>
      <c r="I14" s="13">
        <v>1</v>
      </c>
      <c r="J14" s="13">
        <v>0</v>
      </c>
      <c r="K14" s="14">
        <v>1</v>
      </c>
      <c r="L14" s="12">
        <v>1</v>
      </c>
      <c r="M14" s="13">
        <v>1</v>
      </c>
      <c r="N14" s="13">
        <v>1</v>
      </c>
      <c r="O14" s="14">
        <f t="shared" si="2"/>
        <v>1</v>
      </c>
      <c r="P14" s="12">
        <v>1</v>
      </c>
      <c r="Q14" s="13">
        <v>1</v>
      </c>
      <c r="R14" s="13">
        <v>1</v>
      </c>
      <c r="S14" s="14">
        <f t="shared" si="3"/>
        <v>1</v>
      </c>
      <c r="T14" s="12">
        <v>1</v>
      </c>
      <c r="U14" s="13">
        <v>1</v>
      </c>
      <c r="V14" s="13">
        <v>1</v>
      </c>
      <c r="W14" s="14">
        <f t="shared" si="4"/>
        <v>1</v>
      </c>
      <c r="X14" s="12">
        <v>1</v>
      </c>
      <c r="Y14" s="13">
        <v>1</v>
      </c>
      <c r="Z14" s="14">
        <f t="shared" si="5"/>
        <v>1</v>
      </c>
    </row>
    <row r="15" spans="1:26" x14ac:dyDescent="0.2">
      <c r="A15" s="20">
        <v>8</v>
      </c>
      <c r="B15" s="20" t="s">
        <v>71</v>
      </c>
      <c r="C15" s="20">
        <v>0.87</v>
      </c>
      <c r="D15" s="15">
        <v>1</v>
      </c>
      <c r="E15" s="16">
        <v>1</v>
      </c>
      <c r="F15" s="16">
        <v>1</v>
      </c>
      <c r="G15" s="17">
        <f t="shared" si="0"/>
        <v>1</v>
      </c>
      <c r="H15" s="15">
        <v>1</v>
      </c>
      <c r="I15" s="16">
        <v>1</v>
      </c>
      <c r="J15" s="16">
        <v>0</v>
      </c>
      <c r="K15" s="17">
        <f t="shared" si="1"/>
        <v>0.66666666666666663</v>
      </c>
      <c r="L15" s="15">
        <v>1</v>
      </c>
      <c r="M15" s="16">
        <v>1</v>
      </c>
      <c r="N15" s="16">
        <v>1</v>
      </c>
      <c r="O15" s="17">
        <f t="shared" si="2"/>
        <v>1</v>
      </c>
      <c r="P15" s="15">
        <v>1</v>
      </c>
      <c r="Q15" s="16">
        <v>1</v>
      </c>
      <c r="R15" s="16">
        <v>1</v>
      </c>
      <c r="S15" s="17">
        <f t="shared" si="3"/>
        <v>1</v>
      </c>
      <c r="T15" s="15">
        <v>1</v>
      </c>
      <c r="U15" s="16">
        <v>1</v>
      </c>
      <c r="V15" s="16">
        <v>1</v>
      </c>
      <c r="W15" s="17">
        <f t="shared" si="4"/>
        <v>1</v>
      </c>
      <c r="X15" s="15">
        <v>1</v>
      </c>
      <c r="Y15" s="16">
        <v>1</v>
      </c>
      <c r="Z15" s="17">
        <f t="shared" si="5"/>
        <v>1</v>
      </c>
    </row>
    <row r="16" spans="1:26" x14ac:dyDescent="0.2">
      <c r="A16" s="2"/>
      <c r="B16" s="2"/>
      <c r="C16" s="2"/>
      <c r="E16" s="2"/>
      <c r="F16" s="2" t="s">
        <v>23</v>
      </c>
      <c r="G16" s="24">
        <f>AVERAGE(G4:G15)</f>
        <v>0.91666666666666652</v>
      </c>
      <c r="H16" s="2"/>
      <c r="I16" s="2"/>
      <c r="J16" s="2" t="s">
        <v>23</v>
      </c>
      <c r="K16" s="24">
        <f>AVERAGE(K4:K15)</f>
        <v>0.94444444444444453</v>
      </c>
      <c r="L16" s="2"/>
      <c r="M16" s="2" t="s">
        <v>23</v>
      </c>
      <c r="N16" s="2"/>
      <c r="O16" s="24">
        <f>AVERAGE(O4:O15)</f>
        <v>0.5</v>
      </c>
      <c r="P16" s="2"/>
      <c r="Q16" s="2"/>
      <c r="R16" s="2" t="s">
        <v>23</v>
      </c>
      <c r="S16" s="24">
        <f>AVERAGE(S4:S15)</f>
        <v>0.79166666666666663</v>
      </c>
      <c r="T16" s="2"/>
      <c r="U16" s="2"/>
      <c r="V16" s="2" t="s">
        <v>23</v>
      </c>
      <c r="W16" s="24">
        <f>AVERAGE(W4:W15)</f>
        <v>0.91666666666666663</v>
      </c>
      <c r="X16" s="2"/>
      <c r="Y16" s="2" t="s">
        <v>23</v>
      </c>
      <c r="Z16" s="24">
        <f>AVERAGE(Z4:Z15)</f>
        <v>1</v>
      </c>
    </row>
    <row r="17" spans="1:26" x14ac:dyDescent="0.2">
      <c r="A17" s="2"/>
      <c r="B17" s="2"/>
      <c r="C17" s="2"/>
      <c r="E17" s="2"/>
      <c r="F17" s="2" t="s">
        <v>81</v>
      </c>
      <c r="G17" s="24">
        <f>STDEV(G4:G15)</f>
        <v>0.1507556722888829</v>
      </c>
      <c r="H17" s="2"/>
      <c r="I17" s="2"/>
      <c r="J17" s="2" t="s">
        <v>81</v>
      </c>
      <c r="K17" s="24">
        <f>STDEV(K4:K15)</f>
        <v>0.12974982402692048</v>
      </c>
      <c r="L17" s="2"/>
      <c r="M17" s="2"/>
      <c r="N17" s="2" t="s">
        <v>81</v>
      </c>
      <c r="O17" s="24">
        <f>STDEV(O4:O15)</f>
        <v>0.48199920365414745</v>
      </c>
      <c r="P17" s="2"/>
      <c r="Q17" s="2"/>
      <c r="R17" s="2" t="s">
        <v>81</v>
      </c>
      <c r="S17" s="24">
        <f>STDEV(S4:S15)</f>
        <v>0.31079078025403067</v>
      </c>
      <c r="T17" s="2"/>
      <c r="U17" s="2"/>
      <c r="V17" s="2" t="s">
        <v>81</v>
      </c>
      <c r="W17" s="24">
        <f>STDEV(W4:W15)</f>
        <v>0.15075567228888126</v>
      </c>
      <c r="X17" s="2"/>
      <c r="Y17" s="2" t="s">
        <v>81</v>
      </c>
      <c r="Z17" s="24">
        <f>STDEV(Z4:Z15)</f>
        <v>0</v>
      </c>
    </row>
    <row r="18" spans="1:26" x14ac:dyDescent="0.2">
      <c r="A18" s="2"/>
      <c r="B18" s="2"/>
      <c r="C18" s="2"/>
      <c r="E18" s="2"/>
      <c r="F18" s="2"/>
      <c r="G18" s="24"/>
      <c r="H18" s="2"/>
      <c r="I18" s="2"/>
      <c r="J18" s="2"/>
      <c r="K18" s="24"/>
      <c r="L18" s="2"/>
      <c r="M18" s="2"/>
      <c r="N18" s="2"/>
      <c r="O18" s="24"/>
      <c r="P18" s="2"/>
      <c r="Q18" s="2"/>
      <c r="R18" s="2"/>
      <c r="S18" s="24"/>
      <c r="T18" s="2"/>
      <c r="U18" s="2"/>
      <c r="V18" s="2"/>
      <c r="W18" s="24"/>
      <c r="X18" s="2"/>
      <c r="Y18" s="2"/>
      <c r="Z18" s="24"/>
    </row>
    <row r="19" spans="1:26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26" x14ac:dyDescent="0.2">
      <c r="C20" t="s">
        <v>17</v>
      </c>
      <c r="D20" t="s">
        <v>18</v>
      </c>
      <c r="G20" t="s">
        <v>74</v>
      </c>
      <c r="H20" t="s">
        <v>72</v>
      </c>
      <c r="I20" t="s">
        <v>71</v>
      </c>
      <c r="J20" t="s">
        <v>23</v>
      </c>
      <c r="K20" t="s">
        <v>81</v>
      </c>
      <c r="N20" t="s">
        <v>74</v>
      </c>
      <c r="O20" t="s">
        <v>72</v>
      </c>
      <c r="P20" t="s">
        <v>71</v>
      </c>
      <c r="Q20" t="s">
        <v>23</v>
      </c>
      <c r="R20" t="s">
        <v>81</v>
      </c>
    </row>
    <row r="21" spans="1:26" x14ac:dyDescent="0.2">
      <c r="B21" s="1" t="s">
        <v>19</v>
      </c>
      <c r="C21" s="11">
        <f>G16</f>
        <v>0.91666666666666652</v>
      </c>
      <c r="D21" s="11">
        <f>S16</f>
        <v>0.79166666666666663</v>
      </c>
      <c r="F21" t="s">
        <v>19</v>
      </c>
      <c r="G21" s="11">
        <f>AVERAGE(G4:G7)</f>
        <v>0.91666666666666663</v>
      </c>
      <c r="H21" s="11">
        <f>AVERAGE(G8:G11)</f>
        <v>0.91666666666666663</v>
      </c>
      <c r="I21" s="11">
        <f>AVERAGE(G12:G15)</f>
        <v>0.91666666666666663</v>
      </c>
      <c r="J21" s="11">
        <f>AVERAGE(G21:I21)</f>
        <v>0.91666666666666663</v>
      </c>
      <c r="K21" s="3">
        <f>G17</f>
        <v>0.1507556722888829</v>
      </c>
      <c r="L21" s="3"/>
      <c r="M21" t="s">
        <v>19</v>
      </c>
      <c r="N21" s="11">
        <f>AVERAGE(S4:S7)</f>
        <v>0.45833333333333326</v>
      </c>
      <c r="O21" s="11">
        <f>AVERAGE(S8:S11)</f>
        <v>1</v>
      </c>
      <c r="P21" s="11">
        <f>AVERAGE(S12:S15)</f>
        <v>0.91666666666666663</v>
      </c>
      <c r="Q21" s="11">
        <f>AVERAGE(N21:P21)</f>
        <v>0.79166666666666663</v>
      </c>
      <c r="R21" s="11">
        <f>S17</f>
        <v>0.31079078025403067</v>
      </c>
      <c r="S21" s="11"/>
      <c r="W21" s="11"/>
      <c r="Z21" s="11"/>
    </row>
    <row r="22" spans="1:26" x14ac:dyDescent="0.2">
      <c r="B22" s="1" t="s">
        <v>20</v>
      </c>
      <c r="C22" s="11">
        <f>K16</f>
        <v>0.94444444444444453</v>
      </c>
      <c r="D22" s="11">
        <f>W16</f>
        <v>0.91666666666666663</v>
      </c>
      <c r="F22" t="s">
        <v>80</v>
      </c>
      <c r="G22" s="11">
        <f>AVERAGE(K4:K7)</f>
        <v>1</v>
      </c>
      <c r="H22" s="11">
        <f>AVERAGE(K8:K11)</f>
        <v>0.91666666666666663</v>
      </c>
      <c r="I22" s="11">
        <f>AVERAGE(K12:K15)</f>
        <v>0.91666666666666663</v>
      </c>
      <c r="J22" s="11">
        <f>AVERAGE(G22:I22)</f>
        <v>0.94444444444444431</v>
      </c>
      <c r="K22" s="3">
        <f>K17</f>
        <v>0.12974982402692048</v>
      </c>
      <c r="L22" s="3"/>
      <c r="M22" t="s">
        <v>80</v>
      </c>
      <c r="N22" s="11">
        <f>AVERAGE(W4:W7)</f>
        <v>0.74999999999999989</v>
      </c>
      <c r="O22" s="11">
        <f>AVERAGE(W8:W11)</f>
        <v>1</v>
      </c>
      <c r="P22" s="11">
        <f>AVERAGE(W12:W15)</f>
        <v>1</v>
      </c>
      <c r="Q22" s="11">
        <f>AVERAGE(N22:P22)</f>
        <v>0.91666666666666663</v>
      </c>
      <c r="R22" s="11">
        <f>W17</f>
        <v>0.15075567228888126</v>
      </c>
      <c r="S22" s="11"/>
      <c r="W22" s="11"/>
      <c r="Z22" s="11"/>
    </row>
    <row r="23" spans="1:26" x14ac:dyDescent="0.2">
      <c r="B23" t="s">
        <v>21</v>
      </c>
      <c r="C23" s="11">
        <f>O16</f>
        <v>0.5</v>
      </c>
      <c r="D23">
        <f>Z16</f>
        <v>1</v>
      </c>
      <c r="F23" t="s">
        <v>21</v>
      </c>
      <c r="G23" s="11">
        <f>AVERAGE(O4:O7)</f>
        <v>0.25</v>
      </c>
      <c r="H23" s="11">
        <f>AVERAGE(M9:M12)</f>
        <v>0.25</v>
      </c>
      <c r="I23" s="11">
        <f>AVERAGE(O12:O15)</f>
        <v>0.75</v>
      </c>
      <c r="J23" s="11">
        <f>AVERAGE(G23:I23)</f>
        <v>0.41666666666666669</v>
      </c>
      <c r="K23" s="3">
        <f>O17</f>
        <v>0.48199920365414745</v>
      </c>
      <c r="L23" s="3"/>
      <c r="M23" t="s">
        <v>21</v>
      </c>
      <c r="N23" s="11">
        <f>AVERAGE(T4:T7)</f>
        <v>1</v>
      </c>
      <c r="O23" s="11">
        <f>AVERAGE(R9:R12)</f>
        <v>1</v>
      </c>
      <c r="P23" s="11">
        <f>AVERAGE(T12:T15)</f>
        <v>1</v>
      </c>
      <c r="Q23" s="11">
        <f>AVERAGE(N23:P23)</f>
        <v>1</v>
      </c>
      <c r="R23" s="11">
        <f>Z17</f>
        <v>0</v>
      </c>
      <c r="S23" s="11"/>
      <c r="W23" s="11"/>
      <c r="Z23" s="11"/>
    </row>
    <row r="25" spans="1:26" x14ac:dyDescent="0.2">
      <c r="G25" t="s">
        <v>81</v>
      </c>
      <c r="S25" t="s">
        <v>81</v>
      </c>
    </row>
    <row r="26" spans="1:26" x14ac:dyDescent="0.2">
      <c r="G26" s="11">
        <f>STDEV(G4:G7)</f>
        <v>0.16666666666666727</v>
      </c>
      <c r="H26" s="11">
        <f>STDEV(G8:G11)</f>
        <v>0.16666666666666727</v>
      </c>
      <c r="I26" s="11">
        <f>STDEV(G12:G15)</f>
        <v>0.16666666666666727</v>
      </c>
      <c r="S26" s="11">
        <f>STDEV(S4:S7)</f>
        <v>0.31549490810001535</v>
      </c>
      <c r="T26" s="11">
        <f>STDEV(S8:S11)</f>
        <v>0</v>
      </c>
      <c r="U26" s="11">
        <f>STDEV(S12:S15)</f>
        <v>0.16666666666666727</v>
      </c>
    </row>
    <row r="27" spans="1:26" x14ac:dyDescent="0.2">
      <c r="G27" s="11">
        <f>STDEV(K4:K7)</f>
        <v>0</v>
      </c>
      <c r="H27" s="11">
        <f>STDEV(K8:K11)</f>
        <v>0.16666666666666727</v>
      </c>
      <c r="I27" s="11">
        <f>STDEV(K12:K15)</f>
        <v>0.16666666666666727</v>
      </c>
      <c r="S27" s="11">
        <f>STDEV(W4:W7)</f>
        <v>0.16666666666666727</v>
      </c>
      <c r="T27" s="11">
        <f>STDEV(W8:W11)</f>
        <v>0</v>
      </c>
      <c r="U27" s="11">
        <f>STDEV(W12:W15)</f>
        <v>0</v>
      </c>
    </row>
    <row r="28" spans="1:26" x14ac:dyDescent="0.2">
      <c r="G28" s="11">
        <f>STDEV(O4:O7)</f>
        <v>0.5</v>
      </c>
      <c r="H28" s="11">
        <f>STDEV(O8:O11)</f>
        <v>0.57735026918962573</v>
      </c>
      <c r="I28" s="11">
        <f>STDEV(O12:O15)</f>
        <v>0.31914236925211259</v>
      </c>
      <c r="S28" s="11">
        <v>0</v>
      </c>
      <c r="T28" s="11">
        <v>0</v>
      </c>
      <c r="U28" s="11">
        <v>0</v>
      </c>
    </row>
  </sheetData>
  <sortState xmlns:xlrd2="http://schemas.microsoft.com/office/spreadsheetml/2017/richdata2" ref="A4:Y16">
    <sortCondition ref="C4:C16"/>
  </sortState>
  <mergeCells count="8">
    <mergeCell ref="P1:Z1"/>
    <mergeCell ref="D1:O1"/>
    <mergeCell ref="H2:K2"/>
    <mergeCell ref="D2:G2"/>
    <mergeCell ref="L2:O2"/>
    <mergeCell ref="T2:W2"/>
    <mergeCell ref="X2:Z2"/>
    <mergeCell ref="P2:S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C1C3-3007-7A45-B68D-53F5DEF63891}">
  <dimension ref="A1:AB23"/>
  <sheetViews>
    <sheetView tabSelected="1" topLeftCell="B7" zoomScale="93" workbookViewId="0">
      <selection activeCell="Y39" sqref="Y39"/>
    </sheetView>
  </sheetViews>
  <sheetFormatPr baseColWidth="10" defaultRowHeight="16" x14ac:dyDescent="0.2"/>
  <cols>
    <col min="2" max="2" width="11.1640625" bestFit="1" customWidth="1"/>
    <col min="3" max="3" width="16.83203125" bestFit="1" customWidth="1"/>
    <col min="4" max="4" width="20" bestFit="1" customWidth="1"/>
    <col min="8" max="8" width="11.1640625" bestFit="1" customWidth="1"/>
    <col min="9" max="9" width="16.83203125" bestFit="1" customWidth="1"/>
    <col min="10" max="10" width="20" bestFit="1" customWidth="1"/>
    <col min="11" max="11" width="7.1640625" bestFit="1" customWidth="1"/>
    <col min="14" max="14" width="11.1640625" bestFit="1" customWidth="1"/>
    <col min="15" max="15" width="16.83203125" bestFit="1" customWidth="1"/>
    <col min="16" max="16" width="20" bestFit="1" customWidth="1"/>
    <col min="17" max="17" width="7.1640625" bestFit="1" customWidth="1"/>
    <col min="20" max="20" width="14.6640625" bestFit="1" customWidth="1"/>
    <col min="21" max="22" width="14.6640625" customWidth="1"/>
    <col min="24" max="24" width="11" bestFit="1" customWidth="1"/>
  </cols>
  <sheetData>
    <row r="1" spans="1:28" x14ac:dyDescent="0.2">
      <c r="A1" t="s">
        <v>8</v>
      </c>
      <c r="B1" t="s">
        <v>47</v>
      </c>
      <c r="C1" t="s">
        <v>48</v>
      </c>
      <c r="D1" t="s">
        <v>49</v>
      </c>
      <c r="E1" t="s">
        <v>6</v>
      </c>
      <c r="G1" t="s">
        <v>8</v>
      </c>
      <c r="H1" t="s">
        <v>47</v>
      </c>
      <c r="I1" t="s">
        <v>48</v>
      </c>
      <c r="J1" t="s">
        <v>49</v>
      </c>
      <c r="K1" t="s">
        <v>6</v>
      </c>
      <c r="M1" t="s">
        <v>8</v>
      </c>
      <c r="N1" t="s">
        <v>47</v>
      </c>
      <c r="O1" t="s">
        <v>48</v>
      </c>
      <c r="P1" t="s">
        <v>49</v>
      </c>
      <c r="Q1" t="s">
        <v>6</v>
      </c>
      <c r="S1" t="s">
        <v>8</v>
      </c>
      <c r="T1" t="s">
        <v>9</v>
      </c>
      <c r="U1" t="s">
        <v>84</v>
      </c>
      <c r="W1" t="s">
        <v>10</v>
      </c>
      <c r="X1" t="s">
        <v>11</v>
      </c>
    </row>
    <row r="2" spans="1:28" x14ac:dyDescent="0.2">
      <c r="A2">
        <v>0</v>
      </c>
      <c r="B2">
        <v>14</v>
      </c>
      <c r="C2">
        <v>17.399999999999999</v>
      </c>
      <c r="D2">
        <f>C2-B2</f>
        <v>3.3999999999999986</v>
      </c>
      <c r="E2">
        <f>D2*0.024</f>
        <v>8.1599999999999964E-2</v>
      </c>
      <c r="G2">
        <v>0</v>
      </c>
      <c r="H2">
        <v>2</v>
      </c>
      <c r="I2">
        <v>5.8</v>
      </c>
      <c r="J2">
        <f>I2-H2</f>
        <v>3.8</v>
      </c>
      <c r="K2">
        <f>J2*0.024</f>
        <v>9.1200000000000003E-2</v>
      </c>
      <c r="M2">
        <v>0</v>
      </c>
      <c r="N2">
        <v>1</v>
      </c>
      <c r="O2">
        <v>4.7</v>
      </c>
      <c r="P2">
        <f>O2-N2</f>
        <v>3.7</v>
      </c>
      <c r="Q2">
        <f>P2*0.024</f>
        <v>8.8800000000000004E-2</v>
      </c>
      <c r="S2">
        <v>0</v>
      </c>
      <c r="T2">
        <f>AVERAGE(Q2,K2,E2)</f>
        <v>8.7199999999999986E-2</v>
      </c>
      <c r="U2">
        <f>$AA$2+$AA$4*EXP($AA$3*S2)</f>
        <v>8.6120958310436549E-2</v>
      </c>
      <c r="V2">
        <f>ABS(T2-U2)^2</f>
        <v>1.1643309678159166E-6</v>
      </c>
      <c r="W2">
        <f>MAX(Q2,K2,E2)</f>
        <v>9.1200000000000003E-2</v>
      </c>
      <c r="X2">
        <f>MIN(Q2,K2,E2)</f>
        <v>8.1599999999999964E-2</v>
      </c>
      <c r="Z2" t="s">
        <v>30</v>
      </c>
      <c r="AA2">
        <v>6.022462906099018E-2</v>
      </c>
      <c r="AB2">
        <f>AA2/T2</f>
        <v>0.69064941583704342</v>
      </c>
    </row>
    <row r="3" spans="1:28" x14ac:dyDescent="0.2">
      <c r="A3">
        <v>1</v>
      </c>
      <c r="B3">
        <v>5</v>
      </c>
      <c r="C3">
        <v>8</v>
      </c>
      <c r="D3">
        <f t="shared" ref="D3:D21" si="0">C3-B3</f>
        <v>3</v>
      </c>
      <c r="E3">
        <f t="shared" ref="E3:E21" si="1">D3*0.024</f>
        <v>7.2000000000000008E-2</v>
      </c>
      <c r="G3">
        <v>1</v>
      </c>
      <c r="H3">
        <v>2</v>
      </c>
      <c r="I3">
        <v>4.8</v>
      </c>
      <c r="J3">
        <f>I6-H6</f>
        <v>3.2</v>
      </c>
      <c r="K3">
        <f t="shared" ref="K3:K21" si="2">J3*0.024</f>
        <v>7.6800000000000007E-2</v>
      </c>
      <c r="M3">
        <v>1</v>
      </c>
      <c r="N3">
        <v>1</v>
      </c>
      <c r="O3">
        <v>4.4000000000000004</v>
      </c>
      <c r="P3">
        <f t="shared" ref="P3:P21" si="3">O3-N3</f>
        <v>3.4000000000000004</v>
      </c>
      <c r="Q3">
        <f t="shared" ref="Q3:Q21" si="4">P3*0.024</f>
        <v>8.1600000000000006E-2</v>
      </c>
      <c r="S3">
        <v>1</v>
      </c>
      <c r="T3">
        <f t="shared" ref="T3:T21" si="5">AVERAGE(Q3,K3,E3)</f>
        <v>7.6800000000000007E-2</v>
      </c>
      <c r="U3">
        <f t="shared" ref="U3:U21" si="6">$AA$2+$AA$4*EXP($AA$3*S3)</f>
        <v>7.9170731668708597E-2</v>
      </c>
      <c r="V3">
        <f t="shared" ref="V3:V21" si="7">ABS(T3-U3)^2</f>
        <v>5.6203686450178132E-6</v>
      </c>
      <c r="W3">
        <f t="shared" ref="W3:W21" si="8">MAX(Q3,K3,E3)</f>
        <v>8.1600000000000006E-2</v>
      </c>
      <c r="X3">
        <f t="shared" ref="X3:X21" si="9">MIN(Q3,K3,E3)</f>
        <v>7.2000000000000008E-2</v>
      </c>
      <c r="Z3" t="s">
        <v>82</v>
      </c>
      <c r="AA3">
        <v>-0.31250298760337297</v>
      </c>
    </row>
    <row r="4" spans="1:28" x14ac:dyDescent="0.2">
      <c r="A4">
        <v>2</v>
      </c>
      <c r="B4">
        <v>4</v>
      </c>
      <c r="C4">
        <v>6.9</v>
      </c>
      <c r="D4">
        <f t="shared" si="0"/>
        <v>2.9000000000000004</v>
      </c>
      <c r="E4">
        <f t="shared" si="1"/>
        <v>6.9600000000000009E-2</v>
      </c>
      <c r="G4">
        <v>2</v>
      </c>
      <c r="H4">
        <v>2</v>
      </c>
      <c r="I4">
        <v>4.5</v>
      </c>
      <c r="J4">
        <f>I7-H7</f>
        <v>3.2</v>
      </c>
      <c r="K4">
        <f t="shared" si="2"/>
        <v>7.6800000000000007E-2</v>
      </c>
      <c r="M4">
        <v>2</v>
      </c>
      <c r="N4">
        <v>1</v>
      </c>
      <c r="O4">
        <v>4</v>
      </c>
      <c r="P4">
        <f t="shared" si="3"/>
        <v>3</v>
      </c>
      <c r="Q4">
        <f t="shared" si="4"/>
        <v>7.2000000000000008E-2</v>
      </c>
      <c r="S4">
        <v>2</v>
      </c>
      <c r="T4">
        <f t="shared" si="5"/>
        <v>7.2800000000000017E-2</v>
      </c>
      <c r="U4">
        <f t="shared" si="6"/>
        <v>7.408585242452416E-2</v>
      </c>
      <c r="V4">
        <f t="shared" si="7"/>
        <v>1.6534164576546144E-6</v>
      </c>
      <c r="W4">
        <f t="shared" si="8"/>
        <v>7.6800000000000007E-2</v>
      </c>
      <c r="X4">
        <f t="shared" si="9"/>
        <v>6.9600000000000009E-2</v>
      </c>
      <c r="Z4" t="s">
        <v>83</v>
      </c>
      <c r="AA4">
        <v>2.5896329249446372E-2</v>
      </c>
    </row>
    <row r="5" spans="1:28" x14ac:dyDescent="0.2">
      <c r="A5">
        <v>3</v>
      </c>
      <c r="B5">
        <v>6</v>
      </c>
      <c r="C5">
        <v>8.8000000000000007</v>
      </c>
      <c r="D5">
        <f t="shared" si="0"/>
        <v>2.8000000000000007</v>
      </c>
      <c r="E5">
        <f t="shared" si="1"/>
        <v>6.7200000000000024E-2</v>
      </c>
      <c r="G5">
        <v>3</v>
      </c>
      <c r="H5">
        <v>2</v>
      </c>
      <c r="I5">
        <v>5.2</v>
      </c>
      <c r="J5">
        <f t="shared" ref="J5:J21" si="10">I5-H5</f>
        <v>3.2</v>
      </c>
      <c r="K5">
        <f t="shared" si="2"/>
        <v>7.6800000000000007E-2</v>
      </c>
      <c r="M5">
        <v>3</v>
      </c>
      <c r="N5">
        <v>1.5</v>
      </c>
      <c r="O5">
        <v>4.5</v>
      </c>
      <c r="P5">
        <f t="shared" si="3"/>
        <v>3</v>
      </c>
      <c r="Q5">
        <f t="shared" si="4"/>
        <v>7.2000000000000008E-2</v>
      </c>
      <c r="S5">
        <v>3</v>
      </c>
      <c r="T5">
        <f t="shared" si="5"/>
        <v>7.2000000000000008E-2</v>
      </c>
      <c r="U5">
        <f t="shared" si="6"/>
        <v>7.0365686412569572E-2</v>
      </c>
      <c r="V5">
        <f t="shared" si="7"/>
        <v>2.6709809020597411E-6</v>
      </c>
      <c r="W5">
        <f t="shared" si="8"/>
        <v>7.6800000000000007E-2</v>
      </c>
      <c r="X5">
        <f t="shared" si="9"/>
        <v>6.7200000000000024E-2</v>
      </c>
    </row>
    <row r="6" spans="1:28" x14ac:dyDescent="0.2">
      <c r="A6">
        <v>4</v>
      </c>
      <c r="B6">
        <v>2</v>
      </c>
      <c r="C6">
        <v>5</v>
      </c>
      <c r="D6">
        <f t="shared" si="0"/>
        <v>3</v>
      </c>
      <c r="E6">
        <f t="shared" si="1"/>
        <v>7.2000000000000008E-2</v>
      </c>
      <c r="G6">
        <v>4</v>
      </c>
      <c r="H6">
        <v>2</v>
      </c>
      <c r="I6">
        <v>5.2</v>
      </c>
      <c r="J6">
        <f>I3-H3</f>
        <v>2.8</v>
      </c>
      <c r="K6">
        <f t="shared" si="2"/>
        <v>6.7199999999999996E-2</v>
      </c>
      <c r="M6">
        <v>4</v>
      </c>
      <c r="N6">
        <v>2</v>
      </c>
      <c r="O6">
        <v>5.2</v>
      </c>
      <c r="P6">
        <f t="shared" si="3"/>
        <v>3.2</v>
      </c>
      <c r="Q6">
        <f t="shared" si="4"/>
        <v>7.6800000000000007E-2</v>
      </c>
      <c r="S6">
        <v>4</v>
      </c>
      <c r="T6">
        <f t="shared" si="5"/>
        <v>7.2000000000000008E-2</v>
      </c>
      <c r="U6">
        <f t="shared" si="6"/>
        <v>6.7643962947389849E-2</v>
      </c>
      <c r="V6">
        <f t="shared" si="7"/>
        <v>1.8975058803712605E-5</v>
      </c>
      <c r="W6">
        <f t="shared" si="8"/>
        <v>7.6800000000000007E-2</v>
      </c>
      <c r="X6">
        <f t="shared" si="9"/>
        <v>6.7199999999999996E-2</v>
      </c>
    </row>
    <row r="7" spans="1:28" x14ac:dyDescent="0.2">
      <c r="A7">
        <v>5</v>
      </c>
      <c r="B7">
        <v>2</v>
      </c>
      <c r="C7">
        <v>4.8</v>
      </c>
      <c r="D7">
        <f t="shared" si="0"/>
        <v>2.8</v>
      </c>
      <c r="E7">
        <f t="shared" si="1"/>
        <v>6.7199999999999996E-2</v>
      </c>
      <c r="G7">
        <v>5</v>
      </c>
      <c r="H7">
        <v>2</v>
      </c>
      <c r="I7">
        <v>5.2</v>
      </c>
      <c r="J7">
        <f>I4-H4</f>
        <v>2.5</v>
      </c>
      <c r="K7">
        <f t="shared" si="2"/>
        <v>0.06</v>
      </c>
      <c r="M7">
        <v>5</v>
      </c>
      <c r="N7">
        <v>2</v>
      </c>
      <c r="O7">
        <v>4.7</v>
      </c>
      <c r="P7">
        <f t="shared" si="3"/>
        <v>2.7</v>
      </c>
      <c r="Q7">
        <f t="shared" si="4"/>
        <v>6.480000000000001E-2</v>
      </c>
      <c r="S7">
        <v>5</v>
      </c>
      <c r="T7">
        <f t="shared" si="5"/>
        <v>6.4000000000000001E-2</v>
      </c>
      <c r="U7">
        <f t="shared" si="6"/>
        <v>6.5652713471666083E-2</v>
      </c>
      <c r="V7">
        <f t="shared" si="7"/>
        <v>2.7314618194265511E-6</v>
      </c>
      <c r="W7">
        <f t="shared" si="8"/>
        <v>6.7199999999999996E-2</v>
      </c>
      <c r="X7">
        <f t="shared" si="9"/>
        <v>0.06</v>
      </c>
    </row>
    <row r="8" spans="1:28" x14ac:dyDescent="0.2">
      <c r="A8">
        <v>6</v>
      </c>
      <c r="B8">
        <v>1</v>
      </c>
      <c r="C8">
        <v>3.5</v>
      </c>
      <c r="D8">
        <f t="shared" si="0"/>
        <v>2.5</v>
      </c>
      <c r="E8">
        <f t="shared" si="1"/>
        <v>0.06</v>
      </c>
      <c r="G8">
        <v>6</v>
      </c>
      <c r="H8">
        <v>1</v>
      </c>
      <c r="I8">
        <v>3.9</v>
      </c>
      <c r="J8">
        <f t="shared" si="10"/>
        <v>2.9</v>
      </c>
      <c r="K8">
        <f t="shared" si="2"/>
        <v>6.9599999999999995E-2</v>
      </c>
      <c r="M8">
        <v>6</v>
      </c>
      <c r="N8">
        <v>1</v>
      </c>
      <c r="O8">
        <v>3.9</v>
      </c>
      <c r="P8">
        <f t="shared" si="3"/>
        <v>2.9</v>
      </c>
      <c r="Q8">
        <f t="shared" si="4"/>
        <v>6.9599999999999995E-2</v>
      </c>
      <c r="S8">
        <v>6</v>
      </c>
      <c r="T8">
        <f t="shared" si="5"/>
        <v>6.6400000000000001E-2</v>
      </c>
      <c r="U8">
        <f t="shared" si="6"/>
        <v>6.4195888586516217E-2</v>
      </c>
      <c r="V8">
        <f t="shared" si="7"/>
        <v>4.8581071230494826E-6</v>
      </c>
      <c r="W8">
        <f t="shared" si="8"/>
        <v>6.9599999999999995E-2</v>
      </c>
      <c r="X8">
        <f t="shared" si="9"/>
        <v>0.06</v>
      </c>
    </row>
    <row r="9" spans="1:28" x14ac:dyDescent="0.2">
      <c r="A9">
        <v>7</v>
      </c>
      <c r="B9">
        <v>8</v>
      </c>
      <c r="C9">
        <v>10.6</v>
      </c>
      <c r="D9">
        <f t="shared" si="0"/>
        <v>2.5999999999999996</v>
      </c>
      <c r="E9">
        <f t="shared" si="1"/>
        <v>6.239999999999999E-2</v>
      </c>
      <c r="G9">
        <v>7</v>
      </c>
      <c r="H9">
        <v>1.5</v>
      </c>
      <c r="I9">
        <v>4</v>
      </c>
      <c r="J9">
        <f t="shared" si="10"/>
        <v>2.5</v>
      </c>
      <c r="K9">
        <f t="shared" si="2"/>
        <v>0.06</v>
      </c>
      <c r="M9">
        <v>7</v>
      </c>
      <c r="N9">
        <v>2</v>
      </c>
      <c r="O9">
        <v>4.2</v>
      </c>
      <c r="P9">
        <f t="shared" si="3"/>
        <v>2.2000000000000002</v>
      </c>
      <c r="Q9">
        <f t="shared" si="4"/>
        <v>5.2800000000000007E-2</v>
      </c>
      <c r="S9">
        <v>7</v>
      </c>
      <c r="T9">
        <f t="shared" si="5"/>
        <v>5.8400000000000001E-2</v>
      </c>
      <c r="U9">
        <f t="shared" si="6"/>
        <v>6.313005591619221E-2</v>
      </c>
      <c r="V9">
        <f t="shared" si="7"/>
        <v>2.237342897030492E-5</v>
      </c>
      <c r="W9">
        <f t="shared" si="8"/>
        <v>6.239999999999999E-2</v>
      </c>
      <c r="X9">
        <f t="shared" si="9"/>
        <v>5.2800000000000007E-2</v>
      </c>
    </row>
    <row r="10" spans="1:28" x14ac:dyDescent="0.2">
      <c r="A10">
        <v>8</v>
      </c>
      <c r="B10">
        <v>4</v>
      </c>
      <c r="C10">
        <v>6.6</v>
      </c>
      <c r="D10">
        <f t="shared" si="0"/>
        <v>2.5999999999999996</v>
      </c>
      <c r="E10">
        <f t="shared" si="1"/>
        <v>6.239999999999999E-2</v>
      </c>
      <c r="G10">
        <v>8</v>
      </c>
      <c r="H10">
        <v>2</v>
      </c>
      <c r="I10">
        <v>4.5999999999999996</v>
      </c>
      <c r="J10">
        <f t="shared" si="10"/>
        <v>2.5999999999999996</v>
      </c>
      <c r="K10">
        <f t="shared" si="2"/>
        <v>6.239999999999999E-2</v>
      </c>
      <c r="M10">
        <v>8</v>
      </c>
      <c r="N10">
        <v>1.5</v>
      </c>
      <c r="O10">
        <v>4.3</v>
      </c>
      <c r="P10">
        <f t="shared" si="3"/>
        <v>2.8</v>
      </c>
      <c r="Q10">
        <f t="shared" si="4"/>
        <v>6.7199999999999996E-2</v>
      </c>
      <c r="S10">
        <v>8</v>
      </c>
      <c r="T10">
        <f t="shared" si="5"/>
        <v>6.3999999999999987E-2</v>
      </c>
      <c r="U10">
        <f t="shared" si="6"/>
        <v>6.2350278406410636E-2</v>
      </c>
      <c r="V10">
        <f t="shared" si="7"/>
        <v>2.7215813363549881E-6</v>
      </c>
      <c r="W10">
        <f t="shared" si="8"/>
        <v>6.7199999999999996E-2</v>
      </c>
      <c r="X10">
        <f t="shared" si="9"/>
        <v>6.239999999999999E-2</v>
      </c>
    </row>
    <row r="11" spans="1:28" x14ac:dyDescent="0.2">
      <c r="A11">
        <v>9</v>
      </c>
      <c r="B11">
        <v>1.5</v>
      </c>
      <c r="C11">
        <v>4.2</v>
      </c>
      <c r="D11">
        <f t="shared" si="0"/>
        <v>2.7</v>
      </c>
      <c r="E11">
        <f t="shared" si="1"/>
        <v>6.480000000000001E-2</v>
      </c>
      <c r="G11">
        <v>9</v>
      </c>
      <c r="H11">
        <v>1.5</v>
      </c>
      <c r="I11">
        <v>4</v>
      </c>
      <c r="J11">
        <f t="shared" si="10"/>
        <v>2.5</v>
      </c>
      <c r="K11">
        <f t="shared" si="2"/>
        <v>0.06</v>
      </c>
      <c r="M11">
        <v>9</v>
      </c>
      <c r="N11">
        <v>2</v>
      </c>
      <c r="O11">
        <v>4.2</v>
      </c>
      <c r="P11">
        <f t="shared" si="3"/>
        <v>2.2000000000000002</v>
      </c>
      <c r="Q11">
        <f t="shared" si="4"/>
        <v>5.2800000000000007E-2</v>
      </c>
      <c r="S11">
        <v>9</v>
      </c>
      <c r="T11">
        <f t="shared" si="5"/>
        <v>5.920000000000001E-2</v>
      </c>
      <c r="U11">
        <f t="shared" si="6"/>
        <v>6.1779782697570798E-2</v>
      </c>
      <c r="V11">
        <f t="shared" si="7"/>
        <v>6.6552787666856146E-6</v>
      </c>
      <c r="W11">
        <f t="shared" si="8"/>
        <v>6.480000000000001E-2</v>
      </c>
      <c r="X11">
        <f t="shared" si="9"/>
        <v>5.2800000000000007E-2</v>
      </c>
    </row>
    <row r="12" spans="1:28" x14ac:dyDescent="0.2">
      <c r="A12">
        <v>10</v>
      </c>
      <c r="B12">
        <v>1.5</v>
      </c>
      <c r="C12">
        <v>4</v>
      </c>
      <c r="D12">
        <f t="shared" si="0"/>
        <v>2.5</v>
      </c>
      <c r="E12">
        <f t="shared" si="1"/>
        <v>0.06</v>
      </c>
      <c r="G12">
        <v>10</v>
      </c>
      <c r="H12">
        <v>2</v>
      </c>
      <c r="I12">
        <v>4.5</v>
      </c>
      <c r="J12">
        <f t="shared" si="10"/>
        <v>2.5</v>
      </c>
      <c r="K12">
        <f t="shared" si="2"/>
        <v>0.06</v>
      </c>
      <c r="M12">
        <v>10</v>
      </c>
      <c r="N12">
        <v>2</v>
      </c>
      <c r="O12">
        <v>4.7</v>
      </c>
      <c r="P12">
        <f t="shared" si="3"/>
        <v>2.7</v>
      </c>
      <c r="Q12">
        <f t="shared" si="4"/>
        <v>6.480000000000001E-2</v>
      </c>
      <c r="S12">
        <v>10</v>
      </c>
      <c r="T12">
        <f t="shared" si="5"/>
        <v>6.1600000000000009E-2</v>
      </c>
      <c r="U12">
        <f t="shared" si="6"/>
        <v>6.1362400367711296E-2</v>
      </c>
      <c r="V12">
        <f t="shared" si="7"/>
        <v>5.6453585263731392E-8</v>
      </c>
      <c r="W12">
        <f t="shared" si="8"/>
        <v>6.480000000000001E-2</v>
      </c>
      <c r="X12">
        <f t="shared" si="9"/>
        <v>0.06</v>
      </c>
    </row>
    <row r="13" spans="1:28" x14ac:dyDescent="0.2">
      <c r="A13">
        <v>11</v>
      </c>
      <c r="B13">
        <v>1.5</v>
      </c>
      <c r="C13">
        <v>4.0999999999999996</v>
      </c>
      <c r="D13">
        <f t="shared" si="0"/>
        <v>2.5999999999999996</v>
      </c>
      <c r="E13">
        <f t="shared" si="1"/>
        <v>6.239999999999999E-2</v>
      </c>
      <c r="G13">
        <v>11</v>
      </c>
      <c r="H13">
        <v>2</v>
      </c>
      <c r="I13">
        <v>5</v>
      </c>
      <c r="J13">
        <f t="shared" si="10"/>
        <v>3</v>
      </c>
      <c r="K13">
        <f t="shared" si="2"/>
        <v>7.2000000000000008E-2</v>
      </c>
      <c r="M13">
        <v>11</v>
      </c>
      <c r="N13">
        <v>2</v>
      </c>
      <c r="O13">
        <v>5</v>
      </c>
      <c r="P13">
        <f t="shared" si="3"/>
        <v>3</v>
      </c>
      <c r="Q13">
        <f t="shared" si="4"/>
        <v>7.2000000000000008E-2</v>
      </c>
      <c r="S13">
        <v>11</v>
      </c>
      <c r="T13">
        <f t="shared" si="5"/>
        <v>6.88E-2</v>
      </c>
      <c r="U13">
        <f t="shared" si="6"/>
        <v>6.1057037844243385E-2</v>
      </c>
      <c r="V13">
        <f t="shared" si="7"/>
        <v>5.9953462945479125E-5</v>
      </c>
      <c r="W13">
        <f t="shared" si="8"/>
        <v>7.2000000000000008E-2</v>
      </c>
      <c r="X13">
        <f t="shared" si="9"/>
        <v>6.239999999999999E-2</v>
      </c>
    </row>
    <row r="14" spans="1:28" x14ac:dyDescent="0.2">
      <c r="A14">
        <v>12</v>
      </c>
      <c r="B14">
        <v>1.5</v>
      </c>
      <c r="C14">
        <v>3.5</v>
      </c>
      <c r="D14">
        <f t="shared" si="0"/>
        <v>2</v>
      </c>
      <c r="E14">
        <f t="shared" si="1"/>
        <v>4.8000000000000001E-2</v>
      </c>
      <c r="G14">
        <v>12</v>
      </c>
      <c r="H14">
        <v>2</v>
      </c>
      <c r="I14">
        <v>4.0999999999999996</v>
      </c>
      <c r="J14">
        <f t="shared" si="10"/>
        <v>2.0999999999999996</v>
      </c>
      <c r="K14">
        <f t="shared" si="2"/>
        <v>5.0399999999999993E-2</v>
      </c>
      <c r="M14">
        <v>12</v>
      </c>
      <c r="N14">
        <v>2</v>
      </c>
      <c r="O14">
        <v>4.5</v>
      </c>
      <c r="P14">
        <f t="shared" si="3"/>
        <v>2.5</v>
      </c>
      <c r="Q14">
        <f t="shared" si="4"/>
        <v>0.06</v>
      </c>
      <c r="S14">
        <v>12</v>
      </c>
      <c r="T14">
        <f t="shared" si="5"/>
        <v>5.2799999999999993E-2</v>
      </c>
      <c r="U14">
        <f t="shared" si="6"/>
        <v>6.0833630517033159E-2</v>
      </c>
      <c r="V14">
        <f t="shared" si="7"/>
        <v>6.4539219284206583E-5</v>
      </c>
      <c r="W14">
        <f t="shared" si="8"/>
        <v>0.06</v>
      </c>
      <c r="X14">
        <f t="shared" si="9"/>
        <v>4.8000000000000001E-2</v>
      </c>
    </row>
    <row r="15" spans="1:28" x14ac:dyDescent="0.2">
      <c r="A15">
        <v>13</v>
      </c>
      <c r="B15">
        <v>2</v>
      </c>
      <c r="C15">
        <v>4.4000000000000004</v>
      </c>
      <c r="D15">
        <f t="shared" si="0"/>
        <v>2.4000000000000004</v>
      </c>
      <c r="E15">
        <f t="shared" si="1"/>
        <v>5.7600000000000012E-2</v>
      </c>
      <c r="G15">
        <v>13</v>
      </c>
      <c r="H15">
        <v>1.3</v>
      </c>
      <c r="I15">
        <v>3.8</v>
      </c>
      <c r="J15">
        <f t="shared" si="10"/>
        <v>2.5</v>
      </c>
      <c r="K15">
        <f t="shared" si="2"/>
        <v>0.06</v>
      </c>
      <c r="M15">
        <v>13</v>
      </c>
      <c r="N15">
        <v>2</v>
      </c>
      <c r="O15">
        <v>4.5999999999999996</v>
      </c>
      <c r="P15">
        <f t="shared" si="3"/>
        <v>2.5999999999999996</v>
      </c>
      <c r="Q15">
        <f t="shared" si="4"/>
        <v>6.239999999999999E-2</v>
      </c>
      <c r="S15">
        <v>13</v>
      </c>
      <c r="T15">
        <f t="shared" si="5"/>
        <v>0.06</v>
      </c>
      <c r="U15">
        <f t="shared" si="6"/>
        <v>6.0670182713142902E-2</v>
      </c>
      <c r="V15">
        <f t="shared" si="7"/>
        <v>4.491448689955842E-7</v>
      </c>
      <c r="W15">
        <f t="shared" si="8"/>
        <v>6.239999999999999E-2</v>
      </c>
      <c r="X15">
        <f t="shared" si="9"/>
        <v>5.7600000000000012E-2</v>
      </c>
    </row>
    <row r="16" spans="1:28" x14ac:dyDescent="0.2">
      <c r="A16">
        <v>14</v>
      </c>
      <c r="B16">
        <v>2</v>
      </c>
      <c r="C16">
        <v>4.3</v>
      </c>
      <c r="D16">
        <f t="shared" si="0"/>
        <v>2.2999999999999998</v>
      </c>
      <c r="E16">
        <f t="shared" si="1"/>
        <v>5.5199999999999999E-2</v>
      </c>
      <c r="G16">
        <v>14</v>
      </c>
      <c r="H16">
        <v>1.3</v>
      </c>
      <c r="I16">
        <v>3.7</v>
      </c>
      <c r="J16">
        <f t="shared" si="10"/>
        <v>2.4000000000000004</v>
      </c>
      <c r="K16">
        <f t="shared" si="2"/>
        <v>5.7600000000000012E-2</v>
      </c>
      <c r="M16">
        <v>14</v>
      </c>
      <c r="N16">
        <v>2</v>
      </c>
      <c r="O16">
        <v>4.2</v>
      </c>
      <c r="P16">
        <f t="shared" si="3"/>
        <v>2.2000000000000002</v>
      </c>
      <c r="Q16">
        <f t="shared" si="4"/>
        <v>5.2800000000000007E-2</v>
      </c>
      <c r="S16">
        <v>14</v>
      </c>
      <c r="T16">
        <f t="shared" si="5"/>
        <v>5.5200000000000006E-2</v>
      </c>
      <c r="U16">
        <f t="shared" si="6"/>
        <v>6.0550602102559754E-2</v>
      </c>
      <c r="V16">
        <f t="shared" si="7"/>
        <v>2.8628942859916801E-5</v>
      </c>
      <c r="W16">
        <f t="shared" si="8"/>
        <v>5.7600000000000012E-2</v>
      </c>
      <c r="X16">
        <f t="shared" si="9"/>
        <v>5.2800000000000007E-2</v>
      </c>
    </row>
    <row r="17" spans="1:24" x14ac:dyDescent="0.2">
      <c r="A17">
        <v>15</v>
      </c>
      <c r="B17">
        <v>1</v>
      </c>
      <c r="C17">
        <v>3.6</v>
      </c>
      <c r="D17">
        <f t="shared" si="0"/>
        <v>2.6</v>
      </c>
      <c r="E17">
        <f t="shared" si="1"/>
        <v>6.2400000000000004E-2</v>
      </c>
      <c r="G17">
        <v>15</v>
      </c>
      <c r="H17">
        <v>1</v>
      </c>
      <c r="I17">
        <v>3.6</v>
      </c>
      <c r="J17">
        <f t="shared" si="10"/>
        <v>2.6</v>
      </c>
      <c r="K17">
        <f t="shared" si="2"/>
        <v>6.2400000000000004E-2</v>
      </c>
      <c r="M17">
        <v>15</v>
      </c>
      <c r="N17">
        <v>1</v>
      </c>
      <c r="O17">
        <v>3.6</v>
      </c>
      <c r="P17">
        <f t="shared" si="3"/>
        <v>2.6</v>
      </c>
      <c r="Q17">
        <f t="shared" si="4"/>
        <v>6.2400000000000004E-2</v>
      </c>
      <c r="S17">
        <v>15</v>
      </c>
      <c r="T17">
        <f t="shared" si="5"/>
        <v>6.2400000000000004E-2</v>
      </c>
      <c r="U17">
        <f t="shared" si="6"/>
        <v>6.0463115320314335E-2</v>
      </c>
      <c r="V17">
        <f t="shared" si="7"/>
        <v>3.7515222624010553E-6</v>
      </c>
      <c r="W17">
        <f t="shared" si="8"/>
        <v>6.2400000000000004E-2</v>
      </c>
      <c r="X17">
        <f t="shared" si="9"/>
        <v>6.2400000000000004E-2</v>
      </c>
    </row>
    <row r="18" spans="1:24" x14ac:dyDescent="0.2">
      <c r="A18">
        <v>16</v>
      </c>
      <c r="B18">
        <v>6</v>
      </c>
      <c r="C18">
        <v>8.1999999999999993</v>
      </c>
      <c r="D18">
        <f t="shared" si="0"/>
        <v>2.1999999999999993</v>
      </c>
      <c r="E18">
        <f t="shared" si="1"/>
        <v>5.2799999999999986E-2</v>
      </c>
      <c r="G18">
        <v>16</v>
      </c>
      <c r="H18">
        <v>3</v>
      </c>
      <c r="I18">
        <v>5.2</v>
      </c>
      <c r="J18">
        <f t="shared" si="10"/>
        <v>2.2000000000000002</v>
      </c>
      <c r="K18">
        <f t="shared" si="2"/>
        <v>5.2800000000000007E-2</v>
      </c>
      <c r="M18">
        <v>16</v>
      </c>
      <c r="N18">
        <v>1.5</v>
      </c>
      <c r="O18">
        <v>4</v>
      </c>
      <c r="P18">
        <f t="shared" si="3"/>
        <v>2.5</v>
      </c>
      <c r="Q18">
        <f t="shared" si="4"/>
        <v>0.06</v>
      </c>
      <c r="S18">
        <v>16</v>
      </c>
      <c r="T18">
        <f t="shared" si="5"/>
        <v>5.5199999999999999E-2</v>
      </c>
      <c r="U18">
        <f t="shared" si="6"/>
        <v>6.0399108814323678E-2</v>
      </c>
      <c r="V18">
        <f t="shared" si="7"/>
        <v>2.7030732463178171E-5</v>
      </c>
      <c r="W18">
        <f t="shared" si="8"/>
        <v>0.06</v>
      </c>
      <c r="X18">
        <f t="shared" si="9"/>
        <v>5.2799999999999986E-2</v>
      </c>
    </row>
    <row r="19" spans="1:24" x14ac:dyDescent="0.2">
      <c r="A19">
        <v>17</v>
      </c>
      <c r="B19">
        <v>2.5</v>
      </c>
      <c r="C19">
        <v>5.2</v>
      </c>
      <c r="D19">
        <f t="shared" si="0"/>
        <v>2.7</v>
      </c>
      <c r="E19">
        <f t="shared" si="1"/>
        <v>6.480000000000001E-2</v>
      </c>
      <c r="G19">
        <v>17</v>
      </c>
      <c r="H19">
        <v>2</v>
      </c>
      <c r="I19">
        <v>4.5</v>
      </c>
      <c r="J19">
        <f t="shared" si="10"/>
        <v>2.5</v>
      </c>
      <c r="K19">
        <f t="shared" si="2"/>
        <v>0.06</v>
      </c>
      <c r="M19">
        <v>17</v>
      </c>
      <c r="N19">
        <v>1.5</v>
      </c>
      <c r="O19">
        <v>4.5</v>
      </c>
      <c r="P19">
        <f t="shared" si="3"/>
        <v>3</v>
      </c>
      <c r="Q19">
        <f t="shared" si="4"/>
        <v>7.2000000000000008E-2</v>
      </c>
      <c r="S19">
        <v>17</v>
      </c>
      <c r="T19">
        <f t="shared" si="5"/>
        <v>6.5600000000000006E-2</v>
      </c>
      <c r="U19">
        <f t="shared" si="6"/>
        <v>6.0352280794090406E-2</v>
      </c>
      <c r="V19">
        <f t="shared" si="7"/>
        <v>2.7538556864072479E-5</v>
      </c>
      <c r="W19">
        <f t="shared" si="8"/>
        <v>7.2000000000000008E-2</v>
      </c>
      <c r="X19">
        <f t="shared" si="9"/>
        <v>0.06</v>
      </c>
    </row>
    <row r="20" spans="1:24" x14ac:dyDescent="0.2">
      <c r="A20">
        <v>18</v>
      </c>
      <c r="B20">
        <v>4</v>
      </c>
      <c r="C20">
        <v>6.3</v>
      </c>
      <c r="D20">
        <f t="shared" si="0"/>
        <v>2.2999999999999998</v>
      </c>
      <c r="E20">
        <f t="shared" si="1"/>
        <v>5.5199999999999999E-2</v>
      </c>
      <c r="G20">
        <v>18</v>
      </c>
      <c r="H20">
        <v>2</v>
      </c>
      <c r="I20">
        <v>4.5</v>
      </c>
      <c r="J20">
        <f t="shared" si="10"/>
        <v>2.5</v>
      </c>
      <c r="K20">
        <f t="shared" si="2"/>
        <v>0.06</v>
      </c>
      <c r="M20">
        <v>18</v>
      </c>
      <c r="N20">
        <v>1.2</v>
      </c>
      <c r="O20">
        <v>4</v>
      </c>
      <c r="P20">
        <f t="shared" si="3"/>
        <v>2.8</v>
      </c>
      <c r="Q20">
        <f t="shared" si="4"/>
        <v>6.7199999999999996E-2</v>
      </c>
      <c r="S20">
        <v>18</v>
      </c>
      <c r="T20">
        <f t="shared" si="5"/>
        <v>6.0799999999999993E-2</v>
      </c>
      <c r="U20">
        <f t="shared" si="6"/>
        <v>6.0318020784970582E-2</v>
      </c>
      <c r="V20">
        <f t="shared" si="7"/>
        <v>2.3230396372036757E-7</v>
      </c>
      <c r="W20">
        <f t="shared" si="8"/>
        <v>6.7199999999999996E-2</v>
      </c>
      <c r="X20">
        <f t="shared" si="9"/>
        <v>5.5199999999999999E-2</v>
      </c>
    </row>
    <row r="21" spans="1:24" x14ac:dyDescent="0.2">
      <c r="A21">
        <v>19</v>
      </c>
      <c r="B21">
        <v>5</v>
      </c>
      <c r="C21">
        <v>7.5</v>
      </c>
      <c r="D21">
        <f t="shared" si="0"/>
        <v>2.5</v>
      </c>
      <c r="E21">
        <f t="shared" si="1"/>
        <v>0.06</v>
      </c>
      <c r="G21">
        <v>19</v>
      </c>
      <c r="H21">
        <v>1.4</v>
      </c>
      <c r="I21">
        <v>4.3</v>
      </c>
      <c r="J21">
        <f t="shared" si="10"/>
        <v>2.9</v>
      </c>
      <c r="K21">
        <f t="shared" si="2"/>
        <v>6.9599999999999995E-2</v>
      </c>
      <c r="M21">
        <v>19</v>
      </c>
      <c r="N21">
        <v>1.5</v>
      </c>
      <c r="O21">
        <v>4.3</v>
      </c>
      <c r="P21">
        <f t="shared" si="3"/>
        <v>2.8</v>
      </c>
      <c r="Q21">
        <f t="shared" si="4"/>
        <v>6.7199999999999996E-2</v>
      </c>
      <c r="S21">
        <v>19</v>
      </c>
      <c r="T21">
        <f t="shared" si="5"/>
        <v>6.5599999999999992E-2</v>
      </c>
      <c r="U21">
        <f t="shared" si="6"/>
        <v>6.0292955701735304E-2</v>
      </c>
      <c r="V21">
        <f t="shared" si="7"/>
        <v>2.816471918374373E-5</v>
      </c>
      <c r="W21">
        <f t="shared" si="8"/>
        <v>6.9599999999999995E-2</v>
      </c>
      <c r="X21">
        <f t="shared" si="9"/>
        <v>0.06</v>
      </c>
    </row>
    <row r="22" spans="1:24" x14ac:dyDescent="0.2">
      <c r="V22">
        <f>SUM(V2:V21)</f>
        <v>3.0976907207305986E-4</v>
      </c>
    </row>
    <row r="23" spans="1:24" x14ac:dyDescent="0.2">
      <c r="T23">
        <f>0.0656/0.0872</f>
        <v>0.75229357798165142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3269ADC-253D-D54E-8177-F7DA60F328A0}">
          <xm:f>'Reusability test'!1:1048576</xm:f>
        </x15:webExtension>
        <x15:webExtension appRef="{198B7F45-706F-1D42-955B-2791B0A8022D}">
          <xm:f>'Reusability test'!#REF!</xm:f>
        </x15:webExtension>
        <x15:webExtension appRef="{E33B11E5-A7D0-F246-AB31-7F0FF553C129}">
          <xm:f>'Reusability test'!1:1048576</xm:f>
        </x15:webExtension>
        <x15:webExtension appRef="{A9974C80-9A48-E044-B6C9-DFB292997FFF}">
          <xm:f>'Reusability test'!XFD1048550:XFD1048575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Gripper tip Force - deflection</vt:lpstr>
      <vt:lpstr>Gecko-adhesion Characterisation</vt:lpstr>
      <vt:lpstr>Area dependent max loading</vt:lpstr>
      <vt:lpstr>Biopsy pick and place</vt:lpstr>
      <vt:lpstr>Reusability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2023-05-08T16:52:17Z</dcterms:created>
  <dcterms:modified xsi:type="dcterms:W3CDTF">2023-05-31T14:16:58Z</dcterms:modified>
</cp:coreProperties>
</file>