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\Desktop\"/>
    </mc:Choice>
  </mc:AlternateContent>
  <bookViews>
    <workbookView xWindow="0" yWindow="0" windowWidth="28800" windowHeight="11730" activeTab="6"/>
  </bookViews>
  <sheets>
    <sheet name="СВОД НА 50 ДВИГАТЕЛЬ" sheetId="1" r:id="rId1"/>
    <sheet name="CAPEX" sheetId="2" r:id="rId2"/>
    <sheet name="OPEX" sheetId="3" r:id="rId3"/>
    <sheet name="Стоимость команды" sheetId="4" r:id="rId4"/>
    <sheet name="ЭФ1" sheetId="5" r:id="rId5"/>
    <sheet name="ЭФ2" sheetId="6" r:id="rId6"/>
    <sheet name="ЭФ3" sheetId="7" r:id="rId7"/>
    <sheet name="ЭФ4" sheetId="8" r:id="rId8"/>
    <sheet name="Ставка дисконтирования" sheetId="9" r:id="rId9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6" i="7" l="1"/>
  <c r="B5" i="7"/>
  <c r="B3" i="7"/>
  <c r="B2" i="7"/>
  <c r="B3" i="3" l="1"/>
  <c r="B2" i="3"/>
  <c r="A40" i="1" l="1"/>
  <c r="H4" i="1" l="1"/>
  <c r="H9" i="1" s="1"/>
  <c r="H5" i="1"/>
  <c r="H6" i="1"/>
  <c r="H7" i="1"/>
  <c r="H8" i="1"/>
  <c r="H13" i="1"/>
  <c r="H14" i="1"/>
  <c r="H15" i="1"/>
  <c r="H17" i="1"/>
  <c r="H19" i="1"/>
  <c r="H20" i="1"/>
  <c r="H21" i="1"/>
  <c r="H22" i="1"/>
  <c r="H24" i="1"/>
  <c r="H25" i="1"/>
  <c r="H26" i="1"/>
  <c r="H27" i="1"/>
  <c r="H29" i="1"/>
  <c r="H44" i="1"/>
  <c r="D44" i="1"/>
  <c r="E44" i="1"/>
  <c r="F44" i="1"/>
  <c r="G44" i="1"/>
  <c r="C44" i="1"/>
  <c r="D26" i="1"/>
  <c r="E26" i="1"/>
  <c r="F26" i="1"/>
  <c r="G26" i="1"/>
  <c r="C26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C22" i="1"/>
  <c r="C21" i="1"/>
  <c r="C20" i="1"/>
  <c r="C19" i="1"/>
  <c r="D14" i="1"/>
  <c r="E14" i="1"/>
  <c r="F14" i="1"/>
  <c r="G14" i="1"/>
  <c r="C15" i="1"/>
  <c r="C14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C7" i="1"/>
  <c r="C5" i="1"/>
  <c r="A45" i="1"/>
  <c r="B8" i="7"/>
  <c r="G9" i="1" l="1"/>
  <c r="G10" i="1" s="1"/>
  <c r="H18" i="1"/>
  <c r="H23" i="1"/>
  <c r="F18" i="1"/>
  <c r="F9" i="1"/>
  <c r="F11" i="1" s="1"/>
  <c r="D9" i="1"/>
  <c r="D10" i="1" s="1"/>
  <c r="D18" i="1"/>
  <c r="H10" i="1"/>
  <c r="E18" i="1"/>
  <c r="C18" i="1"/>
  <c r="G18" i="1"/>
  <c r="H11" i="1"/>
  <c r="E9" i="1"/>
  <c r="E10" i="1" s="1"/>
  <c r="B4" i="2"/>
  <c r="F10" i="1" l="1"/>
  <c r="F3" i="1" s="1"/>
  <c r="G11" i="1"/>
  <c r="G3" i="1" s="1"/>
  <c r="F45" i="1"/>
  <c r="F43" i="1" s="1"/>
  <c r="G45" i="1"/>
  <c r="G43" i="1" s="1"/>
  <c r="C45" i="1"/>
  <c r="C43" i="1" s="1"/>
  <c r="H45" i="1"/>
  <c r="H43" i="1" s="1"/>
  <c r="H28" i="1" s="1"/>
  <c r="D45" i="1"/>
  <c r="D43" i="1" s="1"/>
  <c r="E45" i="1"/>
  <c r="E43" i="1" s="1"/>
  <c r="D11" i="1"/>
  <c r="D3" i="1" s="1"/>
  <c r="H3" i="1"/>
  <c r="E11" i="1"/>
  <c r="E3" i="1" s="1"/>
  <c r="L43" i="1"/>
  <c r="A32" i="1"/>
  <c r="A33" i="1"/>
  <c r="A34" i="1"/>
  <c r="A35" i="1"/>
  <c r="A36" i="1"/>
  <c r="A37" i="1"/>
  <c r="A38" i="1"/>
  <c r="A39" i="1"/>
  <c r="A31" i="1"/>
  <c r="D24" i="1"/>
  <c r="E24" i="1"/>
  <c r="F24" i="1"/>
  <c r="G24" i="1"/>
  <c r="D25" i="1"/>
  <c r="E25" i="1"/>
  <c r="F25" i="1"/>
  <c r="G25" i="1"/>
  <c r="D27" i="1"/>
  <c r="E27" i="1"/>
  <c r="F27" i="1"/>
  <c r="G27" i="1"/>
  <c r="C27" i="1"/>
  <c r="C25" i="1"/>
  <c r="C24" i="1"/>
  <c r="A25" i="1"/>
  <c r="A26" i="1"/>
  <c r="A27" i="1"/>
  <c r="A24" i="1"/>
  <c r="A22" i="1"/>
  <c r="A21" i="1"/>
  <c r="A20" i="1"/>
  <c r="A19" i="1"/>
  <c r="D13" i="1"/>
  <c r="E13" i="1"/>
  <c r="F13" i="1"/>
  <c r="G13" i="1"/>
  <c r="D15" i="1"/>
  <c r="E15" i="1"/>
  <c r="F15" i="1"/>
  <c r="G15" i="1"/>
  <c r="D17" i="1"/>
  <c r="E17" i="1"/>
  <c r="F17" i="1"/>
  <c r="G17" i="1"/>
  <c r="C17" i="1"/>
  <c r="C13" i="1"/>
  <c r="A14" i="1"/>
  <c r="A15" i="1"/>
  <c r="A16" i="1"/>
  <c r="A17" i="1"/>
  <c r="A13" i="1"/>
  <c r="C6" i="1"/>
  <c r="C8" i="1"/>
  <c r="C4" i="1"/>
  <c r="A11" i="1"/>
  <c r="A10" i="1"/>
  <c r="A8" i="1"/>
  <c r="A9" i="1"/>
  <c r="A5" i="1"/>
  <c r="A6" i="1"/>
  <c r="A7" i="1"/>
  <c r="A4" i="1"/>
  <c r="E23" i="1" l="1"/>
  <c r="D23" i="1"/>
  <c r="C23" i="1"/>
  <c r="C9" i="1"/>
  <c r="C10" i="1" s="1"/>
  <c r="G23" i="1"/>
  <c r="F23" i="1"/>
  <c r="B7" i="6"/>
  <c r="B7" i="8"/>
  <c r="D16" i="1" l="1"/>
  <c r="D12" i="1" s="1"/>
  <c r="E16" i="1"/>
  <c r="E12" i="1" s="1"/>
  <c r="E2" i="1" s="1"/>
  <c r="H16" i="1"/>
  <c r="H12" i="1" s="1"/>
  <c r="H2" i="1" s="1"/>
  <c r="H48" i="1" s="1"/>
  <c r="F16" i="1"/>
  <c r="F12" i="1" s="1"/>
  <c r="F2" i="1" s="1"/>
  <c r="C16" i="1"/>
  <c r="C12" i="1" s="1"/>
  <c r="G16" i="1"/>
  <c r="G12" i="1" s="1"/>
  <c r="G2" i="1" s="1"/>
  <c r="D2" i="1"/>
  <c r="C11" i="1"/>
  <c r="C3" i="1" s="1"/>
  <c r="B11" i="6"/>
  <c r="A42" i="1"/>
  <c r="B42" i="1"/>
  <c r="B2" i="1"/>
  <c r="A41" i="1"/>
  <c r="B41" i="1"/>
  <c r="C46" i="1" s="1"/>
  <c r="D46" i="1" s="1"/>
  <c r="E46" i="1" s="1"/>
  <c r="F46" i="1" s="1"/>
  <c r="G46" i="1" s="1"/>
  <c r="H46" i="1" s="1"/>
  <c r="A30" i="1"/>
  <c r="B8" i="5"/>
  <c r="D3" i="4"/>
  <c r="B32" i="1" s="1"/>
  <c r="D4" i="4"/>
  <c r="B33" i="1" s="1"/>
  <c r="D5" i="4"/>
  <c r="B34" i="1" s="1"/>
  <c r="D6" i="4"/>
  <c r="B35" i="1" s="1"/>
  <c r="D7" i="4"/>
  <c r="B36" i="1" s="1"/>
  <c r="D8" i="4"/>
  <c r="B37" i="1" s="1"/>
  <c r="D9" i="4"/>
  <c r="B38" i="1" s="1"/>
  <c r="D10" i="4"/>
  <c r="B39" i="1" s="1"/>
  <c r="D2" i="4"/>
  <c r="B31" i="1" s="1"/>
  <c r="H49" i="1" l="1"/>
  <c r="C2" i="1"/>
  <c r="B17" i="4"/>
  <c r="B2" i="2" s="1"/>
  <c r="B10" i="5"/>
  <c r="B9" i="5"/>
  <c r="D29" i="1"/>
  <c r="E29" i="1"/>
  <c r="F29" i="1"/>
  <c r="G29" i="1"/>
  <c r="C29" i="1"/>
  <c r="B30" i="1" l="1"/>
  <c r="B29" i="1" s="1"/>
  <c r="B51" i="1" s="1"/>
  <c r="B52" i="1" s="1"/>
  <c r="B53" i="1" s="1"/>
  <c r="B40" i="1"/>
  <c r="H50" i="1"/>
  <c r="H51" i="1" s="1"/>
  <c r="H52" i="1" s="1"/>
  <c r="B12" i="5"/>
  <c r="B28" i="1" l="1"/>
  <c r="C28" i="1"/>
  <c r="C48" i="1" l="1"/>
  <c r="D28" i="1"/>
  <c r="D48" i="1" s="1"/>
  <c r="D49" i="1" l="1"/>
  <c r="D50" i="1" s="1"/>
  <c r="C49" i="1"/>
  <c r="C50" i="1" s="1"/>
  <c r="E28" i="1"/>
  <c r="E48" i="1" s="1"/>
  <c r="B62" i="1" l="1"/>
  <c r="C51" i="1"/>
  <c r="C52" i="1" s="1"/>
  <c r="C53" i="1" s="1"/>
  <c r="B60" i="1"/>
  <c r="E49" i="1"/>
  <c r="E50" i="1" s="1"/>
  <c r="D51" i="1"/>
  <c r="D52" i="1" s="1"/>
  <c r="G28" i="1"/>
  <c r="G48" i="1" s="1"/>
  <c r="F28" i="1"/>
  <c r="F48" i="1" s="1"/>
  <c r="D53" i="1" l="1"/>
  <c r="F49" i="1"/>
  <c r="F50" i="1" s="1"/>
  <c r="G49" i="1"/>
  <c r="G50" i="1" s="1"/>
  <c r="E51" i="1"/>
  <c r="E52" i="1" s="1"/>
  <c r="E53" i="1" l="1"/>
  <c r="G51" i="1"/>
  <c r="G52" i="1" s="1"/>
  <c r="F51" i="1"/>
  <c r="F52" i="1" l="1"/>
  <c r="F53" i="1" s="1"/>
  <c r="G53" i="1" s="1"/>
  <c r="B59" i="1"/>
  <c r="B57" i="1" l="1"/>
  <c r="B58" i="1" s="1"/>
  <c r="H53" i="1"/>
</calcChain>
</file>

<file path=xl/comments1.xml><?xml version="1.0" encoding="utf-8"?>
<comments xmlns="http://schemas.openxmlformats.org/spreadsheetml/2006/main">
  <authors>
    <author>R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  <charset val="204"/>
          </rPr>
          <t>R:</t>
        </r>
        <r>
          <rPr>
            <sz val="9"/>
            <color indexed="81"/>
            <rFont val="Tahoma"/>
            <family val="2"/>
            <charset val="204"/>
          </rPr>
          <t xml:space="preserve">
Стоимость рассчитана с учётом 5-ти подключений в год</t>
        </r>
      </text>
    </comment>
  </commentList>
</comments>
</file>

<file path=xl/sharedStrings.xml><?xml version="1.0" encoding="utf-8"?>
<sst xmlns="http://schemas.openxmlformats.org/spreadsheetml/2006/main" count="136" uniqueCount="123">
  <si>
    <t>Затраты</t>
  </si>
  <si>
    <t>Инвестиции</t>
  </si>
  <si>
    <t>Эксплуатационные затраты</t>
  </si>
  <si>
    <t>ФОТ</t>
  </si>
  <si>
    <t>Амортизация</t>
  </si>
  <si>
    <t>Налог на прибыль</t>
  </si>
  <si>
    <t>Прибыль до налогообложения</t>
  </si>
  <si>
    <t>Чистая прибыль</t>
  </si>
  <si>
    <t>Дисконтированный денежный поток</t>
  </si>
  <si>
    <t>Дисконтированный денежный поток накоп итогом</t>
  </si>
  <si>
    <t>NPV</t>
  </si>
  <si>
    <t>PI</t>
  </si>
  <si>
    <t>IRR</t>
  </si>
  <si>
    <t>tОК</t>
  </si>
  <si>
    <t>dtOK</t>
  </si>
  <si>
    <t>Срок полезного использования</t>
  </si>
  <si>
    <t xml:space="preserve">Денежный поток </t>
  </si>
  <si>
    <t>Ставка дисконтирования</t>
  </si>
  <si>
    <t>Периоды</t>
  </si>
  <si>
    <t>Статья затрат</t>
  </si>
  <si>
    <t>Стоимость, р\год</t>
  </si>
  <si>
    <t>Роль</t>
  </si>
  <si>
    <t>FTE</t>
  </si>
  <si>
    <t>Ставка</t>
  </si>
  <si>
    <t>Руководитель проекта</t>
  </si>
  <si>
    <t>Системный аналитик</t>
  </si>
  <si>
    <t>Бизнес аналитик</t>
  </si>
  <si>
    <t>Frontend разработчик</t>
  </si>
  <si>
    <t>Backend разработчик</t>
  </si>
  <si>
    <t>ML разработчик</t>
  </si>
  <si>
    <t>UX\UI дизайнер</t>
  </si>
  <si>
    <t>Архитектор</t>
  </si>
  <si>
    <t>DevOps инженер</t>
  </si>
  <si>
    <t>Общая стоимость команды в год:</t>
  </si>
  <si>
    <t>Сокращение затрат на внеплановые ремонты и ликвидацию последствий аварий</t>
  </si>
  <si>
    <t>Минимизация простоев оборудования</t>
  </si>
  <si>
    <t>Отказ от приобретения дорогостоящих систем вибромониторинга</t>
  </si>
  <si>
    <t>Сокращение времени на поиск и локализацию неисправности</t>
  </si>
  <si>
    <t>Коэффициент снижения количества внеплановых отказов благодаря раннему прогнозированию</t>
  </si>
  <si>
    <t>Количество предотвращенных отказов в год:</t>
  </si>
  <si>
    <t>Показатель:</t>
  </si>
  <si>
    <t>Значение:</t>
  </si>
  <si>
    <t>Среднее время простоя оборудования после отказа, часов</t>
  </si>
  <si>
    <t>Средняя стоимость одного внепланового ремонта, руб.</t>
  </si>
  <si>
    <t>Экономия на ремонтах:</t>
  </si>
  <si>
    <t>Экономия от сокращения простоя:</t>
  </si>
  <si>
    <t>Годовой эффект:</t>
  </si>
  <si>
    <t>Суммарное время внеплановых простоев установки за год (в часах)</t>
  </si>
  <si>
    <t>Показатель</t>
  </si>
  <si>
    <t>Значение</t>
  </si>
  <si>
    <t>Стоимость часа простоя установки</t>
  </si>
  <si>
    <t>Коэффициент снижения внеплановых простоев</t>
  </si>
  <si>
    <t>Показатели для расчёта стоимости часа простоя</t>
  </si>
  <si>
    <t>Годовой эффект от внедрения</t>
  </si>
  <si>
    <t>Стоимость работ по монтажу, прокладке кабелей, интеграции в систему</t>
  </si>
  <si>
    <t>Стоимость монтажа датчиков и подключения к системе сбора данных</t>
  </si>
  <si>
    <t>Экономия на 1 агрегате:</t>
  </si>
  <si>
    <t>Среднее время на поиск и локализацию одной неисправности (в часах)</t>
  </si>
  <si>
    <t>Среднее количество инцидентов (отказов), требующих диагностики, в год</t>
  </si>
  <si>
    <t>Полная стоимость часа работы ремонтной бригады</t>
  </si>
  <si>
    <t>Среднее время на локализацию неисправности после внедрения системы</t>
  </si>
  <si>
    <t>Годовая экономия на локализацию неисправности:</t>
  </si>
  <si>
    <t>ROI</t>
  </si>
  <si>
    <t>Стоимость часа простоя одной технологической установки, руб</t>
  </si>
  <si>
    <t>Эффекты</t>
  </si>
  <si>
    <t>Обоснование</t>
  </si>
  <si>
    <t>Параметр</t>
  </si>
  <si>
    <t>Безрисковая ставка (Rf)</t>
  </si>
  <si>
    <t>Доходность 10-летних ОФЗ</t>
  </si>
  <si>
    <t>Рыночная премия (Rm - Rf)</t>
  </si>
  <si>
    <t>Историческая премия за риск для российского рынка</t>
  </si>
  <si>
    <t>Бета (β)</t>
  </si>
  <si>
    <t>Коэффициент волатильности акций ПАО «Газпром нефть»</t>
  </si>
  <si>
    <t xml:space="preserve">Стоимость собственного капитала (Re)	</t>
  </si>
  <si>
    <t>Рассчитано по модели CAPM</t>
  </si>
  <si>
    <t>Стоимость заемного капитала (Rd)</t>
  </si>
  <si>
    <t>Средняя ставка по кредитам для компаний с высоким рейтингом</t>
  </si>
  <si>
    <t>Доля заемного капитала (D/V)</t>
  </si>
  <si>
    <t>На основании анализа структуры капитала нефтяных компаний</t>
  </si>
  <si>
    <t>Ставка налога на прибыль (Tc)</t>
  </si>
  <si>
    <t>Налоговое законодательство РФ</t>
  </si>
  <si>
    <t>Ставка дисконтирования (WACC) без учета рисков</t>
  </si>
  <si>
    <t>Технологический риск</t>
  </si>
  <si>
    <t>Прототипирование ML-моделей, риск недостижения требуемой точности распознавания дефектов.</t>
  </si>
  <si>
    <t xml:space="preserve">Риск внедрения	</t>
  </si>
  <si>
    <t>Интеграция с существующими АСУ ТП и ERP-системами завода. Необходимость обучения персонала.</t>
  </si>
  <si>
    <t>Операционный риск</t>
  </si>
  <si>
    <t>После внедрения система работает в автоматическом режиме. Риск ложных срабатываний или пропуска дефектов.</t>
  </si>
  <si>
    <t>Рыночный риск</t>
  </si>
  <si>
    <t>Риск не актуален. Проект направлен на внутреннюю оптимизацию, а не на вывод продукта на рынок.</t>
  </si>
  <si>
    <t xml:space="preserve">Регуляторный риск	</t>
  </si>
  <si>
    <t>Соответствие требованиям по защите данных и промышленной безопасности. Использование отечественного ПО.</t>
  </si>
  <si>
    <t>Ставка дисконтирования (WACC) с учетом рисков</t>
  </si>
  <si>
    <t>Стоиомсть команды для разработки ПО</t>
  </si>
  <si>
    <t>Стоимость токовых датчиков, включая установку на оборудование (на 1 ед.)</t>
  </si>
  <si>
    <t>Поддержка системы</t>
  </si>
  <si>
    <t>Комментарий</t>
  </si>
  <si>
    <t>2 сервис-менеджера в год, консультация, администрирование системы, исправление незначительных  багов</t>
  </si>
  <si>
    <t>Комментарии</t>
  </si>
  <si>
    <t>Цена реализации единицы продукции (руб./тонна)</t>
  </si>
  <si>
    <t>Стоимость команды проекта расчитана по ставкам комании Автоматики-сервис за год работы. FTE выведенно по среднему по ПКИ проектов, включая разработку необходимой документации  (инструкции по эксплуатации, ТП, ТЗ, ИБ, ФТ, НФТ, БТ, архитектура). Ставки и FTE отражены на листе "Стоиомсть команды".</t>
  </si>
  <si>
    <t>Данные из отчетности за 2024 год, предоставленные  металлургическим предприятием по агрегату очистки от окалины горячекатанных рулонов с помощью дроби. Для работы оборудования задействовано 16 электродвигателей от компании Балдор (США), мощностью 190 л.с., 1 750 об. в мин., стоимостью 3 млн.руб. При выходе из строя одного из двигателей производительность снижается на 3 тонны, при выходе из строя 2-ух двигателей агрегат останавливается полностью.Имеется 1 резервный двигатель.</t>
  </si>
  <si>
    <t>Ставка инфляции</t>
  </si>
  <si>
    <t>Закупка инфраструктуры и лицензий</t>
  </si>
  <si>
    <t>Сервер YADRO X2-200</t>
  </si>
  <si>
    <t>2*722223</t>
  </si>
  <si>
    <t>945120*3</t>
  </si>
  <si>
    <t xml:space="preserve">	
Лицензия СУБД Postgres Pro Enterprise на 1 ядро x86-64 (купить можно от 2х ядер) (разовая)</t>
  </si>
  <si>
    <t>3 шт Лицензия на ПО «Система безопасного управления средой виртуализации Z|virt» на физический сервер с максимально 2 CPU (разовая)</t>
  </si>
  <si>
    <t>Astra Linux Special Edition 1.7, x86-64, «Максимальный» («Смоленск»),</t>
  </si>
  <si>
    <t>Ежегодное продление лицензий</t>
  </si>
  <si>
    <t>87 600 * 12</t>
  </si>
  <si>
    <t xml:space="preserve">538800*3 </t>
  </si>
  <si>
    <t>Расчет</t>
  </si>
  <si>
    <t>Сертификат на Техническую Поддержку уровня «Продуктивный» и доступ к обновлениям на ПО «Система безопасного управления средой виртуализации Z|virt» на физический сервер с максимально 2 CPU на 5 лет. Сборка 2+1</t>
  </si>
  <si>
    <t>Расчет при установке на 1 ед.</t>
  </si>
  <si>
    <t>Среднее количество внеплановых отказов в год на 50 ед. оборудования:</t>
  </si>
  <si>
    <t>Объем продукции, производимой в час (тонн)</t>
  </si>
  <si>
    <t>Стоимость комплекта вибродатчиков на 50 агрегатов</t>
  </si>
  <si>
    <t>Стоимость датчиков тока (200 шт)</t>
  </si>
  <si>
    <t>622908*4</t>
  </si>
  <si>
    <t>1) Broadcom MegaRAID 9560‑16i, 8 GB Cache — 104 300 ₽ 2) ИБП DKC Info Rackmount Pro LCD, линейно‑интерактивный, 1500 ВА/1200 Вт, Rack 3U — 46 157 ₽. 3) Серверная стойка 19", 42U, двухрамная, нагрузка до 550 кг, гарантия 5 лет — 17 900 ₽. 4) LR-Link LRES1025PT, Dual‑Port 10 GbE (Intel X550) — 14 294 ₽</t>
  </si>
  <si>
    <t>Broadcom MegaRAID 9560‑16i, 8 GB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</si>
</sst>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.00\ &quot;₽&quot;"/>
    <numFmt numFmtId="165" formatCode="0.0%"/>
  </numFmts>
  <fonts count="19">
    <font>
      <sz val="12"/>
      <color theme="1"/>
      <name val="Rockwell"/>
      <family val="2"/>
      <charset val="204"/>
      <scheme val="minor"/>
    </font>
    <font>
      <b/>
      <sz val="12"/>
      <color theme="1"/>
      <name val="Rockwell"/>
      <family val="1"/>
      <scheme val="minor"/>
    </font>
    <font>
      <sz val="12"/>
      <color rgb="FFFF0000"/>
      <name val="Rockwel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Rockwell"/>
      <family val="2"/>
      <charset val="204"/>
      <scheme val="minor"/>
    </font>
    <font>
      <sz val="12"/>
      <name val="Rockwell"/>
      <family val="2"/>
      <charset val="20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  <charset val="204"/>
    </font>
    <font>
      <sz val="11"/>
      <color theme="1"/>
      <name val="Rockwell"/>
      <family val="2"/>
      <charset val="204"/>
      <scheme val="minor"/>
    </font>
    <font>
      <sz val="11"/>
      <color rgb="FF000000"/>
      <name val="IBM Plex Sans"/>
    </font>
    <font>
      <sz val="12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65909"/>
        <bgColor indexed="64"/>
      </patternFill>
    </fill>
    <fill>
      <patternFill patternType="solid">
        <fgColor rgb="FF00459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6" fillId="0" borderId="0"/>
  </cellStyleXfs>
  <cellXfs count="105">
    <xf numFmtId="0" fontId="0" fillId="0" borderId="0" xfId="0"/>
    <xf numFmtId="4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9" fontId="7" fillId="0" borderId="1" xfId="1" applyNumberFormat="1" applyFont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43" fontId="11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9" fillId="0" borderId="1" xfId="0" applyNumberFormat="1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0" fontId="6" fillId="0" borderId="0" xfId="0" applyFont="1"/>
    <xf numFmtId="0" fontId="10" fillId="2" borderId="10" xfId="0" applyFont="1" applyFill="1" applyBorder="1" applyAlignment="1">
      <alignment horizontal="center"/>
    </xf>
    <xf numFmtId="0" fontId="7" fillId="0" borderId="10" xfId="0" applyFont="1" applyBorder="1"/>
    <xf numFmtId="44" fontId="7" fillId="0" borderId="10" xfId="0" applyNumberFormat="1" applyFont="1" applyBorder="1"/>
    <xf numFmtId="0" fontId="11" fillId="3" borderId="10" xfId="0" applyFont="1" applyFill="1" applyBorder="1"/>
    <xf numFmtId="0" fontId="10" fillId="2" borderId="10" xfId="0" applyFont="1" applyFill="1" applyBorder="1"/>
    <xf numFmtId="0" fontId="10" fillId="2" borderId="10" xfId="0" applyFont="1" applyFill="1" applyBorder="1" applyAlignment="1">
      <alignment horizontal="left"/>
    </xf>
    <xf numFmtId="0" fontId="7" fillId="0" borderId="10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44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0" borderId="10" xfId="0" applyFont="1" applyBorder="1" applyAlignment="1">
      <alignment horizontal="left" wrapText="1"/>
    </xf>
    <xf numFmtId="0" fontId="11" fillId="3" borderId="10" xfId="0" applyFont="1" applyFill="1" applyBorder="1" applyAlignment="1">
      <alignment horizontal="left" wrapText="1"/>
    </xf>
    <xf numFmtId="9" fontId="7" fillId="0" borderId="10" xfId="0" applyNumberFormat="1" applyFont="1" applyBorder="1"/>
    <xf numFmtId="0" fontId="10" fillId="2" borderId="10" xfId="0" applyFont="1" applyFill="1" applyBorder="1" applyAlignment="1">
      <alignment wrapText="1"/>
    </xf>
    <xf numFmtId="0" fontId="10" fillId="2" borderId="10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left"/>
    </xf>
    <xf numFmtId="44" fontId="7" fillId="0" borderId="10" xfId="0" applyNumberFormat="1" applyFont="1" applyBorder="1" applyAlignment="1">
      <alignment horizontal="right" vertical="center"/>
    </xf>
    <xf numFmtId="44" fontId="7" fillId="0" borderId="10" xfId="0" applyNumberFormat="1" applyFont="1" applyBorder="1" applyAlignment="1">
      <alignment horizontal="right"/>
    </xf>
    <xf numFmtId="0" fontId="11" fillId="2" borderId="0" xfId="0" applyFont="1" applyFill="1"/>
    <xf numFmtId="44" fontId="14" fillId="0" borderId="10" xfId="0" applyNumberFormat="1" applyFont="1" applyBorder="1" applyAlignment="1">
      <alignment horizontal="center" vertical="center"/>
    </xf>
    <xf numFmtId="0" fontId="11" fillId="3" borderId="10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vertical="center"/>
    </xf>
    <xf numFmtId="44" fontId="7" fillId="0" borderId="10" xfId="0" applyNumberFormat="1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/>
    </xf>
    <xf numFmtId="9" fontId="7" fillId="0" borderId="10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right"/>
    </xf>
    <xf numFmtId="164" fontId="7" fillId="0" borderId="10" xfId="0" applyNumberFormat="1" applyFont="1" applyBorder="1" applyAlignment="1">
      <alignment horizontal="right"/>
    </xf>
    <xf numFmtId="9" fontId="12" fillId="0" borderId="10" xfId="0" applyNumberFormat="1" applyFont="1" applyBorder="1" applyAlignment="1">
      <alignment horizontal="right"/>
    </xf>
    <xf numFmtId="10" fontId="7" fillId="0" borderId="10" xfId="0" applyNumberFormat="1" applyFont="1" applyBorder="1"/>
    <xf numFmtId="10" fontId="7" fillId="0" borderId="10" xfId="0" applyNumberFormat="1" applyFont="1" applyBorder="1" applyAlignment="1">
      <alignment horizontal="right"/>
    </xf>
    <xf numFmtId="2" fontId="7" fillId="0" borderId="10" xfId="0" applyNumberFormat="1" applyFont="1" applyBorder="1"/>
    <xf numFmtId="165" fontId="7" fillId="0" borderId="10" xfId="0" applyNumberFormat="1" applyFont="1" applyBorder="1"/>
    <xf numFmtId="44" fontId="7" fillId="0" borderId="11" xfId="0" applyNumberFormat="1" applyFont="1" applyBorder="1" applyAlignment="1">
      <alignment horizontal="center" vertical="center"/>
    </xf>
    <xf numFmtId="44" fontId="15" fillId="0" borderId="10" xfId="0" applyNumberFormat="1" applyFont="1" applyBorder="1" applyAlignment="1">
      <alignment horizontal="center" vertical="center"/>
    </xf>
    <xf numFmtId="10" fontId="14" fillId="0" borderId="10" xfId="0" applyNumberFormat="1" applyFont="1" applyBorder="1"/>
    <xf numFmtId="0" fontId="7" fillId="0" borderId="2" xfId="0" applyFont="1" applyBorder="1" applyAlignment="1">
      <alignment horizontal="left" vertic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44" fontId="7" fillId="0" borderId="1" xfId="1" applyNumberFormat="1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11" fillId="0" borderId="0" xfId="0" applyFont="1" applyFill="1"/>
    <xf numFmtId="0" fontId="7" fillId="0" borderId="0" xfId="0" applyFont="1" applyFill="1"/>
    <xf numFmtId="0" fontId="17" fillId="0" borderId="0" xfId="2" applyFont="1" applyBorder="1" applyAlignment="1">
      <alignment vertical="center"/>
    </xf>
    <xf numFmtId="0" fontId="10" fillId="2" borderId="12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3" fontId="10" fillId="3" borderId="2" xfId="1" applyFont="1" applyFill="1" applyBorder="1" applyAlignment="1">
      <alignment horizontal="left" vertical="center"/>
    </xf>
    <xf numFmtId="43" fontId="10" fillId="3" borderId="9" xfId="1" applyFont="1" applyFill="1" applyBorder="1" applyAlignment="1">
      <alignment horizontal="left" vertical="center"/>
    </xf>
    <xf numFmtId="0" fontId="7" fillId="0" borderId="4" xfId="1" applyNumberFormat="1" applyFont="1" applyBorder="1" applyAlignment="1">
      <alignment horizontal="left" vertical="center" wrapText="1"/>
    </xf>
    <xf numFmtId="0" fontId="7" fillId="0" borderId="5" xfId="1" applyNumberFormat="1" applyFont="1" applyBorder="1" applyAlignment="1">
      <alignment horizontal="left" vertical="center" wrapText="1"/>
    </xf>
    <xf numFmtId="0" fontId="7" fillId="0" borderId="3" xfId="1" applyNumberFormat="1" applyFont="1" applyBorder="1" applyAlignment="1">
      <alignment horizontal="left" vertical="center" wrapText="1"/>
    </xf>
    <xf numFmtId="0" fontId="7" fillId="0" borderId="6" xfId="1" applyNumberFormat="1" applyFont="1" applyBorder="1" applyAlignment="1">
      <alignment horizontal="left" vertical="center" wrapText="1"/>
    </xf>
    <xf numFmtId="0" fontId="7" fillId="0" borderId="7" xfId="1" applyNumberFormat="1" applyFont="1" applyBorder="1" applyAlignment="1">
      <alignment horizontal="left" vertical="center" wrapText="1"/>
    </xf>
    <xf numFmtId="0" fontId="7" fillId="0" borderId="8" xfId="1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44" fontId="15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0" fillId="0" borderId="1" xfId="0" applyBorder="1"/>
    <xf numFmtId="0" fontId="13" fillId="0" borderId="12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vertical="center"/>
    </xf>
    <xf numFmtId="0" fontId="7" fillId="0" borderId="13" xfId="0" applyFont="1" applyFill="1" applyBorder="1"/>
    <xf numFmtId="0" fontId="7" fillId="0" borderId="10" xfId="0" applyFont="1" applyFill="1" applyBorder="1"/>
    <xf numFmtId="0" fontId="18" fillId="0" borderId="0" xfId="0" applyFont="1" applyAlignment="1">
      <alignment horizontal="center" wrapText="1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colors>
    <mruColors>
      <color rgb="FFE65909"/>
      <color rgb="FFFFF3E8"/>
      <color rgb="FF004596"/>
      <color rgb="FFFFC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 НА 50 ДВИГАТЕЛЬ'!$A$53</c:f>
              <c:strCache>
                <c:ptCount val="1"/>
                <c:pt idx="0">
                  <c:v>Дисконтированный денежный поток накоп итогом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'СВОД НА 50 ДВИГАТЕЛЬ'!$B$1:$H$1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'СВОД НА 50 ДВИГАТЕЛЬ'!$B$53:$H$53</c:f>
              <c:numCache>
                <c:formatCode>_(* #,##0.00_);_(* \(#,##0.00\);_(* "-"??_);_(@_)</c:formatCode>
                <c:ptCount val="7"/>
                <c:pt idx="0" formatCode="General">
                  <c:v>-48883176</c:v>
                </c:pt>
                <c:pt idx="1">
                  <c:v>36210950.874827579</c:v>
                </c:pt>
                <c:pt idx="2">
                  <c:v>115963798.74081883</c:v>
                </c:pt>
                <c:pt idx="3">
                  <c:v>190702982.39927477</c:v>
                </c:pt>
                <c:pt idx="4">
                  <c:v>260737097.54930693</c:v>
                </c:pt>
                <c:pt idx="5">
                  <c:v>326356670.18930066</c:v>
                </c:pt>
                <c:pt idx="6">
                  <c:v>387835082.13980138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7-9F4D-B00E-6BD182DD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73215"/>
        <c:axId val="1541436671"/>
      </c:lineChart>
      <c:catAx>
        <c:axId val="14543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36671"/>
        <c:crosses val="autoZero"/>
        <c:auto val="1"/>
        <c:lblAlgn val="ctr"/>
        <c:lblOffset val="100"/>
        <c:noMultiLvlLbl val="0"/>
      </c:catAx>
      <c:valAx>
        <c:axId val="15414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3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580180</xdr:colOff>
      <xdr:row>54</xdr:row>
      <xdr:rowOff>22794</xdr:rowOff>
    </xdr:from>
    <xdr:to>
      <xdr:col>9</xdr:col>
      <xdr:colOff>89152</xdr:colOff>
      <xdr:row>67</xdr:row>
      <xdr:rowOff>158513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EEA63C-FEAE-14D2-E9DE-07F37883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19051</xdr:rowOff>
    </xdr:from>
    <xdr:to>
      <xdr:col>2</xdr:col>
      <xdr:colOff>9525</xdr:colOff>
      <xdr:row>22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2990851"/>
          <a:ext cx="5829300" cy="2076450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затрат на внеплановые ремонты и ликвидацию последствий аварий.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Раннее обнаружение дефектов (подшипников, ротора, статора) позволяет планировать ремонты в штатном режиме. Это избегает: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Стоимости срочного ремонта (ночной вызов бригады, срочная доставка запчастей с надбавкой).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Стоимости замены сопутствующего оборудования, вышедшего из строя из-за внезапного отказа (например, повреждение уплотнений, муфт).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Затрат на ликвидацию последствий (разливы продукции, противопожарные мероприятия).</a:t>
          </a:r>
        </a:p>
        <a:p>
          <a:pPr lvl="1"/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Сравнение статистики затрат на внеплановые ремонты за предыдущие периоды с периодом после внедрения системы.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12700</xdr:rowOff>
    </xdr:from>
    <xdr:to>
      <xdr:col>1</xdr:col>
      <xdr:colOff>1851026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" y="2593975"/>
          <a:ext cx="5489575" cy="1800225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потерь от простоя оборудования (</a:t>
          </a:r>
          <a:r>
            <a:rPr lang="en-US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Loss of Production).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Сокращение длительности простоев за счёт планового, а не аварийного ремонта. Оборудование останавливается на меньшее время и в запланированный период (например, при снижении общей нагрузки на установку).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(Кол-во часов простоя до внедрения - Кол-во часов простоя после внедрения) * Стоимость часа прохода установки. Стоимость часа прохода — это ключевой параметр, который можно получить у технологов (прибыль + переменные затраты, которые не прекращаются во время простоя).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</xdr:colOff>
      <xdr:row>8</xdr:row>
      <xdr:rowOff>3177</xdr:rowOff>
    </xdr:from>
    <xdr:to>
      <xdr:col>3</xdr:col>
      <xdr:colOff>0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349" y="1974852"/>
          <a:ext cx="7308851" cy="1473198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Отказ от приобретения дорогостоящих систем вибромониторинга.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Токовая диагностика использует уже установленные датчики тока (или требует значительно более дешёвых), что в разы снижает капитальные затраты (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CAPEX)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 оснащение оборудования системами мониторинга.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Стоимость оснащения одного агрегата системой вибромониторинга - Стоимость оснащения системой токовой диагностики * на количество агрегатов.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384175</xdr:rowOff>
    </xdr:from>
    <xdr:to>
      <xdr:col>2</xdr:col>
      <xdr:colOff>3175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0" y="2146300"/>
          <a:ext cx="4746625" cy="1825625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времени на поиск и локализацию неисправности.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Система с ИИ не только обнаруживает факт неисправности, но и классифицирует её (например, "дефект внешнего кольца подшипника насоса 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X").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Это 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drastically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сокращает время диагностики.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(Среднее время на поиск дефекта до - Среднее время после) * Стоимость часа работы ремонтной бригады * Количество инцидентов в год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Атлас">
  <a:themeElements>
    <a:clrScheme name="Атлас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Атлас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Атлас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topLeftCell="A23" zoomScale="75" zoomScaleNormal="80" workbookViewId="0">
      <selection activeCell="G27" sqref="G27"/>
    </sheetView>
  </sheetViews>
  <sheetFormatPr defaultColWidth="11.44140625" defaultRowHeight="15.75"/>
  <cols>
    <col min="1" max="1" width="69.44140625" customWidth="1"/>
    <col min="2" max="2" width="17.5546875" customWidth="1"/>
    <col min="3" max="6" width="16.88671875" customWidth="1"/>
    <col min="7" max="7" width="16.33203125" bestFit="1" customWidth="1"/>
    <col min="8" max="8" width="16.33203125" customWidth="1"/>
    <col min="9" max="9" width="20.44140625" customWidth="1"/>
    <col min="11" max="11" width="31" customWidth="1"/>
    <col min="12" max="12" width="11.5546875" customWidth="1"/>
  </cols>
  <sheetData>
    <row r="1" spans="1:12">
      <c r="A1" s="6" t="s">
        <v>18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5">
        <v>6</v>
      </c>
      <c r="I1" s="83" t="s">
        <v>98</v>
      </c>
      <c r="J1" s="84"/>
      <c r="K1" s="7"/>
      <c r="L1" s="7"/>
    </row>
    <row r="2" spans="1:12" ht="15.75" customHeight="1">
      <c r="A2" s="13" t="s">
        <v>64</v>
      </c>
      <c r="B2" s="16">
        <f>SUM(B3:B23)</f>
        <v>0</v>
      </c>
      <c r="C2" s="17">
        <f>C3+C12+C18+C23</f>
        <v>133889989.8565</v>
      </c>
      <c r="D2" s="17">
        <f t="shared" ref="D2:H2" si="0">D3+D12+D18+D23</f>
        <v>145377750.98618773</v>
      </c>
      <c r="E2" s="17">
        <f t="shared" si="0"/>
        <v>157851162.02080265</v>
      </c>
      <c r="F2" s="17">
        <f t="shared" si="0"/>
        <v>171394791.72218755</v>
      </c>
      <c r="G2" s="17">
        <f t="shared" si="0"/>
        <v>186100464.85195127</v>
      </c>
      <c r="H2" s="17">
        <f t="shared" si="0"/>
        <v>202067884.7362487</v>
      </c>
      <c r="I2" s="85" t="s">
        <v>101</v>
      </c>
      <c r="J2" s="86"/>
      <c r="K2" s="7"/>
      <c r="L2" s="7"/>
    </row>
    <row r="3" spans="1:12" ht="31.5" customHeight="1">
      <c r="A3" s="14" t="s">
        <v>34</v>
      </c>
      <c r="B3" s="16"/>
      <c r="C3" s="16">
        <f>C11+C10</f>
        <v>42590496.8565</v>
      </c>
      <c r="D3" s="16">
        <f t="shared" ref="D3:F3" si="1">D11+D10</f>
        <v>46244761.486787707</v>
      </c>
      <c r="E3" s="16">
        <f t="shared" si="1"/>
        <v>50212562.022354104</v>
      </c>
      <c r="F3" s="16">
        <f t="shared" si="1"/>
        <v>54520799.843872093</v>
      </c>
      <c r="G3" s="16">
        <f>G11+G10</f>
        <v>59198684.470476322</v>
      </c>
      <c r="H3" s="16">
        <f>H11+H10</f>
        <v>64277931.598043196</v>
      </c>
      <c r="I3" s="87"/>
      <c r="J3" s="88"/>
      <c r="K3" s="7"/>
      <c r="L3" s="7"/>
    </row>
    <row r="4" spans="1:12">
      <c r="A4" s="8" t="str">
        <f>ЭФ1!A2</f>
        <v>Среднее количество внеплановых отказов в год на 50 ед. оборудования:</v>
      </c>
      <c r="B4" s="18"/>
      <c r="C4" s="19">
        <f>ЭФ1!$B2</f>
        <v>15</v>
      </c>
      <c r="D4" s="19">
        <f>ЭФ1!$B2</f>
        <v>15</v>
      </c>
      <c r="E4" s="19">
        <f>ЭФ1!$B2</f>
        <v>15</v>
      </c>
      <c r="F4" s="19">
        <f>ЭФ1!$B2</f>
        <v>15</v>
      </c>
      <c r="G4" s="19">
        <f>ЭФ1!$B2</f>
        <v>15</v>
      </c>
      <c r="H4" s="19">
        <f>ЭФ1!$B2</f>
        <v>15</v>
      </c>
      <c r="I4" s="87"/>
      <c r="J4" s="88"/>
      <c r="K4" s="7"/>
      <c r="L4" s="7"/>
    </row>
    <row r="5" spans="1:12">
      <c r="A5" s="8" t="str">
        <f>ЭФ1!A3</f>
        <v>Средняя стоимость одного внепланового ремонта, руб.</v>
      </c>
      <c r="B5" s="18"/>
      <c r="C5" s="19">
        <f>ЭФ1!$B3*(1+$L$42)^C1</f>
        <v>531765.12100000004</v>
      </c>
      <c r="D5" s="19">
        <f>ЭФ1!$B3*(1+$L$42)^D1</f>
        <v>577390.56838180008</v>
      </c>
      <c r="E5" s="19">
        <f>ЭФ1!$B3*(1+$L$42)^E1</f>
        <v>626930.67914895865</v>
      </c>
      <c r="F5" s="19">
        <f>ЭФ1!$B3*(1+$L$42)^F1</f>
        <v>680721.33141993941</v>
      </c>
      <c r="G5" s="19">
        <f>ЭФ1!$B3*(1+$L$42)^G1</f>
        <v>739127.2216557702</v>
      </c>
      <c r="H5" s="19">
        <f>ЭФ1!$B3*(1+$L$42)^H1</f>
        <v>802544.33727383544</v>
      </c>
      <c r="I5" s="87"/>
      <c r="J5" s="88"/>
      <c r="K5" s="7"/>
      <c r="L5" s="7"/>
    </row>
    <row r="6" spans="1:12">
      <c r="A6" s="8" t="str">
        <f>ЭФ1!A4</f>
        <v>Среднее время простоя оборудования после отказа, часов</v>
      </c>
      <c r="B6" s="18"/>
      <c r="C6" s="19">
        <f>ЭФ1!$B4</f>
        <v>5</v>
      </c>
      <c r="D6" s="19">
        <f>ЭФ1!$B4</f>
        <v>5</v>
      </c>
      <c r="E6" s="19">
        <f>ЭФ1!$B4</f>
        <v>5</v>
      </c>
      <c r="F6" s="19">
        <f>ЭФ1!$B4</f>
        <v>5</v>
      </c>
      <c r="G6" s="19">
        <f>ЭФ1!$B4</f>
        <v>5</v>
      </c>
      <c r="H6" s="19">
        <f>ЭФ1!$B4</f>
        <v>5</v>
      </c>
      <c r="I6" s="87"/>
      <c r="J6" s="88"/>
      <c r="K6" s="7"/>
      <c r="L6" s="7"/>
    </row>
    <row r="7" spans="1:12">
      <c r="A7" s="8" t="str">
        <f>ЭФ1!A5</f>
        <v>Стоимость часа простоя одной технологической установки, руб</v>
      </c>
      <c r="B7" s="18"/>
      <c r="C7" s="19">
        <f>ЭФ1!$B5*(1+$L$42)^C1</f>
        <v>561733.201</v>
      </c>
      <c r="D7" s="19">
        <f>ЭФ1!$B5*(1+$L$42)^D1</f>
        <v>609929.90964580013</v>
      </c>
      <c r="E7" s="19">
        <f>ЭФ1!$B5*(1+$L$42)^E1</f>
        <v>662261.89589340985</v>
      </c>
      <c r="F7" s="19">
        <f>ЭФ1!$B5*(1+$L$42)^F1</f>
        <v>719083.96656106447</v>
      </c>
      <c r="G7" s="19">
        <f>ЭФ1!$B5*(1+$L$42)^G1</f>
        <v>780781.37089200388</v>
      </c>
      <c r="H7" s="19">
        <f>ЭФ1!$B5*(1+$L$42)^H1</f>
        <v>847772.41251453792</v>
      </c>
      <c r="I7" s="87"/>
      <c r="J7" s="88"/>
      <c r="K7" s="7"/>
      <c r="L7" s="7"/>
    </row>
    <row r="8" spans="1:12" ht="30">
      <c r="A8" s="8" t="str">
        <f>ЭФ1!A6</f>
        <v>Коэффициент снижения количества внеплановых отказов благодаря раннему прогнозированию</v>
      </c>
      <c r="B8" s="18"/>
      <c r="C8" s="19">
        <f>ЭФ1!$B6</f>
        <v>0.85</v>
      </c>
      <c r="D8" s="19">
        <f>ЭФ1!$B6</f>
        <v>0.85</v>
      </c>
      <c r="E8" s="19">
        <f>ЭФ1!$B6</f>
        <v>0.85</v>
      </c>
      <c r="F8" s="19">
        <f>ЭФ1!$B6</f>
        <v>0.85</v>
      </c>
      <c r="G8" s="19">
        <f>ЭФ1!$B6</f>
        <v>0.85</v>
      </c>
      <c r="H8" s="19">
        <f>ЭФ1!$B6</f>
        <v>0.85</v>
      </c>
      <c r="I8" s="87"/>
      <c r="J8" s="88"/>
      <c r="K8" s="7"/>
      <c r="L8" s="7"/>
    </row>
    <row r="9" spans="1:12">
      <c r="A9" s="8" t="str">
        <f>ЭФ1!A8</f>
        <v>Количество предотвращенных отказов в год:</v>
      </c>
      <c r="B9" s="18"/>
      <c r="C9" s="19">
        <f>C4*C8</f>
        <v>12.75</v>
      </c>
      <c r="D9" s="19">
        <f t="shared" ref="D9:H9" si="2">D4*D8</f>
        <v>12.75</v>
      </c>
      <c r="E9" s="19">
        <f t="shared" si="2"/>
        <v>12.75</v>
      </c>
      <c r="F9" s="19">
        <f t="shared" si="2"/>
        <v>12.75</v>
      </c>
      <c r="G9" s="19">
        <f t="shared" si="2"/>
        <v>12.75</v>
      </c>
      <c r="H9" s="19">
        <f t="shared" si="2"/>
        <v>12.75</v>
      </c>
      <c r="I9" s="87"/>
      <c r="J9" s="88"/>
      <c r="K9" s="7"/>
      <c r="L9" s="7"/>
    </row>
    <row r="10" spans="1:12">
      <c r="A10" s="8" t="str">
        <f>ЭФ1!A9</f>
        <v>Экономия на ремонтах:</v>
      </c>
      <c r="B10" s="18"/>
      <c r="C10" s="19">
        <f>C5*C9</f>
        <v>6780005.292750001</v>
      </c>
      <c r="D10" s="19">
        <f t="shared" ref="D10:H10" si="3">D5*D9</f>
        <v>7361729.746867951</v>
      </c>
      <c r="E10" s="19">
        <f t="shared" si="3"/>
        <v>7993366.159149223</v>
      </c>
      <c r="F10" s="19">
        <f t="shared" si="3"/>
        <v>8679196.9756042268</v>
      </c>
      <c r="G10" s="19">
        <f t="shared" si="3"/>
        <v>9423872.0761110708</v>
      </c>
      <c r="H10" s="19">
        <f t="shared" si="3"/>
        <v>10232440.300241401</v>
      </c>
      <c r="I10" s="87"/>
      <c r="J10" s="88"/>
      <c r="K10" s="7"/>
      <c r="L10" s="7"/>
    </row>
    <row r="11" spans="1:12">
      <c r="A11" s="8" t="str">
        <f>ЭФ1!A10</f>
        <v>Экономия от сокращения простоя:</v>
      </c>
      <c r="B11" s="18"/>
      <c r="C11" s="19">
        <f>C6*C7*C9</f>
        <v>35810491.563749999</v>
      </c>
      <c r="D11" s="19">
        <f t="shared" ref="D11:G11" si="4">D6*D7*D9</f>
        <v>38883031.739919759</v>
      </c>
      <c r="E11" s="19">
        <f t="shared" si="4"/>
        <v>42219195.863204882</v>
      </c>
      <c r="F11" s="19">
        <f t="shared" si="4"/>
        <v>45841602.868267864</v>
      </c>
      <c r="G11" s="19">
        <f t="shared" si="4"/>
        <v>49774812.394365251</v>
      </c>
      <c r="H11" s="19">
        <f t="shared" ref="H11" si="5">H6*H7*H9</f>
        <v>54045491.297801793</v>
      </c>
      <c r="I11" s="87"/>
      <c r="J11" s="88"/>
      <c r="K11" s="7"/>
      <c r="L11" s="7"/>
    </row>
    <row r="12" spans="1:12">
      <c r="A12" s="14" t="s">
        <v>35</v>
      </c>
      <c r="B12" s="16"/>
      <c r="C12" s="16">
        <f>C16*C15*C17</f>
        <v>75311088</v>
      </c>
      <c r="D12" s="16">
        <f t="shared" ref="D12:G12" si="6">D16*D15*D17</f>
        <v>81772779.350400016</v>
      </c>
      <c r="E12" s="16">
        <f t="shared" si="6"/>
        <v>88788883.818664342</v>
      </c>
      <c r="F12" s="16">
        <f t="shared" si="6"/>
        <v>96406970.050305769</v>
      </c>
      <c r="G12" s="16">
        <f t="shared" si="6"/>
        <v>104678688.08062202</v>
      </c>
      <c r="H12" s="16">
        <f t="shared" ref="H12" si="7">H16*H15*H17</f>
        <v>113660119.51793939</v>
      </c>
      <c r="I12" s="87"/>
      <c r="J12" s="88"/>
      <c r="K12" s="7"/>
      <c r="L12" s="7"/>
    </row>
    <row r="13" spans="1:12">
      <c r="A13" s="8" t="str">
        <f>ЭФ2!A2</f>
        <v>Объем продукции, производимой в час (тонн)</v>
      </c>
      <c r="B13" s="18"/>
      <c r="C13" s="19">
        <f>ЭФ2!$B2</f>
        <v>136</v>
      </c>
      <c r="D13" s="19">
        <f>ЭФ2!$B2</f>
        <v>136</v>
      </c>
      <c r="E13" s="19">
        <f>ЭФ2!$B2</f>
        <v>136</v>
      </c>
      <c r="F13" s="19">
        <f>ЭФ2!$B2</f>
        <v>136</v>
      </c>
      <c r="G13" s="19">
        <f>ЭФ2!$B2</f>
        <v>136</v>
      </c>
      <c r="H13" s="19">
        <f>ЭФ2!$B2</f>
        <v>136</v>
      </c>
      <c r="I13" s="87"/>
      <c r="J13" s="88"/>
      <c r="K13" s="7"/>
      <c r="L13" s="7"/>
    </row>
    <row r="14" spans="1:12">
      <c r="A14" s="8" t="str">
        <f>ЭФ2!A3</f>
        <v>Цена реализации единицы продукции (руб./тонна)</v>
      </c>
      <c r="B14" s="18"/>
      <c r="C14" s="19">
        <f>ЭФ2!$B3*(1+$L$42)^C1</f>
        <v>65148.000000000007</v>
      </c>
      <c r="D14" s="19">
        <f>ЭФ2!$B3*(1+$L$42)^D1</f>
        <v>70737.698400000008</v>
      </c>
      <c r="E14" s="19">
        <f>ЭФ2!$B3*(1+$L$42)^E1</f>
        <v>76806.992922720019</v>
      </c>
      <c r="F14" s="19">
        <f>ЭФ2!$B3*(1+$L$42)^F1</f>
        <v>83397.032915489413</v>
      </c>
      <c r="G14" s="19">
        <f>ЭФ2!$B3*(1+$L$42)^G1</f>
        <v>90552.49833963842</v>
      </c>
      <c r="H14" s="19">
        <f>ЭФ2!$B3*(1+$L$42)^H1</f>
        <v>98321.902697179408</v>
      </c>
      <c r="I14" s="87"/>
      <c r="J14" s="88"/>
      <c r="K14" s="7"/>
      <c r="L14" s="7"/>
    </row>
    <row r="15" spans="1:12">
      <c r="A15" s="8" t="str">
        <f>ЭФ2!A6</f>
        <v>Суммарное время внеплановых простоев установки за год (в часах)</v>
      </c>
      <c r="B15" s="18"/>
      <c r="C15" s="19">
        <f>ЭФ2!$B6</f>
        <v>10</v>
      </c>
      <c r="D15" s="19">
        <f>ЭФ2!$B6</f>
        <v>10</v>
      </c>
      <c r="E15" s="19">
        <f>ЭФ2!$B6</f>
        <v>10</v>
      </c>
      <c r="F15" s="19">
        <f>ЭФ2!$B6</f>
        <v>10</v>
      </c>
      <c r="G15" s="19">
        <f>ЭФ2!$B6</f>
        <v>10</v>
      </c>
      <c r="H15" s="19">
        <f>ЭФ2!$B6</f>
        <v>10</v>
      </c>
      <c r="I15" s="87"/>
      <c r="J15" s="88"/>
      <c r="K15" s="7"/>
      <c r="L15" s="7"/>
    </row>
    <row r="16" spans="1:12">
      <c r="A16" s="8" t="str">
        <f>ЭФ2!A7</f>
        <v>Стоимость часа простоя установки</v>
      </c>
      <c r="B16" s="18"/>
      <c r="C16" s="19">
        <f>ЭФ2!$B7*(1+$L$42)^C1</f>
        <v>8860128</v>
      </c>
      <c r="D16" s="19">
        <f>ЭФ2!$B7*(1+$L$42)^D1</f>
        <v>9620326.982400002</v>
      </c>
      <c r="E16" s="19">
        <f>ЭФ2!$B7*(1+$L$42)^E1</f>
        <v>10445751.037489923</v>
      </c>
      <c r="F16" s="19">
        <f>ЭФ2!$B7*(1+$L$42)^F1</f>
        <v>11341996.476506561</v>
      </c>
      <c r="G16" s="19">
        <f>ЭФ2!$B7*(1+$L$42)^G1</f>
        <v>12315139.774190824</v>
      </c>
      <c r="H16" s="19">
        <f>ЭФ2!$B7*(1+$L$42)^H1</f>
        <v>13371778.766816398</v>
      </c>
      <c r="I16" s="87"/>
      <c r="J16" s="88"/>
      <c r="K16" s="7"/>
      <c r="L16" s="7"/>
    </row>
    <row r="17" spans="1:12">
      <c r="A17" s="8" t="str">
        <f>ЭФ2!A8</f>
        <v>Коэффициент снижения внеплановых простоев</v>
      </c>
      <c r="B17" s="18"/>
      <c r="C17" s="15">
        <f>ЭФ2!$B8</f>
        <v>0.85</v>
      </c>
      <c r="D17" s="15">
        <f>ЭФ2!$B8</f>
        <v>0.85</v>
      </c>
      <c r="E17" s="15">
        <f>ЭФ2!$B8</f>
        <v>0.85</v>
      </c>
      <c r="F17" s="15">
        <f>ЭФ2!$B8</f>
        <v>0.85</v>
      </c>
      <c r="G17" s="15">
        <f>ЭФ2!$B8</f>
        <v>0.85</v>
      </c>
      <c r="H17" s="15">
        <f>ЭФ2!$B8</f>
        <v>0.85</v>
      </c>
      <c r="I17" s="87"/>
      <c r="J17" s="88"/>
      <c r="K17" s="7"/>
      <c r="L17" s="7"/>
    </row>
    <row r="18" spans="1:12">
      <c r="A18" s="14" t="s">
        <v>36</v>
      </c>
      <c r="B18" s="16"/>
      <c r="C18" s="16">
        <f>C19+C20-C21-C22</f>
        <v>9473605.0000000019</v>
      </c>
      <c r="D18" s="16">
        <f t="shared" ref="D18:H18" si="8">D19+D20-D21-D22</f>
        <v>10286440.309000002</v>
      </c>
      <c r="E18" s="16">
        <f t="shared" si="8"/>
        <v>11169016.887512201</v>
      </c>
      <c r="F18" s="16">
        <f t="shared" si="8"/>
        <v>12127318.536460754</v>
      </c>
      <c r="G18" s="16">
        <f t="shared" si="8"/>
        <v>13167842.466889085</v>
      </c>
      <c r="H18" s="16">
        <f t="shared" si="8"/>
        <v>14297643.350548172</v>
      </c>
      <c r="I18" s="87"/>
      <c r="J18" s="88"/>
      <c r="K18" s="7"/>
      <c r="L18" s="7"/>
    </row>
    <row r="19" spans="1:12">
      <c r="A19" s="8" t="str">
        <f>ЭФ3!A2</f>
        <v>Стоимость комплекта вибродатчиков на 50 агрегатов</v>
      </c>
      <c r="B19" s="20"/>
      <c r="C19" s="21">
        <f>ЭФ3!$B2*(1+$L$42)^C1</f>
        <v>6786250.0000000009</v>
      </c>
      <c r="D19" s="21">
        <f>ЭФ3!$B2*(1+$L$42)^D1</f>
        <v>7368510.2500000019</v>
      </c>
      <c r="E19" s="21">
        <f>ЭФ3!$B2*(1+$L$42)^E1</f>
        <v>8000728.4294500016</v>
      </c>
      <c r="F19" s="21">
        <f>ЭФ3!$B2*(1+$L$42)^F1</f>
        <v>8687190.9286968149</v>
      </c>
      <c r="G19" s="21">
        <f>ЭФ3!$B2*(1+$L$42)^G1</f>
        <v>9432551.9103790019</v>
      </c>
      <c r="H19" s="21">
        <f>ЭФ3!$B2*(1+$L$42)^H1</f>
        <v>10241864.86428952</v>
      </c>
      <c r="I19" s="87"/>
      <c r="J19" s="88"/>
      <c r="K19" s="7"/>
      <c r="L19" s="7"/>
    </row>
    <row r="20" spans="1:12">
      <c r="A20" s="8" t="str">
        <f>ЭФ3!A3</f>
        <v>Стоимость работ по монтажу, прокладке кабелей, интеграции в систему</v>
      </c>
      <c r="B20" s="20"/>
      <c r="C20" s="21">
        <f>ЭФ3!$B3*(1+$L$42)^C1</f>
        <v>3800300.0000000005</v>
      </c>
      <c r="D20" s="21">
        <f>ЭФ3!$B3*(1+$L$42)^D1</f>
        <v>4126365.7400000007</v>
      </c>
      <c r="E20" s="21">
        <f>ЭФ3!$B3*(1+$L$42)^E1</f>
        <v>4480407.9204920009</v>
      </c>
      <c r="F20" s="21">
        <f>ЭФ3!$B3*(1+$L$42)^F1</f>
        <v>4864826.9200702161</v>
      </c>
      <c r="G20" s="21">
        <f>ЭФ3!$B3*(1+$L$42)^G1</f>
        <v>5282229.069812241</v>
      </c>
      <c r="H20" s="21">
        <f>ЭФ3!$B3*(1+$L$42)^H1</f>
        <v>5735444.3240021318</v>
      </c>
      <c r="I20" s="87"/>
      <c r="J20" s="88"/>
      <c r="K20" s="7"/>
      <c r="L20" s="7"/>
    </row>
    <row r="21" spans="1:12">
      <c r="A21" s="8" t="str">
        <f>ЭФ3!A5</f>
        <v>Стоимость датчиков тока (200 шт)</v>
      </c>
      <c r="B21" s="20"/>
      <c r="C21" s="21">
        <f>ЭФ3!$B5*(1+$L$42)^C1</f>
        <v>27145.000000000004</v>
      </c>
      <c r="D21" s="21">
        <f>ЭФ3!$B5*(1+$L$42)^D1</f>
        <v>29474.041000000005</v>
      </c>
      <c r="E21" s="21">
        <f>ЭФ3!$B5*(1+$L$42)^E1</f>
        <v>32002.913717800009</v>
      </c>
      <c r="F21" s="21">
        <f>ЭФ3!$B5*(1+$L$42)^F1</f>
        <v>34748.763714787259</v>
      </c>
      <c r="G21" s="21">
        <f>ЭФ3!$B5*(1+$L$42)^G1</f>
        <v>37730.207641516005</v>
      </c>
      <c r="H21" s="21">
        <f>ЭФ3!$B5*(1+$L$42)^H1</f>
        <v>40967.459457158082</v>
      </c>
      <c r="I21" s="87"/>
      <c r="J21" s="88"/>
      <c r="K21" s="7"/>
      <c r="L21" s="7"/>
    </row>
    <row r="22" spans="1:12">
      <c r="A22" s="8" t="str">
        <f>ЭФ3!A6</f>
        <v>Стоимость монтажа датчиков и подключения к системе сбора данных</v>
      </c>
      <c r="B22" s="20"/>
      <c r="C22" s="21">
        <f>ЭФ3!$B6*(1+$L$42)^C1</f>
        <v>1085800</v>
      </c>
      <c r="D22" s="21">
        <f>ЭФ3!$B6*(1+$L$42)^D1</f>
        <v>1178961.6400000004</v>
      </c>
      <c r="E22" s="21">
        <f>ЭФ3!$B6*(1+$L$42)^E1</f>
        <v>1280116.5487120003</v>
      </c>
      <c r="F22" s="21">
        <f>ЭФ3!$B6*(1+$L$42)^F1</f>
        <v>1389950.5485914904</v>
      </c>
      <c r="G22" s="21">
        <f>ЭФ3!$B6*(1+$L$42)^G1</f>
        <v>1509208.3056606401</v>
      </c>
      <c r="H22" s="21">
        <f>ЭФ3!$B6*(1+$L$42)^H1</f>
        <v>1638698.3782863233</v>
      </c>
      <c r="I22" s="87"/>
      <c r="J22" s="88"/>
      <c r="K22" s="7"/>
      <c r="L22" s="7"/>
    </row>
    <row r="23" spans="1:12">
      <c r="A23" s="14" t="s">
        <v>37</v>
      </c>
      <c r="B23" s="16"/>
      <c r="C23" s="16">
        <f>(C24-C27)*C25*C26</f>
        <v>6514800.0000000009</v>
      </c>
      <c r="D23" s="16">
        <f t="shared" ref="D23:H23" si="9">(D24-D27)*D25*D26</f>
        <v>7073769.8400000008</v>
      </c>
      <c r="E23" s="16">
        <f t="shared" si="9"/>
        <v>7680699.2922720024</v>
      </c>
      <c r="F23" s="16">
        <f t="shared" si="9"/>
        <v>8339703.2915489422</v>
      </c>
      <c r="G23" s="16">
        <f t="shared" si="9"/>
        <v>9055249.8339638412</v>
      </c>
      <c r="H23" s="16">
        <f t="shared" si="9"/>
        <v>9832190.2697179392</v>
      </c>
      <c r="I23" s="87"/>
      <c r="J23" s="88"/>
      <c r="K23" s="7"/>
      <c r="L23" s="7"/>
    </row>
    <row r="24" spans="1:12">
      <c r="A24" s="8" t="str">
        <f>ЭФ4!A2</f>
        <v>Среднее время на поиск и локализацию одной неисправности (в часах)</v>
      </c>
      <c r="B24" s="20"/>
      <c r="C24" s="20">
        <f>ЭФ4!$B2</f>
        <v>4</v>
      </c>
      <c r="D24" s="20">
        <f>ЭФ4!$B2</f>
        <v>4</v>
      </c>
      <c r="E24" s="20">
        <f>ЭФ4!$B2</f>
        <v>4</v>
      </c>
      <c r="F24" s="20">
        <f>ЭФ4!$B2</f>
        <v>4</v>
      </c>
      <c r="G24" s="20">
        <f>ЭФ4!$B2</f>
        <v>4</v>
      </c>
      <c r="H24" s="20">
        <f>ЭФ4!$B2</f>
        <v>4</v>
      </c>
      <c r="I24" s="87"/>
      <c r="J24" s="88"/>
      <c r="K24" s="7"/>
      <c r="L24" s="7"/>
    </row>
    <row r="25" spans="1:12">
      <c r="A25" s="8" t="str">
        <f>ЭФ4!A3</f>
        <v>Среднее количество инцидентов (отказов), требующих диагностики, в год</v>
      </c>
      <c r="B25" s="20"/>
      <c r="C25" s="20">
        <f>ЭФ4!$B3</f>
        <v>30</v>
      </c>
      <c r="D25" s="20">
        <f>ЭФ4!$B3</f>
        <v>30</v>
      </c>
      <c r="E25" s="20">
        <f>ЭФ4!$B3</f>
        <v>30</v>
      </c>
      <c r="F25" s="20">
        <f>ЭФ4!$B3</f>
        <v>30</v>
      </c>
      <c r="G25" s="20">
        <f>ЭФ4!$B3</f>
        <v>30</v>
      </c>
      <c r="H25" s="20">
        <f>ЭФ4!$B3</f>
        <v>30</v>
      </c>
      <c r="I25" s="87"/>
      <c r="J25" s="88"/>
      <c r="K25" s="7"/>
      <c r="L25" s="7"/>
    </row>
    <row r="26" spans="1:12">
      <c r="A26" s="8" t="str">
        <f>ЭФ4!A4</f>
        <v>Полная стоимость часа работы ремонтной бригады</v>
      </c>
      <c r="B26" s="20"/>
      <c r="C26" s="21">
        <f>ЭФ4!$B4*(1+$L$42)^C1</f>
        <v>108580.00000000001</v>
      </c>
      <c r="D26" s="21">
        <f>ЭФ4!$B4*(1+$L$42)^D1</f>
        <v>117896.16400000002</v>
      </c>
      <c r="E26" s="21">
        <f>ЭФ4!$B4*(1+$L$42)^E1</f>
        <v>128011.65487120004</v>
      </c>
      <c r="F26" s="21">
        <f>ЭФ4!$B4*(1+$L$42)^F1</f>
        <v>138995.05485914904</v>
      </c>
      <c r="G26" s="21">
        <f>ЭФ4!$B4*(1+$L$42)^G1</f>
        <v>150920.83056606402</v>
      </c>
      <c r="H26" s="21">
        <f>ЭФ4!$B4*(1+$L$42)^H1</f>
        <v>163869.83782863233</v>
      </c>
      <c r="I26" s="87"/>
      <c r="J26" s="88"/>
      <c r="K26" s="7"/>
      <c r="L26" s="7"/>
    </row>
    <row r="27" spans="1:12">
      <c r="A27" s="8" t="str">
        <f>ЭФ4!A5</f>
        <v>Среднее время на локализацию неисправности после внедрения системы</v>
      </c>
      <c r="B27" s="20"/>
      <c r="C27" s="20">
        <f>ЭФ4!$B5</f>
        <v>2</v>
      </c>
      <c r="D27" s="20">
        <f>ЭФ4!$B5</f>
        <v>2</v>
      </c>
      <c r="E27" s="20">
        <f>ЭФ4!$B5</f>
        <v>2</v>
      </c>
      <c r="F27" s="20">
        <f>ЭФ4!$B5</f>
        <v>2</v>
      </c>
      <c r="G27" s="20">
        <f>ЭФ4!$B5</f>
        <v>2</v>
      </c>
      <c r="H27" s="20">
        <f>ЭФ4!$B5</f>
        <v>2</v>
      </c>
      <c r="I27" s="89"/>
      <c r="J27" s="90"/>
      <c r="K27" s="7"/>
      <c r="L27" s="7"/>
    </row>
    <row r="28" spans="1:12" ht="15.75" customHeight="1">
      <c r="A28" s="13" t="s">
        <v>0</v>
      </c>
      <c r="B28" s="16">
        <f>B29+B43</f>
        <v>48883176</v>
      </c>
      <c r="C28" s="17">
        <f t="shared" ref="C28:H28" si="10">SUM(C29+C43)</f>
        <v>9558833.8880000003</v>
      </c>
      <c r="D28" s="17">
        <f t="shared" si="10"/>
        <v>10288788.875590403</v>
      </c>
      <c r="E28" s="17">
        <f t="shared" si="10"/>
        <v>11081374.001116058</v>
      </c>
      <c r="F28" s="17">
        <f t="shared" si="10"/>
        <v>11941962.930411819</v>
      </c>
      <c r="G28" s="17">
        <f t="shared" si="10"/>
        <v>12876390.389841154</v>
      </c>
      <c r="H28" s="17">
        <f t="shared" si="10"/>
        <v>13890991.725289527</v>
      </c>
      <c r="I28" s="93" t="s">
        <v>100</v>
      </c>
      <c r="J28" s="94"/>
      <c r="K28" s="7"/>
      <c r="L28" s="7"/>
    </row>
    <row r="29" spans="1:12" ht="15" customHeight="1">
      <c r="A29" s="9" t="s">
        <v>1</v>
      </c>
      <c r="B29" s="22">
        <f>B30+B41+B42</f>
        <v>48883176</v>
      </c>
      <c r="C29" s="23">
        <f>C41</f>
        <v>0</v>
      </c>
      <c r="D29" s="23">
        <f t="shared" ref="D29:G29" si="11">D41</f>
        <v>0</v>
      </c>
      <c r="E29" s="23">
        <f t="shared" si="11"/>
        <v>0</v>
      </c>
      <c r="F29" s="23">
        <f t="shared" si="11"/>
        <v>0</v>
      </c>
      <c r="G29" s="23">
        <f t="shared" si="11"/>
        <v>0</v>
      </c>
      <c r="H29" s="23">
        <f t="shared" ref="H29" si="12">H41</f>
        <v>0</v>
      </c>
      <c r="I29" s="95"/>
      <c r="J29" s="96"/>
      <c r="K29" s="7"/>
      <c r="L29" s="7"/>
    </row>
    <row r="30" spans="1:12">
      <c r="A30" s="9" t="str">
        <f>CAPEX!A2</f>
        <v>Стоиомсть команды для разработки ПО</v>
      </c>
      <c r="B30" s="22">
        <f>CAPEX!B2</f>
        <v>40300800</v>
      </c>
      <c r="C30" s="23"/>
      <c r="D30" s="23"/>
      <c r="E30" s="23"/>
      <c r="F30" s="23"/>
      <c r="G30" s="23"/>
      <c r="H30" s="23"/>
      <c r="I30" s="95"/>
      <c r="J30" s="96"/>
      <c r="K30" s="7"/>
      <c r="L30" s="7"/>
    </row>
    <row r="31" spans="1:12">
      <c r="A31" s="9" t="str">
        <f>'Стоимость команды'!A2</f>
        <v>Руководитель проекта</v>
      </c>
      <c r="B31" s="22">
        <f>'Стоимость команды'!D2</f>
        <v>6144000</v>
      </c>
      <c r="C31" s="23"/>
      <c r="D31" s="23"/>
      <c r="E31" s="23"/>
      <c r="F31" s="23"/>
      <c r="G31" s="23"/>
      <c r="H31" s="23"/>
      <c r="I31" s="95"/>
      <c r="J31" s="96"/>
      <c r="K31" s="7"/>
      <c r="L31" s="7"/>
    </row>
    <row r="32" spans="1:12">
      <c r="A32" s="9" t="str">
        <f>'Стоимость команды'!A3</f>
        <v>Системный аналитик</v>
      </c>
      <c r="B32" s="22">
        <f>'Стоимость команды'!D3</f>
        <v>6336000</v>
      </c>
      <c r="C32" s="23"/>
      <c r="D32" s="23"/>
      <c r="E32" s="23"/>
      <c r="F32" s="23"/>
      <c r="G32" s="23"/>
      <c r="H32" s="23"/>
      <c r="I32" s="95"/>
      <c r="J32" s="96"/>
      <c r="K32" s="7"/>
      <c r="L32" s="7"/>
    </row>
    <row r="33" spans="1:12">
      <c r="A33" s="9" t="str">
        <f>'Стоимость команды'!A4</f>
        <v>Бизнес аналитик</v>
      </c>
      <c r="B33" s="22">
        <f>'Стоимость команды'!D4</f>
        <v>5068800</v>
      </c>
      <c r="C33" s="23"/>
      <c r="D33" s="23"/>
      <c r="E33" s="23"/>
      <c r="F33" s="23"/>
      <c r="G33" s="23"/>
      <c r="H33" s="23"/>
      <c r="I33" s="95"/>
      <c r="J33" s="96"/>
      <c r="K33" s="7"/>
      <c r="L33" s="7"/>
    </row>
    <row r="34" spans="1:12">
      <c r="A34" s="9" t="str">
        <f>'Стоимость команды'!A5</f>
        <v>Frontend разработчик</v>
      </c>
      <c r="B34" s="22">
        <f>'Стоимость команды'!D5</f>
        <v>4492800</v>
      </c>
      <c r="C34" s="23"/>
      <c r="D34" s="23"/>
      <c r="E34" s="23"/>
      <c r="F34" s="23"/>
      <c r="G34" s="23"/>
      <c r="H34" s="23"/>
      <c r="I34" s="95"/>
      <c r="J34" s="96"/>
      <c r="K34" s="7"/>
      <c r="L34" s="7"/>
    </row>
    <row r="35" spans="1:12">
      <c r="A35" s="9" t="str">
        <f>'Стоимость команды'!A6</f>
        <v>Backend разработчик</v>
      </c>
      <c r="B35" s="22">
        <f>'Стоимость команды'!D6</f>
        <v>4492800</v>
      </c>
      <c r="C35" s="23"/>
      <c r="D35" s="23"/>
      <c r="E35" s="23"/>
      <c r="F35" s="23"/>
      <c r="G35" s="23"/>
      <c r="H35" s="23"/>
      <c r="I35" s="95"/>
      <c r="J35" s="96"/>
      <c r="K35" s="7"/>
      <c r="L35" s="7"/>
    </row>
    <row r="36" spans="1:12">
      <c r="A36" s="9" t="str">
        <f>'Стоимость команды'!A7</f>
        <v>ML разработчик</v>
      </c>
      <c r="B36" s="22">
        <f>'Стоимость команды'!D7</f>
        <v>6912000</v>
      </c>
      <c r="C36" s="23"/>
      <c r="D36" s="23"/>
      <c r="E36" s="23"/>
      <c r="F36" s="23"/>
      <c r="G36" s="23"/>
      <c r="H36" s="23"/>
      <c r="I36" s="95"/>
      <c r="J36" s="96"/>
      <c r="K36" s="7"/>
      <c r="L36" s="7"/>
    </row>
    <row r="37" spans="1:12">
      <c r="A37" s="9" t="str">
        <f>'Стоимость команды'!A8</f>
        <v>UX\UI дизайнер</v>
      </c>
      <c r="B37" s="22">
        <f>'Стоимость команды'!D8</f>
        <v>2016000</v>
      </c>
      <c r="C37" s="23"/>
      <c r="D37" s="23"/>
      <c r="E37" s="23"/>
      <c r="F37" s="23"/>
      <c r="G37" s="23"/>
      <c r="H37" s="23"/>
      <c r="I37" s="95"/>
      <c r="J37" s="96"/>
      <c r="K37" s="7"/>
      <c r="L37" s="7"/>
    </row>
    <row r="38" spans="1:12">
      <c r="A38" s="9" t="str">
        <f>'Стоимость команды'!A9</f>
        <v>Архитектор</v>
      </c>
      <c r="B38" s="22">
        <f>'Стоимость команды'!D9</f>
        <v>2592000</v>
      </c>
      <c r="C38" s="23"/>
      <c r="D38" s="23"/>
      <c r="E38" s="23"/>
      <c r="F38" s="23"/>
      <c r="G38" s="23"/>
      <c r="H38" s="23"/>
      <c r="I38" s="95"/>
      <c r="J38" s="96"/>
      <c r="K38" s="7"/>
      <c r="L38" s="7"/>
    </row>
    <row r="39" spans="1:12">
      <c r="A39" s="9" t="str">
        <f>'Стоимость команды'!A10</f>
        <v>DevOps инженер</v>
      </c>
      <c r="B39" s="22">
        <f>'Стоимость команды'!D10</f>
        <v>2246400</v>
      </c>
      <c r="C39" s="23"/>
      <c r="D39" s="23"/>
      <c r="E39" s="23"/>
      <c r="F39" s="23"/>
      <c r="G39" s="23"/>
      <c r="H39" s="23"/>
      <c r="I39" s="80"/>
      <c r="J39" s="81"/>
      <c r="K39" s="7"/>
      <c r="L39" s="7"/>
    </row>
    <row r="40" spans="1:12">
      <c r="A40" s="9" t="str">
        <f>CAPEX!A2</f>
        <v>Стоиомсть команды для разработки ПО</v>
      </c>
      <c r="B40" s="22">
        <f>CAPEX!B2</f>
        <v>40300800</v>
      </c>
      <c r="C40" s="19"/>
      <c r="D40" s="19"/>
      <c r="E40" s="19"/>
      <c r="F40" s="19"/>
      <c r="G40" s="19"/>
      <c r="H40" s="19"/>
      <c r="I40" s="91"/>
      <c r="J40" s="92"/>
      <c r="K40" s="10" t="s">
        <v>15</v>
      </c>
      <c r="L40" s="10">
        <v>10</v>
      </c>
    </row>
    <row r="41" spans="1:12">
      <c r="A41" s="9" t="str">
        <f>CAPEX!A3</f>
        <v>Закупка инфраструктуры и лицензий</v>
      </c>
      <c r="B41" s="22">
        <f>CAPEX!B3</f>
        <v>7557376</v>
      </c>
      <c r="C41" s="19"/>
      <c r="D41" s="19"/>
      <c r="E41" s="19"/>
      <c r="F41" s="19"/>
      <c r="G41" s="19"/>
      <c r="H41" s="19"/>
      <c r="I41" s="91"/>
      <c r="J41" s="92"/>
      <c r="K41" s="10" t="s">
        <v>15</v>
      </c>
      <c r="L41" s="10">
        <v>10</v>
      </c>
    </row>
    <row r="42" spans="1:12">
      <c r="A42" s="9" t="str">
        <f>CAPEX!A4</f>
        <v>Стоимость токовых датчиков, включая установку на оборудование (на 1 ед.)</v>
      </c>
      <c r="B42" s="22">
        <f>CAPEX!B4</f>
        <v>1025000</v>
      </c>
      <c r="C42" s="19"/>
      <c r="D42" s="19"/>
      <c r="E42" s="19"/>
      <c r="F42" s="19"/>
      <c r="G42" s="19"/>
      <c r="H42" s="19"/>
      <c r="I42" s="91"/>
      <c r="J42" s="92"/>
      <c r="K42" s="10" t="s">
        <v>102</v>
      </c>
      <c r="L42" s="11">
        <v>8.5800000000000001E-2</v>
      </c>
    </row>
    <row r="43" spans="1:12">
      <c r="A43" s="9" t="s">
        <v>2</v>
      </c>
      <c r="B43" s="24"/>
      <c r="C43" s="23">
        <f>SUM(C44:C45)</f>
        <v>9558833.8880000003</v>
      </c>
      <c r="D43" s="23">
        <f t="shared" ref="D43:H43" si="13">SUM(D44:D45)</f>
        <v>10288788.875590403</v>
      </c>
      <c r="E43" s="23">
        <f t="shared" si="13"/>
        <v>11081374.001116058</v>
      </c>
      <c r="F43" s="23">
        <f t="shared" si="13"/>
        <v>11941962.930411819</v>
      </c>
      <c r="G43" s="23">
        <f t="shared" si="13"/>
        <v>12876390.389841154</v>
      </c>
      <c r="H43" s="23">
        <f t="shared" si="13"/>
        <v>13890991.725289527</v>
      </c>
      <c r="I43" s="91"/>
      <c r="J43" s="92"/>
      <c r="K43" s="10" t="s">
        <v>17</v>
      </c>
      <c r="L43" s="11">
        <f>'Ставка дисконтирования'!B15</f>
        <v>0.16000000000000003</v>
      </c>
    </row>
    <row r="44" spans="1:12">
      <c r="A44" s="6" t="s">
        <v>3</v>
      </c>
      <c r="B44" s="18"/>
      <c r="C44" s="19">
        <f>OPEX!$B$2*(1+$L$42)^C1</f>
        <v>8507633.8880000003</v>
      </c>
      <c r="D44" s="19">
        <f>OPEX!$B$2*(1+$L$42)^D1</f>
        <v>9237588.8755904026</v>
      </c>
      <c r="E44" s="19">
        <f>OPEX!$B$2*(1+$L$42)^E1</f>
        <v>10030174.001116058</v>
      </c>
      <c r="F44" s="19">
        <f>OPEX!$B$2*(1+$L$42)^F1</f>
        <v>10890762.930411819</v>
      </c>
      <c r="G44" s="19">
        <f>OPEX!$B$2*(1+$L$42)^G1</f>
        <v>11825190.389841154</v>
      </c>
      <c r="H44" s="19">
        <f>OPEX!$B$2*(1+$L$42)^H1</f>
        <v>12839791.725289527</v>
      </c>
      <c r="I44" s="91"/>
      <c r="J44" s="92"/>
      <c r="K44" s="7"/>
      <c r="L44" s="7"/>
    </row>
    <row r="45" spans="1:12">
      <c r="A45" s="6" t="str">
        <f>CAPEX!A3</f>
        <v>Закупка инфраструктуры и лицензий</v>
      </c>
      <c r="B45" s="18"/>
      <c r="C45" s="19">
        <f>OPEX!$B$3</f>
        <v>1051200</v>
      </c>
      <c r="D45" s="19">
        <f>OPEX!$B$3</f>
        <v>1051200</v>
      </c>
      <c r="E45" s="19">
        <f>OPEX!$B$3</f>
        <v>1051200</v>
      </c>
      <c r="F45" s="19">
        <f>OPEX!$B$3</f>
        <v>1051200</v>
      </c>
      <c r="G45" s="19">
        <f>OPEX!$B$3</f>
        <v>1051200</v>
      </c>
      <c r="H45" s="19">
        <f>OPEX!$B$3</f>
        <v>1051200</v>
      </c>
      <c r="I45" s="68"/>
      <c r="J45" s="69"/>
      <c r="K45" s="7"/>
      <c r="L45" s="7"/>
    </row>
    <row r="46" spans="1:12">
      <c r="A46" s="6" t="s">
        <v>4</v>
      </c>
      <c r="B46" s="18"/>
      <c r="C46" s="71">
        <f>B41/L41</f>
        <v>755737.59999999998</v>
      </c>
      <c r="D46" s="71">
        <f>C46</f>
        <v>755737.59999999998</v>
      </c>
      <c r="E46" s="71">
        <f t="shared" ref="E46:H46" si="14">D46</f>
        <v>755737.59999999998</v>
      </c>
      <c r="F46" s="71">
        <f t="shared" si="14"/>
        <v>755737.59999999998</v>
      </c>
      <c r="G46" s="71">
        <f t="shared" si="14"/>
        <v>755737.59999999998</v>
      </c>
      <c r="H46" s="71">
        <f t="shared" si="14"/>
        <v>755737.59999999998</v>
      </c>
      <c r="I46" s="68"/>
      <c r="J46" s="69"/>
      <c r="K46" s="7"/>
      <c r="L46" s="7"/>
    </row>
    <row r="47" spans="1:12">
      <c r="A47" s="6"/>
      <c r="B47" s="18"/>
      <c r="C47" s="19"/>
      <c r="D47" s="19"/>
      <c r="E47" s="19"/>
      <c r="F47" s="19"/>
      <c r="G47" s="19"/>
      <c r="H47" s="19"/>
      <c r="I47" s="80"/>
      <c r="J47" s="81"/>
      <c r="K47" s="7"/>
      <c r="L47" s="7"/>
    </row>
    <row r="48" spans="1:12">
      <c r="A48" s="6" t="s">
        <v>6</v>
      </c>
      <c r="B48" s="25"/>
      <c r="C48" s="19">
        <f t="shared" ref="C48:H48" si="15">C2-C28</f>
        <v>124331155.9685</v>
      </c>
      <c r="D48" s="19">
        <f t="shared" si="15"/>
        <v>135088962.11059731</v>
      </c>
      <c r="E48" s="19">
        <f t="shared" si="15"/>
        <v>146769788.01968658</v>
      </c>
      <c r="F48" s="19">
        <f t="shared" si="15"/>
        <v>159452828.79177573</v>
      </c>
      <c r="G48" s="19">
        <f t="shared" si="15"/>
        <v>173224074.4621101</v>
      </c>
      <c r="H48" s="19">
        <f t="shared" si="15"/>
        <v>188176893.01095918</v>
      </c>
      <c r="I48" s="82"/>
      <c r="J48" s="82"/>
      <c r="K48" s="7"/>
      <c r="L48" s="7"/>
    </row>
    <row r="49" spans="1:12">
      <c r="A49" s="12" t="s">
        <v>5</v>
      </c>
      <c r="B49" s="26"/>
      <c r="C49" s="27">
        <f>C48*0.2</f>
        <v>24866231.193700001</v>
      </c>
      <c r="D49" s="27">
        <f t="shared" ref="D49:G49" si="16">D48*0.2</f>
        <v>27017792.422119465</v>
      </c>
      <c r="E49" s="27">
        <f t="shared" si="16"/>
        <v>29353957.603937317</v>
      </c>
      <c r="F49" s="27">
        <f t="shared" si="16"/>
        <v>31890565.758355148</v>
      </c>
      <c r="G49" s="27">
        <f t="shared" si="16"/>
        <v>34644814.89242202</v>
      </c>
      <c r="H49" s="27">
        <f t="shared" ref="H49" si="17">H48*0.2</f>
        <v>37635378.602191836</v>
      </c>
      <c r="I49" s="7"/>
      <c r="J49" s="7"/>
      <c r="K49" s="7"/>
      <c r="L49" s="7"/>
    </row>
    <row r="50" spans="1:12">
      <c r="A50" s="6" t="s">
        <v>7</v>
      </c>
      <c r="B50" s="18"/>
      <c r="C50" s="19">
        <f>C48-C49-C46</f>
        <v>98709187.174800009</v>
      </c>
      <c r="D50" s="19">
        <f t="shared" ref="D50:H50" si="18">D48-D49-D46</f>
        <v>107315432.08847785</v>
      </c>
      <c r="E50" s="19">
        <f t="shared" si="18"/>
        <v>116660092.81574927</v>
      </c>
      <c r="F50" s="19">
        <f t="shared" si="18"/>
        <v>126806525.4334206</v>
      </c>
      <c r="G50" s="19">
        <f t="shared" si="18"/>
        <v>137823521.96968809</v>
      </c>
      <c r="H50" s="19">
        <f t="shared" si="18"/>
        <v>149785776.80876735</v>
      </c>
      <c r="I50" s="7"/>
      <c r="J50" s="7"/>
      <c r="K50" s="7"/>
      <c r="L50" s="7"/>
    </row>
    <row r="51" spans="1:12">
      <c r="A51" s="6" t="s">
        <v>16</v>
      </c>
      <c r="B51" s="25">
        <f>-B29</f>
        <v>-48883176</v>
      </c>
      <c r="C51" s="19">
        <f>C50</f>
        <v>98709187.174800009</v>
      </c>
      <c r="D51" s="19">
        <f t="shared" ref="D51:G51" si="19">D50</f>
        <v>107315432.08847785</v>
      </c>
      <c r="E51" s="19">
        <f t="shared" si="19"/>
        <v>116660092.81574927</v>
      </c>
      <c r="F51" s="19">
        <f t="shared" si="19"/>
        <v>126806525.4334206</v>
      </c>
      <c r="G51" s="19">
        <f t="shared" si="19"/>
        <v>137823521.96968809</v>
      </c>
      <c r="H51" s="19">
        <f t="shared" ref="H51" si="20">H50</f>
        <v>149785776.80876735</v>
      </c>
      <c r="I51" s="7"/>
      <c r="J51" s="7"/>
      <c r="K51" s="7"/>
      <c r="L51" s="7"/>
    </row>
    <row r="52" spans="1:12">
      <c r="A52" s="6" t="s">
        <v>8</v>
      </c>
      <c r="B52" s="18">
        <f t="shared" ref="B52:H52" si="21">B51/(1+$L$43)^B1</f>
        <v>-48883176</v>
      </c>
      <c r="C52" s="19">
        <f t="shared" si="21"/>
        <v>85094126.874827579</v>
      </c>
      <c r="D52" s="19">
        <f t="shared" si="21"/>
        <v>79752847.86599125</v>
      </c>
      <c r="E52" s="19">
        <f t="shared" si="21"/>
        <v>74739183.658455938</v>
      </c>
      <c r="F52" s="19">
        <f t="shared" si="21"/>
        <v>70034115.150032163</v>
      </c>
      <c r="G52" s="19">
        <f t="shared" si="21"/>
        <v>65619572.639993712</v>
      </c>
      <c r="H52" s="19">
        <f t="shared" si="21"/>
        <v>61478411.950500734</v>
      </c>
      <c r="I52" s="7"/>
      <c r="J52" s="7"/>
      <c r="K52" s="7"/>
      <c r="L52" s="7"/>
    </row>
    <row r="53" spans="1:12">
      <c r="A53" s="6" t="s">
        <v>9</v>
      </c>
      <c r="B53" s="18">
        <f>B52</f>
        <v>-48883176</v>
      </c>
      <c r="C53" s="19">
        <f>B53+C52</f>
        <v>36210950.874827579</v>
      </c>
      <c r="D53" s="19">
        <f t="shared" ref="D53:H53" si="22">C53+D52</f>
        <v>115963798.74081883</v>
      </c>
      <c r="E53" s="19">
        <f t="shared" si="22"/>
        <v>190702982.39927477</v>
      </c>
      <c r="F53" s="19">
        <f t="shared" si="22"/>
        <v>260737097.54930693</v>
      </c>
      <c r="G53" s="27">
        <f t="shared" si="22"/>
        <v>326356670.18930066</v>
      </c>
      <c r="H53" s="27">
        <f t="shared" si="22"/>
        <v>387835082.13980138</v>
      </c>
      <c r="I53" s="7"/>
      <c r="J53" s="7"/>
      <c r="K53" s="7"/>
      <c r="L53" s="7"/>
    </row>
    <row r="57" spans="1:12">
      <c r="A57" t="s">
        <v>10</v>
      </c>
      <c r="B57" s="4">
        <f>G53</f>
        <v>326356670.18930066</v>
      </c>
    </row>
    <row r="58" spans="1:12">
      <c r="A58" t="s">
        <v>11</v>
      </c>
      <c r="B58" s="70">
        <f>1+B57/B28</f>
        <v>7.6762574958161611</v>
      </c>
    </row>
    <row r="59" spans="1:12">
      <c r="A59" t="s">
        <v>12</v>
      </c>
      <c r="B59" s="66">
        <f>IRR(B51:G51)</f>
        <v>2.0956416430945266</v>
      </c>
    </row>
    <row r="60" spans="1:12">
      <c r="A60" s="28" t="s">
        <v>13</v>
      </c>
      <c r="B60" s="67">
        <f>B28/C50</f>
        <v>0.4952241771926944</v>
      </c>
    </row>
    <row r="61" spans="1:12">
      <c r="A61" s="28" t="s">
        <v>14</v>
      </c>
      <c r="B61" s="67">
        <v>6</v>
      </c>
    </row>
    <row r="62" spans="1:12">
      <c r="A62" s="28" t="s">
        <v>62</v>
      </c>
      <c r="B62" s="4">
        <f>((C50-B28)/B28)*100%</f>
        <v>1.0192875187733303</v>
      </c>
    </row>
  </sheetData>
  <mergeCells count="10">
    <mergeCell ref="I47:J47"/>
    <mergeCell ref="I48:J48"/>
    <mergeCell ref="I1:J1"/>
    <mergeCell ref="I2:J27"/>
    <mergeCell ref="I41:J41"/>
    <mergeCell ref="I42:J42"/>
    <mergeCell ref="I43:J43"/>
    <mergeCell ref="I44:J44"/>
    <mergeCell ref="I28:J39"/>
    <mergeCell ref="I40:J4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7" sqref="B17"/>
    </sheetView>
  </sheetViews>
  <sheetFormatPr defaultColWidth="8.6640625" defaultRowHeight="15.75"/>
  <cols>
    <col min="1" max="1" width="41.33203125" customWidth="1"/>
    <col min="2" max="2" width="26.88671875" customWidth="1"/>
    <col min="8" max="8" width="36.6640625" customWidth="1"/>
  </cols>
  <sheetData>
    <row r="1" spans="1:8">
      <c r="A1" s="34" t="s">
        <v>19</v>
      </c>
      <c r="B1" s="34" t="s">
        <v>20</v>
      </c>
    </row>
    <row r="2" spans="1:8">
      <c r="A2" s="35" t="s">
        <v>93</v>
      </c>
      <c r="B2" s="37">
        <f>'Стоимость команды'!B17</f>
        <v>40300800</v>
      </c>
    </row>
    <row r="3" spans="1:8">
      <c r="A3" s="35" t="s">
        <v>103</v>
      </c>
      <c r="B3" s="63">
        <f>249164+13400 + 538800*3 + (622908*9) + 1806000*2/50</f>
        <v>7557376</v>
      </c>
    </row>
    <row r="4" spans="1:8" ht="30.75">
      <c r="A4" s="35" t="s">
        <v>94</v>
      </c>
      <c r="B4" s="37">
        <f>ЭФ3!B6+ЭФ3!B5</f>
        <v>1025000</v>
      </c>
    </row>
    <row r="5" spans="1:8" ht="38.1" customHeight="1"/>
    <row r="6" spans="1:8">
      <c r="A6" s="34" t="s">
        <v>103</v>
      </c>
      <c r="B6" s="34" t="s">
        <v>115</v>
      </c>
    </row>
    <row r="7" spans="1:8" ht="60.75">
      <c r="A7" s="35" t="s">
        <v>108</v>
      </c>
      <c r="B7" s="37" t="s">
        <v>112</v>
      </c>
      <c r="C7" s="72"/>
      <c r="D7" s="73"/>
      <c r="E7" s="73"/>
    </row>
    <row r="8" spans="1:8" ht="45.75">
      <c r="A8" s="35" t="s">
        <v>107</v>
      </c>
      <c r="B8" s="37" t="s">
        <v>120</v>
      </c>
    </row>
    <row r="9" spans="1:8">
      <c r="A9" s="35" t="s">
        <v>104</v>
      </c>
      <c r="B9" s="37" t="s">
        <v>105</v>
      </c>
    </row>
    <row r="10" spans="1:8">
      <c r="A10" t="s">
        <v>122</v>
      </c>
    </row>
    <row r="13" spans="1:8" ht="17.25" customHeight="1">
      <c r="H13" s="104" t="s">
        <v>121</v>
      </c>
    </row>
    <row r="14" spans="1:8" ht="15.75" customHeight="1">
      <c r="H14" s="104"/>
    </row>
    <row r="15" spans="1:8" ht="15.75" customHeight="1">
      <c r="H15" s="104"/>
    </row>
    <row r="16" spans="1:8" ht="15.75" customHeight="1">
      <c r="H16" s="104"/>
    </row>
    <row r="17" spans="8:8" ht="15.75" customHeight="1">
      <c r="H17" s="104"/>
    </row>
    <row r="18" spans="8:8" ht="15.75" customHeight="1">
      <c r="H18" s="104"/>
    </row>
    <row r="19" spans="8:8">
      <c r="H19" s="104"/>
    </row>
    <row r="20" spans="8:8">
      <c r="H20" s="104"/>
    </row>
    <row r="21" spans="8:8">
      <c r="H21" s="104"/>
    </row>
    <row r="22" spans="8:8">
      <c r="H22" s="104"/>
    </row>
    <row r="23" spans="8:8">
      <c r="H23" s="104"/>
    </row>
    <row r="24" spans="8:8">
      <c r="H24" s="104"/>
    </row>
  </sheetData>
  <mergeCells count="1">
    <mergeCell ref="H13:H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90" zoomScaleNormal="90" workbookViewId="0">
      <selection activeCell="C3" sqref="C3"/>
    </sheetView>
  </sheetViews>
  <sheetFormatPr defaultColWidth="8.6640625" defaultRowHeight="15.75"/>
  <cols>
    <col min="1" max="1" width="31.33203125" customWidth="1"/>
    <col min="2" max="2" width="23.6640625" customWidth="1"/>
    <col min="3" max="3" width="91" customWidth="1"/>
    <col min="11" max="11" width="40.33203125" customWidth="1"/>
  </cols>
  <sheetData>
    <row r="1" spans="1:14">
      <c r="A1" s="33" t="s">
        <v>19</v>
      </c>
      <c r="B1" s="33" t="s">
        <v>20</v>
      </c>
      <c r="C1" s="29" t="s">
        <v>96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30">
      <c r="A2" s="36" t="s">
        <v>95</v>
      </c>
      <c r="B2" s="37">
        <f>5000000+945120*3</f>
        <v>7835360</v>
      </c>
      <c r="C2" s="98" t="s">
        <v>97</v>
      </c>
      <c r="D2" s="5"/>
      <c r="E2" s="5"/>
      <c r="F2" s="5"/>
      <c r="G2" s="5"/>
      <c r="H2" s="5"/>
    </row>
    <row r="3" spans="1:14">
      <c r="A3" s="36" t="s">
        <v>110</v>
      </c>
      <c r="B3" s="97">
        <f>87600*12</f>
        <v>1051200</v>
      </c>
      <c r="C3" s="99" t="s">
        <v>109</v>
      </c>
      <c r="D3" s="5"/>
      <c r="E3" s="5"/>
      <c r="F3" s="5"/>
      <c r="G3" s="5"/>
      <c r="H3" s="5"/>
    </row>
    <row r="5" spans="1:14" ht="84" customHeight="1">
      <c r="A5" s="5"/>
      <c r="F5" s="74"/>
    </row>
    <row r="6" spans="1:14">
      <c r="A6" s="77" t="s">
        <v>110</v>
      </c>
      <c r="B6" s="77" t="s">
        <v>113</v>
      </c>
      <c r="F6" s="75"/>
    </row>
    <row r="7" spans="1:14" ht="126">
      <c r="A7" s="78" t="s">
        <v>114</v>
      </c>
      <c r="B7" s="79" t="s">
        <v>106</v>
      </c>
      <c r="C7" s="76"/>
    </row>
    <row r="8" spans="1:14" ht="31.5">
      <c r="A8" s="78" t="s">
        <v>109</v>
      </c>
      <c r="B8" s="79" t="s">
        <v>111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17"/>
  <sheetViews>
    <sheetView workbookViewId="0">
      <selection activeCell="I28" sqref="I28"/>
    </sheetView>
  </sheetViews>
  <sheetFormatPr defaultColWidth="8.6640625" defaultRowHeight="15.75"/>
  <cols>
    <col min="1" max="1" width="28.44140625" customWidth="1"/>
    <col min="2" max="2" width="16.88671875" customWidth="1"/>
    <col min="3" max="3" width="11.6640625" customWidth="1"/>
    <col min="4" max="4" width="22.44140625" customWidth="1"/>
  </cols>
  <sheetData>
    <row r="1" spans="1:8">
      <c r="A1" s="29" t="s">
        <v>21</v>
      </c>
      <c r="B1" s="29" t="s">
        <v>22</v>
      </c>
      <c r="C1" s="29" t="s">
        <v>23</v>
      </c>
      <c r="D1" s="29" t="s">
        <v>20</v>
      </c>
    </row>
    <row r="2" spans="1:8">
      <c r="A2" s="30" t="s">
        <v>24</v>
      </c>
      <c r="B2" s="53">
        <v>0.8</v>
      </c>
      <c r="C2" s="45">
        <v>4000</v>
      </c>
      <c r="D2" s="45">
        <f>C2*B2*8*20*12</f>
        <v>6144000</v>
      </c>
    </row>
    <row r="3" spans="1:8">
      <c r="A3" s="30" t="s">
        <v>25</v>
      </c>
      <c r="B3" s="53">
        <v>1</v>
      </c>
      <c r="C3" s="45">
        <v>3300</v>
      </c>
      <c r="D3" s="45">
        <f t="shared" ref="D3:D10" si="0">C3*B3*8*20*12</f>
        <v>6336000</v>
      </c>
    </row>
    <row r="4" spans="1:8">
      <c r="A4" s="30" t="s">
        <v>26</v>
      </c>
      <c r="B4" s="53">
        <v>0.8</v>
      </c>
      <c r="C4" s="45">
        <v>3300</v>
      </c>
      <c r="D4" s="45">
        <f t="shared" si="0"/>
        <v>5068800</v>
      </c>
    </row>
    <row r="5" spans="1:8">
      <c r="A5" s="30" t="s">
        <v>27</v>
      </c>
      <c r="B5" s="53">
        <v>0.6</v>
      </c>
      <c r="C5" s="45">
        <v>3900</v>
      </c>
      <c r="D5" s="45">
        <f t="shared" si="0"/>
        <v>4492800</v>
      </c>
    </row>
    <row r="6" spans="1:8">
      <c r="A6" s="30" t="s">
        <v>28</v>
      </c>
      <c r="B6" s="53">
        <v>0.6</v>
      </c>
      <c r="C6" s="45">
        <v>3900</v>
      </c>
      <c r="D6" s="45">
        <f t="shared" si="0"/>
        <v>4492800</v>
      </c>
    </row>
    <row r="7" spans="1:8">
      <c r="A7" s="30" t="s">
        <v>29</v>
      </c>
      <c r="B7" s="53">
        <v>0.8</v>
      </c>
      <c r="C7" s="45">
        <v>4500</v>
      </c>
      <c r="D7" s="45">
        <f t="shared" si="0"/>
        <v>6912000</v>
      </c>
    </row>
    <row r="8" spans="1:8">
      <c r="A8" s="30" t="s">
        <v>30</v>
      </c>
      <c r="B8" s="53">
        <v>0.3</v>
      </c>
      <c r="C8" s="45">
        <v>3500</v>
      </c>
      <c r="D8" s="45">
        <f t="shared" si="0"/>
        <v>2016000</v>
      </c>
    </row>
    <row r="9" spans="1:8">
      <c r="A9" s="30" t="s">
        <v>31</v>
      </c>
      <c r="B9" s="53">
        <v>0.3</v>
      </c>
      <c r="C9" s="45">
        <v>4500</v>
      </c>
      <c r="D9" s="45">
        <f t="shared" si="0"/>
        <v>2592000</v>
      </c>
    </row>
    <row r="10" spans="1:8">
      <c r="A10" s="30" t="s">
        <v>32</v>
      </c>
      <c r="B10" s="53">
        <v>0.3</v>
      </c>
      <c r="C10" s="45">
        <v>3900</v>
      </c>
      <c r="D10" s="45">
        <f t="shared" si="0"/>
        <v>2246400</v>
      </c>
    </row>
    <row r="13" spans="1:8">
      <c r="C13" s="28"/>
      <c r="D13" s="28"/>
      <c r="E13" s="28"/>
      <c r="F13" s="28"/>
      <c r="G13" s="28"/>
      <c r="H13" s="28"/>
    </row>
    <row r="17" spans="1:2">
      <c r="A17" s="32" t="s">
        <v>33</v>
      </c>
      <c r="B17" s="31">
        <f>SUM(D2:D10)</f>
        <v>40300800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12"/>
  <sheetViews>
    <sheetView workbookViewId="0">
      <selection activeCell="D26" sqref="D26"/>
    </sheetView>
  </sheetViews>
  <sheetFormatPr defaultColWidth="8.6640625" defaultRowHeight="15.75"/>
  <cols>
    <col min="1" max="1" width="53" customWidth="1"/>
    <col min="2" max="2" width="14.88671875" customWidth="1"/>
  </cols>
  <sheetData>
    <row r="1" spans="1:2">
      <c r="A1" s="34" t="s">
        <v>40</v>
      </c>
      <c r="B1" s="34" t="s">
        <v>41</v>
      </c>
    </row>
    <row r="2" spans="1:2" ht="30.75">
      <c r="A2" s="39" t="s">
        <v>116</v>
      </c>
      <c r="B2" s="55">
        <v>15</v>
      </c>
    </row>
    <row r="3" spans="1:2">
      <c r="A3" s="39" t="s">
        <v>43</v>
      </c>
      <c r="B3" s="46">
        <v>489745</v>
      </c>
    </row>
    <row r="4" spans="1:2">
      <c r="A4" s="39" t="s">
        <v>42</v>
      </c>
      <c r="B4" s="55">
        <v>5</v>
      </c>
    </row>
    <row r="5" spans="1:2" ht="30.75">
      <c r="A5" s="39" t="s">
        <v>63</v>
      </c>
      <c r="B5" s="56">
        <v>517345</v>
      </c>
    </row>
    <row r="6" spans="1:2" ht="30.75">
      <c r="A6" s="39" t="s">
        <v>38</v>
      </c>
      <c r="B6" s="57">
        <v>0.85</v>
      </c>
    </row>
    <row r="7" spans="1:2">
      <c r="A7" s="38"/>
      <c r="B7" s="55"/>
    </row>
    <row r="8" spans="1:2">
      <c r="A8" s="39" t="s">
        <v>39</v>
      </c>
      <c r="B8" s="55">
        <f>B2*B6</f>
        <v>12.75</v>
      </c>
    </row>
    <row r="9" spans="1:2">
      <c r="A9" s="39" t="s">
        <v>44</v>
      </c>
      <c r="B9" s="46">
        <f>B8*B3</f>
        <v>6244248.75</v>
      </c>
    </row>
    <row r="10" spans="1:2">
      <c r="A10" s="39" t="s">
        <v>45</v>
      </c>
      <c r="B10" s="56">
        <f>B8*B4*B5</f>
        <v>32980743.75</v>
      </c>
    </row>
    <row r="11" spans="1:2">
      <c r="A11" s="38"/>
      <c r="B11" s="55"/>
    </row>
    <row r="12" spans="1:2">
      <c r="A12" s="40" t="s">
        <v>46</v>
      </c>
      <c r="B12" s="46">
        <f>B9+B10</f>
        <v>39224992.5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12"/>
  <sheetViews>
    <sheetView workbookViewId="0">
      <selection activeCell="B6" sqref="B6"/>
    </sheetView>
  </sheetViews>
  <sheetFormatPr defaultColWidth="8.6640625" defaultRowHeight="15.75"/>
  <cols>
    <col min="1" max="1" width="42.44140625" customWidth="1"/>
    <col min="2" max="2" width="21.6640625" customWidth="1"/>
    <col min="3" max="3" width="15.88671875" customWidth="1"/>
    <col min="7" max="7" width="61.6640625" customWidth="1"/>
    <col min="8" max="8" width="16" customWidth="1"/>
  </cols>
  <sheetData>
    <row r="1" spans="1:8" ht="31.5">
      <c r="A1" s="43" t="s">
        <v>52</v>
      </c>
      <c r="B1" s="43" t="s">
        <v>49</v>
      </c>
    </row>
    <row r="2" spans="1:8">
      <c r="A2" s="39" t="s">
        <v>117</v>
      </c>
      <c r="B2" s="52">
        <v>136</v>
      </c>
    </row>
    <row r="3" spans="1:8">
      <c r="A3" s="39" t="s">
        <v>99</v>
      </c>
      <c r="B3" s="51">
        <v>60000</v>
      </c>
    </row>
    <row r="4" spans="1:8" ht="7.5" hidden="1" customHeight="1">
      <c r="A4" s="38"/>
      <c r="B4" s="36"/>
    </row>
    <row r="5" spans="1:8">
      <c r="A5" s="34" t="s">
        <v>48</v>
      </c>
      <c r="B5" s="50" t="s">
        <v>49</v>
      </c>
      <c r="G5" s="2"/>
      <c r="H5" s="2"/>
    </row>
    <row r="6" spans="1:8" ht="30.75">
      <c r="A6" s="39" t="s">
        <v>47</v>
      </c>
      <c r="B6" s="53">
        <v>10</v>
      </c>
      <c r="H6" s="3"/>
    </row>
    <row r="7" spans="1:8">
      <c r="A7" s="39" t="s">
        <v>50</v>
      </c>
      <c r="B7" s="45">
        <f>B2*B3</f>
        <v>8160000</v>
      </c>
      <c r="C7" s="1"/>
      <c r="H7" s="3"/>
    </row>
    <row r="8" spans="1:8">
      <c r="A8" s="39" t="s">
        <v>51</v>
      </c>
      <c r="B8" s="54">
        <v>0.85</v>
      </c>
    </row>
    <row r="9" spans="1:8">
      <c r="A9" s="38"/>
      <c r="B9" s="53"/>
    </row>
    <row r="10" spans="1:8">
      <c r="A10" s="38"/>
      <c r="B10" s="53"/>
    </row>
    <row r="11" spans="1:8">
      <c r="A11" s="44" t="s">
        <v>53</v>
      </c>
      <c r="B11" s="45">
        <f>B6*B7*B8</f>
        <v>69360000</v>
      </c>
      <c r="C11" s="1"/>
    </row>
    <row r="12" spans="1:8">
      <c r="B12" s="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2"/>
  <sheetViews>
    <sheetView tabSelected="1" workbookViewId="0">
      <selection activeCell="C26" sqref="C26"/>
    </sheetView>
  </sheetViews>
  <sheetFormatPr defaultColWidth="8.6640625" defaultRowHeight="15.75"/>
  <cols>
    <col min="1" max="1" width="43" customWidth="1"/>
    <col min="2" max="2" width="26.6640625" customWidth="1"/>
    <col min="3" max="3" width="15.6640625" bestFit="1" customWidth="1"/>
    <col min="4" max="4" width="14.88671875" customWidth="1"/>
  </cols>
  <sheetData>
    <row r="1" spans="1:4">
      <c r="A1" s="47" t="s">
        <v>48</v>
      </c>
      <c r="B1" s="47" t="s">
        <v>49</v>
      </c>
      <c r="C1" s="74"/>
    </row>
    <row r="2" spans="1:4" ht="30.75">
      <c r="A2" s="35" t="s">
        <v>118</v>
      </c>
      <c r="B2" s="37">
        <f>50*125000</f>
        <v>6250000</v>
      </c>
      <c r="C2" s="100"/>
      <c r="D2" s="1"/>
    </row>
    <row r="3" spans="1:4" ht="30.75">
      <c r="A3" s="35" t="s">
        <v>54</v>
      </c>
      <c r="B3" s="62">
        <f>50*70000</f>
        <v>3500000</v>
      </c>
      <c r="C3" s="101"/>
      <c r="D3" s="1"/>
    </row>
    <row r="4" spans="1:4">
      <c r="A4" s="35"/>
      <c r="B4" s="48"/>
      <c r="C4" s="102"/>
    </row>
    <row r="5" spans="1:4">
      <c r="A5" s="35" t="s">
        <v>119</v>
      </c>
      <c r="B5" s="37">
        <f>500*50</f>
        <v>25000</v>
      </c>
      <c r="C5" s="103"/>
      <c r="D5" s="1"/>
    </row>
    <row r="6" spans="1:4" ht="30.75">
      <c r="A6" s="35" t="s">
        <v>55</v>
      </c>
      <c r="B6" s="37">
        <f>20000*50</f>
        <v>1000000</v>
      </c>
      <c r="C6" s="103"/>
      <c r="D6" s="1"/>
    </row>
    <row r="7" spans="1:4" hidden="1">
      <c r="A7" s="30"/>
      <c r="B7" s="36"/>
      <c r="C7" s="103"/>
    </row>
    <row r="8" spans="1:4">
      <c r="A8" s="32" t="s">
        <v>56</v>
      </c>
      <c r="B8" s="37">
        <f>B2+B3-B6-B5</f>
        <v>8725000</v>
      </c>
      <c r="C8" s="103"/>
      <c r="D8" s="1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7"/>
  <sheetViews>
    <sheetView workbookViewId="0">
      <selection activeCell="B3" sqref="B3"/>
    </sheetView>
  </sheetViews>
  <sheetFormatPr defaultColWidth="8.6640625" defaultRowHeight="15.75"/>
  <cols>
    <col min="1" max="1" width="40.44140625" customWidth="1"/>
    <col min="2" max="2" width="16.109375" customWidth="1"/>
  </cols>
  <sheetData>
    <row r="1" spans="1:2">
      <c r="A1" s="33" t="s">
        <v>40</v>
      </c>
      <c r="B1" s="33" t="s">
        <v>41</v>
      </c>
    </row>
    <row r="2" spans="1:2" ht="30.75">
      <c r="A2" s="35" t="s">
        <v>57</v>
      </c>
      <c r="B2" s="53">
        <v>4</v>
      </c>
    </row>
    <row r="3" spans="1:2" ht="30.75">
      <c r="A3" s="35" t="s">
        <v>58</v>
      </c>
      <c r="B3" s="53">
        <v>30</v>
      </c>
    </row>
    <row r="4" spans="1:2" ht="30.75">
      <c r="A4" s="35" t="s">
        <v>59</v>
      </c>
      <c r="B4" s="45">
        <v>100000</v>
      </c>
    </row>
    <row r="5" spans="1:2" ht="30.75">
      <c r="A5" s="35" t="s">
        <v>60</v>
      </c>
      <c r="B5" s="53">
        <v>2</v>
      </c>
    </row>
    <row r="6" spans="1:2" hidden="1">
      <c r="A6" s="35"/>
      <c r="B6" s="53"/>
    </row>
    <row r="7" spans="1:2" ht="30.75">
      <c r="A7" s="49" t="s">
        <v>61</v>
      </c>
      <c r="B7" s="45">
        <f>(B2-B5)*B3*B4</f>
        <v>6000000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5"/>
  <sheetViews>
    <sheetView zoomScale="90" zoomScaleNormal="90" workbookViewId="0">
      <selection activeCell="C12" sqref="C12"/>
    </sheetView>
  </sheetViews>
  <sheetFormatPr defaultColWidth="8.6640625" defaultRowHeight="15.75"/>
  <cols>
    <col min="1" max="1" width="42.5546875" customWidth="1"/>
    <col min="2" max="2" width="9.44140625" customWidth="1"/>
    <col min="3" max="3" width="41.6640625" customWidth="1"/>
  </cols>
  <sheetData>
    <row r="1" spans="1:3">
      <c r="A1" s="33" t="s">
        <v>66</v>
      </c>
      <c r="B1" s="33" t="s">
        <v>49</v>
      </c>
      <c r="C1" s="42" t="s">
        <v>65</v>
      </c>
    </row>
    <row r="2" spans="1:3">
      <c r="A2" s="30" t="s">
        <v>67</v>
      </c>
      <c r="B2" s="58">
        <v>1</v>
      </c>
      <c r="C2" s="35" t="s">
        <v>68</v>
      </c>
    </row>
    <row r="3" spans="1:3" ht="30.75">
      <c r="A3" s="30" t="s">
        <v>69</v>
      </c>
      <c r="B3" s="59">
        <v>5.5E-2</v>
      </c>
      <c r="C3" s="35" t="s">
        <v>70</v>
      </c>
    </row>
    <row r="4" spans="1:3" ht="30.75">
      <c r="A4" s="30" t="s">
        <v>71</v>
      </c>
      <c r="B4" s="60">
        <v>1.2</v>
      </c>
      <c r="C4" s="35" t="s">
        <v>72</v>
      </c>
    </row>
    <row r="5" spans="1:3">
      <c r="A5" s="30" t="s">
        <v>73</v>
      </c>
      <c r="B5" s="58">
        <v>0.16600000000000001</v>
      </c>
      <c r="C5" s="35" t="s">
        <v>74</v>
      </c>
    </row>
    <row r="6" spans="1:3" ht="30.75">
      <c r="A6" s="30" t="s">
        <v>75</v>
      </c>
      <c r="B6" s="58">
        <v>0.105</v>
      </c>
      <c r="C6" s="35" t="s">
        <v>76</v>
      </c>
    </row>
    <row r="7" spans="1:3" ht="30.75">
      <c r="A7" s="30" t="s">
        <v>77</v>
      </c>
      <c r="B7" s="41">
        <v>0.35</v>
      </c>
      <c r="C7" s="35" t="s">
        <v>78</v>
      </c>
    </row>
    <row r="8" spans="1:3">
      <c r="A8" s="30" t="s">
        <v>79</v>
      </c>
      <c r="B8" s="41">
        <v>0.2</v>
      </c>
      <c r="C8" s="35" t="s">
        <v>80</v>
      </c>
    </row>
    <row r="9" spans="1:3" ht="30.75">
      <c r="A9" s="35" t="s">
        <v>81</v>
      </c>
      <c r="B9" s="41">
        <v>0.14000000000000001</v>
      </c>
      <c r="C9" s="30"/>
    </row>
    <row r="10" spans="1:3" ht="45.75">
      <c r="A10" s="30" t="s">
        <v>82</v>
      </c>
      <c r="B10" s="41">
        <v>0.01</v>
      </c>
      <c r="C10" s="35" t="s">
        <v>83</v>
      </c>
    </row>
    <row r="11" spans="1:3" ht="45.75">
      <c r="A11" s="30" t="s">
        <v>84</v>
      </c>
      <c r="B11" s="61">
        <v>5.0000000000000001E-3</v>
      </c>
      <c r="C11" s="35" t="s">
        <v>85</v>
      </c>
    </row>
    <row r="12" spans="1:3" ht="45.75">
      <c r="A12" s="30" t="s">
        <v>86</v>
      </c>
      <c r="B12" s="61">
        <v>5.0000000000000001E-3</v>
      </c>
      <c r="C12" s="35" t="s">
        <v>87</v>
      </c>
    </row>
    <row r="13" spans="1:3" ht="45.75">
      <c r="A13" s="30" t="s">
        <v>88</v>
      </c>
      <c r="B13" s="41">
        <v>0</v>
      </c>
      <c r="C13" s="35" t="s">
        <v>89</v>
      </c>
    </row>
    <row r="14" spans="1:3" ht="45.75">
      <c r="A14" s="30" t="s">
        <v>90</v>
      </c>
      <c r="B14" s="41">
        <v>0</v>
      </c>
      <c r="C14" s="35" t="s">
        <v>91</v>
      </c>
    </row>
    <row r="15" spans="1:3">
      <c r="A15" s="30" t="s">
        <v>92</v>
      </c>
      <c r="B15" s="64">
        <v>0.16000000000000003</v>
      </c>
      <c r="C1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СВОД НА 50 ДВИГАТЕЛЬ</vt:lpstr>
      <vt:lpstr>CAPEX</vt:lpstr>
      <vt:lpstr>OPEX</vt:lpstr>
      <vt:lpstr>Стоимость команды</vt:lpstr>
      <vt:lpstr>ЭФ1</vt:lpstr>
      <vt:lpstr>ЭФ2</vt:lpstr>
      <vt:lpstr>ЭФ3</vt:lpstr>
      <vt:lpstr>ЭФ4</vt:lpstr>
      <vt:lpstr>Ставка дисконтирования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Марченко</dc:creator>
  <cp:lastModifiedBy>R</cp:lastModifiedBy>
  <dcterms:created xsi:type="dcterms:W3CDTF">2025-07-10T08:51:07Z</dcterms:created>
  <dcterms:modified xsi:type="dcterms:W3CDTF">2025-08-27T20:53:42Z</dcterms:modified>
</cp:coreProperties>
</file>