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\Desktop\"/>
    </mc:Choice>
  </mc:AlternateContent>
  <bookViews>
    <workbookView xWindow="0" yWindow="0" windowWidth="28800" windowHeight="11730"/>
  </bookViews>
  <sheets>
    <sheet name="СВОД НА 1 ДВИГАТЕЛЬ" sheetId="1" r:id="rId1"/>
    <sheet name="CAPEX" sheetId="2" r:id="rId2"/>
    <sheet name="OPEX" sheetId="3" r:id="rId3"/>
    <sheet name="Стоимость команды" sheetId="4" r:id="rId4"/>
    <sheet name="ЭФ1" sheetId="5" r:id="rId5"/>
    <sheet name="ЭФ2" sheetId="6" r:id="rId6"/>
    <sheet name="ЭФ3" sheetId="7" r:id="rId7"/>
    <sheet name="ЭФ4" sheetId="8" r:id="rId8"/>
    <sheet name="Ставка дисконтирования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8" i="1"/>
  <c r="Y4" i="1" l="1"/>
  <c r="Z4" i="1"/>
  <c r="AA4" i="1"/>
  <c r="AB4" i="1"/>
  <c r="AB9" i="1" s="1"/>
  <c r="AB10" i="1" s="1"/>
  <c r="AC4" i="1"/>
  <c r="Y5" i="1"/>
  <c r="Y10" i="1" s="1"/>
  <c r="Z5" i="1"/>
  <c r="AA5" i="1"/>
  <c r="AA10" i="1" s="1"/>
  <c r="AB5" i="1"/>
  <c r="AC5" i="1"/>
  <c r="Y6" i="1"/>
  <c r="Z6" i="1"/>
  <c r="AA6" i="1"/>
  <c r="AB6" i="1"/>
  <c r="AB11" i="1" s="1"/>
  <c r="AB3" i="1" s="1"/>
  <c r="AB2" i="1" s="1"/>
  <c r="AB48" i="1" s="1"/>
  <c r="AC6" i="1"/>
  <c r="Y7" i="1"/>
  <c r="Z7" i="1"/>
  <c r="AA7" i="1"/>
  <c r="AB7" i="1"/>
  <c r="AC7" i="1"/>
  <c r="Y8" i="1"/>
  <c r="Z8" i="1"/>
  <c r="Z9" i="1" s="1"/>
  <c r="Z10" i="1" s="1"/>
  <c r="AA8" i="1"/>
  <c r="AB8" i="1"/>
  <c r="AC8" i="1"/>
  <c r="Y9" i="1"/>
  <c r="AA9" i="1"/>
  <c r="AC9" i="1"/>
  <c r="AC11" i="1" s="1"/>
  <c r="Y11" i="1"/>
  <c r="AA11" i="1"/>
  <c r="AA3" i="1" s="1"/>
  <c r="Y13" i="1"/>
  <c r="Z13" i="1"/>
  <c r="AA13" i="1"/>
  <c r="AB13" i="1"/>
  <c r="AC13" i="1"/>
  <c r="Y14" i="1"/>
  <c r="Z14" i="1"/>
  <c r="AA14" i="1"/>
  <c r="AB14" i="1"/>
  <c r="AC14" i="1"/>
  <c r="Y15" i="1"/>
  <c r="Y12" i="1" s="1"/>
  <c r="Z15" i="1"/>
  <c r="AA15" i="1"/>
  <c r="AB15" i="1"/>
  <c r="AC15" i="1"/>
  <c r="Y16" i="1"/>
  <c r="Z16" i="1"/>
  <c r="Z12" i="1" s="1"/>
  <c r="AA16" i="1"/>
  <c r="AA12" i="1" s="1"/>
  <c r="AB16" i="1"/>
  <c r="AB12" i="1" s="1"/>
  <c r="AC16" i="1"/>
  <c r="AC12" i="1" s="1"/>
  <c r="Y17" i="1"/>
  <c r="Z17" i="1"/>
  <c r="AA17" i="1"/>
  <c r="AB17" i="1"/>
  <c r="AC17" i="1"/>
  <c r="Y19" i="1"/>
  <c r="Y18" i="1" s="1"/>
  <c r="Z19" i="1"/>
  <c r="AA19" i="1"/>
  <c r="AA18" i="1" s="1"/>
  <c r="AB19" i="1"/>
  <c r="AB18" i="1" s="1"/>
  <c r="AC19" i="1"/>
  <c r="AC18" i="1" s="1"/>
  <c r="Y20" i="1"/>
  <c r="Z20" i="1"/>
  <c r="AA20" i="1"/>
  <c r="AB20" i="1"/>
  <c r="AC20" i="1"/>
  <c r="Y21" i="1"/>
  <c r="Z21" i="1"/>
  <c r="AA21" i="1"/>
  <c r="AB21" i="1"/>
  <c r="AC21" i="1"/>
  <c r="Y22" i="1"/>
  <c r="Z22" i="1"/>
  <c r="Z18" i="1" s="1"/>
  <c r="AA22" i="1"/>
  <c r="AB22" i="1"/>
  <c r="AC22" i="1"/>
  <c r="Y24" i="1"/>
  <c r="Z24" i="1"/>
  <c r="Z23" i="1" s="1"/>
  <c r="AA24" i="1"/>
  <c r="AA23" i="1" s="1"/>
  <c r="AB24" i="1"/>
  <c r="AB23" i="1" s="1"/>
  <c r="AC24" i="1"/>
  <c r="Y25" i="1"/>
  <c r="Z25" i="1"/>
  <c r="AA25" i="1"/>
  <c r="AB25" i="1"/>
  <c r="AC25" i="1"/>
  <c r="Y26" i="1"/>
  <c r="Z26" i="1"/>
  <c r="AA26" i="1"/>
  <c r="AB26" i="1"/>
  <c r="AC26" i="1"/>
  <c r="Y27" i="1"/>
  <c r="Y23" i="1" s="1"/>
  <c r="Z27" i="1"/>
  <c r="AA27" i="1"/>
  <c r="AB27" i="1"/>
  <c r="AC27" i="1"/>
  <c r="AC23" i="1" s="1"/>
  <c r="Y29" i="1"/>
  <c r="Z29" i="1"/>
  <c r="Z28" i="1" s="1"/>
  <c r="AA29" i="1"/>
  <c r="AA28" i="1" s="1"/>
  <c r="AB29" i="1"/>
  <c r="AC29" i="1"/>
  <c r="AB43" i="1"/>
  <c r="AB28" i="1" s="1"/>
  <c r="Y44" i="1"/>
  <c r="Y43" i="1" s="1"/>
  <c r="Z44" i="1"/>
  <c r="AA44" i="1"/>
  <c r="AA43" i="1" s="1"/>
  <c r="AB44" i="1"/>
  <c r="AC44" i="1"/>
  <c r="AC43" i="1" s="1"/>
  <c r="Y45" i="1"/>
  <c r="Z45" i="1"/>
  <c r="Z43" i="1" s="1"/>
  <c r="AA45" i="1"/>
  <c r="AB45" i="1"/>
  <c r="AC45" i="1"/>
  <c r="Y46" i="1"/>
  <c r="Z46" i="1"/>
  <c r="AA46" i="1"/>
  <c r="AB46" i="1" s="1"/>
  <c r="AC46" i="1" s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W9" i="1" s="1"/>
  <c r="X8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9" i="1"/>
  <c r="U29" i="1"/>
  <c r="V29" i="1"/>
  <c r="W29" i="1"/>
  <c r="X29" i="1"/>
  <c r="T44" i="1"/>
  <c r="U44" i="1"/>
  <c r="V44" i="1"/>
  <c r="W44" i="1"/>
  <c r="X44" i="1"/>
  <c r="T45" i="1"/>
  <c r="U45" i="1"/>
  <c r="V45" i="1"/>
  <c r="W45" i="1"/>
  <c r="X45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9" i="1"/>
  <c r="P29" i="1"/>
  <c r="Q29" i="1"/>
  <c r="R29" i="1"/>
  <c r="S29" i="1"/>
  <c r="O44" i="1"/>
  <c r="O43" i="1" s="1"/>
  <c r="P44" i="1"/>
  <c r="Q44" i="1"/>
  <c r="R44" i="1"/>
  <c r="S44" i="1"/>
  <c r="O45" i="1"/>
  <c r="P45" i="1"/>
  <c r="Q45" i="1"/>
  <c r="R45" i="1"/>
  <c r="S45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I9" i="1" s="1"/>
  <c r="J8" i="1"/>
  <c r="K8" i="1"/>
  <c r="K9" i="1" s="1"/>
  <c r="L8" i="1"/>
  <c r="M8" i="1"/>
  <c r="N8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9" i="1"/>
  <c r="J29" i="1"/>
  <c r="K29" i="1"/>
  <c r="L29" i="1"/>
  <c r="M29" i="1"/>
  <c r="N29" i="1"/>
  <c r="I44" i="1"/>
  <c r="J44" i="1"/>
  <c r="K44" i="1"/>
  <c r="L44" i="1"/>
  <c r="M44" i="1"/>
  <c r="N44" i="1"/>
  <c r="I45" i="1"/>
  <c r="J45" i="1"/>
  <c r="K45" i="1"/>
  <c r="L45" i="1"/>
  <c r="M45" i="1"/>
  <c r="N45" i="1"/>
  <c r="B41" i="1"/>
  <c r="Y28" i="1" l="1"/>
  <c r="AA2" i="1"/>
  <c r="AA48" i="1" s="1"/>
  <c r="AC28" i="1"/>
  <c r="Z11" i="1"/>
  <c r="Z3" i="1" s="1"/>
  <c r="Z2" i="1" s="1"/>
  <c r="Z48" i="1" s="1"/>
  <c r="AB49" i="1"/>
  <c r="AB50" i="1" s="1"/>
  <c r="AB51" i="1" s="1"/>
  <c r="AB52" i="1" s="1"/>
  <c r="Y3" i="1"/>
  <c r="Y2" i="1" s="1"/>
  <c r="Y48" i="1" s="1"/>
  <c r="AC10" i="1"/>
  <c r="AC3" i="1" s="1"/>
  <c r="AC2" i="1" s="1"/>
  <c r="AC48" i="1" s="1"/>
  <c r="X9" i="1"/>
  <c r="X11" i="1" s="1"/>
  <c r="T18" i="1"/>
  <c r="T23" i="1"/>
  <c r="O9" i="1"/>
  <c r="U18" i="1"/>
  <c r="W43" i="1"/>
  <c r="W28" i="1" s="1"/>
  <c r="V43" i="1"/>
  <c r="V28" i="1" s="1"/>
  <c r="V18" i="1"/>
  <c r="W18" i="1"/>
  <c r="Q9" i="1"/>
  <c r="Q10" i="1" s="1"/>
  <c r="X23" i="1"/>
  <c r="X12" i="1"/>
  <c r="U9" i="1"/>
  <c r="U10" i="1" s="1"/>
  <c r="W11" i="1"/>
  <c r="T10" i="1"/>
  <c r="X43" i="1"/>
  <c r="X28" i="1" s="1"/>
  <c r="U43" i="1"/>
  <c r="U28" i="1" s="1"/>
  <c r="W23" i="1"/>
  <c r="W12" i="1"/>
  <c r="T12" i="1"/>
  <c r="T43" i="1"/>
  <c r="T28" i="1" s="1"/>
  <c r="V23" i="1"/>
  <c r="V12" i="1"/>
  <c r="U23" i="1"/>
  <c r="U12" i="1"/>
  <c r="V9" i="1"/>
  <c r="V10" i="1" s="1"/>
  <c r="X18" i="1"/>
  <c r="T9" i="1"/>
  <c r="T11" i="1" s="1"/>
  <c r="U11" i="1"/>
  <c r="U3" i="1" s="1"/>
  <c r="W10" i="1"/>
  <c r="R43" i="1"/>
  <c r="R28" i="1" s="1"/>
  <c r="S9" i="1"/>
  <c r="S10" i="1" s="1"/>
  <c r="R12" i="1"/>
  <c r="O12" i="1"/>
  <c r="P9" i="1"/>
  <c r="P10" i="1" s="1"/>
  <c r="R23" i="1"/>
  <c r="P12" i="1"/>
  <c r="O11" i="1"/>
  <c r="Q23" i="1"/>
  <c r="P18" i="1"/>
  <c r="S23" i="1"/>
  <c r="P23" i="1"/>
  <c r="O10" i="1"/>
  <c r="P43" i="1"/>
  <c r="P28" i="1" s="1"/>
  <c r="S18" i="1"/>
  <c r="O23" i="1"/>
  <c r="R18" i="1"/>
  <c r="S11" i="1"/>
  <c r="R9" i="1"/>
  <c r="R10" i="1" s="1"/>
  <c r="S43" i="1"/>
  <c r="S28" i="1" s="1"/>
  <c r="Q18" i="1"/>
  <c r="S12" i="1"/>
  <c r="Q43" i="1"/>
  <c r="Q28" i="1" s="1"/>
  <c r="O18" i="1"/>
  <c r="Q12" i="1"/>
  <c r="O28" i="1"/>
  <c r="N43" i="1"/>
  <c r="N28" i="1" s="1"/>
  <c r="J23" i="1"/>
  <c r="L23" i="1"/>
  <c r="K43" i="1"/>
  <c r="K28" i="1" s="1"/>
  <c r="M9" i="1"/>
  <c r="M11" i="1" s="1"/>
  <c r="J43" i="1"/>
  <c r="J28" i="1" s="1"/>
  <c r="M43" i="1"/>
  <c r="M28" i="1" s="1"/>
  <c r="L43" i="1"/>
  <c r="L28" i="1" s="1"/>
  <c r="N9" i="1"/>
  <c r="N10" i="1" s="1"/>
  <c r="K18" i="1"/>
  <c r="I43" i="1"/>
  <c r="I28" i="1" s="1"/>
  <c r="J9" i="1"/>
  <c r="J11" i="1" s="1"/>
  <c r="I23" i="1"/>
  <c r="K23" i="1"/>
  <c r="L9" i="1"/>
  <c r="L10" i="1" s="1"/>
  <c r="L18" i="1"/>
  <c r="N23" i="1"/>
  <c r="K12" i="1"/>
  <c r="L12" i="1"/>
  <c r="N18" i="1"/>
  <c r="J12" i="1"/>
  <c r="J18" i="1"/>
  <c r="I18" i="1"/>
  <c r="M23" i="1"/>
  <c r="M18" i="1"/>
  <c r="I12" i="1"/>
  <c r="N12" i="1"/>
  <c r="M12" i="1"/>
  <c r="K11" i="1"/>
  <c r="K10" i="1"/>
  <c r="I10" i="1"/>
  <c r="I11" i="1"/>
  <c r="B3" i="2"/>
  <c r="AC49" i="1" l="1"/>
  <c r="AC50" i="1"/>
  <c r="AC51" i="1" s="1"/>
  <c r="AC52" i="1" s="1"/>
  <c r="Y50" i="1"/>
  <c r="Y51" i="1" s="1"/>
  <c r="Y52" i="1" s="1"/>
  <c r="Y53" i="1" s="1"/>
  <c r="Y49" i="1"/>
  <c r="Z49" i="1"/>
  <c r="Z50" i="1" s="1"/>
  <c r="Z51" i="1" s="1"/>
  <c r="Z52" i="1" s="1"/>
  <c r="AA49" i="1"/>
  <c r="AA50" i="1" s="1"/>
  <c r="AA51" i="1" s="1"/>
  <c r="AA52" i="1" s="1"/>
  <c r="X10" i="1"/>
  <c r="X3" i="1" s="1"/>
  <c r="X2" i="1" s="1"/>
  <c r="X48" i="1" s="1"/>
  <c r="X49" i="1" s="1"/>
  <c r="M10" i="1"/>
  <c r="Q11" i="1"/>
  <c r="U2" i="1"/>
  <c r="U48" i="1" s="1"/>
  <c r="U49" i="1" s="1"/>
  <c r="V11" i="1"/>
  <c r="V3" i="1" s="1"/>
  <c r="V2" i="1" s="1"/>
  <c r="V48" i="1" s="1"/>
  <c r="V49" i="1" s="1"/>
  <c r="W3" i="1"/>
  <c r="W2" i="1" s="1"/>
  <c r="W48" i="1" s="1"/>
  <c r="W49" i="1" s="1"/>
  <c r="T3" i="1"/>
  <c r="T2" i="1" s="1"/>
  <c r="T48" i="1" s="1"/>
  <c r="T49" i="1" s="1"/>
  <c r="S3" i="1"/>
  <c r="S2" i="1" s="1"/>
  <c r="S48" i="1" s="1"/>
  <c r="S49" i="1" s="1"/>
  <c r="P11" i="1"/>
  <c r="P3" i="1" s="1"/>
  <c r="P2" i="1" s="1"/>
  <c r="P48" i="1" s="1"/>
  <c r="P49" i="1" s="1"/>
  <c r="Q3" i="1"/>
  <c r="Q2" i="1" s="1"/>
  <c r="Q48" i="1" s="1"/>
  <c r="Q49" i="1" s="1"/>
  <c r="O3" i="1"/>
  <c r="O2" i="1" s="1"/>
  <c r="O48" i="1" s="1"/>
  <c r="R11" i="1"/>
  <c r="R3" i="1" s="1"/>
  <c r="R2" i="1" s="1"/>
  <c r="R48" i="1" s="1"/>
  <c r="R49" i="1" s="1"/>
  <c r="I3" i="1"/>
  <c r="I2" i="1" s="1"/>
  <c r="I48" i="1" s="1"/>
  <c r="I49" i="1" s="1"/>
  <c r="N11" i="1"/>
  <c r="N3" i="1" s="1"/>
  <c r="N2" i="1" s="1"/>
  <c r="N48" i="1" s="1"/>
  <c r="N49" i="1" s="1"/>
  <c r="M3" i="1"/>
  <c r="M2" i="1" s="1"/>
  <c r="M48" i="1" s="1"/>
  <c r="M49" i="1" s="1"/>
  <c r="J10" i="1"/>
  <c r="J3" i="1" s="1"/>
  <c r="J2" i="1" s="1"/>
  <c r="J48" i="1" s="1"/>
  <c r="J49" i="1" s="1"/>
  <c r="L11" i="1"/>
  <c r="L3" i="1" s="1"/>
  <c r="L2" i="1" s="1"/>
  <c r="L48" i="1" s="1"/>
  <c r="L49" i="1" s="1"/>
  <c r="K3" i="1"/>
  <c r="K2" i="1" s="1"/>
  <c r="K48" i="1" s="1"/>
  <c r="B3" i="3"/>
  <c r="B2" i="3"/>
  <c r="Z53" i="1" l="1"/>
  <c r="AA53" i="1" s="1"/>
  <c r="AB53" i="1" s="1"/>
  <c r="AC53" i="1" s="1"/>
  <c r="O49" i="1"/>
  <c r="K49" i="1"/>
  <c r="A40" i="1"/>
  <c r="H4" i="1" l="1"/>
  <c r="H5" i="1"/>
  <c r="H6" i="1"/>
  <c r="H7" i="1"/>
  <c r="H8" i="1"/>
  <c r="H13" i="1"/>
  <c r="H14" i="1"/>
  <c r="H15" i="1"/>
  <c r="H17" i="1"/>
  <c r="H19" i="1"/>
  <c r="H20" i="1"/>
  <c r="H21" i="1"/>
  <c r="H22" i="1"/>
  <c r="H24" i="1"/>
  <c r="H25" i="1"/>
  <c r="H26" i="1"/>
  <c r="H27" i="1"/>
  <c r="H29" i="1"/>
  <c r="H44" i="1"/>
  <c r="D44" i="1"/>
  <c r="E44" i="1"/>
  <c r="F44" i="1"/>
  <c r="G44" i="1"/>
  <c r="C44" i="1"/>
  <c r="D26" i="1"/>
  <c r="E26" i="1"/>
  <c r="F26" i="1"/>
  <c r="G26" i="1"/>
  <c r="C26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C22" i="1"/>
  <c r="C21" i="1"/>
  <c r="C20" i="1"/>
  <c r="C19" i="1"/>
  <c r="D14" i="1"/>
  <c r="E14" i="1"/>
  <c r="F14" i="1"/>
  <c r="G14" i="1"/>
  <c r="C15" i="1"/>
  <c r="C14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7" i="1"/>
  <c r="C5" i="1"/>
  <c r="A45" i="1"/>
  <c r="B8" i="7"/>
  <c r="H9" i="1" l="1"/>
  <c r="H11" i="1" s="1"/>
  <c r="G9" i="1"/>
  <c r="G10" i="1" s="1"/>
  <c r="H18" i="1"/>
  <c r="H23" i="1"/>
  <c r="F18" i="1"/>
  <c r="F9" i="1"/>
  <c r="F11" i="1" s="1"/>
  <c r="D9" i="1"/>
  <c r="D10" i="1" s="1"/>
  <c r="D18" i="1"/>
  <c r="E18" i="1"/>
  <c r="C18" i="1"/>
  <c r="G18" i="1"/>
  <c r="E9" i="1"/>
  <c r="E10" i="1" s="1"/>
  <c r="B4" i="2"/>
  <c r="F10" i="1" l="1"/>
  <c r="F3" i="1" s="1"/>
  <c r="H10" i="1"/>
  <c r="H3" i="1" s="1"/>
  <c r="G11" i="1"/>
  <c r="G3" i="1" s="1"/>
  <c r="F45" i="1"/>
  <c r="F43" i="1" s="1"/>
  <c r="G45" i="1"/>
  <c r="G43" i="1" s="1"/>
  <c r="C45" i="1"/>
  <c r="C43" i="1" s="1"/>
  <c r="H45" i="1"/>
  <c r="H43" i="1" s="1"/>
  <c r="H28" i="1" s="1"/>
  <c r="D45" i="1"/>
  <c r="D43" i="1" s="1"/>
  <c r="E45" i="1"/>
  <c r="E43" i="1" s="1"/>
  <c r="D11" i="1"/>
  <c r="D3" i="1" s="1"/>
  <c r="E11" i="1"/>
  <c r="E3" i="1" s="1"/>
  <c r="AG43" i="1"/>
  <c r="A32" i="1"/>
  <c r="A33" i="1"/>
  <c r="A34" i="1"/>
  <c r="A35" i="1"/>
  <c r="A36" i="1"/>
  <c r="A37" i="1"/>
  <c r="A38" i="1"/>
  <c r="A39" i="1"/>
  <c r="A31" i="1"/>
  <c r="D24" i="1"/>
  <c r="E24" i="1"/>
  <c r="F24" i="1"/>
  <c r="G24" i="1"/>
  <c r="D25" i="1"/>
  <c r="E25" i="1"/>
  <c r="F25" i="1"/>
  <c r="G25" i="1"/>
  <c r="D27" i="1"/>
  <c r="E27" i="1"/>
  <c r="F27" i="1"/>
  <c r="G27" i="1"/>
  <c r="C27" i="1"/>
  <c r="C25" i="1"/>
  <c r="C24" i="1"/>
  <c r="A25" i="1"/>
  <c r="A26" i="1"/>
  <c r="A27" i="1"/>
  <c r="A24" i="1"/>
  <c r="A22" i="1"/>
  <c r="A21" i="1"/>
  <c r="A20" i="1"/>
  <c r="A19" i="1"/>
  <c r="D13" i="1"/>
  <c r="E13" i="1"/>
  <c r="F13" i="1"/>
  <c r="G13" i="1"/>
  <c r="D15" i="1"/>
  <c r="E15" i="1"/>
  <c r="F15" i="1"/>
  <c r="G15" i="1"/>
  <c r="D17" i="1"/>
  <c r="E17" i="1"/>
  <c r="F17" i="1"/>
  <c r="G17" i="1"/>
  <c r="C17" i="1"/>
  <c r="C13" i="1"/>
  <c r="A14" i="1"/>
  <c r="A15" i="1"/>
  <c r="A16" i="1"/>
  <c r="A17" i="1"/>
  <c r="A13" i="1"/>
  <c r="C6" i="1"/>
  <c r="C8" i="1"/>
  <c r="C4" i="1"/>
  <c r="A11" i="1"/>
  <c r="A10" i="1"/>
  <c r="A8" i="1"/>
  <c r="A9" i="1"/>
  <c r="A5" i="1"/>
  <c r="A6" i="1"/>
  <c r="A7" i="1"/>
  <c r="A4" i="1"/>
  <c r="E23" i="1" l="1"/>
  <c r="D23" i="1"/>
  <c r="C23" i="1"/>
  <c r="C9" i="1"/>
  <c r="C10" i="1" s="1"/>
  <c r="G23" i="1"/>
  <c r="F23" i="1"/>
  <c r="B7" i="6"/>
  <c r="B7" i="8"/>
  <c r="D16" i="1" l="1"/>
  <c r="D12" i="1" s="1"/>
  <c r="D2" i="1" s="1"/>
  <c r="E16" i="1"/>
  <c r="E12" i="1" s="1"/>
  <c r="E2" i="1" s="1"/>
  <c r="H16" i="1"/>
  <c r="H12" i="1" s="1"/>
  <c r="H2" i="1" s="1"/>
  <c r="H48" i="1" s="1"/>
  <c r="F16" i="1"/>
  <c r="F12" i="1" s="1"/>
  <c r="F2" i="1" s="1"/>
  <c r="C16" i="1"/>
  <c r="C12" i="1" s="1"/>
  <c r="G16" i="1"/>
  <c r="G12" i="1" s="1"/>
  <c r="G2" i="1" s="1"/>
  <c r="C11" i="1"/>
  <c r="C3" i="1" s="1"/>
  <c r="B11" i="6"/>
  <c r="A42" i="1"/>
  <c r="B42" i="1"/>
  <c r="B2" i="1"/>
  <c r="A41" i="1"/>
  <c r="C46" i="1"/>
  <c r="D46" i="1" s="1"/>
  <c r="E46" i="1" s="1"/>
  <c r="F46" i="1" s="1"/>
  <c r="G46" i="1" s="1"/>
  <c r="H46" i="1" s="1"/>
  <c r="I46" i="1" s="1"/>
  <c r="A30" i="1"/>
  <c r="B8" i="5"/>
  <c r="D3" i="4"/>
  <c r="B32" i="1" s="1"/>
  <c r="D4" i="4"/>
  <c r="B33" i="1" s="1"/>
  <c r="D5" i="4"/>
  <c r="B34" i="1" s="1"/>
  <c r="D6" i="4"/>
  <c r="B35" i="1" s="1"/>
  <c r="D7" i="4"/>
  <c r="B36" i="1" s="1"/>
  <c r="D8" i="4"/>
  <c r="B37" i="1" s="1"/>
  <c r="D9" i="4"/>
  <c r="B38" i="1" s="1"/>
  <c r="D10" i="4"/>
  <c r="B39" i="1" s="1"/>
  <c r="D2" i="4"/>
  <c r="B31" i="1" s="1"/>
  <c r="J46" i="1" l="1"/>
  <c r="I50" i="1"/>
  <c r="I51" i="1" s="1"/>
  <c r="I52" i="1" s="1"/>
  <c r="H49" i="1"/>
  <c r="C2" i="1"/>
  <c r="B17" i="4"/>
  <c r="B2" i="2" s="1"/>
  <c r="B10" i="5"/>
  <c r="B9" i="5"/>
  <c r="D29" i="1"/>
  <c r="E29" i="1"/>
  <c r="F29" i="1"/>
  <c r="G29" i="1"/>
  <c r="C29" i="1"/>
  <c r="K46" i="1" l="1"/>
  <c r="J50" i="1"/>
  <c r="J51" i="1" s="1"/>
  <c r="J52" i="1" s="1"/>
  <c r="B30" i="1"/>
  <c r="B29" i="1" s="1"/>
  <c r="B51" i="1" s="1"/>
  <c r="B52" i="1" s="1"/>
  <c r="B53" i="1" s="1"/>
  <c r="B40" i="1"/>
  <c r="H50" i="1"/>
  <c r="H51" i="1" s="1"/>
  <c r="H52" i="1" s="1"/>
  <c r="B12" i="5"/>
  <c r="L46" i="1" l="1"/>
  <c r="K50" i="1"/>
  <c r="K51" i="1" s="1"/>
  <c r="K52" i="1" s="1"/>
  <c r="B28" i="1"/>
  <c r="C28" i="1"/>
  <c r="M46" i="1" l="1"/>
  <c r="L50" i="1"/>
  <c r="L51" i="1" s="1"/>
  <c r="L52" i="1" s="1"/>
  <c r="C48" i="1"/>
  <c r="D28" i="1"/>
  <c r="D48" i="1" s="1"/>
  <c r="N46" i="1" l="1"/>
  <c r="M50" i="1"/>
  <c r="M51" i="1" s="1"/>
  <c r="M52" i="1" s="1"/>
  <c r="D49" i="1"/>
  <c r="D50" i="1" s="1"/>
  <c r="C49" i="1"/>
  <c r="C50" i="1" s="1"/>
  <c r="E28" i="1"/>
  <c r="E48" i="1" s="1"/>
  <c r="N50" i="1" l="1"/>
  <c r="N51" i="1" s="1"/>
  <c r="N52" i="1" s="1"/>
  <c r="O46" i="1"/>
  <c r="B62" i="1"/>
  <c r="C51" i="1"/>
  <c r="C52" i="1" s="1"/>
  <c r="C53" i="1" s="1"/>
  <c r="B60" i="1"/>
  <c r="E49" i="1"/>
  <c r="E50" i="1" s="1"/>
  <c r="D51" i="1"/>
  <c r="D52" i="1" s="1"/>
  <c r="G28" i="1"/>
  <c r="G48" i="1" s="1"/>
  <c r="F28" i="1"/>
  <c r="F48" i="1" s="1"/>
  <c r="P46" i="1" l="1"/>
  <c r="O50" i="1"/>
  <c r="O51" i="1" s="1"/>
  <c r="O52" i="1" s="1"/>
  <c r="D53" i="1"/>
  <c r="F49" i="1"/>
  <c r="F50" i="1" s="1"/>
  <c r="G49" i="1"/>
  <c r="G50" i="1" s="1"/>
  <c r="E51" i="1"/>
  <c r="E52" i="1" s="1"/>
  <c r="Q46" i="1" l="1"/>
  <c r="P50" i="1"/>
  <c r="P51" i="1" s="1"/>
  <c r="P52" i="1" s="1"/>
  <c r="E53" i="1"/>
  <c r="G51" i="1"/>
  <c r="G52" i="1" s="1"/>
  <c r="F51" i="1"/>
  <c r="R46" i="1" l="1"/>
  <c r="Q50" i="1"/>
  <c r="Q51" i="1" s="1"/>
  <c r="Q52" i="1" s="1"/>
  <c r="F52" i="1"/>
  <c r="F53" i="1" s="1"/>
  <c r="G53" i="1" s="1"/>
  <c r="B59" i="1"/>
  <c r="S46" i="1" l="1"/>
  <c r="R50" i="1"/>
  <c r="R51" i="1" s="1"/>
  <c r="R52" i="1" s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l="1"/>
  <c r="S50" i="1"/>
  <c r="S51" i="1" s="1"/>
  <c r="S52" i="1" s="1"/>
  <c r="T46" i="1"/>
  <c r="U46" i="1" l="1"/>
  <c r="T50" i="1"/>
  <c r="T51" i="1" s="1"/>
  <c r="T52" i="1" s="1"/>
  <c r="S53" i="1"/>
  <c r="T53" i="1" l="1"/>
  <c r="V46" i="1"/>
  <c r="U50" i="1"/>
  <c r="U51" i="1" s="1"/>
  <c r="U52" i="1" s="1"/>
  <c r="W46" i="1" l="1"/>
  <c r="V50" i="1"/>
  <c r="V51" i="1" s="1"/>
  <c r="V52" i="1" s="1"/>
  <c r="U53" i="1"/>
  <c r="V53" i="1" l="1"/>
  <c r="X46" i="1"/>
  <c r="X50" i="1" s="1"/>
  <c r="X51" i="1" s="1"/>
  <c r="X52" i="1" s="1"/>
  <c r="W50" i="1"/>
  <c r="W51" i="1" s="1"/>
  <c r="W52" i="1" s="1"/>
  <c r="W53" i="1" s="1"/>
  <c r="X53" i="1" l="1"/>
</calcChain>
</file>

<file path=xl/comments1.xml><?xml version="1.0" encoding="utf-8"?>
<comments xmlns="http://schemas.openxmlformats.org/spreadsheetml/2006/main">
  <authors>
    <author>R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R:</t>
        </r>
        <r>
          <rPr>
            <sz val="9"/>
            <color indexed="81"/>
            <rFont val="Tahoma"/>
            <family val="2"/>
            <charset val="204"/>
          </rPr>
          <t xml:space="preserve">
Стоимость рассчитана с учётом 5-ти подключений в год</t>
        </r>
      </text>
    </comment>
  </commentList>
</comments>
</file>

<file path=xl/sharedStrings.xml><?xml version="1.0" encoding="utf-8"?>
<sst xmlns="http://schemas.openxmlformats.org/spreadsheetml/2006/main" count="137" uniqueCount="123">
  <si>
    <t>Затраты</t>
  </si>
  <si>
    <t>Инвестиции</t>
  </si>
  <si>
    <t>Эксплуатационные затраты</t>
  </si>
  <si>
    <t>ФОТ</t>
  </si>
  <si>
    <t>Амортизация</t>
  </si>
  <si>
    <t>Налог на прибыль</t>
  </si>
  <si>
    <t>Прибыль до налогообложения</t>
  </si>
  <si>
    <t>Чистая прибыль</t>
  </si>
  <si>
    <t>Дисконтированный денежный поток</t>
  </si>
  <si>
    <t>Дисконтированный денежный поток накоп итогом</t>
  </si>
  <si>
    <t>NPV</t>
  </si>
  <si>
    <t>PI</t>
  </si>
  <si>
    <t>IRR</t>
  </si>
  <si>
    <t>tОК</t>
  </si>
  <si>
    <t>dtOK</t>
  </si>
  <si>
    <t>Срок полезного использования</t>
  </si>
  <si>
    <t xml:space="preserve">Денежный поток </t>
  </si>
  <si>
    <t>Ставка дисконтирования</t>
  </si>
  <si>
    <t>Периоды</t>
  </si>
  <si>
    <t>Статья затрат</t>
  </si>
  <si>
    <t>Стоимость, р\год</t>
  </si>
  <si>
    <t>Роль</t>
  </si>
  <si>
    <t>FTE</t>
  </si>
  <si>
    <t>Ставка</t>
  </si>
  <si>
    <t>Руководитель проекта</t>
  </si>
  <si>
    <t>Системный аналитик</t>
  </si>
  <si>
    <t>Бизнес аналитик</t>
  </si>
  <si>
    <t>Frontend разработчик</t>
  </si>
  <si>
    <t>Backend разработчик</t>
  </si>
  <si>
    <t>ML разработчик</t>
  </si>
  <si>
    <t>UX\UI дизайнер</t>
  </si>
  <si>
    <t>Архитектор</t>
  </si>
  <si>
    <t>DevOps инженер</t>
  </si>
  <si>
    <t>Общая стоимость команды в год:</t>
  </si>
  <si>
    <t>Сокращение затрат на внеплановые ремонты и ликвидацию последствий аварий</t>
  </si>
  <si>
    <t>Минимизация простоев оборудования</t>
  </si>
  <si>
    <t>Отказ от приобретения дорогостоящих систем вибромониторинга</t>
  </si>
  <si>
    <t>Сокращение времени на поиск и локализацию неисправности</t>
  </si>
  <si>
    <t>Коэффициент снижения количества внеплановых отказов благодаря раннему прогнозированию</t>
  </si>
  <si>
    <t>Количество предотвращенных отказов в год:</t>
  </si>
  <si>
    <t>Среднее количество внеплановых отказов в год на 1 ед. оборудования:</t>
  </si>
  <si>
    <t>Показатель:</t>
  </si>
  <si>
    <t>Значение:</t>
  </si>
  <si>
    <t>Среднее время простоя оборудования после отказа, часов</t>
  </si>
  <si>
    <t>Средняя стоимость одного внепланового ремонта, руб.</t>
  </si>
  <si>
    <t>Экономия на ремонтах:</t>
  </si>
  <si>
    <t>Экономия от сокращения простоя:</t>
  </si>
  <si>
    <t>Годовой эффект:</t>
  </si>
  <si>
    <t>Суммарное время внеплановых простоев установки за год (в часах)</t>
  </si>
  <si>
    <t>Показатель</t>
  </si>
  <si>
    <t>Значение</t>
  </si>
  <si>
    <t>Стоимость часа простоя установки</t>
  </si>
  <si>
    <t>Коэффициент снижения внеплановых простоев</t>
  </si>
  <si>
    <t>Показатели для расчёта стоимости часа простоя</t>
  </si>
  <si>
    <t>Годовой эффект от внедрения</t>
  </si>
  <si>
    <t>Стоимость комплекта вибродатчиков на один агрегат</t>
  </si>
  <si>
    <t>Стоимость работ по монтажу, прокладке кабелей, интеграции в систему</t>
  </si>
  <si>
    <t>Стоимость монтажа датчиков и подключения к системе сбора данных</t>
  </si>
  <si>
    <t>Экономия на 1 агрегате:</t>
  </si>
  <si>
    <t>Среднее время на поиск и локализацию одной неисправности (в часах)</t>
  </si>
  <si>
    <t>Среднее количество инцидентов (отказов), требующих диагностики, в год</t>
  </si>
  <si>
    <t>Полная стоимость часа работы ремонтной бригады</t>
  </si>
  <si>
    <t>Среднее время на локализацию неисправности после внедрения системы</t>
  </si>
  <si>
    <t>Годовая экономия на локализацию неисправности:</t>
  </si>
  <si>
    <t>ROI</t>
  </si>
  <si>
    <t>Стоимость часа простоя одной технологической установки, руб</t>
  </si>
  <si>
    <t>Эффекты</t>
  </si>
  <si>
    <t>Стоимость датчиков тока (4 шт)</t>
  </si>
  <si>
    <t>Обоснование</t>
  </si>
  <si>
    <t>Параметр</t>
  </si>
  <si>
    <t>Безрисковая ставка (Rf)</t>
  </si>
  <si>
    <t>Доходность 10-летних ОФЗ</t>
  </si>
  <si>
    <t>Рыночная премия (Rm - Rf)</t>
  </si>
  <si>
    <t>Историческая премия за риск для российского рынка</t>
  </si>
  <si>
    <t>Бета (β)</t>
  </si>
  <si>
    <t>Коэффициент волатильности акций ПАО «Газпром нефть»</t>
  </si>
  <si>
    <t xml:space="preserve">Стоимость собственного капитала (Re)	</t>
  </si>
  <si>
    <t>Рассчитано по модели CAPM</t>
  </si>
  <si>
    <t>Стоимость заемного капитала (Rd)</t>
  </si>
  <si>
    <t>Средняя ставка по кредитам для компаний с высоким рейтингом</t>
  </si>
  <si>
    <t>Доля заемного капитала (D/V)</t>
  </si>
  <si>
    <t>На основании анализа структуры капитала нефтяных компаний</t>
  </si>
  <si>
    <t>Ставка налога на прибыль (Tc)</t>
  </si>
  <si>
    <t>Налоговое законодательство РФ</t>
  </si>
  <si>
    <t>Ставка дисконтирования (WACC) без учета рисков</t>
  </si>
  <si>
    <t>Технологический риск</t>
  </si>
  <si>
    <t>Прототипирование ML-моделей, риск недостижения требуемой точности распознавания дефектов.</t>
  </si>
  <si>
    <t xml:space="preserve">Риск внедрения	</t>
  </si>
  <si>
    <t>Интеграция с существующими АСУ ТП и ERP-системами завода. Необходимость обучения персонала.</t>
  </si>
  <si>
    <t>Операционный риск</t>
  </si>
  <si>
    <t>После внедрения система работает в автоматическом режиме. Риск ложных срабатываний или пропуска дефектов.</t>
  </si>
  <si>
    <t>Рыночный риск</t>
  </si>
  <si>
    <t>Риск не актуален. Проект направлен на внутреннюю оптимизацию, а не на вывод продукта на рынок.</t>
  </si>
  <si>
    <t xml:space="preserve">Регуляторный риск	</t>
  </si>
  <si>
    <t>Соответствие требованиям по защите данных и промышленной безопасности. Использование отечественного ПО.</t>
  </si>
  <si>
    <t>Ставка дисконтирования (WACC) с учетом рисков</t>
  </si>
  <si>
    <t>Стоиомсть команды для разработки ПО</t>
  </si>
  <si>
    <t>Стоимость токовых датчиков, включая установку на оборудование (на 1 ед.)</t>
  </si>
  <si>
    <t>Поддержка системы</t>
  </si>
  <si>
    <t>Комментарий</t>
  </si>
  <si>
    <t>2 сервис-менеджера в год, консультация, администрирование системы, исправление незначительных  багов</t>
  </si>
  <si>
    <t>Комментарии</t>
  </si>
  <si>
    <t>Объем продукции, производимой установкой в час (тонн)</t>
  </si>
  <si>
    <t>Цена реализации единицы продукции (руб./тонна)</t>
  </si>
  <si>
    <t>Стоимость команды проекта расчитана по ставкам комании Автоматики-сервис за год работы. FTE выведенно по среднему по ПКИ проектов, включая разработку необходимой документации  (инструкции по эксплуатации, ТП, ТЗ, ИБ, ФТ, НФТ, БТ, архитектура). Ставки и FTE отражены на листе "Стоиомсть команды".</t>
  </si>
  <si>
    <t xml:space="preserve">Стоиомсть Вибротест-МГ4.01 </t>
  </si>
  <si>
    <t xml:space="preserve">Стоимость ВС-357 </t>
  </si>
  <si>
    <t>Данные из отчетности за 2024 год, предоставленные  металлургическим предприятием по агрегату очистки от окалины горячекатанных рулонов с помощью дроби. Для работы оборудования задействовано 16 электродвигателей от компании Балдор (США), мощностью 190 л.с., 1 750 об. в мин., стоимостью 3 млн.руб. При выходе из строя одного из двигателей производительность снижается на 3 тонны, при выходе из строя 2-ух двигателей агрегат останавливается полностью.Имеется 1 резервный двигатель.</t>
  </si>
  <si>
    <t>Ставка инфляции</t>
  </si>
  <si>
    <t>Закупка инфраструктуры и лицензий</t>
  </si>
  <si>
    <t>Сервер YADRO X2-200</t>
  </si>
  <si>
    <t>2*722223</t>
  </si>
  <si>
    <t>945120*3</t>
  </si>
  <si>
    <t xml:space="preserve">	
Лицензия СУБД Postgres Pro Enterprise на 1 ядро x86-64 (купить можно от 2х ядер) (разовая)</t>
  </si>
  <si>
    <t>3 шт Лицензия на ПО «Система безопасного управления средой виртуализации Z|virt» на физический сервер с максимально 2 CPU (разовая)</t>
  </si>
  <si>
    <t>Astra Linux Special Edition 1.7, x86-64, «Максимальный» («Смоленск»),</t>
  </si>
  <si>
    <t>Ежегодное продление лицензий</t>
  </si>
  <si>
    <t>87 600 * 12</t>
  </si>
  <si>
    <t xml:space="preserve">538800*3 </t>
  </si>
  <si>
    <t>Расчет</t>
  </si>
  <si>
    <t>Сертификат на Техническую Поддержку уровня «Продуктивный» и доступ к обновлениям на ПО «Система безопасного управления средой виртуализации Z|virt» на физический сервер с максимально 2 CPU на 5 лет. Сборка 2+1</t>
  </si>
  <si>
    <t>Расчет при установке на 1 ед.</t>
  </si>
  <si>
    <t>622908*3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</si>
</sst>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.00\ &quot;₽&quot;"/>
    <numFmt numFmtId="165" formatCode="0.0%"/>
  </numFmts>
  <fonts count="18">
    <font>
      <sz val="12"/>
      <color theme="1"/>
      <name val="Rockwell"/>
      <family val="2"/>
      <charset val="204"/>
      <scheme val="minor"/>
    </font>
    <font>
      <b/>
      <sz val="12"/>
      <color theme="1"/>
      <name val="Rockwell"/>
      <family val="1"/>
      <scheme val="minor"/>
    </font>
    <font>
      <sz val="12"/>
      <color rgb="FFFF0000"/>
      <name val="Rockwel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Rockwell"/>
      <family val="2"/>
      <charset val="204"/>
      <scheme val="minor"/>
    </font>
    <font>
      <sz val="12"/>
      <name val="Rockwell"/>
      <family val="2"/>
      <charset val="20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  <charset val="204"/>
    </font>
    <font>
      <sz val="11"/>
      <color theme="1"/>
      <name val="Rockwell"/>
      <family val="2"/>
      <charset val="204"/>
      <scheme val="minor"/>
    </font>
    <font>
      <sz val="11"/>
      <color rgb="FF000000"/>
      <name val="IBM Plex Sans"/>
    </font>
  </fonts>
  <fills count="4">
    <fill>
      <patternFill patternType="none"/>
    </fill>
    <fill>
      <patternFill patternType="gray125"/>
    </fill>
    <fill>
      <patternFill patternType="solid">
        <fgColor rgb="FFE65909"/>
        <bgColor indexed="64"/>
      </patternFill>
    </fill>
    <fill>
      <patternFill patternType="solid">
        <fgColor rgb="FF00459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6" fillId="0" borderId="0"/>
  </cellStyleXfs>
  <cellXfs count="103">
    <xf numFmtId="0" fontId="0" fillId="0" borderId="0" xfId="0"/>
    <xf numFmtId="4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9" fontId="7" fillId="0" borderId="1" xfId="1" applyNumberFormat="1" applyFont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43" fontId="11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0" fontId="6" fillId="0" borderId="0" xfId="0" applyFont="1"/>
    <xf numFmtId="0" fontId="10" fillId="2" borderId="10" xfId="0" applyFont="1" applyFill="1" applyBorder="1" applyAlignment="1">
      <alignment horizontal="center"/>
    </xf>
    <xf numFmtId="0" fontId="7" fillId="0" borderId="10" xfId="0" applyFont="1" applyBorder="1"/>
    <xf numFmtId="44" fontId="7" fillId="0" borderId="10" xfId="0" applyNumberFormat="1" applyFont="1" applyBorder="1"/>
    <xf numFmtId="0" fontId="11" fillId="3" borderId="10" xfId="0" applyFont="1" applyFill="1" applyBorder="1"/>
    <xf numFmtId="0" fontId="10" fillId="2" borderId="10" xfId="0" applyFont="1" applyFill="1" applyBorder="1"/>
    <xf numFmtId="0" fontId="10" fillId="2" borderId="10" xfId="0" applyFont="1" applyFill="1" applyBorder="1" applyAlignment="1">
      <alignment horizontal="left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4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 wrapText="1"/>
    </xf>
    <xf numFmtId="0" fontId="11" fillId="3" borderId="10" xfId="0" applyFont="1" applyFill="1" applyBorder="1" applyAlignment="1">
      <alignment horizontal="left" wrapText="1"/>
    </xf>
    <xf numFmtId="9" fontId="7" fillId="0" borderId="10" xfId="0" applyNumberFormat="1" applyFont="1" applyBorder="1"/>
    <xf numFmtId="0" fontId="10" fillId="2" borderId="10" xfId="0" applyFont="1" applyFill="1" applyBorder="1" applyAlignment="1">
      <alignment wrapText="1"/>
    </xf>
    <xf numFmtId="0" fontId="10" fillId="2" borderId="10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left"/>
    </xf>
    <xf numFmtId="44" fontId="7" fillId="0" borderId="10" xfId="0" applyNumberFormat="1" applyFont="1" applyBorder="1" applyAlignment="1">
      <alignment horizontal="right" vertical="center"/>
    </xf>
    <xf numFmtId="44" fontId="7" fillId="0" borderId="10" xfId="0" applyNumberFormat="1" applyFont="1" applyBorder="1" applyAlignment="1">
      <alignment horizontal="right"/>
    </xf>
    <xf numFmtId="0" fontId="11" fillId="2" borderId="0" xfId="0" applyFont="1" applyFill="1"/>
    <xf numFmtId="44" fontId="14" fillId="0" borderId="10" xfId="0" applyNumberFormat="1" applyFont="1" applyBorder="1" applyAlignment="1">
      <alignment horizontal="center" vertical="center"/>
    </xf>
    <xf numFmtId="0" fontId="11" fillId="3" borderId="10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vertical="center"/>
    </xf>
    <xf numFmtId="44" fontId="7" fillId="0" borderId="10" xfId="0" applyNumberFormat="1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/>
    </xf>
    <xf numFmtId="9" fontId="7" fillId="0" borderId="10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9" fontId="12" fillId="0" borderId="10" xfId="0" applyNumberFormat="1" applyFont="1" applyBorder="1" applyAlignment="1">
      <alignment horizontal="right"/>
    </xf>
    <xf numFmtId="10" fontId="7" fillId="0" borderId="10" xfId="0" applyNumberFormat="1" applyFont="1" applyBorder="1"/>
    <xf numFmtId="10" fontId="7" fillId="0" borderId="10" xfId="0" applyNumberFormat="1" applyFont="1" applyBorder="1" applyAlignment="1">
      <alignment horizontal="right"/>
    </xf>
    <xf numFmtId="2" fontId="7" fillId="0" borderId="10" xfId="0" applyNumberFormat="1" applyFont="1" applyBorder="1"/>
    <xf numFmtId="165" fontId="7" fillId="0" borderId="10" xfId="0" applyNumberFormat="1" applyFont="1" applyBorder="1"/>
    <xf numFmtId="44" fontId="7" fillId="0" borderId="11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left" wrapText="1"/>
    </xf>
    <xf numFmtId="0" fontId="7" fillId="0" borderId="13" xfId="0" applyFont="1" applyBorder="1"/>
    <xf numFmtId="0" fontId="13" fillId="0" borderId="1" xfId="0" applyFont="1" applyBorder="1" applyAlignment="1">
      <alignment horizontal="left" vertical="center"/>
    </xf>
    <xf numFmtId="44" fontId="15" fillId="0" borderId="10" xfId="0" applyNumberFormat="1" applyFont="1" applyBorder="1" applyAlignment="1">
      <alignment horizontal="center" vertical="center"/>
    </xf>
    <xf numFmtId="10" fontId="14" fillId="0" borderId="10" xfId="0" applyNumberFormat="1" applyFont="1" applyBorder="1"/>
    <xf numFmtId="0" fontId="7" fillId="0" borderId="2" xfId="0" applyFont="1" applyBorder="1" applyAlignment="1">
      <alignment horizontal="left" vertic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44" fontId="7" fillId="0" borderId="1" xfId="1" applyNumberFormat="1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11" fillId="0" borderId="0" xfId="0" applyFont="1" applyFill="1"/>
    <xf numFmtId="0" fontId="7" fillId="0" borderId="0" xfId="0" applyFont="1" applyFill="1"/>
    <xf numFmtId="0" fontId="17" fillId="0" borderId="0" xfId="2" applyFont="1" applyBorder="1" applyAlignment="1">
      <alignment vertical="center"/>
    </xf>
    <xf numFmtId="0" fontId="10" fillId="2" borderId="12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3" fontId="10" fillId="3" borderId="2" xfId="1" applyFont="1" applyFill="1" applyBorder="1" applyAlignment="1">
      <alignment horizontal="left" vertical="center"/>
    </xf>
    <xf numFmtId="43" fontId="10" fillId="3" borderId="9" xfId="1" applyFont="1" applyFill="1" applyBorder="1" applyAlignment="1">
      <alignment horizontal="left" vertical="center"/>
    </xf>
    <xf numFmtId="0" fontId="7" fillId="0" borderId="4" xfId="1" applyNumberFormat="1" applyFont="1" applyBorder="1" applyAlignment="1">
      <alignment horizontal="left" vertical="center" wrapText="1"/>
    </xf>
    <xf numFmtId="0" fontId="7" fillId="0" borderId="5" xfId="1" applyNumberFormat="1" applyFont="1" applyBorder="1" applyAlignment="1">
      <alignment horizontal="left" vertical="center" wrapText="1"/>
    </xf>
    <xf numFmtId="0" fontId="7" fillId="0" borderId="3" xfId="1" applyNumberFormat="1" applyFont="1" applyBorder="1" applyAlignment="1">
      <alignment horizontal="left" vertical="center" wrapText="1"/>
    </xf>
    <xf numFmtId="0" fontId="7" fillId="0" borderId="6" xfId="1" applyNumberFormat="1" applyFont="1" applyBorder="1" applyAlignment="1">
      <alignment horizontal="left" vertical="center" wrapText="1"/>
    </xf>
    <xf numFmtId="0" fontId="7" fillId="0" borderId="7" xfId="1" applyNumberFormat="1" applyFont="1" applyBorder="1" applyAlignment="1">
      <alignment horizontal="left" vertical="center" wrapText="1"/>
    </xf>
    <xf numFmtId="0" fontId="7" fillId="0" borderId="8" xfId="1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43" fontId="0" fillId="0" borderId="0" xfId="0" applyNumberFormat="1" applyAlignment="1">
      <alignment horizontal="center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colors>
    <mruColors>
      <color rgb="FFE65909"/>
      <color rgb="FFFFF3E8"/>
      <color rgb="FF004596"/>
      <color rgb="FFFFC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 НА 1 ДВИГАТЕЛЬ'!$A$53</c:f>
              <c:strCache>
                <c:ptCount val="1"/>
                <c:pt idx="0">
                  <c:v>Дисконтированный денежный поток накоп итогом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'СВОД НА 1 ДВИГАТЕЛЬ'!$B$53:$AC$53</c:f>
              <c:numCache>
                <c:formatCode>_(* #,##0.00_);_(* \(#,##0.00\);_(* "-"??_);_(@_)</c:formatCode>
                <c:ptCount val="28"/>
                <c:pt idx="0" formatCode="General">
                  <c:v>-44099376.920000002</c:v>
                </c:pt>
                <c:pt idx="1">
                  <c:v>-41171850.661413796</c:v>
                </c:pt>
                <c:pt idx="2">
                  <c:v>-38353881.954964504</c:v>
                </c:pt>
                <c:pt idx="3">
                  <c:v>-35649180.575055957</c:v>
                </c:pt>
                <c:pt idx="4">
                  <c:v>-33059740.697778367</c:v>
                </c:pt>
                <c:pt idx="5">
                  <c:v>-30586154.543583218</c:v>
                </c:pt>
                <c:pt idx="6">
                  <c:v>-28227877.833015837</c:v>
                </c:pt>
                <c:pt idx="7">
                  <c:v>-25983454.017067123</c:v>
                </c:pt>
                <c:pt idx="8">
                  <c:v>-23850703.263335928</c:v>
                </c:pt>
                <c:pt idx="9">
                  <c:v>-21826881.335336067</c:v>
                </c:pt>
                <c:pt idx="10">
                  <c:v>-19908812.776025485</c:v>
                </c:pt>
                <c:pt idx="11">
                  <c:v>-18093002.181681428</c:v>
                </c:pt>
                <c:pt idx="12">
                  <c:v>-16375726.814549545</c:v>
                </c:pt>
                <c:pt idx="13">
                  <c:v>-14753113.34015367</c:v>
                </c:pt>
                <c:pt idx="14">
                  <c:v>-13221201.077336857</c:v>
                </c:pt>
                <c:pt idx="15">
                  <c:v>-11775993.807026513</c:v>
                </c:pt>
                <c:pt idx="16">
                  <c:v>-10413501.891633417</c:v>
                </c:pt>
                <c:pt idx="17">
                  <c:v>-9129776.2042342965</c:v>
                </c:pt>
                <c:pt idx="18">
                  <c:v>-7920935.1495021377</c:v>
                </c:pt>
                <c:pt idx="19">
                  <c:v>-6783185.8717851136</c:v>
                </c:pt>
                <c:pt idx="20">
                  <c:v>-5712840.5855277292</c:v>
                </c:pt>
                <c:pt idx="21">
                  <c:v>-4706328.8257011734</c:v>
                </c:pt>
                <c:pt idx="22">
                  <c:v>-3760206.2978984392</c:v>
                </c:pt>
                <c:pt idx="23">
                  <c:v>-2871160.9065266959</c:v>
                </c:pt>
                <c:pt idx="24">
                  <c:v>-2036016.4527464607</c:v>
                </c:pt>
                <c:pt idx="25">
                  <c:v>-1251734.4194419538</c:v>
                </c:pt>
                <c:pt idx="26">
                  <c:v>-515414.19681813638</c:v>
                </c:pt>
                <c:pt idx="27">
                  <c:v>175707.95229194465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7-9F4D-B00E-6BD182DD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73215"/>
        <c:axId val="1541436671"/>
      </c:lineChart>
      <c:catAx>
        <c:axId val="14543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36671"/>
        <c:crosses val="autoZero"/>
        <c:auto val="1"/>
        <c:lblAlgn val="ctr"/>
        <c:lblOffset val="100"/>
        <c:noMultiLvlLbl val="0"/>
      </c:catAx>
      <c:valAx>
        <c:axId val="15414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3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580180</xdr:colOff>
      <xdr:row>54</xdr:row>
      <xdr:rowOff>22794</xdr:rowOff>
    </xdr:from>
    <xdr:to>
      <xdr:col>8</xdr:col>
      <xdr:colOff>17009</xdr:colOff>
      <xdr:row>67</xdr:row>
      <xdr:rowOff>158513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EEA63C-FEAE-14D2-E9DE-07F37883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19051</xdr:rowOff>
    </xdr:from>
    <xdr:to>
      <xdr:col>2</xdr:col>
      <xdr:colOff>9525</xdr:colOff>
      <xdr:row>22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2990851"/>
          <a:ext cx="5829300" cy="2076450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затрат на внеплановые ремонты и ликвидацию последствий аварий.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Раннее обнаружение дефектов (подшипников, ротора, статора) позволяет планировать ремонты в штатном режиме. Это избегает: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Стоимости срочного ремонта (ночной вызов бригады, срочная доставка запчастей с надбавкой).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Стоимости замены сопутствующего оборудования, вышедшего из строя из-за внезапного отказа (например, повреждение уплотнений, муфт).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Затрат на ликвидацию последствий (разливы продукции, противопожарные мероприятия).</a:t>
          </a:r>
        </a:p>
        <a:p>
          <a:pPr lvl="1"/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Сравнение статистики затрат на внеплановые ремонты за предыдущие периоды с периодом после внедрения системы.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12700</xdr:rowOff>
    </xdr:from>
    <xdr:to>
      <xdr:col>1</xdr:col>
      <xdr:colOff>1851026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" y="2593975"/>
          <a:ext cx="5489575" cy="1800225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потерь от простоя оборудования (</a:t>
          </a:r>
          <a:r>
            <a:rPr lang="en-US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Loss of Production).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Сокращение длительности простоев за счёт планового, а не аварийного ремонта. Оборудование останавливается на меньшее время и в запланированный период (например, при снижении общей нагрузки на установку).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(Кол-во часов простоя до внедрения - Кол-во часов простоя после внедрения) * Стоимость часа прохода установки. Стоимость часа прохода — это ключевой параметр, который можно получить у технологов (прибыль + переменные затраты, которые не прекращаются во время простоя).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</xdr:colOff>
      <xdr:row>8</xdr:row>
      <xdr:rowOff>3177</xdr:rowOff>
    </xdr:from>
    <xdr:to>
      <xdr:col>3</xdr:col>
      <xdr:colOff>0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349" y="1974852"/>
          <a:ext cx="7308851" cy="1473198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Отказ от приобретения дорогостоящих систем вибромониторинга.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Токовая диагностика использует уже установленные датчики тока (или требует значительно более дешёвых), что в разы снижает капитальные затраты (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CAPEX)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 оснащение оборудования системами мониторинга.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Стоимость оснащения одного агрегата системой вибромониторинга - Стоимость оснащения системой токовой диагностики * на количество агрегатов.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384175</xdr:rowOff>
    </xdr:from>
    <xdr:to>
      <xdr:col>2</xdr:col>
      <xdr:colOff>3175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0" y="2146300"/>
          <a:ext cx="4746625" cy="1825625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времени на поиск и локализацию неисправности.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Система с ИИ не только обнаруживает факт неисправности, но и классифицирует её (например, "дефект внешнего кольца подшипника насоса 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X").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Это 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drastically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сокращает время диагностики.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(Среднее время на поиск дефекта до - Среднее время после) * Стоимость часа работы ремонтной бригады * Количество инцидентов в год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Атлас">
  <a:themeElements>
    <a:clrScheme name="Атлас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Атлас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Атлас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2"/>
  <sheetViews>
    <sheetView tabSelected="1" topLeftCell="A31" zoomScale="70" zoomScaleNormal="70" workbookViewId="0">
      <selection activeCell="A61" sqref="A61"/>
    </sheetView>
  </sheetViews>
  <sheetFormatPr defaultColWidth="11.44140625" defaultRowHeight="15.75"/>
  <cols>
    <col min="1" max="1" width="69.44140625" customWidth="1"/>
    <col min="2" max="2" width="17.5546875" customWidth="1"/>
    <col min="3" max="6" width="16.88671875" customWidth="1"/>
    <col min="7" max="7" width="16.33203125" bestFit="1" customWidth="1"/>
    <col min="8" max="26" width="16.33203125" customWidth="1"/>
    <col min="27" max="29" width="17" bestFit="1" customWidth="1"/>
    <col min="30" max="30" width="20.44140625" customWidth="1"/>
    <col min="32" max="32" width="31" customWidth="1"/>
    <col min="33" max="33" width="11.5546875" customWidth="1"/>
  </cols>
  <sheetData>
    <row r="1" spans="1:33">
      <c r="A1" s="6" t="s">
        <v>18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9">
        <v>6</v>
      </c>
      <c r="I1" s="6">
        <v>7</v>
      </c>
      <c r="J1" s="84">
        <v>8</v>
      </c>
      <c r="K1" s="6">
        <v>9</v>
      </c>
      <c r="L1" s="84">
        <v>10</v>
      </c>
      <c r="M1" s="6">
        <v>11</v>
      </c>
      <c r="N1" s="84">
        <v>12</v>
      </c>
      <c r="O1" s="84">
        <v>13</v>
      </c>
      <c r="P1" s="6">
        <v>14</v>
      </c>
      <c r="Q1" s="84">
        <v>15</v>
      </c>
      <c r="R1" s="84">
        <v>16</v>
      </c>
      <c r="S1" s="6">
        <v>17</v>
      </c>
      <c r="T1" s="84">
        <v>18</v>
      </c>
      <c r="U1" s="6">
        <v>19</v>
      </c>
      <c r="V1" s="84">
        <v>20</v>
      </c>
      <c r="W1" s="6">
        <v>21</v>
      </c>
      <c r="X1" s="84">
        <v>22</v>
      </c>
      <c r="Y1" s="84">
        <v>23</v>
      </c>
      <c r="Z1" s="6">
        <v>24</v>
      </c>
      <c r="AA1" s="84">
        <v>25</v>
      </c>
      <c r="AB1" s="84">
        <v>26</v>
      </c>
      <c r="AC1" s="6">
        <v>27</v>
      </c>
      <c r="AD1" s="88" t="s">
        <v>101</v>
      </c>
      <c r="AE1" s="89"/>
      <c r="AF1" s="7"/>
      <c r="AG1" s="7"/>
    </row>
    <row r="2" spans="1:33" ht="15.75" customHeight="1">
      <c r="A2" s="13" t="s">
        <v>66</v>
      </c>
      <c r="B2" s="16">
        <f>SUM(B3:B23)</f>
        <v>0</v>
      </c>
      <c r="C2" s="17">
        <f>C3+C12+C18+C23</f>
        <v>14275819.077950001</v>
      </c>
      <c r="D2" s="17">
        <f t="shared" ref="D2:H2" si="0">D3+D12+D18+D23</f>
        <v>15500684.354838112</v>
      </c>
      <c r="E2" s="17">
        <f t="shared" si="0"/>
        <v>16830643.072483223</v>
      </c>
      <c r="F2" s="17">
        <f t="shared" si="0"/>
        <v>18274712.248102289</v>
      </c>
      <c r="G2" s="17">
        <f t="shared" si="0"/>
        <v>19842682.558989469</v>
      </c>
      <c r="H2" s="17">
        <f t="shared" si="0"/>
        <v>21545184.722550765</v>
      </c>
      <c r="I2" s="17">
        <f t="shared" ref="I2:N2" si="1">I3+I12+I18+I23</f>
        <v>23393761.571745623</v>
      </c>
      <c r="J2" s="17">
        <f t="shared" si="1"/>
        <v>25400946.314601403</v>
      </c>
      <c r="K2" s="17">
        <f t="shared" si="1"/>
        <v>27580347.508394204</v>
      </c>
      <c r="L2" s="17">
        <f t="shared" si="1"/>
        <v>29946741.324614428</v>
      </c>
      <c r="M2" s="17">
        <f t="shared" si="1"/>
        <v>32516171.730266351</v>
      </c>
      <c r="N2" s="17">
        <f t="shared" si="1"/>
        <v>35306059.264723219</v>
      </c>
      <c r="O2" s="17">
        <f t="shared" ref="O2:S2" si="2">O3+O12+O18+O23</f>
        <v>38335319.14963647</v>
      </c>
      <c r="P2" s="17">
        <f t="shared" si="2"/>
        <v>41624489.532675274</v>
      </c>
      <c r="Q2" s="17">
        <f t="shared" si="2"/>
        <v>45195870.734578818</v>
      </c>
      <c r="R2" s="17">
        <f t="shared" si="2"/>
        <v>49073676.443605691</v>
      </c>
      <c r="S2" s="17">
        <f t="shared" si="2"/>
        <v>53284197.882467069</v>
      </c>
      <c r="T2" s="17">
        <f t="shared" ref="T2:X2" si="3">T3+T12+T18+T23</f>
        <v>57855982.060782745</v>
      </c>
      <c r="U2" s="17">
        <f t="shared" si="3"/>
        <v>62820025.321597911</v>
      </c>
      <c r="V2" s="17">
        <f t="shared" si="3"/>
        <v>68209983.494191006</v>
      </c>
      <c r="W2" s="17">
        <f t="shared" si="3"/>
        <v>74062400.077992618</v>
      </c>
      <c r="X2" s="17">
        <f t="shared" si="3"/>
        <v>80416954.004684418</v>
      </c>
      <c r="Y2" s="17">
        <f t="shared" ref="Y2:AC2" si="4">Y3+Y12+Y18+Y23</f>
        <v>87316728.658286318</v>
      </c>
      <c r="Z2" s="17">
        <f t="shared" si="4"/>
        <v>94808503.977167323</v>
      </c>
      <c r="AA2" s="17">
        <f t="shared" si="4"/>
        <v>102943073.61840826</v>
      </c>
      <c r="AB2" s="17">
        <f t="shared" si="4"/>
        <v>111775589.33486773</v>
      </c>
      <c r="AC2" s="17">
        <f t="shared" si="4"/>
        <v>121365934.89979938</v>
      </c>
      <c r="AD2" s="90" t="s">
        <v>107</v>
      </c>
      <c r="AE2" s="91"/>
      <c r="AF2" s="7"/>
      <c r="AG2" s="7"/>
    </row>
    <row r="3" spans="1:33" ht="31.5" customHeight="1">
      <c r="A3" s="14" t="s">
        <v>34</v>
      </c>
      <c r="B3" s="16"/>
      <c r="C3" s="16">
        <f>C11+C10</f>
        <v>3316839.6779499999</v>
      </c>
      <c r="D3" s="16">
        <f t="shared" ref="D3:F3" si="5">D11+D10</f>
        <v>3601424.5223181108</v>
      </c>
      <c r="E3" s="16">
        <f t="shared" si="5"/>
        <v>3910426.7463330049</v>
      </c>
      <c r="F3" s="16">
        <f t="shared" si="5"/>
        <v>4245941.3611683771</v>
      </c>
      <c r="G3" s="16">
        <f>G11+G10</f>
        <v>4610243.1299566245</v>
      </c>
      <c r="H3" s="16">
        <f>H11+H10</f>
        <v>5005801.9905069033</v>
      </c>
      <c r="I3" s="16">
        <f t="shared" ref="I3:N3" si="6">I11+I10</f>
        <v>5435299.8012923971</v>
      </c>
      <c r="J3" s="16">
        <f t="shared" si="6"/>
        <v>5901648.5242432859</v>
      </c>
      <c r="K3" s="16">
        <f t="shared" si="6"/>
        <v>6408009.9676233595</v>
      </c>
      <c r="L3" s="16">
        <f t="shared" si="6"/>
        <v>6957817.2228454445</v>
      </c>
      <c r="M3" s="16">
        <f t="shared" si="6"/>
        <v>7554797.9405655842</v>
      </c>
      <c r="N3" s="16">
        <f t="shared" si="6"/>
        <v>8202999.6038661143</v>
      </c>
      <c r="O3" s="16">
        <f t="shared" ref="O3:S3" si="7">O11+O10</f>
        <v>8906816.969877826</v>
      </c>
      <c r="P3" s="16">
        <f t="shared" si="7"/>
        <v>9671021.8658933453</v>
      </c>
      <c r="Q3" s="16">
        <f t="shared" si="7"/>
        <v>10500795.541986994</v>
      </c>
      <c r="R3" s="16">
        <f t="shared" si="7"/>
        <v>11401763.799489481</v>
      </c>
      <c r="S3" s="16">
        <f t="shared" si="7"/>
        <v>12380035.13348568</v>
      </c>
      <c r="T3" s="16">
        <f t="shared" ref="T3:X3" si="8">T11+T10</f>
        <v>13442242.147938753</v>
      </c>
      <c r="U3" s="16">
        <f t="shared" si="8"/>
        <v>14595586.524231898</v>
      </c>
      <c r="V3" s="16">
        <f t="shared" si="8"/>
        <v>15847887.848010996</v>
      </c>
      <c r="W3" s="16">
        <f t="shared" si="8"/>
        <v>17207636.625370342</v>
      </c>
      <c r="X3" s="16">
        <f t="shared" si="8"/>
        <v>18684051.847827122</v>
      </c>
      <c r="Y3" s="16">
        <f t="shared" ref="Y3:AC3" si="9">Y11+Y10</f>
        <v>20287143.496370688</v>
      </c>
      <c r="Z3" s="16">
        <f t="shared" si="9"/>
        <v>22027780.408359297</v>
      </c>
      <c r="AA3" s="16">
        <f t="shared" si="9"/>
        <v>23917763.967396524</v>
      </c>
      <c r="AB3" s="16">
        <f t="shared" si="9"/>
        <v>25969908.115799159</v>
      </c>
      <c r="AC3" s="16">
        <f t="shared" si="9"/>
        <v>28198126.232134722</v>
      </c>
      <c r="AD3" s="92"/>
      <c r="AE3" s="93"/>
      <c r="AF3" s="7"/>
      <c r="AG3" s="7"/>
    </row>
    <row r="4" spans="1:33">
      <c r="A4" s="8" t="str">
        <f>ЭФ1!A2</f>
        <v>Среднее количество внеплановых отказов в год на 1 ед. оборудования:</v>
      </c>
      <c r="B4" s="18"/>
      <c r="C4" s="19">
        <f>ЭФ1!$B2</f>
        <v>1</v>
      </c>
      <c r="D4" s="19">
        <f>ЭФ1!$B2</f>
        <v>1</v>
      </c>
      <c r="E4" s="19">
        <f>ЭФ1!$B2</f>
        <v>1</v>
      </c>
      <c r="F4" s="19">
        <f>ЭФ1!$B2</f>
        <v>1</v>
      </c>
      <c r="G4" s="19">
        <f>ЭФ1!$B2</f>
        <v>1</v>
      </c>
      <c r="H4" s="19">
        <f>ЭФ1!$B2</f>
        <v>1</v>
      </c>
      <c r="I4" s="19">
        <f>ЭФ1!$B2</f>
        <v>1</v>
      </c>
      <c r="J4" s="19">
        <f>ЭФ1!$B2</f>
        <v>1</v>
      </c>
      <c r="K4" s="19">
        <f>ЭФ1!$B2</f>
        <v>1</v>
      </c>
      <c r="L4" s="19">
        <f>ЭФ1!$B2</f>
        <v>1</v>
      </c>
      <c r="M4" s="19">
        <f>ЭФ1!$B2</f>
        <v>1</v>
      </c>
      <c r="N4" s="19">
        <f>ЭФ1!$B2</f>
        <v>1</v>
      </c>
      <c r="O4" s="19">
        <f>ЭФ1!$B2</f>
        <v>1</v>
      </c>
      <c r="P4" s="19">
        <f>ЭФ1!$B2</f>
        <v>1</v>
      </c>
      <c r="Q4" s="19">
        <f>ЭФ1!$B2</f>
        <v>1</v>
      </c>
      <c r="R4" s="19">
        <f>ЭФ1!$B2</f>
        <v>1</v>
      </c>
      <c r="S4" s="19">
        <f>ЭФ1!$B2</f>
        <v>1</v>
      </c>
      <c r="T4" s="19">
        <f>ЭФ1!$B2</f>
        <v>1</v>
      </c>
      <c r="U4" s="19">
        <f>ЭФ1!$B2</f>
        <v>1</v>
      </c>
      <c r="V4" s="19">
        <f>ЭФ1!$B2</f>
        <v>1</v>
      </c>
      <c r="W4" s="19">
        <f>ЭФ1!$B2</f>
        <v>1</v>
      </c>
      <c r="X4" s="19">
        <f>ЭФ1!$B2</f>
        <v>1</v>
      </c>
      <c r="Y4" s="19">
        <f>ЭФ1!$B2</f>
        <v>1</v>
      </c>
      <c r="Z4" s="19">
        <f>ЭФ1!$B2</f>
        <v>1</v>
      </c>
      <c r="AA4" s="19">
        <f>ЭФ1!$B2</f>
        <v>1</v>
      </c>
      <c r="AB4" s="19">
        <f>ЭФ1!$B2</f>
        <v>1</v>
      </c>
      <c r="AC4" s="19">
        <f>ЭФ1!$B2</f>
        <v>1</v>
      </c>
      <c r="AD4" s="92"/>
      <c r="AE4" s="93"/>
      <c r="AF4" s="7"/>
      <c r="AG4" s="7"/>
    </row>
    <row r="5" spans="1:33">
      <c r="A5" s="8" t="str">
        <f>ЭФ1!A3</f>
        <v>Средняя стоимость одного внепланового ремонта, руб.</v>
      </c>
      <c r="B5" s="18"/>
      <c r="C5" s="19">
        <f>ЭФ1!$B3*(1+$AG$42)^C1</f>
        <v>531765.12100000004</v>
      </c>
      <c r="D5" s="19">
        <f>ЭФ1!$B3*(1+$AG$42)^D1</f>
        <v>577390.56838180008</v>
      </c>
      <c r="E5" s="19">
        <f>ЭФ1!$B3*(1+$AG$42)^E1</f>
        <v>626930.67914895865</v>
      </c>
      <c r="F5" s="19">
        <f>ЭФ1!$B3*(1+$AG$42)^F1</f>
        <v>680721.33141993941</v>
      </c>
      <c r="G5" s="19">
        <f>ЭФ1!$B3*(1+$AG$42)^G1</f>
        <v>739127.2216557702</v>
      </c>
      <c r="H5" s="19">
        <f>ЭФ1!$B3*(1+$AG$42)^H1</f>
        <v>802544.33727383544</v>
      </c>
      <c r="I5" s="19">
        <f>ЭФ1!$B3*(1+$AG$42)^I1</f>
        <v>871402.64141193056</v>
      </c>
      <c r="J5" s="19">
        <f>ЭФ1!$B3*(1+$AG$42)^J1</f>
        <v>946168.98804507439</v>
      </c>
      <c r="K5" s="19">
        <f>ЭФ1!$B3*(1+$AG$42)^K1</f>
        <v>1027350.2872193418</v>
      </c>
      <c r="L5" s="19">
        <f>ЭФ1!$B3*(1+$AG$42)^L1</f>
        <v>1115496.9418627615</v>
      </c>
      <c r="M5" s="19">
        <f>ЭФ1!$B3*(1+$AG$42)^M1</f>
        <v>1211206.5794745865</v>
      </c>
      <c r="N5" s="19">
        <f>ЭФ1!$B3*(1+$AG$42)^N1</f>
        <v>1315128.1039935064</v>
      </c>
      <c r="O5" s="19">
        <f>ЭФ1!$B3*(1+$AG$42)^O1</f>
        <v>1427966.0953161493</v>
      </c>
      <c r="P5" s="19">
        <f>ЭФ1!$B3*(1+$AG$42)^P1</f>
        <v>1550485.586294275</v>
      </c>
      <c r="Q5" s="19">
        <f>ЭФ1!$B3*(1+$AG$42)^Q1</f>
        <v>1683517.2495983241</v>
      </c>
      <c r="R5" s="19">
        <f>ЭФ1!$B3*(1+$AG$42)^R1</f>
        <v>1827963.0296138604</v>
      </c>
      <c r="S5" s="19">
        <f>ЭФ1!$B3*(1+$AG$42)^S1</f>
        <v>1984802.2575547297</v>
      </c>
      <c r="T5" s="19">
        <f>ЭФ1!$B3*(1+$AG$42)^T1</f>
        <v>2155098.291252926</v>
      </c>
      <c r="U5" s="19">
        <f>ЭФ1!$B3*(1+$AG$42)^U1</f>
        <v>2340005.7246424272</v>
      </c>
      <c r="V5" s="19">
        <f>ЭФ1!$B3*(1+$AG$42)^V1</f>
        <v>2540778.2158167479</v>
      </c>
      <c r="W5" s="19">
        <f>ЭФ1!$B3*(1+$AG$42)^W1</f>
        <v>2758776.9867338249</v>
      </c>
      <c r="X5" s="19">
        <f>ЭФ1!$B3*(1+$AG$42)^X1</f>
        <v>2995480.0521955877</v>
      </c>
      <c r="Y5" s="19">
        <f>ЭФ1!$B3*(1+$AG$42)^Y1</f>
        <v>3252492.2406739695</v>
      </c>
      <c r="Z5" s="19">
        <f>ЭФ1!$B3*(1+$AG$42)^Z1</f>
        <v>3531556.0749237966</v>
      </c>
      <c r="AA5" s="19">
        <f>ЭФ1!$B3*(1+$AG$42)^AA1</f>
        <v>3834563.5861522583</v>
      </c>
      <c r="AB5" s="19">
        <f>ЭФ1!$B3*(1+$AG$42)^AB1</f>
        <v>4163569.1418441231</v>
      </c>
      <c r="AC5" s="19">
        <f>ЭФ1!$B3*(1+$AG$42)^AC1</f>
        <v>4520803.3742143493</v>
      </c>
      <c r="AD5" s="92"/>
      <c r="AE5" s="93"/>
      <c r="AF5" s="7"/>
      <c r="AG5" s="7"/>
    </row>
    <row r="6" spans="1:33">
      <c r="A6" s="8" t="str">
        <f>ЭФ1!A4</f>
        <v>Среднее время простоя оборудования после отказа, часов</v>
      </c>
      <c r="B6" s="18"/>
      <c r="C6" s="19">
        <f>ЭФ1!$B4</f>
        <v>6</v>
      </c>
      <c r="D6" s="19">
        <f>ЭФ1!$B4</f>
        <v>6</v>
      </c>
      <c r="E6" s="19">
        <f>ЭФ1!$B4</f>
        <v>6</v>
      </c>
      <c r="F6" s="19">
        <f>ЭФ1!$B4</f>
        <v>6</v>
      </c>
      <c r="G6" s="19">
        <f>ЭФ1!$B4</f>
        <v>6</v>
      </c>
      <c r="H6" s="19">
        <f>ЭФ1!$B4</f>
        <v>6</v>
      </c>
      <c r="I6" s="19">
        <f>ЭФ1!$B4</f>
        <v>6</v>
      </c>
      <c r="J6" s="19">
        <f>ЭФ1!$B4</f>
        <v>6</v>
      </c>
      <c r="K6" s="19">
        <f>ЭФ1!$B4</f>
        <v>6</v>
      </c>
      <c r="L6" s="19">
        <f>ЭФ1!$B4</f>
        <v>6</v>
      </c>
      <c r="M6" s="19">
        <f>ЭФ1!$B4</f>
        <v>6</v>
      </c>
      <c r="N6" s="19">
        <f>ЭФ1!$B4</f>
        <v>6</v>
      </c>
      <c r="O6" s="19">
        <f>ЭФ1!$B4</f>
        <v>6</v>
      </c>
      <c r="P6" s="19">
        <f>ЭФ1!$B4</f>
        <v>6</v>
      </c>
      <c r="Q6" s="19">
        <f>ЭФ1!$B4</f>
        <v>6</v>
      </c>
      <c r="R6" s="19">
        <f>ЭФ1!$B4</f>
        <v>6</v>
      </c>
      <c r="S6" s="19">
        <f>ЭФ1!$B4</f>
        <v>6</v>
      </c>
      <c r="T6" s="19">
        <f>ЭФ1!$B4</f>
        <v>6</v>
      </c>
      <c r="U6" s="19">
        <f>ЭФ1!$B4</f>
        <v>6</v>
      </c>
      <c r="V6" s="19">
        <f>ЭФ1!$B4</f>
        <v>6</v>
      </c>
      <c r="W6" s="19">
        <f>ЭФ1!$B4</f>
        <v>6</v>
      </c>
      <c r="X6" s="19">
        <f>ЭФ1!$B4</f>
        <v>6</v>
      </c>
      <c r="Y6" s="19">
        <f>ЭФ1!$B4</f>
        <v>6</v>
      </c>
      <c r="Z6" s="19">
        <f>ЭФ1!$B4</f>
        <v>6</v>
      </c>
      <c r="AA6" s="19">
        <f>ЭФ1!$B4</f>
        <v>6</v>
      </c>
      <c r="AB6" s="19">
        <f>ЭФ1!$B4</f>
        <v>6</v>
      </c>
      <c r="AC6" s="19">
        <f>ЭФ1!$B4</f>
        <v>6</v>
      </c>
      <c r="AD6" s="92"/>
      <c r="AE6" s="93"/>
      <c r="AF6" s="7"/>
      <c r="AG6" s="7"/>
    </row>
    <row r="7" spans="1:33">
      <c r="A7" s="8" t="str">
        <f>ЭФ1!A5</f>
        <v>Стоимость часа простоя одной технологической установки, руб</v>
      </c>
      <c r="B7" s="18"/>
      <c r="C7" s="19">
        <f>ЭФ1!$B5*(1+$AG$42)^C1</f>
        <v>561733.201</v>
      </c>
      <c r="D7" s="19">
        <f>ЭФ1!$B5*(1+$AG$42)^D1</f>
        <v>609929.90964580013</v>
      </c>
      <c r="E7" s="19">
        <f>ЭФ1!$B5*(1+$AG$42)^E1</f>
        <v>662261.89589340985</v>
      </c>
      <c r="F7" s="19">
        <f>ЭФ1!$B5*(1+$AG$42)^F1</f>
        <v>719083.96656106447</v>
      </c>
      <c r="G7" s="19">
        <f>ЭФ1!$B5*(1+$AG$42)^G1</f>
        <v>780781.37089200388</v>
      </c>
      <c r="H7" s="19">
        <f>ЭФ1!$B5*(1+$AG$42)^H1</f>
        <v>847772.41251453792</v>
      </c>
      <c r="I7" s="19">
        <f>ЭФ1!$B5*(1+$AG$42)^I1</f>
        <v>920511.28550828539</v>
      </c>
      <c r="J7" s="19">
        <f>ЭФ1!$B5*(1+$AG$42)^J1</f>
        <v>999491.15380489652</v>
      </c>
      <c r="K7" s="19">
        <f>ЭФ1!$B5*(1+$AG$42)^K1</f>
        <v>1085247.4948013567</v>
      </c>
      <c r="L7" s="19">
        <f>ЭФ1!$B5*(1+$AG$42)^L1</f>
        <v>1178361.7298553132</v>
      </c>
      <c r="M7" s="19">
        <f>ЭФ1!$B5*(1+$AG$42)^M1</f>
        <v>1279465.1662768992</v>
      </c>
      <c r="N7" s="19">
        <f>ЭФ1!$B5*(1+$AG$42)^N1</f>
        <v>1389243.2775434575</v>
      </c>
      <c r="O7" s="19">
        <f>ЭФ1!$B5*(1+$AG$42)^O1</f>
        <v>1508440.3507566862</v>
      </c>
      <c r="P7" s="19">
        <f>ЭФ1!$B5*(1+$AG$42)^P1</f>
        <v>1637864.5328516101</v>
      </c>
      <c r="Q7" s="19">
        <f>ЭФ1!$B5*(1+$AG$42)^Q1</f>
        <v>1778393.3097702784</v>
      </c>
      <c r="R7" s="19">
        <f>ЭФ1!$B5*(1+$AG$42)^R1</f>
        <v>1930979.4557485685</v>
      </c>
      <c r="S7" s="19">
        <f>ЭФ1!$B5*(1+$AG$42)^S1</f>
        <v>2096657.4930517958</v>
      </c>
      <c r="T7" s="19">
        <f>ЭФ1!$B5*(1+$AG$42)^T1</f>
        <v>2276550.7059556404</v>
      </c>
      <c r="U7" s="19">
        <f>ЭФ1!$B5*(1+$AG$42)^U1</f>
        <v>2471878.7565266341</v>
      </c>
      <c r="V7" s="19">
        <f>ЭФ1!$B5*(1+$AG$42)^V1</f>
        <v>2683965.9538366199</v>
      </c>
      <c r="W7" s="19">
        <f>ЭФ1!$B5*(1+$AG$42)^W1</f>
        <v>2914250.232675802</v>
      </c>
      <c r="X7" s="19">
        <f>ЭФ1!$B5*(1+$AG$42)^X1</f>
        <v>3164292.9026393867</v>
      </c>
      <c r="Y7" s="19">
        <f>ЭФ1!$B5*(1+$AG$42)^Y1</f>
        <v>3435789.233685846</v>
      </c>
      <c r="Z7" s="19">
        <f>ЭФ1!$B5*(1+$AG$42)^Z1</f>
        <v>3730579.9499360924</v>
      </c>
      <c r="AA7" s="19">
        <f>ЭФ1!$B5*(1+$AG$42)^AA1</f>
        <v>4050663.7096406091</v>
      </c>
      <c r="AB7" s="19">
        <f>ЭФ1!$B5*(1+$AG$42)^AB1</f>
        <v>4398210.6559277745</v>
      </c>
      <c r="AC7" s="19">
        <f>ЭФ1!$B5*(1+$AG$42)^AC1</f>
        <v>4775577.1302063782</v>
      </c>
      <c r="AD7" s="92"/>
      <c r="AE7" s="93"/>
      <c r="AF7" s="7"/>
      <c r="AG7" s="7"/>
    </row>
    <row r="8" spans="1:33" ht="30">
      <c r="A8" s="8" t="str">
        <f>ЭФ1!A6</f>
        <v>Коэффициент снижения количества внеплановых отказов благодаря раннему прогнозированию</v>
      </c>
      <c r="B8" s="18"/>
      <c r="C8" s="19">
        <f>ЭФ1!$B6</f>
        <v>0.85</v>
      </c>
      <c r="D8" s="19">
        <f>ЭФ1!$B6</f>
        <v>0.85</v>
      </c>
      <c r="E8" s="19">
        <f>ЭФ1!$B6</f>
        <v>0.85</v>
      </c>
      <c r="F8" s="19">
        <f>ЭФ1!$B6</f>
        <v>0.85</v>
      </c>
      <c r="G8" s="19">
        <f>ЭФ1!$B6</f>
        <v>0.85</v>
      </c>
      <c r="H8" s="19">
        <f>ЭФ1!$B6</f>
        <v>0.85</v>
      </c>
      <c r="I8" s="19">
        <f>ЭФ1!$B6</f>
        <v>0.85</v>
      </c>
      <c r="J8" s="19">
        <f>ЭФ1!$B6</f>
        <v>0.85</v>
      </c>
      <c r="K8" s="19">
        <f>ЭФ1!$B6</f>
        <v>0.85</v>
      </c>
      <c r="L8" s="19">
        <f>ЭФ1!$B6</f>
        <v>0.85</v>
      </c>
      <c r="M8" s="19">
        <f>ЭФ1!$B6</f>
        <v>0.85</v>
      </c>
      <c r="N8" s="19">
        <f>ЭФ1!$B6</f>
        <v>0.85</v>
      </c>
      <c r="O8" s="19">
        <f>ЭФ1!$B6</f>
        <v>0.85</v>
      </c>
      <c r="P8" s="19">
        <f>ЭФ1!$B6</f>
        <v>0.85</v>
      </c>
      <c r="Q8" s="19">
        <f>ЭФ1!$B6</f>
        <v>0.85</v>
      </c>
      <c r="R8" s="19">
        <f>ЭФ1!$B6</f>
        <v>0.85</v>
      </c>
      <c r="S8" s="19">
        <f>ЭФ1!$B6</f>
        <v>0.85</v>
      </c>
      <c r="T8" s="19">
        <f>ЭФ1!$B6</f>
        <v>0.85</v>
      </c>
      <c r="U8" s="19">
        <f>ЭФ1!$B6</f>
        <v>0.85</v>
      </c>
      <c r="V8" s="19">
        <f>ЭФ1!$B6</f>
        <v>0.85</v>
      </c>
      <c r="W8" s="19">
        <f>ЭФ1!$B6</f>
        <v>0.85</v>
      </c>
      <c r="X8" s="19">
        <f>ЭФ1!$B6</f>
        <v>0.85</v>
      </c>
      <c r="Y8" s="19">
        <f>ЭФ1!$B6</f>
        <v>0.85</v>
      </c>
      <c r="Z8" s="19">
        <f>ЭФ1!$B6</f>
        <v>0.85</v>
      </c>
      <c r="AA8" s="19">
        <f>ЭФ1!$B6</f>
        <v>0.85</v>
      </c>
      <c r="AB8" s="19">
        <f>ЭФ1!$B6</f>
        <v>0.85</v>
      </c>
      <c r="AC8" s="19">
        <f>ЭФ1!$B6</f>
        <v>0.85</v>
      </c>
      <c r="AD8" s="92"/>
      <c r="AE8" s="93"/>
      <c r="AF8" s="7"/>
      <c r="AG8" s="7"/>
    </row>
    <row r="9" spans="1:33">
      <c r="A9" s="8" t="str">
        <f>ЭФ1!A8</f>
        <v>Количество предотвращенных отказов в год:</v>
      </c>
      <c r="B9" s="18"/>
      <c r="C9" s="19">
        <f>C4*C8</f>
        <v>0.85</v>
      </c>
      <c r="D9" s="19">
        <f t="shared" ref="D9:H9" si="10">D4*D8</f>
        <v>0.85</v>
      </c>
      <c r="E9" s="19">
        <f t="shared" si="10"/>
        <v>0.85</v>
      </c>
      <c r="F9" s="19">
        <f t="shared" si="10"/>
        <v>0.85</v>
      </c>
      <c r="G9" s="19">
        <f t="shared" si="10"/>
        <v>0.85</v>
      </c>
      <c r="H9" s="19">
        <f t="shared" si="10"/>
        <v>0.85</v>
      </c>
      <c r="I9" s="19">
        <f t="shared" ref="I9:N9" si="11">I4*I8</f>
        <v>0.85</v>
      </c>
      <c r="J9" s="19">
        <f t="shared" si="11"/>
        <v>0.85</v>
      </c>
      <c r="K9" s="19">
        <f t="shared" si="11"/>
        <v>0.85</v>
      </c>
      <c r="L9" s="19">
        <f t="shared" si="11"/>
        <v>0.85</v>
      </c>
      <c r="M9" s="19">
        <f t="shared" si="11"/>
        <v>0.85</v>
      </c>
      <c r="N9" s="19">
        <f t="shared" si="11"/>
        <v>0.85</v>
      </c>
      <c r="O9" s="19">
        <f t="shared" ref="O9:S9" si="12">O4*O8</f>
        <v>0.85</v>
      </c>
      <c r="P9" s="19">
        <f t="shared" si="12"/>
        <v>0.85</v>
      </c>
      <c r="Q9" s="19">
        <f t="shared" si="12"/>
        <v>0.85</v>
      </c>
      <c r="R9" s="19">
        <f t="shared" si="12"/>
        <v>0.85</v>
      </c>
      <c r="S9" s="19">
        <f t="shared" si="12"/>
        <v>0.85</v>
      </c>
      <c r="T9" s="19">
        <f t="shared" ref="T9:X9" si="13">T4*T8</f>
        <v>0.85</v>
      </c>
      <c r="U9" s="19">
        <f t="shared" si="13"/>
        <v>0.85</v>
      </c>
      <c r="V9" s="19">
        <f t="shared" si="13"/>
        <v>0.85</v>
      </c>
      <c r="W9" s="19">
        <f t="shared" si="13"/>
        <v>0.85</v>
      </c>
      <c r="X9" s="19">
        <f t="shared" si="13"/>
        <v>0.85</v>
      </c>
      <c r="Y9" s="19">
        <f t="shared" ref="Y9:AC9" si="14">Y4*Y8</f>
        <v>0.85</v>
      </c>
      <c r="Z9" s="19">
        <f t="shared" si="14"/>
        <v>0.85</v>
      </c>
      <c r="AA9" s="19">
        <f t="shared" si="14"/>
        <v>0.85</v>
      </c>
      <c r="AB9" s="19">
        <f t="shared" si="14"/>
        <v>0.85</v>
      </c>
      <c r="AC9" s="19">
        <f t="shared" si="14"/>
        <v>0.85</v>
      </c>
      <c r="AD9" s="92"/>
      <c r="AE9" s="93"/>
      <c r="AF9" s="7"/>
      <c r="AG9" s="7"/>
    </row>
    <row r="10" spans="1:33">
      <c r="A10" s="8" t="str">
        <f>ЭФ1!A9</f>
        <v>Экономия на ремонтах:</v>
      </c>
      <c r="B10" s="18"/>
      <c r="C10" s="19">
        <f>C5*C9</f>
        <v>452000.35285000002</v>
      </c>
      <c r="D10" s="19">
        <f t="shared" ref="D10:H10" si="15">D5*D9</f>
        <v>490781.98312453006</v>
      </c>
      <c r="E10" s="19">
        <f t="shared" si="15"/>
        <v>532891.07727661484</v>
      </c>
      <c r="F10" s="19">
        <f t="shared" si="15"/>
        <v>578613.13170694851</v>
      </c>
      <c r="G10" s="19">
        <f t="shared" si="15"/>
        <v>628258.13840740465</v>
      </c>
      <c r="H10" s="19">
        <f t="shared" si="15"/>
        <v>682162.68668276013</v>
      </c>
      <c r="I10" s="19">
        <f t="shared" ref="I10:N10" si="16">I5*I9</f>
        <v>740692.24520014098</v>
      </c>
      <c r="J10" s="19">
        <f t="shared" si="16"/>
        <v>804243.63983831322</v>
      </c>
      <c r="K10" s="19">
        <f t="shared" si="16"/>
        <v>873247.74413644057</v>
      </c>
      <c r="L10" s="19">
        <f t="shared" si="16"/>
        <v>948172.40058334731</v>
      </c>
      <c r="M10" s="19">
        <f t="shared" si="16"/>
        <v>1029525.5925533986</v>
      </c>
      <c r="N10" s="19">
        <f t="shared" si="16"/>
        <v>1117858.8883944803</v>
      </c>
      <c r="O10" s="19">
        <f t="shared" ref="O10:S10" si="17">O5*O9</f>
        <v>1213771.1810187269</v>
      </c>
      <c r="P10" s="19">
        <f t="shared" si="17"/>
        <v>1317912.7483501337</v>
      </c>
      <c r="Q10" s="19">
        <f t="shared" si="17"/>
        <v>1430989.6621585754</v>
      </c>
      <c r="R10" s="19">
        <f t="shared" si="17"/>
        <v>1553768.5751717812</v>
      </c>
      <c r="S10" s="19">
        <f t="shared" si="17"/>
        <v>1687081.9189215202</v>
      </c>
      <c r="T10" s="19">
        <f t="shared" ref="T10:X10" si="18">T5*T9</f>
        <v>1831833.5475649871</v>
      </c>
      <c r="U10" s="19">
        <f t="shared" si="18"/>
        <v>1989004.8659460631</v>
      </c>
      <c r="V10" s="19">
        <f t="shared" si="18"/>
        <v>2159661.4834442358</v>
      </c>
      <c r="W10" s="19">
        <f t="shared" si="18"/>
        <v>2344960.4387237513</v>
      </c>
      <c r="X10" s="19">
        <f t="shared" si="18"/>
        <v>2546158.0443662493</v>
      </c>
      <c r="Y10" s="19">
        <f t="shared" ref="Y10:AC10" si="19">Y5*Y9</f>
        <v>2764618.4045728738</v>
      </c>
      <c r="Z10" s="19">
        <f t="shared" si="19"/>
        <v>3001822.6636852268</v>
      </c>
      <c r="AA10" s="19">
        <f t="shared" si="19"/>
        <v>3259379.0482294196</v>
      </c>
      <c r="AB10" s="19">
        <f t="shared" si="19"/>
        <v>3539033.7705675047</v>
      </c>
      <c r="AC10" s="19">
        <f t="shared" si="19"/>
        <v>3842682.8680821969</v>
      </c>
      <c r="AD10" s="92"/>
      <c r="AE10" s="93"/>
      <c r="AF10" s="7"/>
      <c r="AG10" s="7"/>
    </row>
    <row r="11" spans="1:33">
      <c r="A11" s="8" t="str">
        <f>ЭФ1!A10</f>
        <v>Экономия от сокращения простоя:</v>
      </c>
      <c r="B11" s="18"/>
      <c r="C11" s="19">
        <f>C6*C7*C9</f>
        <v>2864839.3251</v>
      </c>
      <c r="D11" s="19">
        <f t="shared" ref="D11:G11" si="20">D6*D7*D9</f>
        <v>3110642.5391935809</v>
      </c>
      <c r="E11" s="19">
        <f t="shared" si="20"/>
        <v>3377535.6690563899</v>
      </c>
      <c r="F11" s="19">
        <f t="shared" si="20"/>
        <v>3667328.2294614287</v>
      </c>
      <c r="G11" s="19">
        <f t="shared" si="20"/>
        <v>3981984.9915492195</v>
      </c>
      <c r="H11" s="19">
        <f t="shared" ref="H11:N11" si="21">H6*H7*H9</f>
        <v>4323639.3038241435</v>
      </c>
      <c r="I11" s="19">
        <f t="shared" si="21"/>
        <v>4694607.5560922557</v>
      </c>
      <c r="J11" s="19">
        <f t="shared" si="21"/>
        <v>5097404.8844049722</v>
      </c>
      <c r="K11" s="19">
        <f t="shared" si="21"/>
        <v>5534762.223486919</v>
      </c>
      <c r="L11" s="19">
        <f t="shared" si="21"/>
        <v>6009644.8222620972</v>
      </c>
      <c r="M11" s="19">
        <f t="shared" si="21"/>
        <v>6525272.3480121857</v>
      </c>
      <c r="N11" s="19">
        <f t="shared" si="21"/>
        <v>7085140.7154716337</v>
      </c>
      <c r="O11" s="19">
        <f t="shared" ref="O11:S11" si="22">O6*O7*O9</f>
        <v>7693045.7888590991</v>
      </c>
      <c r="P11" s="19">
        <f t="shared" si="22"/>
        <v>8353109.1175432112</v>
      </c>
      <c r="Q11" s="19">
        <f t="shared" si="22"/>
        <v>9069805.8798284195</v>
      </c>
      <c r="R11" s="19">
        <f t="shared" si="22"/>
        <v>9847995.2243176997</v>
      </c>
      <c r="S11" s="19">
        <f t="shared" si="22"/>
        <v>10692953.21456416</v>
      </c>
      <c r="T11" s="19">
        <f t="shared" ref="T11:X11" si="23">T6*T7*T9</f>
        <v>11610408.600373765</v>
      </c>
      <c r="U11" s="19">
        <f t="shared" si="23"/>
        <v>12606581.658285834</v>
      </c>
      <c r="V11" s="19">
        <f t="shared" si="23"/>
        <v>13688226.36456676</v>
      </c>
      <c r="W11" s="19">
        <f t="shared" si="23"/>
        <v>14862676.18664659</v>
      </c>
      <c r="X11" s="19">
        <f t="shared" si="23"/>
        <v>16137893.803460872</v>
      </c>
      <c r="Y11" s="19">
        <f t="shared" ref="Y11:AC11" si="24">Y6*Y7*Y9</f>
        <v>17522525.091797814</v>
      </c>
      <c r="Z11" s="19">
        <f t="shared" si="24"/>
        <v>19025957.744674072</v>
      </c>
      <c r="AA11" s="19">
        <f t="shared" si="24"/>
        <v>20658384.919167105</v>
      </c>
      <c r="AB11" s="19">
        <f t="shared" si="24"/>
        <v>22430874.345231652</v>
      </c>
      <c r="AC11" s="19">
        <f t="shared" si="24"/>
        <v>24355443.364052527</v>
      </c>
      <c r="AD11" s="92"/>
      <c r="AE11" s="93"/>
      <c r="AF11" s="7"/>
      <c r="AG11" s="7"/>
    </row>
    <row r="12" spans="1:33">
      <c r="A12" s="14" t="s">
        <v>35</v>
      </c>
      <c r="B12" s="16"/>
      <c r="C12" s="16">
        <f>C16*C15*C17</f>
        <v>9137007</v>
      </c>
      <c r="D12" s="16">
        <f t="shared" ref="D12:G12" si="25">D16*D15*D17</f>
        <v>9920962.2006000001</v>
      </c>
      <c r="E12" s="16">
        <f t="shared" si="25"/>
        <v>10772180.757411482</v>
      </c>
      <c r="F12" s="16">
        <f t="shared" si="25"/>
        <v>11696433.86639739</v>
      </c>
      <c r="G12" s="16">
        <f t="shared" si="25"/>
        <v>12699987.892134286</v>
      </c>
      <c r="H12" s="16">
        <f t="shared" ref="H12:N12" si="26">H16*H15*H17</f>
        <v>13789646.85327941</v>
      </c>
      <c r="I12" s="16">
        <f t="shared" si="26"/>
        <v>14972798.553290784</v>
      </c>
      <c r="J12" s="16">
        <f t="shared" si="26"/>
        <v>16257464.669163138</v>
      </c>
      <c r="K12" s="16">
        <f t="shared" si="26"/>
        <v>17652355.137777336</v>
      </c>
      <c r="L12" s="16">
        <f t="shared" si="26"/>
        <v>19166927.208598636</v>
      </c>
      <c r="M12" s="16">
        <f t="shared" si="26"/>
        <v>20811449.5630964</v>
      </c>
      <c r="N12" s="16">
        <f t="shared" si="26"/>
        <v>22597071.935610078</v>
      </c>
      <c r="O12" s="16">
        <f t="shared" ref="O12:S12" si="27">O16*O15*O17</f>
        <v>24535900.707685422</v>
      </c>
      <c r="P12" s="16">
        <f t="shared" si="27"/>
        <v>26641080.988404833</v>
      </c>
      <c r="Q12" s="16">
        <f t="shared" si="27"/>
        <v>28926885.737209972</v>
      </c>
      <c r="R12" s="16">
        <f t="shared" si="27"/>
        <v>31408812.533462588</v>
      </c>
      <c r="S12" s="16">
        <f t="shared" si="27"/>
        <v>34103688.648833685</v>
      </c>
      <c r="T12" s="16">
        <f t="shared" ref="T12:X12" si="28">T16*T15*T17</f>
        <v>37029785.134903617</v>
      </c>
      <c r="U12" s="16">
        <f t="shared" si="28"/>
        <v>40206940.699478351</v>
      </c>
      <c r="V12" s="16">
        <f t="shared" si="28"/>
        <v>43656696.211493596</v>
      </c>
      <c r="W12" s="16">
        <f t="shared" si="28"/>
        <v>47402440.746439755</v>
      </c>
      <c r="X12" s="16">
        <f t="shared" si="28"/>
        <v>51469570.162484296</v>
      </c>
      <c r="Y12" s="16">
        <f t="shared" ref="Y12:AC12" si="29">Y16*Y15*Y17</f>
        <v>55885659.282425448</v>
      </c>
      <c r="Z12" s="16">
        <f t="shared" si="29"/>
        <v>60680648.848857567</v>
      </c>
      <c r="AA12" s="16">
        <f t="shared" si="29"/>
        <v>65887048.520089544</v>
      </c>
      <c r="AB12" s="16">
        <f t="shared" si="29"/>
        <v>71540157.283113256</v>
      </c>
      <c r="AC12" s="16">
        <f t="shared" si="29"/>
        <v>77678302.778004363</v>
      </c>
      <c r="AD12" s="92"/>
      <c r="AE12" s="93"/>
      <c r="AF12" s="7"/>
      <c r="AG12" s="7"/>
    </row>
    <row r="13" spans="1:33">
      <c r="A13" s="8" t="str">
        <f>ЭФ2!A2</f>
        <v>Объем продукции, производимой установкой в час (тонн)</v>
      </c>
      <c r="B13" s="18"/>
      <c r="C13" s="19">
        <f>ЭФ2!$B2</f>
        <v>33</v>
      </c>
      <c r="D13" s="19">
        <f>ЭФ2!$B2</f>
        <v>33</v>
      </c>
      <c r="E13" s="19">
        <f>ЭФ2!$B2</f>
        <v>33</v>
      </c>
      <c r="F13" s="19">
        <f>ЭФ2!$B2</f>
        <v>33</v>
      </c>
      <c r="G13" s="19">
        <f>ЭФ2!$B2</f>
        <v>33</v>
      </c>
      <c r="H13" s="19">
        <f>ЭФ2!$B2</f>
        <v>33</v>
      </c>
      <c r="I13" s="19">
        <f>ЭФ2!$B2</f>
        <v>33</v>
      </c>
      <c r="J13" s="19">
        <f>ЭФ2!$B2</f>
        <v>33</v>
      </c>
      <c r="K13" s="19">
        <f>ЭФ2!$B2</f>
        <v>33</v>
      </c>
      <c r="L13" s="19">
        <f>ЭФ2!$B2</f>
        <v>33</v>
      </c>
      <c r="M13" s="19">
        <f>ЭФ2!$B2</f>
        <v>33</v>
      </c>
      <c r="N13" s="19">
        <f>ЭФ2!$B2</f>
        <v>33</v>
      </c>
      <c r="O13" s="19">
        <f>ЭФ2!$B2</f>
        <v>33</v>
      </c>
      <c r="P13" s="19">
        <f>ЭФ2!$B2</f>
        <v>33</v>
      </c>
      <c r="Q13" s="19">
        <f>ЭФ2!$B2</f>
        <v>33</v>
      </c>
      <c r="R13" s="19">
        <f>ЭФ2!$B2</f>
        <v>33</v>
      </c>
      <c r="S13" s="19">
        <f>ЭФ2!$B2</f>
        <v>33</v>
      </c>
      <c r="T13" s="19">
        <f>ЭФ2!$B2</f>
        <v>33</v>
      </c>
      <c r="U13" s="19">
        <f>ЭФ2!$B2</f>
        <v>33</v>
      </c>
      <c r="V13" s="19">
        <f>ЭФ2!$B2</f>
        <v>33</v>
      </c>
      <c r="W13" s="19">
        <f>ЭФ2!$B2</f>
        <v>33</v>
      </c>
      <c r="X13" s="19">
        <f>ЭФ2!$B2</f>
        <v>33</v>
      </c>
      <c r="Y13" s="19">
        <f>ЭФ2!$B2</f>
        <v>33</v>
      </c>
      <c r="Z13" s="19">
        <f>ЭФ2!$B2</f>
        <v>33</v>
      </c>
      <c r="AA13" s="19">
        <f>ЭФ2!$B2</f>
        <v>33</v>
      </c>
      <c r="AB13" s="19">
        <f>ЭФ2!$B2</f>
        <v>33</v>
      </c>
      <c r="AC13" s="19">
        <f>ЭФ2!$B2</f>
        <v>33</v>
      </c>
      <c r="AD13" s="92"/>
      <c r="AE13" s="93"/>
      <c r="AF13" s="7"/>
      <c r="AG13" s="7"/>
    </row>
    <row r="14" spans="1:33">
      <c r="A14" s="8" t="str">
        <f>ЭФ2!A3</f>
        <v>Цена реализации единицы продукции (руб./тонна)</v>
      </c>
      <c r="B14" s="18"/>
      <c r="C14" s="19">
        <f>ЭФ2!$B3*(1+$AG$42)^C1</f>
        <v>65148.000000000007</v>
      </c>
      <c r="D14" s="19">
        <f>ЭФ2!$B3*(1+$AG$42)^D1</f>
        <v>70737.698400000008</v>
      </c>
      <c r="E14" s="19">
        <f>ЭФ2!$B3*(1+$AG$42)^E1</f>
        <v>76806.992922720019</v>
      </c>
      <c r="F14" s="19">
        <f>ЭФ2!$B3*(1+$AG$42)^F1</f>
        <v>83397.032915489413</v>
      </c>
      <c r="G14" s="19">
        <f>ЭФ2!$B3*(1+$AG$42)^G1</f>
        <v>90552.49833963842</v>
      </c>
      <c r="H14" s="19">
        <f>ЭФ2!$B3*(1+$AG$42)^H1</f>
        <v>98321.902697179408</v>
      </c>
      <c r="I14" s="19">
        <f>ЭФ2!$B3*(1+$AG$42)^I1</f>
        <v>106757.9219485974</v>
      </c>
      <c r="J14" s="19">
        <f>ЭФ2!$B3*(1+$AG$42)^J1</f>
        <v>115917.75165178708</v>
      </c>
      <c r="K14" s="19">
        <f>ЭФ2!$B3*(1+$AG$42)^K1</f>
        <v>125863.49474351041</v>
      </c>
      <c r="L14" s="19">
        <f>ЭФ2!$B3*(1+$AG$42)^L1</f>
        <v>136662.58259250363</v>
      </c>
      <c r="M14" s="19">
        <f>ЭФ2!$B3*(1+$AG$42)^M1</f>
        <v>148388.23217894047</v>
      </c>
      <c r="N14" s="19">
        <f>ЭФ2!$B3*(1+$AG$42)^N1</f>
        <v>161119.9424998936</v>
      </c>
      <c r="O14" s="19">
        <f>ЭФ2!$B3*(1+$AG$42)^O1</f>
        <v>174944.03356638446</v>
      </c>
      <c r="P14" s="19">
        <f>ЭФ2!$B3*(1+$AG$42)^P1</f>
        <v>189954.23164638027</v>
      </c>
      <c r="Q14" s="19">
        <f>ЭФ2!$B3*(1+$AG$42)^Q1</f>
        <v>206252.30472163972</v>
      </c>
      <c r="R14" s="19">
        <f>ЭФ2!$B3*(1+$AG$42)^R1</f>
        <v>223948.75246675644</v>
      </c>
      <c r="S14" s="19">
        <f>ЭФ2!$B3*(1+$AG$42)^S1</f>
        <v>243163.55542840413</v>
      </c>
      <c r="T14" s="19">
        <f>ЭФ2!$B3*(1+$AG$42)^T1</f>
        <v>264026.98848416127</v>
      </c>
      <c r="U14" s="19">
        <f>ЭФ2!$B3*(1+$AG$42)^U1</f>
        <v>286680.50409610232</v>
      </c>
      <c r="V14" s="19">
        <f>ЭФ2!$B3*(1+$AG$42)^V1</f>
        <v>311277.69134754792</v>
      </c>
      <c r="W14" s="19">
        <f>ЭФ2!$B3*(1+$AG$42)^W1</f>
        <v>337985.3172651676</v>
      </c>
      <c r="X14" s="19">
        <f>ЭФ2!$B3*(1+$AG$42)^X1</f>
        <v>366984.45748651907</v>
      </c>
      <c r="Y14" s="19">
        <f>ЭФ2!$B3*(1+$AG$42)^Y1</f>
        <v>398471.72393886239</v>
      </c>
      <c r="Z14" s="19">
        <f>ЭФ2!$B3*(1+$AG$42)^Z1</f>
        <v>432660.59785281686</v>
      </c>
      <c r="AA14" s="19">
        <f>ЭФ2!$B3*(1+$AG$42)^AA1</f>
        <v>469782.87714858854</v>
      </c>
      <c r="AB14" s="19">
        <f>ЭФ2!$B3*(1+$AG$42)^AB1</f>
        <v>510090.24800793763</v>
      </c>
      <c r="AC14" s="19">
        <f>ЭФ2!$B3*(1+$AG$42)^AC1</f>
        <v>553855.99128701864</v>
      </c>
      <c r="AD14" s="92"/>
      <c r="AE14" s="93"/>
      <c r="AF14" s="7"/>
      <c r="AG14" s="7"/>
    </row>
    <row r="15" spans="1:33">
      <c r="A15" s="8" t="str">
        <f>ЭФ2!A6</f>
        <v>Суммарное время внеплановых простоев установки за год (в часах)</v>
      </c>
      <c r="B15" s="18"/>
      <c r="C15" s="19">
        <f>ЭФ2!$B6</f>
        <v>5</v>
      </c>
      <c r="D15" s="19">
        <f>ЭФ2!$B6</f>
        <v>5</v>
      </c>
      <c r="E15" s="19">
        <f>ЭФ2!$B6</f>
        <v>5</v>
      </c>
      <c r="F15" s="19">
        <f>ЭФ2!$B6</f>
        <v>5</v>
      </c>
      <c r="G15" s="19">
        <f>ЭФ2!$B6</f>
        <v>5</v>
      </c>
      <c r="H15" s="19">
        <f>ЭФ2!$B6</f>
        <v>5</v>
      </c>
      <c r="I15" s="19">
        <f>ЭФ2!$B6</f>
        <v>5</v>
      </c>
      <c r="J15" s="19">
        <f>ЭФ2!$B6</f>
        <v>5</v>
      </c>
      <c r="K15" s="19">
        <f>ЭФ2!$B6</f>
        <v>5</v>
      </c>
      <c r="L15" s="19">
        <f>ЭФ2!$B6</f>
        <v>5</v>
      </c>
      <c r="M15" s="19">
        <f>ЭФ2!$B6</f>
        <v>5</v>
      </c>
      <c r="N15" s="19">
        <f>ЭФ2!$B6</f>
        <v>5</v>
      </c>
      <c r="O15" s="19">
        <f>ЭФ2!$B6</f>
        <v>5</v>
      </c>
      <c r="P15" s="19">
        <f>ЭФ2!$B6</f>
        <v>5</v>
      </c>
      <c r="Q15" s="19">
        <f>ЭФ2!$B6</f>
        <v>5</v>
      </c>
      <c r="R15" s="19">
        <f>ЭФ2!$B6</f>
        <v>5</v>
      </c>
      <c r="S15" s="19">
        <f>ЭФ2!$B6</f>
        <v>5</v>
      </c>
      <c r="T15" s="19">
        <f>ЭФ2!$B6</f>
        <v>5</v>
      </c>
      <c r="U15" s="19">
        <f>ЭФ2!$B6</f>
        <v>5</v>
      </c>
      <c r="V15" s="19">
        <f>ЭФ2!$B6</f>
        <v>5</v>
      </c>
      <c r="W15" s="19">
        <f>ЭФ2!$B6</f>
        <v>5</v>
      </c>
      <c r="X15" s="19">
        <f>ЭФ2!$B6</f>
        <v>5</v>
      </c>
      <c r="Y15" s="19">
        <f>ЭФ2!$B6</f>
        <v>5</v>
      </c>
      <c r="Z15" s="19">
        <f>ЭФ2!$B6</f>
        <v>5</v>
      </c>
      <c r="AA15" s="19">
        <f>ЭФ2!$B6</f>
        <v>5</v>
      </c>
      <c r="AB15" s="19">
        <f>ЭФ2!$B6</f>
        <v>5</v>
      </c>
      <c r="AC15" s="19">
        <f>ЭФ2!$B6</f>
        <v>5</v>
      </c>
      <c r="AD15" s="92"/>
      <c r="AE15" s="93"/>
      <c r="AF15" s="7"/>
      <c r="AG15" s="7"/>
    </row>
    <row r="16" spans="1:33">
      <c r="A16" s="8" t="str">
        <f>ЭФ2!A7</f>
        <v>Стоимость часа простоя установки</v>
      </c>
      <c r="B16" s="18"/>
      <c r="C16" s="19">
        <f>ЭФ2!$B7*(1+$AG$42)^C1</f>
        <v>2149884</v>
      </c>
      <c r="D16" s="19">
        <f>ЭФ2!$B7*(1+$AG$42)^D1</f>
        <v>2334344.0472000004</v>
      </c>
      <c r="E16" s="19">
        <f>ЭФ2!$B7*(1+$AG$42)^E1</f>
        <v>2534630.7664497606</v>
      </c>
      <c r="F16" s="19">
        <f>ЭФ2!$B7*(1+$AG$42)^F1</f>
        <v>2752102.0862111505</v>
      </c>
      <c r="G16" s="19">
        <f>ЭФ2!$B7*(1+$AG$42)^G1</f>
        <v>2988232.4452080675</v>
      </c>
      <c r="H16" s="19">
        <f>ЭФ2!$B7*(1+$AG$42)^H1</f>
        <v>3244622.7890069201</v>
      </c>
      <c r="I16" s="19">
        <f>ЭФ2!$B7*(1+$AG$42)^I1</f>
        <v>3523011.4243037142</v>
      </c>
      <c r="J16" s="19">
        <f>ЭФ2!$B7*(1+$AG$42)^J1</f>
        <v>3825285.8045089738</v>
      </c>
      <c r="K16" s="19">
        <f>ЭФ2!$B7*(1+$AG$42)^K1</f>
        <v>4153495.3265358438</v>
      </c>
      <c r="L16" s="19">
        <f>ЭФ2!$B7*(1+$AG$42)^L1</f>
        <v>4509865.2255526204</v>
      </c>
      <c r="M16" s="19">
        <f>ЭФ2!$B7*(1+$AG$42)^M1</f>
        <v>4896811.6619050354</v>
      </c>
      <c r="N16" s="19">
        <f>ЭФ2!$B7*(1+$AG$42)^N1</f>
        <v>5316958.102496489</v>
      </c>
      <c r="O16" s="19">
        <f>ЭФ2!$B7*(1+$AG$42)^O1</f>
        <v>5773153.1076906873</v>
      </c>
      <c r="P16" s="19">
        <f>ЭФ2!$B7*(1+$AG$42)^P1</f>
        <v>6268489.6443305491</v>
      </c>
      <c r="Q16" s="19">
        <f>ЭФ2!$B7*(1+$AG$42)^Q1</f>
        <v>6806326.0558141107</v>
      </c>
      <c r="R16" s="19">
        <f>ЭФ2!$B7*(1+$AG$42)^R1</f>
        <v>7390308.8314029621</v>
      </c>
      <c r="S16" s="19">
        <f>ЭФ2!$B7*(1+$AG$42)^S1</f>
        <v>8024397.3291373365</v>
      </c>
      <c r="T16" s="19">
        <f>ЭФ2!$B7*(1+$AG$42)^T1</f>
        <v>8712890.6199773215</v>
      </c>
      <c r="U16" s="19">
        <f>ЭФ2!$B7*(1+$AG$42)^U1</f>
        <v>9460456.6351713762</v>
      </c>
      <c r="V16" s="19">
        <f>ЭФ2!$B7*(1+$AG$42)^V1</f>
        <v>10272163.814469082</v>
      </c>
      <c r="W16" s="19">
        <f>ЭФ2!$B7*(1+$AG$42)^W1</f>
        <v>11153515.469750531</v>
      </c>
      <c r="X16" s="19">
        <f>ЭФ2!$B7*(1+$AG$42)^X1</f>
        <v>12110487.097055128</v>
      </c>
      <c r="Y16" s="19">
        <f>ЭФ2!$B7*(1+$AG$42)^Y1</f>
        <v>13149566.889982458</v>
      </c>
      <c r="Z16" s="19">
        <f>ЭФ2!$B7*(1+$AG$42)^Z1</f>
        <v>14277799.729142956</v>
      </c>
      <c r="AA16" s="19">
        <f>ЭФ2!$B7*(1+$AG$42)^AA1</f>
        <v>15502834.945903422</v>
      </c>
      <c r="AB16" s="19">
        <f>ЭФ2!$B7*(1+$AG$42)^AB1</f>
        <v>16832978.18426194</v>
      </c>
      <c r="AC16" s="19">
        <f>ЭФ2!$B7*(1+$AG$42)^AC1</f>
        <v>18277247.712471616</v>
      </c>
      <c r="AD16" s="92"/>
      <c r="AE16" s="93"/>
      <c r="AF16" s="7"/>
      <c r="AG16" s="7"/>
    </row>
    <row r="17" spans="1:33">
      <c r="A17" s="8" t="str">
        <f>ЭФ2!A8</f>
        <v>Коэффициент снижения внеплановых простоев</v>
      </c>
      <c r="B17" s="18"/>
      <c r="C17" s="15">
        <f>ЭФ2!$B8</f>
        <v>0.85</v>
      </c>
      <c r="D17" s="15">
        <f>ЭФ2!$B8</f>
        <v>0.85</v>
      </c>
      <c r="E17" s="15">
        <f>ЭФ2!$B8</f>
        <v>0.85</v>
      </c>
      <c r="F17" s="15">
        <f>ЭФ2!$B8</f>
        <v>0.85</v>
      </c>
      <c r="G17" s="15">
        <f>ЭФ2!$B8</f>
        <v>0.85</v>
      </c>
      <c r="H17" s="15">
        <f>ЭФ2!$B8</f>
        <v>0.85</v>
      </c>
      <c r="I17" s="15">
        <f>ЭФ2!$B8</f>
        <v>0.85</v>
      </c>
      <c r="J17" s="15">
        <f>ЭФ2!$B8</f>
        <v>0.85</v>
      </c>
      <c r="K17" s="15">
        <f>ЭФ2!$B8</f>
        <v>0.85</v>
      </c>
      <c r="L17" s="15">
        <f>ЭФ2!$B8</f>
        <v>0.85</v>
      </c>
      <c r="M17" s="15">
        <f>ЭФ2!$B8</f>
        <v>0.85</v>
      </c>
      <c r="N17" s="15">
        <f>ЭФ2!$B8</f>
        <v>0.85</v>
      </c>
      <c r="O17" s="15">
        <f>ЭФ2!$B8</f>
        <v>0.85</v>
      </c>
      <c r="P17" s="15">
        <f>ЭФ2!$B8</f>
        <v>0.85</v>
      </c>
      <c r="Q17" s="15">
        <f>ЭФ2!$B8</f>
        <v>0.85</v>
      </c>
      <c r="R17" s="15">
        <f>ЭФ2!$B8</f>
        <v>0.85</v>
      </c>
      <c r="S17" s="15">
        <f>ЭФ2!$B8</f>
        <v>0.85</v>
      </c>
      <c r="T17" s="15">
        <f>ЭФ2!$B8</f>
        <v>0.85</v>
      </c>
      <c r="U17" s="15">
        <f>ЭФ2!$B8</f>
        <v>0.85</v>
      </c>
      <c r="V17" s="15">
        <f>ЭФ2!$B8</f>
        <v>0.85</v>
      </c>
      <c r="W17" s="15">
        <f>ЭФ2!$B8</f>
        <v>0.85</v>
      </c>
      <c r="X17" s="15">
        <f>ЭФ2!$B8</f>
        <v>0.85</v>
      </c>
      <c r="Y17" s="15">
        <f>ЭФ2!$B8</f>
        <v>0.85</v>
      </c>
      <c r="Z17" s="15">
        <f>ЭФ2!$B8</f>
        <v>0.85</v>
      </c>
      <c r="AA17" s="15">
        <f>ЭФ2!$B8</f>
        <v>0.85</v>
      </c>
      <c r="AB17" s="15">
        <f>ЭФ2!$B8</f>
        <v>0.85</v>
      </c>
      <c r="AC17" s="15">
        <f>ЭФ2!$B8</f>
        <v>0.85</v>
      </c>
      <c r="AD17" s="92"/>
      <c r="AE17" s="93"/>
      <c r="AF17" s="7"/>
      <c r="AG17" s="7"/>
    </row>
    <row r="18" spans="1:33">
      <c r="A18" s="14" t="s">
        <v>36</v>
      </c>
      <c r="B18" s="16"/>
      <c r="C18" s="16">
        <f>C19+C20-C21-C22</f>
        <v>519012.40000000014</v>
      </c>
      <c r="D18" s="16">
        <f t="shared" ref="D18:H18" si="30">D19+D20-D21-D22</f>
        <v>563543.66392000008</v>
      </c>
      <c r="E18" s="16">
        <f t="shared" si="30"/>
        <v>611895.71028433612</v>
      </c>
      <c r="F18" s="16">
        <f t="shared" si="30"/>
        <v>664396.36222673242</v>
      </c>
      <c r="G18" s="16">
        <f t="shared" si="30"/>
        <v>721401.57010578609</v>
      </c>
      <c r="H18" s="16">
        <f t="shared" si="30"/>
        <v>783297.8248208625</v>
      </c>
      <c r="I18" s="16">
        <f t="shared" ref="I18:N18" si="31">I19+I20-I21-I22</f>
        <v>850504.77819049265</v>
      </c>
      <c r="J18" s="16">
        <f t="shared" si="31"/>
        <v>923478.08815923706</v>
      </c>
      <c r="K18" s="16">
        <f t="shared" si="31"/>
        <v>1002712.5081232995</v>
      </c>
      <c r="L18" s="16">
        <f t="shared" si="31"/>
        <v>1088745.241320279</v>
      </c>
      <c r="M18" s="16">
        <f t="shared" si="31"/>
        <v>1182159.5830255591</v>
      </c>
      <c r="N18" s="16">
        <f t="shared" si="31"/>
        <v>1283588.8752491523</v>
      </c>
      <c r="O18" s="16">
        <f t="shared" ref="O18:S18" si="32">O19+O20-O21-O22</f>
        <v>1393720.8007455296</v>
      </c>
      <c r="P18" s="16">
        <f t="shared" si="32"/>
        <v>1513302.0454494962</v>
      </c>
      <c r="Q18" s="16">
        <f t="shared" si="32"/>
        <v>1643143.3609490632</v>
      </c>
      <c r="R18" s="16">
        <f t="shared" si="32"/>
        <v>1784125.061318493</v>
      </c>
      <c r="S18" s="16">
        <f t="shared" si="32"/>
        <v>1937202.9915796195</v>
      </c>
      <c r="T18" s="16">
        <f t="shared" ref="T18:X18" si="33">T19+T20-T21-T22</f>
        <v>2103415.0082571511</v>
      </c>
      <c r="U18" s="16">
        <f t="shared" si="33"/>
        <v>2283888.0159656149</v>
      </c>
      <c r="V18" s="16">
        <f t="shared" si="33"/>
        <v>2479845.6077354657</v>
      </c>
      <c r="W18" s="16">
        <f t="shared" si="33"/>
        <v>2692616.3608791679</v>
      </c>
      <c r="X18" s="16">
        <f t="shared" si="33"/>
        <v>2923642.8446426019</v>
      </c>
      <c r="Y18" s="16">
        <f t="shared" ref="Y18:AC18" si="34">Y19+Y20-Y21-Y22</f>
        <v>3174491.4007129376</v>
      </c>
      <c r="Z18" s="16">
        <f t="shared" si="34"/>
        <v>3446862.762894108</v>
      </c>
      <c r="AA18" s="16">
        <f t="shared" si="34"/>
        <v>3742603.587950422</v>
      </c>
      <c r="AB18" s="16">
        <f t="shared" si="34"/>
        <v>4063718.9757965696</v>
      </c>
      <c r="AC18" s="16">
        <f t="shared" si="34"/>
        <v>4412386.0639199158</v>
      </c>
      <c r="AD18" s="92"/>
      <c r="AE18" s="93"/>
      <c r="AF18" s="7"/>
      <c r="AG18" s="7"/>
    </row>
    <row r="19" spans="1:33">
      <c r="A19" s="8" t="str">
        <f>ЭФ3!A2</f>
        <v>Стоимость комплекта вибродатчиков на один агрегат</v>
      </c>
      <c r="B19" s="20"/>
      <c r="C19" s="21">
        <f>ЭФ3!$B2*(1+$AG$42)^C1</f>
        <v>325740.00000000006</v>
      </c>
      <c r="D19" s="21">
        <f>ЭФ3!$B2*(1+$AG$42)^D1</f>
        <v>353688.49200000009</v>
      </c>
      <c r="E19" s="21">
        <f>ЭФ3!$B2*(1+$AG$42)^E1</f>
        <v>384034.96461360011</v>
      </c>
      <c r="F19" s="21">
        <f>ЭФ3!$B2*(1+$AG$42)^F1</f>
        <v>416985.16457744705</v>
      </c>
      <c r="G19" s="21">
        <f>ЭФ3!$B2*(1+$AG$42)^G1</f>
        <v>452762.49169819208</v>
      </c>
      <c r="H19" s="21">
        <f>ЭФ3!$B2*(1+$AG$42)^H1</f>
        <v>491609.51348589698</v>
      </c>
      <c r="I19" s="21">
        <f>ЭФ3!$B2*(1+$AG$42)^I1</f>
        <v>533789.60974298697</v>
      </c>
      <c r="J19" s="21">
        <f>ЭФ3!$B2*(1+$AG$42)^J1</f>
        <v>579588.75825893541</v>
      </c>
      <c r="K19" s="21">
        <f>ЭФ3!$B2*(1+$AG$42)^K1</f>
        <v>629317.47371755203</v>
      </c>
      <c r="L19" s="21">
        <f>ЭФ3!$B2*(1+$AG$42)^L1</f>
        <v>683312.91296251817</v>
      </c>
      <c r="M19" s="21">
        <f>ЭФ3!$B2*(1+$AG$42)^M1</f>
        <v>741941.16089470231</v>
      </c>
      <c r="N19" s="21">
        <f>ЭФ3!$B2*(1+$AG$42)^N1</f>
        <v>805599.71249946801</v>
      </c>
      <c r="O19" s="21">
        <f>ЭФ3!$B2*(1+$AG$42)^O1</f>
        <v>874720.1678319223</v>
      </c>
      <c r="P19" s="21">
        <f>ЭФ3!$B2*(1+$AG$42)^P1</f>
        <v>949771.15823190135</v>
      </c>
      <c r="Q19" s="21">
        <f>ЭФ3!$B2*(1+$AG$42)^Q1</f>
        <v>1031261.5236081986</v>
      </c>
      <c r="R19" s="21">
        <f>ЭФ3!$B2*(1+$AG$42)^R1</f>
        <v>1119743.7623337822</v>
      </c>
      <c r="S19" s="21">
        <f>ЭФ3!$B2*(1+$AG$42)^S1</f>
        <v>1215817.7771420206</v>
      </c>
      <c r="T19" s="21">
        <f>ЭФ3!$B2*(1+$AG$42)^T1</f>
        <v>1320134.9424208063</v>
      </c>
      <c r="U19" s="21">
        <f>ЭФ3!$B2*(1+$AG$42)^U1</f>
        <v>1433402.5204805117</v>
      </c>
      <c r="V19" s="21">
        <f>ЭФ3!$B2*(1+$AG$42)^V1</f>
        <v>1556388.4567377397</v>
      </c>
      <c r="W19" s="21">
        <f>ЭФ3!$B2*(1+$AG$42)^W1</f>
        <v>1689926.586325838</v>
      </c>
      <c r="X19" s="21">
        <f>ЭФ3!$B2*(1+$AG$42)^X1</f>
        <v>1834922.2874325952</v>
      </c>
      <c r="Y19" s="21">
        <f>ЭФ3!$B2*(1+$AG$42)^Y1</f>
        <v>1992358.6196943119</v>
      </c>
      <c r="Z19" s="21">
        <f>ЭФ3!$B2*(1+$AG$42)^Z1</f>
        <v>2163302.9892640845</v>
      </c>
      <c r="AA19" s="21">
        <f>ЭФ3!$B2*(1+$AG$42)^AA1</f>
        <v>2348914.3857429428</v>
      </c>
      <c r="AB19" s="21">
        <f>ЭФ3!$B2*(1+$AG$42)^AB1</f>
        <v>2550451.2400396881</v>
      </c>
      <c r="AC19" s="21">
        <f>ЭФ3!$B2*(1+$AG$42)^AC1</f>
        <v>2769279.9564350937</v>
      </c>
      <c r="AD19" s="92"/>
      <c r="AE19" s="93"/>
      <c r="AF19" s="7"/>
      <c r="AG19" s="7"/>
    </row>
    <row r="20" spans="1:33">
      <c r="A20" s="8" t="str">
        <f>ЭФ3!A3</f>
        <v>Стоимость работ по монтажу, прокладке кабелей, интеграции в систему</v>
      </c>
      <c r="B20" s="20"/>
      <c r="C20" s="21">
        <f>ЭФ3!$B3*(1+$AG$42)^C1</f>
        <v>217160.00000000003</v>
      </c>
      <c r="D20" s="21">
        <f>ЭФ3!$B3*(1+$AG$42)^D1</f>
        <v>235792.32800000004</v>
      </c>
      <c r="E20" s="21">
        <f>ЭФ3!$B3*(1+$AG$42)^E1</f>
        <v>256023.30974240007</v>
      </c>
      <c r="F20" s="21">
        <f>ЭФ3!$B3*(1+$AG$42)^F1</f>
        <v>277990.10971829807</v>
      </c>
      <c r="G20" s="21">
        <f>ЭФ3!$B3*(1+$AG$42)^G1</f>
        <v>301841.66113212804</v>
      </c>
      <c r="H20" s="21">
        <f>ЭФ3!$B3*(1+$AG$42)^H1</f>
        <v>327739.67565726466</v>
      </c>
      <c r="I20" s="21">
        <f>ЭФ3!$B3*(1+$AG$42)^I1</f>
        <v>355859.739828658</v>
      </c>
      <c r="J20" s="21">
        <f>ЭФ3!$B3*(1+$AG$42)^J1</f>
        <v>386392.50550595694</v>
      </c>
      <c r="K20" s="21">
        <f>ЭФ3!$B3*(1+$AG$42)^K1</f>
        <v>419544.98247836804</v>
      </c>
      <c r="L20" s="21">
        <f>ЭФ3!$B3*(1+$AG$42)^L1</f>
        <v>455541.94197501213</v>
      </c>
      <c r="M20" s="21">
        <f>ЭФ3!$B3*(1+$AG$42)^M1</f>
        <v>494627.44059646822</v>
      </c>
      <c r="N20" s="21">
        <f>ЭФ3!$B3*(1+$AG$42)^N1</f>
        <v>537066.47499964526</v>
      </c>
      <c r="O20" s="21">
        <f>ЭФ3!$B3*(1+$AG$42)^O1</f>
        <v>583146.77855461487</v>
      </c>
      <c r="P20" s="21">
        <f>ЭФ3!$B3*(1+$AG$42)^P1</f>
        <v>633180.77215460094</v>
      </c>
      <c r="Q20" s="21">
        <f>ЭФ3!$B3*(1+$AG$42)^Q1</f>
        <v>687507.68240546575</v>
      </c>
      <c r="R20" s="21">
        <f>ЭФ3!$B3*(1+$AG$42)^R1</f>
        <v>746495.84155585477</v>
      </c>
      <c r="S20" s="21">
        <f>ЭФ3!$B3*(1+$AG$42)^S1</f>
        <v>810545.18476134713</v>
      </c>
      <c r="T20" s="21">
        <f>ЭФ3!$B3*(1+$AG$42)^T1</f>
        <v>880089.96161387092</v>
      </c>
      <c r="U20" s="21">
        <f>ЭФ3!$B3*(1+$AG$42)^U1</f>
        <v>955601.68032034114</v>
      </c>
      <c r="V20" s="21">
        <f>ЭФ3!$B3*(1+$AG$42)^V1</f>
        <v>1037592.3044918264</v>
      </c>
      <c r="W20" s="21">
        <f>ЭФ3!$B3*(1+$AG$42)^W1</f>
        <v>1126617.7242172253</v>
      </c>
      <c r="X20" s="21">
        <f>ЭФ3!$B3*(1+$AG$42)^X1</f>
        <v>1223281.5249550636</v>
      </c>
      <c r="Y20" s="21">
        <f>ЭФ3!$B3*(1+$AG$42)^Y1</f>
        <v>1328239.0797962081</v>
      </c>
      <c r="Z20" s="21">
        <f>ЭФ3!$B3*(1+$AG$42)^Z1</f>
        <v>1442201.9928427229</v>
      </c>
      <c r="AA20" s="21">
        <f>ЭФ3!$B3*(1+$AG$42)^AA1</f>
        <v>1565942.9238286284</v>
      </c>
      <c r="AB20" s="21">
        <f>ЭФ3!$B3*(1+$AG$42)^AB1</f>
        <v>1700300.8266931253</v>
      </c>
      <c r="AC20" s="21">
        <f>ЭФ3!$B3*(1+$AG$42)^AC1</f>
        <v>1846186.6376233958</v>
      </c>
      <c r="AD20" s="92"/>
      <c r="AE20" s="93"/>
      <c r="AF20" s="7"/>
      <c r="AG20" s="7"/>
    </row>
    <row r="21" spans="1:33">
      <c r="A21" s="8" t="str">
        <f>ЭФ3!A5</f>
        <v>Стоимость датчиков тока (4 шт)</v>
      </c>
      <c r="B21" s="20"/>
      <c r="C21" s="21">
        <f>ЭФ3!$B5*(1+$AG$42)^C1</f>
        <v>2171.6000000000004</v>
      </c>
      <c r="D21" s="21">
        <f>ЭФ3!$B5*(1+$AG$42)^D1</f>
        <v>2357.9232800000004</v>
      </c>
      <c r="E21" s="21">
        <f>ЭФ3!$B5*(1+$AG$42)^E1</f>
        <v>2560.2330974240008</v>
      </c>
      <c r="F21" s="21">
        <f>ЭФ3!$B5*(1+$AG$42)^F1</f>
        <v>2779.9010971829807</v>
      </c>
      <c r="G21" s="21">
        <f>ЭФ3!$B5*(1+$AG$42)^G1</f>
        <v>3018.4166113212805</v>
      </c>
      <c r="H21" s="21">
        <f>ЭФ3!$B5*(1+$AG$42)^H1</f>
        <v>3277.3967565726466</v>
      </c>
      <c r="I21" s="21">
        <f>ЭФ3!$B5*(1+$AG$42)^I1</f>
        <v>3558.5973982865798</v>
      </c>
      <c r="J21" s="21">
        <f>ЭФ3!$B5*(1+$AG$42)^J1</f>
        <v>3863.9250550595693</v>
      </c>
      <c r="K21" s="21">
        <f>ЭФ3!$B5*(1+$AG$42)^K1</f>
        <v>4195.44982478368</v>
      </c>
      <c r="L21" s="21">
        <f>ЭФ3!$B5*(1+$AG$42)^L1</f>
        <v>4555.4194197501211</v>
      </c>
      <c r="M21" s="21">
        <f>ЭФ3!$B5*(1+$AG$42)^M1</f>
        <v>4946.274405964682</v>
      </c>
      <c r="N21" s="21">
        <f>ЭФ3!$B5*(1+$AG$42)^N1</f>
        <v>5370.6647499964529</v>
      </c>
      <c r="O21" s="21">
        <f>ЭФ3!$B5*(1+$AG$42)^O1</f>
        <v>5831.4677855461487</v>
      </c>
      <c r="P21" s="21">
        <f>ЭФ3!$B5*(1+$AG$42)^P1</f>
        <v>6331.8077215460089</v>
      </c>
      <c r="Q21" s="21">
        <f>ЭФ3!$B5*(1+$AG$42)^Q1</f>
        <v>6875.0768240546577</v>
      </c>
      <c r="R21" s="21">
        <f>ЭФ3!$B5*(1+$AG$42)^R1</f>
        <v>7464.958415558548</v>
      </c>
      <c r="S21" s="21">
        <f>ЭФ3!$B5*(1+$AG$42)^S1</f>
        <v>8105.4518476134717</v>
      </c>
      <c r="T21" s="21">
        <f>ЭФ3!$B5*(1+$AG$42)^T1</f>
        <v>8800.8996161387095</v>
      </c>
      <c r="U21" s="21">
        <f>ЭФ3!$B5*(1+$AG$42)^U1</f>
        <v>9556.0168032034107</v>
      </c>
      <c r="V21" s="21">
        <f>ЭФ3!$B5*(1+$AG$42)^V1</f>
        <v>10375.923044918265</v>
      </c>
      <c r="W21" s="21">
        <f>ЭФ3!$B5*(1+$AG$42)^W1</f>
        <v>11266.177242172253</v>
      </c>
      <c r="X21" s="21">
        <f>ЭФ3!$B5*(1+$AG$42)^X1</f>
        <v>12232.815249550635</v>
      </c>
      <c r="Y21" s="21">
        <f>ЭФ3!$B5*(1+$AG$42)^Y1</f>
        <v>13282.39079796208</v>
      </c>
      <c r="Z21" s="21">
        <f>ЭФ3!$B5*(1+$AG$42)^Z1</f>
        <v>14422.019928427229</v>
      </c>
      <c r="AA21" s="21">
        <f>ЭФ3!$B5*(1+$AG$42)^AA1</f>
        <v>15659.429238286284</v>
      </c>
      <c r="AB21" s="21">
        <f>ЭФ3!$B5*(1+$AG$42)^AB1</f>
        <v>17003.008266931254</v>
      </c>
      <c r="AC21" s="21">
        <f>ЭФ3!$B5*(1+$AG$42)^AC1</f>
        <v>18461.866376233957</v>
      </c>
      <c r="AD21" s="92"/>
      <c r="AE21" s="93"/>
      <c r="AF21" s="7"/>
      <c r="AG21" s="7"/>
    </row>
    <row r="22" spans="1:33">
      <c r="A22" s="8" t="str">
        <f>ЭФ3!A6</f>
        <v>Стоимость монтажа датчиков и подключения к системе сбора данных</v>
      </c>
      <c r="B22" s="20"/>
      <c r="C22" s="21">
        <f>ЭФ3!$B6*(1+$AG$42)^C1</f>
        <v>21716.000000000004</v>
      </c>
      <c r="D22" s="21">
        <f>ЭФ3!$B6*(1+$AG$42)^D1</f>
        <v>23579.232800000005</v>
      </c>
      <c r="E22" s="21">
        <f>ЭФ3!$B6*(1+$AG$42)^E1</f>
        <v>25602.330974240005</v>
      </c>
      <c r="F22" s="21">
        <f>ЭФ3!$B6*(1+$AG$42)^F1</f>
        <v>27799.010971829804</v>
      </c>
      <c r="G22" s="21">
        <f>ЭФ3!$B6*(1+$AG$42)^G1</f>
        <v>30184.166113212807</v>
      </c>
      <c r="H22" s="21">
        <f>ЭФ3!$B6*(1+$AG$42)^H1</f>
        <v>32773.967565726467</v>
      </c>
      <c r="I22" s="21">
        <f>ЭФ3!$B6*(1+$AG$42)^I1</f>
        <v>35585.973982865798</v>
      </c>
      <c r="J22" s="21">
        <f>ЭФ3!$B6*(1+$AG$42)^J1</f>
        <v>38639.250550595694</v>
      </c>
      <c r="K22" s="21">
        <f>ЭФ3!$B6*(1+$AG$42)^K1</f>
        <v>41954.498247836804</v>
      </c>
      <c r="L22" s="21">
        <f>ЭФ3!$B6*(1+$AG$42)^L1</f>
        <v>45554.194197501216</v>
      </c>
      <c r="M22" s="21">
        <f>ЭФ3!$B6*(1+$AG$42)^M1</f>
        <v>49462.744059646822</v>
      </c>
      <c r="N22" s="21">
        <f>ЭФ3!$B6*(1+$AG$42)^N1</f>
        <v>53706.647499964529</v>
      </c>
      <c r="O22" s="21">
        <f>ЭФ3!$B6*(1+$AG$42)^O1</f>
        <v>58314.677855461487</v>
      </c>
      <c r="P22" s="21">
        <f>ЭФ3!$B6*(1+$AG$42)^P1</f>
        <v>63318.077215460093</v>
      </c>
      <c r="Q22" s="21">
        <f>ЭФ3!$B6*(1+$AG$42)^Q1</f>
        <v>68750.768240546575</v>
      </c>
      <c r="R22" s="21">
        <f>ЭФ3!$B6*(1+$AG$42)^R1</f>
        <v>74649.584155585471</v>
      </c>
      <c r="S22" s="21">
        <f>ЭФ3!$B6*(1+$AG$42)^S1</f>
        <v>81054.518476134719</v>
      </c>
      <c r="T22" s="21">
        <f>ЭФ3!$B6*(1+$AG$42)^T1</f>
        <v>88008.996161387098</v>
      </c>
      <c r="U22" s="21">
        <f>ЭФ3!$B6*(1+$AG$42)^U1</f>
        <v>95560.168032034111</v>
      </c>
      <c r="V22" s="21">
        <f>ЭФ3!$B6*(1+$AG$42)^V1</f>
        <v>103759.23044918265</v>
      </c>
      <c r="W22" s="21">
        <f>ЭФ3!$B6*(1+$AG$42)^W1</f>
        <v>112661.77242172253</v>
      </c>
      <c r="X22" s="21">
        <f>ЭФ3!$B6*(1+$AG$42)^X1</f>
        <v>122328.15249550635</v>
      </c>
      <c r="Y22" s="21">
        <f>ЭФ3!$B6*(1+$AG$42)^Y1</f>
        <v>132823.9079796208</v>
      </c>
      <c r="Z22" s="21">
        <f>ЭФ3!$B6*(1+$AG$42)^Z1</f>
        <v>144220.1992842723</v>
      </c>
      <c r="AA22" s="21">
        <f>ЭФ3!$B6*(1+$AG$42)^AA1</f>
        <v>156594.29238286286</v>
      </c>
      <c r="AB22" s="21">
        <f>ЭФ3!$B6*(1+$AG$42)^AB1</f>
        <v>170030.08266931254</v>
      </c>
      <c r="AC22" s="21">
        <f>ЭФ3!$B6*(1+$AG$42)^AC1</f>
        <v>184618.66376233957</v>
      </c>
      <c r="AD22" s="92"/>
      <c r="AE22" s="93"/>
      <c r="AF22" s="7"/>
      <c r="AG22" s="7"/>
    </row>
    <row r="23" spans="1:33">
      <c r="A23" s="14" t="s">
        <v>37</v>
      </c>
      <c r="B23" s="16"/>
      <c r="C23" s="16">
        <f>(C24-C27)*C25*C26</f>
        <v>1302960.0000000002</v>
      </c>
      <c r="D23" s="16">
        <f t="shared" ref="D23:H23" si="35">(D24-D27)*D25*D26</f>
        <v>1414753.9680000003</v>
      </c>
      <c r="E23" s="16">
        <f t="shared" si="35"/>
        <v>1536139.8584544004</v>
      </c>
      <c r="F23" s="16">
        <f t="shared" si="35"/>
        <v>1667940.6583097884</v>
      </c>
      <c r="G23" s="16">
        <f t="shared" si="35"/>
        <v>1811049.9667927683</v>
      </c>
      <c r="H23" s="16">
        <f t="shared" si="35"/>
        <v>1966438.0539435879</v>
      </c>
      <c r="I23" s="16">
        <f t="shared" ref="I23:N23" si="36">(I24-I27)*I25*I26</f>
        <v>2135158.4389719479</v>
      </c>
      <c r="J23" s="16">
        <f t="shared" si="36"/>
        <v>2318355.0330357417</v>
      </c>
      <c r="K23" s="16">
        <f t="shared" si="36"/>
        <v>2517269.8948702081</v>
      </c>
      <c r="L23" s="16">
        <f t="shared" si="36"/>
        <v>2733251.6518500727</v>
      </c>
      <c r="M23" s="16">
        <f t="shared" si="36"/>
        <v>2967764.6435788092</v>
      </c>
      <c r="N23" s="16">
        <f t="shared" si="36"/>
        <v>3222398.8499978716</v>
      </c>
      <c r="O23" s="16">
        <f t="shared" ref="O23:S23" si="37">(O24-O27)*O25*O26</f>
        <v>3498880.6713276892</v>
      </c>
      <c r="P23" s="16">
        <f t="shared" si="37"/>
        <v>3799084.6329276059</v>
      </c>
      <c r="Q23" s="16">
        <f t="shared" si="37"/>
        <v>4125046.0944327945</v>
      </c>
      <c r="R23" s="16">
        <f t="shared" si="37"/>
        <v>4478975.0493351286</v>
      </c>
      <c r="S23" s="16">
        <f t="shared" si="37"/>
        <v>4863271.1085680826</v>
      </c>
      <c r="T23" s="16">
        <f t="shared" ref="T23:X23" si="38">(T24-T27)*T25*T26</f>
        <v>5280539.7696832251</v>
      </c>
      <c r="U23" s="16">
        <f t="shared" si="38"/>
        <v>5733610.0819220468</v>
      </c>
      <c r="V23" s="16">
        <f t="shared" si="38"/>
        <v>6225553.8269509589</v>
      </c>
      <c r="W23" s="16">
        <f t="shared" si="38"/>
        <v>6759706.345303352</v>
      </c>
      <c r="X23" s="16">
        <f t="shared" si="38"/>
        <v>7339689.1497303816</v>
      </c>
      <c r="Y23" s="16">
        <f t="shared" ref="Y23:AC23" si="39">(Y24-Y27)*Y25*Y26</f>
        <v>7969434.4787772484</v>
      </c>
      <c r="Z23" s="16">
        <f t="shared" si="39"/>
        <v>8653211.957056338</v>
      </c>
      <c r="AA23" s="16">
        <f t="shared" si="39"/>
        <v>9395657.5429717712</v>
      </c>
      <c r="AB23" s="16">
        <f t="shared" si="39"/>
        <v>10201804.960158752</v>
      </c>
      <c r="AC23" s="16">
        <f t="shared" si="39"/>
        <v>11077119.825740375</v>
      </c>
      <c r="AD23" s="92"/>
      <c r="AE23" s="93"/>
      <c r="AF23" s="7"/>
      <c r="AG23" s="7"/>
    </row>
    <row r="24" spans="1:33">
      <c r="A24" s="8" t="str">
        <f>ЭФ4!A2</f>
        <v>Среднее время на поиск и локализацию одной неисправности (в часах)</v>
      </c>
      <c r="B24" s="20"/>
      <c r="C24" s="20">
        <f>ЭФ4!$B2</f>
        <v>4</v>
      </c>
      <c r="D24" s="20">
        <f>ЭФ4!$B2</f>
        <v>4</v>
      </c>
      <c r="E24" s="20">
        <f>ЭФ4!$B2</f>
        <v>4</v>
      </c>
      <c r="F24" s="20">
        <f>ЭФ4!$B2</f>
        <v>4</v>
      </c>
      <c r="G24" s="20">
        <f>ЭФ4!$B2</f>
        <v>4</v>
      </c>
      <c r="H24" s="20">
        <f>ЭФ4!$B2</f>
        <v>4</v>
      </c>
      <c r="I24" s="20">
        <f>ЭФ4!$B2</f>
        <v>4</v>
      </c>
      <c r="J24" s="20">
        <f>ЭФ4!$B2</f>
        <v>4</v>
      </c>
      <c r="K24" s="20">
        <f>ЭФ4!$B2</f>
        <v>4</v>
      </c>
      <c r="L24" s="20">
        <f>ЭФ4!$B2</f>
        <v>4</v>
      </c>
      <c r="M24" s="20">
        <f>ЭФ4!$B2</f>
        <v>4</v>
      </c>
      <c r="N24" s="20">
        <f>ЭФ4!$B2</f>
        <v>4</v>
      </c>
      <c r="O24" s="20">
        <f>ЭФ4!$B2</f>
        <v>4</v>
      </c>
      <c r="P24" s="20">
        <f>ЭФ4!$B2</f>
        <v>4</v>
      </c>
      <c r="Q24" s="20">
        <f>ЭФ4!$B2</f>
        <v>4</v>
      </c>
      <c r="R24" s="20">
        <f>ЭФ4!$B2</f>
        <v>4</v>
      </c>
      <c r="S24" s="20">
        <f>ЭФ4!$B2</f>
        <v>4</v>
      </c>
      <c r="T24" s="20">
        <f>ЭФ4!$B2</f>
        <v>4</v>
      </c>
      <c r="U24" s="20">
        <f>ЭФ4!$B2</f>
        <v>4</v>
      </c>
      <c r="V24" s="20">
        <f>ЭФ4!$B2</f>
        <v>4</v>
      </c>
      <c r="W24" s="20">
        <f>ЭФ4!$B2</f>
        <v>4</v>
      </c>
      <c r="X24" s="20">
        <f>ЭФ4!$B2</f>
        <v>4</v>
      </c>
      <c r="Y24" s="20">
        <f>ЭФ4!$B2</f>
        <v>4</v>
      </c>
      <c r="Z24" s="20">
        <f>ЭФ4!$B2</f>
        <v>4</v>
      </c>
      <c r="AA24" s="20">
        <f>ЭФ4!$B2</f>
        <v>4</v>
      </c>
      <c r="AB24" s="20">
        <f>ЭФ4!$B2</f>
        <v>4</v>
      </c>
      <c r="AC24" s="20">
        <f>ЭФ4!$B2</f>
        <v>4</v>
      </c>
      <c r="AD24" s="92"/>
      <c r="AE24" s="93"/>
      <c r="AF24" s="7"/>
      <c r="AG24" s="7"/>
    </row>
    <row r="25" spans="1:33">
      <c r="A25" s="8" t="str">
        <f>ЭФ4!A3</f>
        <v>Среднее количество инцидентов (отказов), требующих диагностики, в год</v>
      </c>
      <c r="B25" s="20"/>
      <c r="C25" s="20">
        <f>ЭФ4!$B3</f>
        <v>6</v>
      </c>
      <c r="D25" s="20">
        <f>ЭФ4!$B3</f>
        <v>6</v>
      </c>
      <c r="E25" s="20">
        <f>ЭФ4!$B3</f>
        <v>6</v>
      </c>
      <c r="F25" s="20">
        <f>ЭФ4!$B3</f>
        <v>6</v>
      </c>
      <c r="G25" s="20">
        <f>ЭФ4!$B3</f>
        <v>6</v>
      </c>
      <c r="H25" s="20">
        <f>ЭФ4!$B3</f>
        <v>6</v>
      </c>
      <c r="I25" s="20">
        <f>ЭФ4!$B3</f>
        <v>6</v>
      </c>
      <c r="J25" s="20">
        <f>ЭФ4!$B3</f>
        <v>6</v>
      </c>
      <c r="K25" s="20">
        <f>ЭФ4!$B3</f>
        <v>6</v>
      </c>
      <c r="L25" s="20">
        <f>ЭФ4!$B3</f>
        <v>6</v>
      </c>
      <c r="M25" s="20">
        <f>ЭФ4!$B3</f>
        <v>6</v>
      </c>
      <c r="N25" s="20">
        <f>ЭФ4!$B3</f>
        <v>6</v>
      </c>
      <c r="O25" s="20">
        <f>ЭФ4!$B3</f>
        <v>6</v>
      </c>
      <c r="P25" s="20">
        <f>ЭФ4!$B3</f>
        <v>6</v>
      </c>
      <c r="Q25" s="20">
        <f>ЭФ4!$B3</f>
        <v>6</v>
      </c>
      <c r="R25" s="20">
        <f>ЭФ4!$B3</f>
        <v>6</v>
      </c>
      <c r="S25" s="20">
        <f>ЭФ4!$B3</f>
        <v>6</v>
      </c>
      <c r="T25" s="20">
        <f>ЭФ4!$B3</f>
        <v>6</v>
      </c>
      <c r="U25" s="20">
        <f>ЭФ4!$B3</f>
        <v>6</v>
      </c>
      <c r="V25" s="20">
        <f>ЭФ4!$B3</f>
        <v>6</v>
      </c>
      <c r="W25" s="20">
        <f>ЭФ4!$B3</f>
        <v>6</v>
      </c>
      <c r="X25" s="20">
        <f>ЭФ4!$B3</f>
        <v>6</v>
      </c>
      <c r="Y25" s="20">
        <f>ЭФ4!$B3</f>
        <v>6</v>
      </c>
      <c r="Z25" s="20">
        <f>ЭФ4!$B3</f>
        <v>6</v>
      </c>
      <c r="AA25" s="20">
        <f>ЭФ4!$B3</f>
        <v>6</v>
      </c>
      <c r="AB25" s="20">
        <f>ЭФ4!$B3</f>
        <v>6</v>
      </c>
      <c r="AC25" s="20">
        <f>ЭФ4!$B3</f>
        <v>6</v>
      </c>
      <c r="AD25" s="92"/>
      <c r="AE25" s="93"/>
      <c r="AF25" s="7"/>
      <c r="AG25" s="7"/>
    </row>
    <row r="26" spans="1:33">
      <c r="A26" s="8" t="str">
        <f>ЭФ4!A4</f>
        <v>Полная стоимость часа работы ремонтной бригады</v>
      </c>
      <c r="B26" s="20"/>
      <c r="C26" s="21">
        <f>ЭФ4!$B4*(1+$AG$42)^C1</f>
        <v>108580.00000000001</v>
      </c>
      <c r="D26" s="21">
        <f>ЭФ4!$B4*(1+$AG$42)^D1</f>
        <v>117896.16400000002</v>
      </c>
      <c r="E26" s="21">
        <f>ЭФ4!$B4*(1+$AG$42)^E1</f>
        <v>128011.65487120004</v>
      </c>
      <c r="F26" s="21">
        <f>ЭФ4!$B4*(1+$AG$42)^F1</f>
        <v>138995.05485914904</v>
      </c>
      <c r="G26" s="21">
        <f>ЭФ4!$B4*(1+$AG$42)^G1</f>
        <v>150920.83056606402</v>
      </c>
      <c r="H26" s="21">
        <f>ЭФ4!$B4*(1+$AG$42)^H1</f>
        <v>163869.83782863233</v>
      </c>
      <c r="I26" s="21">
        <f>ЭФ4!$B4*(1+$AG$42)^I1</f>
        <v>177929.869914329</v>
      </c>
      <c r="J26" s="21">
        <f>ЭФ4!$B4*(1+$AG$42)^J1</f>
        <v>193196.25275297847</v>
      </c>
      <c r="K26" s="21">
        <f>ЭФ4!$B4*(1+$AG$42)^K1</f>
        <v>209772.49123918402</v>
      </c>
      <c r="L26" s="21">
        <f>ЭФ4!$B4*(1+$AG$42)^L1</f>
        <v>227770.97098750607</v>
      </c>
      <c r="M26" s="21">
        <f>ЭФ4!$B4*(1+$AG$42)^M1</f>
        <v>247313.72029823411</v>
      </c>
      <c r="N26" s="21">
        <f>ЭФ4!$B4*(1+$AG$42)^N1</f>
        <v>268533.23749982263</v>
      </c>
      <c r="O26" s="21">
        <f>ЭФ4!$B4*(1+$AG$42)^O1</f>
        <v>291573.38927730743</v>
      </c>
      <c r="P26" s="21">
        <f>ЭФ4!$B4*(1+$AG$42)^P1</f>
        <v>316590.38607730047</v>
      </c>
      <c r="Q26" s="21">
        <f>ЭФ4!$B4*(1+$AG$42)^Q1</f>
        <v>343753.84120273287</v>
      </c>
      <c r="R26" s="21">
        <f>ЭФ4!$B4*(1+$AG$42)^R1</f>
        <v>373247.92077792739</v>
      </c>
      <c r="S26" s="21">
        <f>ЭФ4!$B4*(1+$AG$42)^S1</f>
        <v>405272.59238067357</v>
      </c>
      <c r="T26" s="21">
        <f>ЭФ4!$B4*(1+$AG$42)^T1</f>
        <v>440044.98080693546</v>
      </c>
      <c r="U26" s="21">
        <f>ЭФ4!$B4*(1+$AG$42)^U1</f>
        <v>477800.84016017057</v>
      </c>
      <c r="V26" s="21">
        <f>ЭФ4!$B4*(1+$AG$42)^V1</f>
        <v>518796.15224591322</v>
      </c>
      <c r="W26" s="21">
        <f>ЭФ4!$B4*(1+$AG$42)^W1</f>
        <v>563308.86210861267</v>
      </c>
      <c r="X26" s="21">
        <f>ЭФ4!$B4*(1+$AG$42)^X1</f>
        <v>611640.7624775318</v>
      </c>
      <c r="Y26" s="21">
        <f>ЭФ4!$B4*(1+$AG$42)^Y1</f>
        <v>664119.53989810403</v>
      </c>
      <c r="Z26" s="21">
        <f>ЭФ4!$B4*(1+$AG$42)^Z1</f>
        <v>721100.99642136146</v>
      </c>
      <c r="AA26" s="21">
        <f>ЭФ4!$B4*(1+$AG$42)^AA1</f>
        <v>782971.46191431419</v>
      </c>
      <c r="AB26" s="21">
        <f>ЭФ4!$B4*(1+$AG$42)^AB1</f>
        <v>850150.41334656265</v>
      </c>
      <c r="AC26" s="21">
        <f>ЭФ4!$B4*(1+$AG$42)^AC1</f>
        <v>923093.31881169789</v>
      </c>
      <c r="AD26" s="92"/>
      <c r="AE26" s="93"/>
      <c r="AF26" s="7"/>
      <c r="AG26" s="7"/>
    </row>
    <row r="27" spans="1:33">
      <c r="A27" s="8" t="str">
        <f>ЭФ4!A5</f>
        <v>Среднее время на локализацию неисправности после внедрения системы</v>
      </c>
      <c r="B27" s="20"/>
      <c r="C27" s="20">
        <f>ЭФ4!$B5</f>
        <v>2</v>
      </c>
      <c r="D27" s="20">
        <f>ЭФ4!$B5</f>
        <v>2</v>
      </c>
      <c r="E27" s="20">
        <f>ЭФ4!$B5</f>
        <v>2</v>
      </c>
      <c r="F27" s="20">
        <f>ЭФ4!$B5</f>
        <v>2</v>
      </c>
      <c r="G27" s="20">
        <f>ЭФ4!$B5</f>
        <v>2</v>
      </c>
      <c r="H27" s="20">
        <f>ЭФ4!$B5</f>
        <v>2</v>
      </c>
      <c r="I27" s="20">
        <f>ЭФ4!$B5</f>
        <v>2</v>
      </c>
      <c r="J27" s="20">
        <f>ЭФ4!$B5</f>
        <v>2</v>
      </c>
      <c r="K27" s="20">
        <f>ЭФ4!$B5</f>
        <v>2</v>
      </c>
      <c r="L27" s="20">
        <f>ЭФ4!$B5</f>
        <v>2</v>
      </c>
      <c r="M27" s="20">
        <f>ЭФ4!$B5</f>
        <v>2</v>
      </c>
      <c r="N27" s="20">
        <f>ЭФ4!$B5</f>
        <v>2</v>
      </c>
      <c r="O27" s="20">
        <f>ЭФ4!$B5</f>
        <v>2</v>
      </c>
      <c r="P27" s="20">
        <f>ЭФ4!$B5</f>
        <v>2</v>
      </c>
      <c r="Q27" s="20">
        <f>ЭФ4!$B5</f>
        <v>2</v>
      </c>
      <c r="R27" s="20">
        <f>ЭФ4!$B5</f>
        <v>2</v>
      </c>
      <c r="S27" s="20">
        <f>ЭФ4!$B5</f>
        <v>2</v>
      </c>
      <c r="T27" s="20">
        <f>ЭФ4!$B5</f>
        <v>2</v>
      </c>
      <c r="U27" s="20">
        <f>ЭФ4!$B5</f>
        <v>2</v>
      </c>
      <c r="V27" s="20">
        <f>ЭФ4!$B5</f>
        <v>2</v>
      </c>
      <c r="W27" s="20">
        <f>ЭФ4!$B5</f>
        <v>2</v>
      </c>
      <c r="X27" s="20">
        <f>ЭФ4!$B5</f>
        <v>2</v>
      </c>
      <c r="Y27" s="20">
        <f>ЭФ4!$B5</f>
        <v>2</v>
      </c>
      <c r="Z27" s="20">
        <f>ЭФ4!$B5</f>
        <v>2</v>
      </c>
      <c r="AA27" s="20">
        <f>ЭФ4!$B5</f>
        <v>2</v>
      </c>
      <c r="AB27" s="20">
        <f>ЭФ4!$B5</f>
        <v>2</v>
      </c>
      <c r="AC27" s="20">
        <f>ЭФ4!$B5</f>
        <v>2</v>
      </c>
      <c r="AD27" s="94"/>
      <c r="AE27" s="95"/>
      <c r="AF27" s="7"/>
      <c r="AG27" s="7"/>
    </row>
    <row r="28" spans="1:33" ht="15.75" customHeight="1">
      <c r="A28" s="13" t="s">
        <v>0</v>
      </c>
      <c r="B28" s="16">
        <f>B29+B43</f>
        <v>44099376.920000002</v>
      </c>
      <c r="C28" s="17">
        <f t="shared" ref="C28:H28" si="40">SUM(C29+C43)</f>
        <v>9558833.8880000003</v>
      </c>
      <c r="D28" s="17">
        <f t="shared" si="40"/>
        <v>10288788.875590403</v>
      </c>
      <c r="E28" s="17">
        <f t="shared" si="40"/>
        <v>11081374.001116058</v>
      </c>
      <c r="F28" s="17">
        <f t="shared" si="40"/>
        <v>11941962.930411819</v>
      </c>
      <c r="G28" s="17">
        <f t="shared" si="40"/>
        <v>12876390.389841154</v>
      </c>
      <c r="H28" s="17">
        <f t="shared" si="40"/>
        <v>13890991.725289527</v>
      </c>
      <c r="I28" s="17">
        <f t="shared" ref="I28:N28" si="41">SUM(I29+I43)</f>
        <v>14992645.855319368</v>
      </c>
      <c r="J28" s="17">
        <f t="shared" si="41"/>
        <v>16188821.909705773</v>
      </c>
      <c r="K28" s="17">
        <f t="shared" si="41"/>
        <v>17487629.869558528</v>
      </c>
      <c r="L28" s="17">
        <f t="shared" si="41"/>
        <v>18897875.552366655</v>
      </c>
      <c r="M28" s="17">
        <f t="shared" si="41"/>
        <v>20429120.314759716</v>
      </c>
      <c r="N28" s="17">
        <f t="shared" si="41"/>
        <v>22091745.877766103</v>
      </c>
      <c r="O28" s="17">
        <f t="shared" ref="O28:S28" si="42">SUM(O29+O43)</f>
        <v>23897024.714078438</v>
      </c>
      <c r="P28" s="17">
        <f t="shared" si="42"/>
        <v>25857196.474546369</v>
      </c>
      <c r="Q28" s="17">
        <f t="shared" si="42"/>
        <v>27985550.97206245</v>
      </c>
      <c r="R28" s="17">
        <f t="shared" si="42"/>
        <v>30296518.285465412</v>
      </c>
      <c r="S28" s="17">
        <f t="shared" si="42"/>
        <v>32805766.594358344</v>
      </c>
      <c r="T28" s="17">
        <f t="shared" ref="T28:X28" si="43">SUM(T29+T43)</f>
        <v>35530308.408154301</v>
      </c>
      <c r="U28" s="17">
        <f t="shared" si="43"/>
        <v>38488615.909573942</v>
      </c>
      <c r="V28" s="17">
        <f t="shared" si="43"/>
        <v>41700746.194615386</v>
      </c>
      <c r="W28" s="17">
        <f t="shared" si="43"/>
        <v>45188477.258113392</v>
      </c>
      <c r="X28" s="17">
        <f t="shared" si="43"/>
        <v>48975455.646859534</v>
      </c>
      <c r="Y28" s="17">
        <f t="shared" ref="Y28:AC28" si="44">SUM(Y29+Y43)</f>
        <v>53087356.781360082</v>
      </c>
      <c r="Z28" s="17">
        <f t="shared" si="44"/>
        <v>57552059.033200786</v>
      </c>
      <c r="AA28" s="17">
        <f t="shared" si="44"/>
        <v>62399832.738249414</v>
      </c>
      <c r="AB28" s="17">
        <f t="shared" si="44"/>
        <v>67663545.427191228</v>
      </c>
      <c r="AC28" s="17">
        <f t="shared" si="44"/>
        <v>73378884.664844245</v>
      </c>
      <c r="AD28" s="98" t="s">
        <v>104</v>
      </c>
      <c r="AE28" s="99"/>
      <c r="AF28" s="7"/>
      <c r="AG28" s="7"/>
    </row>
    <row r="29" spans="1:33" ht="15" customHeight="1">
      <c r="A29" s="9" t="s">
        <v>1</v>
      </c>
      <c r="B29" s="22">
        <f>B30+B41+B42</f>
        <v>44099376.920000002</v>
      </c>
      <c r="C29" s="23">
        <f>C41</f>
        <v>0</v>
      </c>
      <c r="D29" s="23">
        <f t="shared" ref="D29:G29" si="45">D41</f>
        <v>0</v>
      </c>
      <c r="E29" s="23">
        <f t="shared" si="45"/>
        <v>0</v>
      </c>
      <c r="F29" s="23">
        <f t="shared" si="45"/>
        <v>0</v>
      </c>
      <c r="G29" s="23">
        <f t="shared" si="45"/>
        <v>0</v>
      </c>
      <c r="H29" s="23">
        <f t="shared" ref="H29:N29" si="46">H41</f>
        <v>0</v>
      </c>
      <c r="I29" s="23">
        <f t="shared" si="46"/>
        <v>0</v>
      </c>
      <c r="J29" s="23">
        <f t="shared" si="46"/>
        <v>0</v>
      </c>
      <c r="K29" s="23">
        <f t="shared" si="46"/>
        <v>0</v>
      </c>
      <c r="L29" s="23">
        <f t="shared" si="46"/>
        <v>0</v>
      </c>
      <c r="M29" s="23">
        <f t="shared" si="46"/>
        <v>0</v>
      </c>
      <c r="N29" s="23">
        <f t="shared" si="46"/>
        <v>0</v>
      </c>
      <c r="O29" s="23">
        <f t="shared" ref="O29:S29" si="47">O41</f>
        <v>0</v>
      </c>
      <c r="P29" s="23">
        <f t="shared" si="47"/>
        <v>0</v>
      </c>
      <c r="Q29" s="23">
        <f t="shared" si="47"/>
        <v>0</v>
      </c>
      <c r="R29" s="23">
        <f t="shared" si="47"/>
        <v>0</v>
      </c>
      <c r="S29" s="23">
        <f t="shared" si="47"/>
        <v>0</v>
      </c>
      <c r="T29" s="23">
        <f t="shared" ref="T29:X29" si="48">T41</f>
        <v>0</v>
      </c>
      <c r="U29" s="23">
        <f t="shared" si="48"/>
        <v>0</v>
      </c>
      <c r="V29" s="23">
        <f t="shared" si="48"/>
        <v>0</v>
      </c>
      <c r="W29" s="23">
        <f t="shared" si="48"/>
        <v>0</v>
      </c>
      <c r="X29" s="23">
        <f t="shared" si="48"/>
        <v>0</v>
      </c>
      <c r="Y29" s="23">
        <f t="shared" ref="Y29:AC29" si="49">Y41</f>
        <v>0</v>
      </c>
      <c r="Z29" s="23">
        <f t="shared" si="49"/>
        <v>0</v>
      </c>
      <c r="AA29" s="23">
        <f t="shared" si="49"/>
        <v>0</v>
      </c>
      <c r="AB29" s="23">
        <f t="shared" si="49"/>
        <v>0</v>
      </c>
      <c r="AC29" s="23">
        <f t="shared" si="49"/>
        <v>0</v>
      </c>
      <c r="AD29" s="100"/>
      <c r="AE29" s="101"/>
      <c r="AF29" s="7"/>
      <c r="AG29" s="7"/>
    </row>
    <row r="30" spans="1:33">
      <c r="A30" s="9" t="str">
        <f>CAPEX!A2</f>
        <v>Стоиомсть команды для разработки ПО</v>
      </c>
      <c r="B30" s="22">
        <f>CAPEX!B2</f>
        <v>40300800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100"/>
      <c r="AE30" s="101"/>
      <c r="AF30" s="7"/>
      <c r="AG30" s="7"/>
    </row>
    <row r="31" spans="1:33">
      <c r="A31" s="9" t="str">
        <f>'Стоимость команды'!A2</f>
        <v>Руководитель проекта</v>
      </c>
      <c r="B31" s="22">
        <f>'Стоимость команды'!D2</f>
        <v>6144000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100"/>
      <c r="AE31" s="101"/>
      <c r="AF31" s="7"/>
      <c r="AG31" s="7"/>
    </row>
    <row r="32" spans="1:33">
      <c r="A32" s="9" t="str">
        <f>'Стоимость команды'!A3</f>
        <v>Системный аналитик</v>
      </c>
      <c r="B32" s="22">
        <f>'Стоимость команды'!D3</f>
        <v>6336000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100"/>
      <c r="AE32" s="101"/>
      <c r="AF32" s="7"/>
      <c r="AG32" s="7"/>
    </row>
    <row r="33" spans="1:33">
      <c r="A33" s="9" t="str">
        <f>'Стоимость команды'!A4</f>
        <v>Бизнес аналитик</v>
      </c>
      <c r="B33" s="22">
        <f>'Стоимость команды'!D4</f>
        <v>5068800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100"/>
      <c r="AE33" s="101"/>
      <c r="AF33" s="7"/>
      <c r="AG33" s="7"/>
    </row>
    <row r="34" spans="1:33">
      <c r="A34" s="9" t="str">
        <f>'Стоимость команды'!A5</f>
        <v>Frontend разработчик</v>
      </c>
      <c r="B34" s="22">
        <f>'Стоимость команды'!D5</f>
        <v>4492800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100"/>
      <c r="AE34" s="101"/>
      <c r="AF34" s="7"/>
      <c r="AG34" s="7"/>
    </row>
    <row r="35" spans="1:33">
      <c r="A35" s="9" t="str">
        <f>'Стоимость команды'!A6</f>
        <v>Backend разработчик</v>
      </c>
      <c r="B35" s="22">
        <f>'Стоимость команды'!D6</f>
        <v>4492800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100"/>
      <c r="AE35" s="101"/>
      <c r="AF35" s="7"/>
      <c r="AG35" s="7"/>
    </row>
    <row r="36" spans="1:33">
      <c r="A36" s="9" t="str">
        <f>'Стоимость команды'!A7</f>
        <v>ML разработчик</v>
      </c>
      <c r="B36" s="22">
        <f>'Стоимость команды'!D7</f>
        <v>6912000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100"/>
      <c r="AE36" s="101"/>
      <c r="AF36" s="7"/>
      <c r="AG36" s="7"/>
    </row>
    <row r="37" spans="1:33">
      <c r="A37" s="9" t="str">
        <f>'Стоимость команды'!A8</f>
        <v>UX\UI дизайнер</v>
      </c>
      <c r="B37" s="22">
        <f>'Стоимость команды'!D8</f>
        <v>2016000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100"/>
      <c r="AE37" s="101"/>
      <c r="AF37" s="7"/>
      <c r="AG37" s="7"/>
    </row>
    <row r="38" spans="1:33">
      <c r="A38" s="9" t="str">
        <f>'Стоимость команды'!A9</f>
        <v>Архитектор</v>
      </c>
      <c r="B38" s="22">
        <f>'Стоимость команды'!D9</f>
        <v>2592000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100"/>
      <c r="AE38" s="101"/>
      <c r="AF38" s="7"/>
      <c r="AG38" s="7"/>
    </row>
    <row r="39" spans="1:33">
      <c r="A39" s="9" t="str">
        <f>'Стоимость команды'!A10</f>
        <v>DevOps инженер</v>
      </c>
      <c r="B39" s="22">
        <f>'Стоимость команды'!D10</f>
        <v>2246400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85"/>
      <c r="AE39" s="86"/>
      <c r="AF39" s="7"/>
      <c r="AG39" s="7"/>
    </row>
    <row r="40" spans="1:33">
      <c r="A40" s="9" t="str">
        <f>CAPEX!A2</f>
        <v>Стоиомсть команды для разработки ПО</v>
      </c>
      <c r="B40" s="22">
        <f>CAPEX!B2</f>
        <v>40300800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96"/>
      <c r="AE40" s="97"/>
      <c r="AF40" s="10" t="s">
        <v>15</v>
      </c>
      <c r="AG40" s="10">
        <v>10</v>
      </c>
    </row>
    <row r="41" spans="1:33">
      <c r="A41" s="9" t="str">
        <f>CAPEX!A3</f>
        <v>Закупка инфраструктуры и лицензий</v>
      </c>
      <c r="B41" s="22">
        <f>CAPEX!B3</f>
        <v>3776576.92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96"/>
      <c r="AE41" s="97"/>
      <c r="AF41" s="10" t="s">
        <v>15</v>
      </c>
      <c r="AG41" s="10">
        <v>10</v>
      </c>
    </row>
    <row r="42" spans="1:33">
      <c r="A42" s="9" t="str">
        <f>CAPEX!A4</f>
        <v>Стоимость токовых датчиков, включая установку на оборудование (на 1 ед.)</v>
      </c>
      <c r="B42" s="22">
        <f>CAPEX!B4</f>
        <v>22000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96"/>
      <c r="AE42" s="97"/>
      <c r="AF42" s="10" t="s">
        <v>108</v>
      </c>
      <c r="AG42" s="11">
        <v>8.5800000000000001E-2</v>
      </c>
    </row>
    <row r="43" spans="1:33">
      <c r="A43" s="9" t="s">
        <v>2</v>
      </c>
      <c r="B43" s="24"/>
      <c r="C43" s="23">
        <f>SUM(C44:C45)</f>
        <v>9558833.8880000003</v>
      </c>
      <c r="D43" s="23">
        <f t="shared" ref="D43:H43" si="50">SUM(D44:D45)</f>
        <v>10288788.875590403</v>
      </c>
      <c r="E43" s="23">
        <f t="shared" si="50"/>
        <v>11081374.001116058</v>
      </c>
      <c r="F43" s="23">
        <f t="shared" si="50"/>
        <v>11941962.930411819</v>
      </c>
      <c r="G43" s="23">
        <f t="shared" si="50"/>
        <v>12876390.389841154</v>
      </c>
      <c r="H43" s="23">
        <f t="shared" si="50"/>
        <v>13890991.725289527</v>
      </c>
      <c r="I43" s="23">
        <f t="shared" ref="I43:N43" si="51">SUM(I44:I45)</f>
        <v>14992645.855319368</v>
      </c>
      <c r="J43" s="23">
        <f t="shared" si="51"/>
        <v>16188821.909705773</v>
      </c>
      <c r="K43" s="23">
        <f t="shared" si="51"/>
        <v>17487629.869558528</v>
      </c>
      <c r="L43" s="23">
        <f t="shared" si="51"/>
        <v>18897875.552366655</v>
      </c>
      <c r="M43" s="23">
        <f t="shared" si="51"/>
        <v>20429120.314759716</v>
      </c>
      <c r="N43" s="23">
        <f t="shared" si="51"/>
        <v>22091745.877766103</v>
      </c>
      <c r="O43" s="23">
        <f t="shared" ref="O43:S43" si="52">SUM(O44:O45)</f>
        <v>23897024.714078438</v>
      </c>
      <c r="P43" s="23">
        <f t="shared" si="52"/>
        <v>25857196.474546369</v>
      </c>
      <c r="Q43" s="23">
        <f t="shared" si="52"/>
        <v>27985550.97206245</v>
      </c>
      <c r="R43" s="23">
        <f t="shared" si="52"/>
        <v>30296518.285465412</v>
      </c>
      <c r="S43" s="23">
        <f t="shared" si="52"/>
        <v>32805766.594358344</v>
      </c>
      <c r="T43" s="23">
        <f t="shared" ref="T43:X43" si="53">SUM(T44:T45)</f>
        <v>35530308.408154301</v>
      </c>
      <c r="U43" s="23">
        <f t="shared" si="53"/>
        <v>38488615.909573942</v>
      </c>
      <c r="V43" s="23">
        <f t="shared" si="53"/>
        <v>41700746.194615386</v>
      </c>
      <c r="W43" s="23">
        <f t="shared" si="53"/>
        <v>45188477.258113392</v>
      </c>
      <c r="X43" s="23">
        <f t="shared" si="53"/>
        <v>48975455.646859534</v>
      </c>
      <c r="Y43" s="23">
        <f t="shared" ref="Y43:AC43" si="54">SUM(Y44:Y45)</f>
        <v>53087356.781360082</v>
      </c>
      <c r="Z43" s="23">
        <f t="shared" si="54"/>
        <v>57552059.033200786</v>
      </c>
      <c r="AA43" s="23">
        <f t="shared" si="54"/>
        <v>62399832.738249414</v>
      </c>
      <c r="AB43" s="23">
        <f t="shared" si="54"/>
        <v>67663545.427191228</v>
      </c>
      <c r="AC43" s="23">
        <f t="shared" si="54"/>
        <v>73378884.664844245</v>
      </c>
      <c r="AD43" s="96"/>
      <c r="AE43" s="97"/>
      <c r="AF43" s="10" t="s">
        <v>17</v>
      </c>
      <c r="AG43" s="11">
        <f>'Ставка дисконтирования'!B15</f>
        <v>0.16000000000000003</v>
      </c>
    </row>
    <row r="44" spans="1:33">
      <c r="A44" s="6" t="s">
        <v>3</v>
      </c>
      <c r="B44" s="18"/>
      <c r="C44" s="19">
        <f>OPEX!$B$2*(1+$AG$42)^C1</f>
        <v>8507633.8880000003</v>
      </c>
      <c r="D44" s="19">
        <f>OPEX!$B$2*(1+$AG$42)^D1</f>
        <v>9237588.8755904026</v>
      </c>
      <c r="E44" s="19">
        <f>OPEX!$B$2*(1+$AG$42)^E1</f>
        <v>10030174.001116058</v>
      </c>
      <c r="F44" s="19">
        <f>OPEX!$B$2*(1+$AG$42)^F1</f>
        <v>10890762.930411819</v>
      </c>
      <c r="G44" s="19">
        <f>OPEX!$B$2*(1+$AG$42)^G1</f>
        <v>11825190.389841154</v>
      </c>
      <c r="H44" s="19">
        <f>OPEX!$B$2*(1+$AG$42)^H1</f>
        <v>12839791.725289527</v>
      </c>
      <c r="I44" s="19">
        <f>OPEX!$B$2*(1+$AG$42)^I1</f>
        <v>13941445.855319368</v>
      </c>
      <c r="J44" s="19">
        <f>OPEX!$B$2*(1+$AG$42)^J1</f>
        <v>15137621.909705773</v>
      </c>
      <c r="K44" s="19">
        <f>OPEX!$B$2*(1+$AG$42)^K1</f>
        <v>16436429.86955853</v>
      </c>
      <c r="L44" s="19">
        <f>OPEX!$B$2*(1+$AG$42)^L1</f>
        <v>17846675.552366655</v>
      </c>
      <c r="M44" s="19">
        <f>OPEX!$B$2*(1+$AG$42)^M1</f>
        <v>19377920.314759716</v>
      </c>
      <c r="N44" s="19">
        <f>OPEX!$B$2*(1+$AG$42)^N1</f>
        <v>21040545.877766103</v>
      </c>
      <c r="O44" s="19">
        <f>OPEX!$B$2*(1+$AG$42)^O1</f>
        <v>22845824.714078438</v>
      </c>
      <c r="P44" s="19">
        <f>OPEX!$B$2*(1+$AG$42)^P1</f>
        <v>24805996.474546369</v>
      </c>
      <c r="Q44" s="19">
        <f>OPEX!$B$2*(1+$AG$42)^Q1</f>
        <v>26934350.97206245</v>
      </c>
      <c r="R44" s="19">
        <f>OPEX!$B$2*(1+$AG$42)^R1</f>
        <v>29245318.285465412</v>
      </c>
      <c r="S44" s="19">
        <f>OPEX!$B$2*(1+$AG$42)^S1</f>
        <v>31754566.594358344</v>
      </c>
      <c r="T44" s="19">
        <f>OPEX!$B$2*(1+$AG$42)^T1</f>
        <v>34479108.408154301</v>
      </c>
      <c r="U44" s="19">
        <f>OPEX!$B$2*(1+$AG$42)^U1</f>
        <v>37437415.909573942</v>
      </c>
      <c r="V44" s="19">
        <f>OPEX!$B$2*(1+$AG$42)^V1</f>
        <v>40649546.194615386</v>
      </c>
      <c r="W44" s="19">
        <f>OPEX!$B$2*(1+$AG$42)^W1</f>
        <v>44137277.258113392</v>
      </c>
      <c r="X44" s="19">
        <f>OPEX!$B$2*(1+$AG$42)^X1</f>
        <v>47924255.646859534</v>
      </c>
      <c r="Y44" s="19">
        <f>OPEX!$B$2*(1+$AG$42)^Y1</f>
        <v>52036156.781360082</v>
      </c>
      <c r="Z44" s="19">
        <f>OPEX!$B$2*(1+$AG$42)^Z1</f>
        <v>56500859.033200786</v>
      </c>
      <c r="AA44" s="19">
        <f>OPEX!$B$2*(1+$AG$42)^AA1</f>
        <v>61348632.738249414</v>
      </c>
      <c r="AB44" s="19">
        <f>OPEX!$B$2*(1+$AG$42)^AB1</f>
        <v>66612345.427191235</v>
      </c>
      <c r="AC44" s="19">
        <f>OPEX!$B$2*(1+$AG$42)^AC1</f>
        <v>72327684.664844245</v>
      </c>
      <c r="AD44" s="96"/>
      <c r="AE44" s="97"/>
      <c r="AF44" s="7"/>
      <c r="AG44" s="7"/>
    </row>
    <row r="45" spans="1:33">
      <c r="A45" s="6" t="str">
        <f>CAPEX!A3</f>
        <v>Закупка инфраструктуры и лицензий</v>
      </c>
      <c r="B45" s="18"/>
      <c r="C45" s="19">
        <f>OPEX!$B$3</f>
        <v>1051200</v>
      </c>
      <c r="D45" s="19">
        <f>OPEX!$B$3</f>
        <v>1051200</v>
      </c>
      <c r="E45" s="19">
        <f>OPEX!$B$3</f>
        <v>1051200</v>
      </c>
      <c r="F45" s="19">
        <f>OPEX!$B$3</f>
        <v>1051200</v>
      </c>
      <c r="G45" s="19">
        <f>OPEX!$B$3</f>
        <v>1051200</v>
      </c>
      <c r="H45" s="19">
        <f>OPEX!$B$3</f>
        <v>1051200</v>
      </c>
      <c r="I45" s="19">
        <f>OPEX!$B$3</f>
        <v>1051200</v>
      </c>
      <c r="J45" s="19">
        <f>OPEX!$B$3</f>
        <v>1051200</v>
      </c>
      <c r="K45" s="19">
        <f>OPEX!$B$3</f>
        <v>1051200</v>
      </c>
      <c r="L45" s="19">
        <f>OPEX!$B$3</f>
        <v>1051200</v>
      </c>
      <c r="M45" s="19">
        <f>OPEX!$B$3</f>
        <v>1051200</v>
      </c>
      <c r="N45" s="19">
        <f>OPEX!$B$3</f>
        <v>1051200</v>
      </c>
      <c r="O45" s="19">
        <f>OPEX!$B$3</f>
        <v>1051200</v>
      </c>
      <c r="P45" s="19">
        <f>OPEX!$B$3</f>
        <v>1051200</v>
      </c>
      <c r="Q45" s="19">
        <f>OPEX!$B$3</f>
        <v>1051200</v>
      </c>
      <c r="R45" s="19">
        <f>OPEX!$B$3</f>
        <v>1051200</v>
      </c>
      <c r="S45" s="19">
        <f>OPEX!$B$3</f>
        <v>1051200</v>
      </c>
      <c r="T45" s="19">
        <f>OPEX!$B$3</f>
        <v>1051200</v>
      </c>
      <c r="U45" s="19">
        <f>OPEX!$B$3</f>
        <v>1051200</v>
      </c>
      <c r="V45" s="19">
        <f>OPEX!$B$3</f>
        <v>1051200</v>
      </c>
      <c r="W45" s="19">
        <f>OPEX!$B$3</f>
        <v>1051200</v>
      </c>
      <c r="X45" s="19">
        <f>OPEX!$B$3</f>
        <v>1051200</v>
      </c>
      <c r="Y45" s="19">
        <f>OPEX!$B$3</f>
        <v>1051200</v>
      </c>
      <c r="Z45" s="19">
        <f>OPEX!$B$3</f>
        <v>1051200</v>
      </c>
      <c r="AA45" s="19">
        <f>OPEX!$B$3</f>
        <v>1051200</v>
      </c>
      <c r="AB45" s="19">
        <f>OPEX!$B$3</f>
        <v>1051200</v>
      </c>
      <c r="AC45" s="19">
        <f>OPEX!$B$3</f>
        <v>1051200</v>
      </c>
      <c r="AD45" s="72"/>
      <c r="AE45" s="73"/>
      <c r="AF45" s="7"/>
      <c r="AG45" s="7"/>
    </row>
    <row r="46" spans="1:33">
      <c r="A46" s="6" t="s">
        <v>4</v>
      </c>
      <c r="B46" s="18"/>
      <c r="C46" s="75">
        <f>B41/AG41</f>
        <v>377657.69199999998</v>
      </c>
      <c r="D46" s="75">
        <f>C46</f>
        <v>377657.69199999998</v>
      </c>
      <c r="E46" s="75">
        <f t="shared" ref="E46:H46" si="55">D46</f>
        <v>377657.69199999998</v>
      </c>
      <c r="F46" s="75">
        <f t="shared" si="55"/>
        <v>377657.69199999998</v>
      </c>
      <c r="G46" s="75">
        <f t="shared" si="55"/>
        <v>377657.69199999998</v>
      </c>
      <c r="H46" s="75">
        <f t="shared" si="55"/>
        <v>377657.69199999998</v>
      </c>
      <c r="I46" s="75">
        <f t="shared" ref="I46" si="56">H46</f>
        <v>377657.69199999998</v>
      </c>
      <c r="J46" s="75">
        <f t="shared" ref="J46" si="57">I46</f>
        <v>377657.69199999998</v>
      </c>
      <c r="K46" s="75">
        <f t="shared" ref="K46" si="58">J46</f>
        <v>377657.69199999998</v>
      </c>
      <c r="L46" s="75">
        <f t="shared" ref="L46" si="59">K46</f>
        <v>377657.69199999998</v>
      </c>
      <c r="M46" s="75">
        <f t="shared" ref="M46" si="60">L46</f>
        <v>377657.69199999998</v>
      </c>
      <c r="N46" s="75">
        <f t="shared" ref="N46" si="61">M46</f>
        <v>377657.69199999998</v>
      </c>
      <c r="O46" s="75">
        <f t="shared" ref="O46" si="62">N46</f>
        <v>377657.69199999998</v>
      </c>
      <c r="P46" s="75">
        <f t="shared" ref="P46" si="63">O46</f>
        <v>377657.69199999998</v>
      </c>
      <c r="Q46" s="75">
        <f t="shared" ref="Q46" si="64">P46</f>
        <v>377657.69199999998</v>
      </c>
      <c r="R46" s="75">
        <f t="shared" ref="R46" si="65">Q46</f>
        <v>377657.69199999998</v>
      </c>
      <c r="S46" s="75">
        <f t="shared" ref="S46" si="66">R46</f>
        <v>377657.69199999998</v>
      </c>
      <c r="T46" s="75">
        <f t="shared" ref="T46" si="67">S46</f>
        <v>377657.69199999998</v>
      </c>
      <c r="U46" s="75">
        <f t="shared" ref="U46" si="68">T46</f>
        <v>377657.69199999998</v>
      </c>
      <c r="V46" s="75">
        <f t="shared" ref="V46" si="69">U46</f>
        <v>377657.69199999998</v>
      </c>
      <c r="W46" s="75">
        <f t="shared" ref="W46" si="70">V46</f>
        <v>377657.69199999998</v>
      </c>
      <c r="X46" s="75">
        <f t="shared" ref="X46" si="71">W46</f>
        <v>377657.69199999998</v>
      </c>
      <c r="Y46" s="75">
        <f t="shared" ref="Y46" si="72">X46</f>
        <v>377657.69199999998</v>
      </c>
      <c r="Z46" s="75">
        <f t="shared" ref="Z46" si="73">Y46</f>
        <v>377657.69199999998</v>
      </c>
      <c r="AA46" s="75">
        <f t="shared" ref="AA46" si="74">Z46</f>
        <v>377657.69199999998</v>
      </c>
      <c r="AB46" s="75">
        <f t="shared" ref="AB46" si="75">AA46</f>
        <v>377657.69199999998</v>
      </c>
      <c r="AC46" s="75">
        <f t="shared" ref="AC46" si="76">AB46</f>
        <v>377657.69199999998</v>
      </c>
      <c r="AD46" s="72"/>
      <c r="AE46" s="73"/>
      <c r="AF46" s="7"/>
      <c r="AG46" s="7"/>
    </row>
    <row r="47" spans="1:33">
      <c r="A47" s="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85"/>
      <c r="AE47" s="86"/>
      <c r="AF47" s="7"/>
      <c r="AG47" s="7"/>
    </row>
    <row r="48" spans="1:33">
      <c r="A48" s="6" t="s">
        <v>6</v>
      </c>
      <c r="B48" s="25"/>
      <c r="C48" s="19">
        <f t="shared" ref="C48:H48" si="77">C2-C28</f>
        <v>4716985.1899500005</v>
      </c>
      <c r="D48" s="19">
        <f t="shared" si="77"/>
        <v>5211895.4792477097</v>
      </c>
      <c r="E48" s="19">
        <f t="shared" si="77"/>
        <v>5749269.0713671651</v>
      </c>
      <c r="F48" s="19">
        <f t="shared" si="77"/>
        <v>6332749.3176904693</v>
      </c>
      <c r="G48" s="19">
        <f t="shared" si="77"/>
        <v>6966292.1691483147</v>
      </c>
      <c r="H48" s="19">
        <f t="shared" si="77"/>
        <v>7654192.9972612374</v>
      </c>
      <c r="I48" s="19">
        <f t="shared" ref="I48:N48" si="78">I2-I28</f>
        <v>8401115.7164262552</v>
      </c>
      <c r="J48" s="19">
        <f t="shared" si="78"/>
        <v>9212124.4048956297</v>
      </c>
      <c r="K48" s="19">
        <f t="shared" si="78"/>
        <v>10092717.638835676</v>
      </c>
      <c r="L48" s="19">
        <f t="shared" si="78"/>
        <v>11048865.772247773</v>
      </c>
      <c r="M48" s="19">
        <f t="shared" si="78"/>
        <v>12087051.415506635</v>
      </c>
      <c r="N48" s="19">
        <f t="shared" si="78"/>
        <v>13214313.386957116</v>
      </c>
      <c r="O48" s="19">
        <f t="shared" ref="O48:S48" si="79">O2-O28</f>
        <v>14438294.435558032</v>
      </c>
      <c r="P48" s="19">
        <f t="shared" si="79"/>
        <v>15767293.058128905</v>
      </c>
      <c r="Q48" s="19">
        <f t="shared" si="79"/>
        <v>17210319.762516368</v>
      </c>
      <c r="R48" s="19">
        <f t="shared" si="79"/>
        <v>18777158.158140279</v>
      </c>
      <c r="S48" s="19">
        <f t="shared" si="79"/>
        <v>20478431.288108725</v>
      </c>
      <c r="T48" s="19">
        <f t="shared" ref="T48:X48" si="80">T2-T28</f>
        <v>22325673.652628444</v>
      </c>
      <c r="U48" s="19">
        <f t="shared" si="80"/>
        <v>24331409.412023969</v>
      </c>
      <c r="V48" s="19">
        <f t="shared" si="80"/>
        <v>26509237.299575619</v>
      </c>
      <c r="W48" s="19">
        <f t="shared" si="80"/>
        <v>28873922.819879226</v>
      </c>
      <c r="X48" s="19">
        <f t="shared" si="80"/>
        <v>31441498.357824884</v>
      </c>
      <c r="Y48" s="19">
        <f t="shared" ref="Y48:AC48" si="81">Y2-Y28</f>
        <v>34229371.876926236</v>
      </c>
      <c r="Z48" s="19">
        <f t="shared" si="81"/>
        <v>37256444.943966538</v>
      </c>
      <c r="AA48" s="19">
        <f t="shared" si="81"/>
        <v>40543240.880158849</v>
      </c>
      <c r="AB48" s="19">
        <f t="shared" si="81"/>
        <v>44112043.907676503</v>
      </c>
      <c r="AC48" s="19">
        <f t="shared" si="81"/>
        <v>47987050.234955132</v>
      </c>
      <c r="AD48" s="87"/>
      <c r="AE48" s="87"/>
      <c r="AF48" s="7"/>
      <c r="AG48" s="7"/>
    </row>
    <row r="49" spans="1:33">
      <c r="A49" s="12" t="s">
        <v>5</v>
      </c>
      <c r="B49" s="26"/>
      <c r="C49" s="27">
        <f>C48*0.2</f>
        <v>943397.0379900001</v>
      </c>
      <c r="D49" s="27">
        <f t="shared" ref="D49:G49" si="82">D48*0.2</f>
        <v>1042379.0958495419</v>
      </c>
      <c r="E49" s="27">
        <f t="shared" si="82"/>
        <v>1149853.8142734331</v>
      </c>
      <c r="F49" s="27">
        <f t="shared" si="82"/>
        <v>1266549.8635380939</v>
      </c>
      <c r="G49" s="27">
        <f t="shared" si="82"/>
        <v>1393258.4338296631</v>
      </c>
      <c r="H49" s="27">
        <f t="shared" ref="H49:N49" si="83">H48*0.2</f>
        <v>1530838.5994522476</v>
      </c>
      <c r="I49" s="27">
        <f t="shared" si="83"/>
        <v>1680223.1432852512</v>
      </c>
      <c r="J49" s="27">
        <f t="shared" si="83"/>
        <v>1842424.8809791261</v>
      </c>
      <c r="K49" s="27">
        <f t="shared" si="83"/>
        <v>2018543.5277671353</v>
      </c>
      <c r="L49" s="27">
        <f t="shared" si="83"/>
        <v>2209773.1544495546</v>
      </c>
      <c r="M49" s="27">
        <f t="shared" si="83"/>
        <v>2417410.2831013273</v>
      </c>
      <c r="N49" s="27">
        <f t="shared" si="83"/>
        <v>2642862.6773914234</v>
      </c>
      <c r="O49" s="27">
        <f t="shared" ref="O49:S49" si="84">O48*0.2</f>
        <v>2887658.8871116065</v>
      </c>
      <c r="P49" s="27">
        <f t="shared" si="84"/>
        <v>3153458.6116257813</v>
      </c>
      <c r="Q49" s="27">
        <f t="shared" si="84"/>
        <v>3442063.9525032737</v>
      </c>
      <c r="R49" s="27">
        <f t="shared" si="84"/>
        <v>3755431.6316280561</v>
      </c>
      <c r="S49" s="27">
        <f t="shared" si="84"/>
        <v>4095686.2576217451</v>
      </c>
      <c r="T49" s="27">
        <f t="shared" ref="T49:X49" si="85">T48*0.2</f>
        <v>4465134.7305256892</v>
      </c>
      <c r="U49" s="27">
        <f t="shared" si="85"/>
        <v>4866281.882404794</v>
      </c>
      <c r="V49" s="27">
        <f t="shared" si="85"/>
        <v>5301847.4599151239</v>
      </c>
      <c r="W49" s="27">
        <f t="shared" si="85"/>
        <v>5774784.5639758455</v>
      </c>
      <c r="X49" s="27">
        <f t="shared" si="85"/>
        <v>6288299.6715649776</v>
      </c>
      <c r="Y49" s="27">
        <f t="shared" ref="Y49:AC49" si="86">Y48*0.2</f>
        <v>6845874.3753852472</v>
      </c>
      <c r="Z49" s="27">
        <f t="shared" si="86"/>
        <v>7451288.9887933079</v>
      </c>
      <c r="AA49" s="27">
        <f t="shared" si="86"/>
        <v>8108648.1760317702</v>
      </c>
      <c r="AB49" s="27">
        <f t="shared" si="86"/>
        <v>8822408.7815353014</v>
      </c>
      <c r="AC49" s="27">
        <f t="shared" si="86"/>
        <v>9597410.046991026</v>
      </c>
      <c r="AD49" s="7"/>
      <c r="AE49" s="7"/>
      <c r="AF49" s="7"/>
      <c r="AG49" s="7"/>
    </row>
    <row r="50" spans="1:33">
      <c r="A50" s="6" t="s">
        <v>7</v>
      </c>
      <c r="B50" s="18"/>
      <c r="C50" s="19">
        <f>C48-C49-C46</f>
        <v>3395930.4599600006</v>
      </c>
      <c r="D50" s="19">
        <f t="shared" ref="D50:H50" si="87">D48-D49-D46</f>
        <v>3791858.691398168</v>
      </c>
      <c r="E50" s="19">
        <f t="shared" si="87"/>
        <v>4221757.5650937324</v>
      </c>
      <c r="F50" s="19">
        <f t="shared" si="87"/>
        <v>4688541.7621523757</v>
      </c>
      <c r="G50" s="19">
        <f t="shared" si="87"/>
        <v>5195376.0433186516</v>
      </c>
      <c r="H50" s="19">
        <f t="shared" si="87"/>
        <v>5745696.7058089897</v>
      </c>
      <c r="I50" s="19">
        <f t="shared" ref="I50:N50" si="88">I48-I49-I46</f>
        <v>6343234.8811410042</v>
      </c>
      <c r="J50" s="19">
        <f t="shared" si="88"/>
        <v>6992041.8319165036</v>
      </c>
      <c r="K50" s="19">
        <f t="shared" si="88"/>
        <v>7696516.4190685414</v>
      </c>
      <c r="L50" s="19">
        <f t="shared" si="88"/>
        <v>8461434.9257982187</v>
      </c>
      <c r="M50" s="19">
        <f t="shared" si="88"/>
        <v>9291983.4404053073</v>
      </c>
      <c r="N50" s="19">
        <f t="shared" si="88"/>
        <v>10193793.017565694</v>
      </c>
      <c r="O50" s="19">
        <f t="shared" ref="O50:S50" si="89">O48-O49-O46</f>
        <v>11172977.856446426</v>
      </c>
      <c r="P50" s="19">
        <f t="shared" si="89"/>
        <v>12236176.754503123</v>
      </c>
      <c r="Q50" s="19">
        <f t="shared" si="89"/>
        <v>13390598.118013095</v>
      </c>
      <c r="R50" s="19">
        <f t="shared" si="89"/>
        <v>14644068.834512224</v>
      </c>
      <c r="S50" s="19">
        <f t="shared" si="89"/>
        <v>16005087.338486981</v>
      </c>
      <c r="T50" s="19">
        <f t="shared" ref="T50:X50" si="90">T48-T49-T46</f>
        <v>17482881.230102755</v>
      </c>
      <c r="U50" s="19">
        <f t="shared" si="90"/>
        <v>19087469.837619174</v>
      </c>
      <c r="V50" s="19">
        <f t="shared" si="90"/>
        <v>20829732.147660494</v>
      </c>
      <c r="W50" s="19">
        <f t="shared" si="90"/>
        <v>22721480.56390338</v>
      </c>
      <c r="X50" s="19">
        <f t="shared" si="90"/>
        <v>24775540.994259905</v>
      </c>
      <c r="Y50" s="19">
        <f t="shared" ref="Y50:AC50" si="91">Y48-Y49-Y46</f>
        <v>27005839.809540987</v>
      </c>
      <c r="Z50" s="19">
        <f t="shared" si="91"/>
        <v>29427498.26317323</v>
      </c>
      <c r="AA50" s="19">
        <f t="shared" si="91"/>
        <v>32056935.012127079</v>
      </c>
      <c r="AB50" s="19">
        <f t="shared" si="91"/>
        <v>34911977.434141204</v>
      </c>
      <c r="AC50" s="19">
        <f t="shared" si="91"/>
        <v>38011982.495964102</v>
      </c>
      <c r="AD50" s="7"/>
      <c r="AE50" s="7"/>
      <c r="AF50" s="7"/>
      <c r="AG50" s="7"/>
    </row>
    <row r="51" spans="1:33">
      <c r="A51" s="6" t="s">
        <v>16</v>
      </c>
      <c r="B51" s="25">
        <f>-B29</f>
        <v>-44099376.920000002</v>
      </c>
      <c r="C51" s="19">
        <f>C50</f>
        <v>3395930.4599600006</v>
      </c>
      <c r="D51" s="19">
        <f t="shared" ref="D51:G51" si="92">D50</f>
        <v>3791858.691398168</v>
      </c>
      <c r="E51" s="19">
        <f t="shared" si="92"/>
        <v>4221757.5650937324</v>
      </c>
      <c r="F51" s="19">
        <f t="shared" si="92"/>
        <v>4688541.7621523757</v>
      </c>
      <c r="G51" s="19">
        <f t="shared" si="92"/>
        <v>5195376.0433186516</v>
      </c>
      <c r="H51" s="19">
        <f t="shared" ref="H51:N51" si="93">H50</f>
        <v>5745696.7058089897</v>
      </c>
      <c r="I51" s="19">
        <f t="shared" si="93"/>
        <v>6343234.8811410042</v>
      </c>
      <c r="J51" s="19">
        <f t="shared" si="93"/>
        <v>6992041.8319165036</v>
      </c>
      <c r="K51" s="19">
        <f t="shared" si="93"/>
        <v>7696516.4190685414</v>
      </c>
      <c r="L51" s="19">
        <f t="shared" si="93"/>
        <v>8461434.9257982187</v>
      </c>
      <c r="M51" s="19">
        <f t="shared" si="93"/>
        <v>9291983.4404053073</v>
      </c>
      <c r="N51" s="19">
        <f t="shared" si="93"/>
        <v>10193793.017565694</v>
      </c>
      <c r="O51" s="19">
        <f t="shared" ref="O51:S51" si="94">O50</f>
        <v>11172977.856446426</v>
      </c>
      <c r="P51" s="19">
        <f t="shared" si="94"/>
        <v>12236176.754503123</v>
      </c>
      <c r="Q51" s="19">
        <f t="shared" si="94"/>
        <v>13390598.118013095</v>
      </c>
      <c r="R51" s="19">
        <f t="shared" si="94"/>
        <v>14644068.834512224</v>
      </c>
      <c r="S51" s="19">
        <f t="shared" si="94"/>
        <v>16005087.338486981</v>
      </c>
      <c r="T51" s="19">
        <f t="shared" ref="T51:X51" si="95">T50</f>
        <v>17482881.230102755</v>
      </c>
      <c r="U51" s="19">
        <f t="shared" si="95"/>
        <v>19087469.837619174</v>
      </c>
      <c r="V51" s="19">
        <f t="shared" si="95"/>
        <v>20829732.147660494</v>
      </c>
      <c r="W51" s="19">
        <f t="shared" si="95"/>
        <v>22721480.56390338</v>
      </c>
      <c r="X51" s="19">
        <f t="shared" si="95"/>
        <v>24775540.994259905</v>
      </c>
      <c r="Y51" s="19">
        <f t="shared" ref="Y51:AC51" si="96">Y50</f>
        <v>27005839.809540987</v>
      </c>
      <c r="Z51" s="19">
        <f t="shared" si="96"/>
        <v>29427498.26317323</v>
      </c>
      <c r="AA51" s="19">
        <f t="shared" si="96"/>
        <v>32056935.012127079</v>
      </c>
      <c r="AB51" s="19">
        <f t="shared" si="96"/>
        <v>34911977.434141204</v>
      </c>
      <c r="AC51" s="19">
        <f t="shared" si="96"/>
        <v>38011982.495964102</v>
      </c>
      <c r="AD51" s="7"/>
      <c r="AE51" s="7"/>
      <c r="AF51" s="7"/>
      <c r="AG51" s="7"/>
    </row>
    <row r="52" spans="1:33">
      <c r="A52" s="6" t="s">
        <v>8</v>
      </c>
      <c r="B52" s="18">
        <f t="shared" ref="B52:H52" si="97">B51/(1+$AG$43)^B1</f>
        <v>-44099376.920000002</v>
      </c>
      <c r="C52" s="19">
        <f t="shared" si="97"/>
        <v>2927526.2585862069</v>
      </c>
      <c r="D52" s="19">
        <f t="shared" si="97"/>
        <v>2817968.7064492917</v>
      </c>
      <c r="E52" s="19">
        <f t="shared" si="97"/>
        <v>2704701.3799085468</v>
      </c>
      <c r="F52" s="19">
        <f t="shared" si="97"/>
        <v>2589439.8772775894</v>
      </c>
      <c r="G52" s="19">
        <f t="shared" si="97"/>
        <v>2473586.154195149</v>
      </c>
      <c r="H52" s="19">
        <f t="shared" si="97"/>
        <v>2358276.7105673831</v>
      </c>
      <c r="I52" s="19">
        <f t="shared" ref="I52:N52" si="98">I51/(1+$AG$43)^I1</f>
        <v>2244423.815948714</v>
      </c>
      <c r="J52" s="19">
        <f t="shared" si="98"/>
        <v>2132750.753731194</v>
      </c>
      <c r="K52" s="19">
        <f t="shared" si="98"/>
        <v>2023821.9279998622</v>
      </c>
      <c r="L52" s="19">
        <f t="shared" si="98"/>
        <v>1918068.5593105818</v>
      </c>
      <c r="M52" s="19">
        <f t="shared" si="98"/>
        <v>1815810.5943440578</v>
      </c>
      <c r="N52" s="19">
        <f t="shared" si="98"/>
        <v>1717275.3671318828</v>
      </c>
      <c r="O52" s="19">
        <f t="shared" ref="O52:S52" si="99">O51/(1+$AG$43)^O1</f>
        <v>1622613.4743958751</v>
      </c>
      <c r="P52" s="19">
        <f t="shared" si="99"/>
        <v>1531912.2628168133</v>
      </c>
      <c r="Q52" s="19">
        <f t="shared" si="99"/>
        <v>1445207.2703103444</v>
      </c>
      <c r="R52" s="19">
        <f t="shared" si="99"/>
        <v>1362491.9153930964</v>
      </c>
      <c r="S52" s="19">
        <f t="shared" si="99"/>
        <v>1283725.6873991205</v>
      </c>
      <c r="T52" s="19">
        <f t="shared" ref="T52:X52" si="100">T51/(1+$AG$43)^T1</f>
        <v>1208841.0547321592</v>
      </c>
      <c r="U52" s="19">
        <f t="shared" si="100"/>
        <v>1137749.2777170241</v>
      </c>
      <c r="V52" s="19">
        <f t="shared" si="100"/>
        <v>1070345.2862573846</v>
      </c>
      <c r="W52" s="19">
        <f t="shared" si="100"/>
        <v>1006511.7598265561</v>
      </c>
      <c r="X52" s="19">
        <f t="shared" si="100"/>
        <v>946122.52780273417</v>
      </c>
      <c r="Y52" s="19">
        <f t="shared" ref="Y52:AC52" si="101">Y51/(1+$AG$43)^Y1</f>
        <v>889045.3913717434</v>
      </c>
      <c r="Z52" s="19">
        <f t="shared" si="101"/>
        <v>835144.45378023514</v>
      </c>
      <c r="AA52" s="19">
        <f t="shared" si="101"/>
        <v>784282.03330450691</v>
      </c>
      <c r="AB52" s="19">
        <f t="shared" si="101"/>
        <v>736320.22262381739</v>
      </c>
      <c r="AC52" s="19">
        <f t="shared" si="101"/>
        <v>691122.14911008102</v>
      </c>
      <c r="AD52" s="7"/>
      <c r="AE52" s="7"/>
      <c r="AF52" s="7"/>
      <c r="AG52" s="7"/>
    </row>
    <row r="53" spans="1:33">
      <c r="A53" s="6" t="s">
        <v>9</v>
      </c>
      <c r="B53" s="18">
        <f>B52</f>
        <v>-44099376.920000002</v>
      </c>
      <c r="C53" s="19">
        <f>B53+C52</f>
        <v>-41171850.661413796</v>
      </c>
      <c r="D53" s="19">
        <f t="shared" ref="D53:H53" si="102">C53+D52</f>
        <v>-38353881.954964504</v>
      </c>
      <c r="E53" s="19">
        <f t="shared" si="102"/>
        <v>-35649180.575055957</v>
      </c>
      <c r="F53" s="19">
        <f t="shared" si="102"/>
        <v>-33059740.697778367</v>
      </c>
      <c r="G53" s="27">
        <f t="shared" si="102"/>
        <v>-30586154.543583218</v>
      </c>
      <c r="H53" s="27">
        <f t="shared" si="102"/>
        <v>-28227877.833015837</v>
      </c>
      <c r="I53" s="27">
        <f t="shared" ref="I53" si="103">H53+I52</f>
        <v>-25983454.017067123</v>
      </c>
      <c r="J53" s="27">
        <f t="shared" ref="J53" si="104">I53+J52</f>
        <v>-23850703.263335928</v>
      </c>
      <c r="K53" s="27">
        <f t="shared" ref="K53" si="105">J53+K52</f>
        <v>-21826881.335336067</v>
      </c>
      <c r="L53" s="27">
        <f t="shared" ref="L53" si="106">K53+L52</f>
        <v>-19908812.776025485</v>
      </c>
      <c r="M53" s="27">
        <f t="shared" ref="M53" si="107">L53+M52</f>
        <v>-18093002.181681428</v>
      </c>
      <c r="N53" s="27">
        <f t="shared" ref="N53" si="108">M53+N52</f>
        <v>-16375726.814549545</v>
      </c>
      <c r="O53" s="27">
        <f t="shared" ref="O53" si="109">N53+O52</f>
        <v>-14753113.34015367</v>
      </c>
      <c r="P53" s="27">
        <f t="shared" ref="P53" si="110">O53+P52</f>
        <v>-13221201.077336857</v>
      </c>
      <c r="Q53" s="27">
        <f t="shared" ref="Q53" si="111">P53+Q52</f>
        <v>-11775993.807026513</v>
      </c>
      <c r="R53" s="27">
        <f t="shared" ref="R53" si="112">Q53+R52</f>
        <v>-10413501.891633417</v>
      </c>
      <c r="S53" s="27">
        <f t="shared" ref="S53" si="113">R53+S52</f>
        <v>-9129776.2042342965</v>
      </c>
      <c r="T53" s="27">
        <f t="shared" ref="T53" si="114">S53+T52</f>
        <v>-7920935.1495021377</v>
      </c>
      <c r="U53" s="27">
        <f t="shared" ref="U53" si="115">T53+U52</f>
        <v>-6783185.8717851136</v>
      </c>
      <c r="V53" s="27">
        <f t="shared" ref="V53" si="116">U53+V52</f>
        <v>-5712840.5855277292</v>
      </c>
      <c r="W53" s="27">
        <f t="shared" ref="W53" si="117">V53+W52</f>
        <v>-4706328.8257011734</v>
      </c>
      <c r="X53" s="27">
        <f t="shared" ref="X53" si="118">W53+X52</f>
        <v>-3760206.2978984392</v>
      </c>
      <c r="Y53" s="27">
        <f t="shared" ref="Y53" si="119">X53+Y52</f>
        <v>-2871160.9065266959</v>
      </c>
      <c r="Z53" s="27">
        <f t="shared" ref="Z53" si="120">Y53+Z52</f>
        <v>-2036016.4527464607</v>
      </c>
      <c r="AA53" s="27">
        <f t="shared" ref="AA53" si="121">Z53+AA52</f>
        <v>-1251734.4194419538</v>
      </c>
      <c r="AB53" s="27">
        <f t="shared" ref="AB53" si="122">AA53+AB52</f>
        <v>-515414.19681813638</v>
      </c>
      <c r="AC53" s="27">
        <f t="shared" ref="AC53" si="123">AB53+AC52</f>
        <v>175707.95229194465</v>
      </c>
      <c r="AD53" s="7"/>
      <c r="AE53" s="7"/>
      <c r="AF53" s="7"/>
      <c r="AG53" s="7"/>
    </row>
    <row r="57" spans="1:33">
      <c r="A57" t="s">
        <v>10</v>
      </c>
      <c r="B57" s="102">
        <f>G53</f>
        <v>-30586154.543583218</v>
      </c>
    </row>
    <row r="58" spans="1:33">
      <c r="A58" t="s">
        <v>11</v>
      </c>
      <c r="B58" s="74">
        <f>1+B57/B28</f>
        <v>0.30642660554889267</v>
      </c>
    </row>
    <row r="59" spans="1:33">
      <c r="A59" t="s">
        <v>12</v>
      </c>
      <c r="B59" s="70">
        <f>IRR(B51:G51)</f>
        <v>-0.19199913437954008</v>
      </c>
    </row>
    <row r="60" spans="1:33">
      <c r="A60" s="28" t="s">
        <v>13</v>
      </c>
      <c r="B60" s="71">
        <f>B28/C50</f>
        <v>12.985948163532015</v>
      </c>
    </row>
    <row r="61" spans="1:33">
      <c r="A61" s="28" t="s">
        <v>14</v>
      </c>
      <c r="B61" s="71">
        <v>27</v>
      </c>
    </row>
    <row r="62" spans="1:33">
      <c r="A62" s="28" t="s">
        <v>64</v>
      </c>
      <c r="B62" s="4">
        <f>((C50-B28)/B28)*100%</f>
        <v>-0.92299368614389943</v>
      </c>
    </row>
  </sheetData>
  <mergeCells count="10">
    <mergeCell ref="AD47:AE47"/>
    <mergeCell ref="AD48:AE48"/>
    <mergeCell ref="AD1:AE1"/>
    <mergeCell ref="AD2:AE27"/>
    <mergeCell ref="AD41:AE41"/>
    <mergeCell ref="AD42:AE42"/>
    <mergeCell ref="AD43:AE43"/>
    <mergeCell ref="AD44:AE44"/>
    <mergeCell ref="AD28:AE39"/>
    <mergeCell ref="AD40:AE4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7" sqref="F17"/>
    </sheetView>
  </sheetViews>
  <sheetFormatPr defaultColWidth="8.6640625" defaultRowHeight="15.75"/>
  <cols>
    <col min="1" max="1" width="41.33203125" customWidth="1"/>
    <col min="2" max="2" width="26.88671875" customWidth="1"/>
    <col min="8" max="8" width="36.6640625" customWidth="1"/>
  </cols>
  <sheetData>
    <row r="1" spans="1:5">
      <c r="A1" s="34" t="s">
        <v>19</v>
      </c>
      <c r="B1" s="34" t="s">
        <v>20</v>
      </c>
    </row>
    <row r="2" spans="1:5">
      <c r="A2" s="35" t="s">
        <v>96</v>
      </c>
      <c r="B2" s="37">
        <f>'Стоимость команды'!B17</f>
        <v>40300800</v>
      </c>
    </row>
    <row r="3" spans="1:5">
      <c r="A3" s="35" t="s">
        <v>109</v>
      </c>
      <c r="B3" s="67">
        <f>249164+13400 + 538800*3 + (622908*3) + 722223*2/50</f>
        <v>3776576.92</v>
      </c>
    </row>
    <row r="4" spans="1:5" ht="30.75">
      <c r="A4" s="35" t="s">
        <v>97</v>
      </c>
      <c r="B4" s="37">
        <f>ЭФ3!B6+ЭФ3!B5</f>
        <v>22000</v>
      </c>
    </row>
    <row r="5" spans="1:5" ht="38.1" customHeight="1"/>
    <row r="6" spans="1:5">
      <c r="A6" s="34" t="s">
        <v>109</v>
      </c>
      <c r="B6" s="34" t="s">
        <v>121</v>
      </c>
    </row>
    <row r="7" spans="1:5" ht="60.75">
      <c r="A7" s="35" t="s">
        <v>114</v>
      </c>
      <c r="B7" s="37" t="s">
        <v>118</v>
      </c>
      <c r="C7" s="76"/>
      <c r="D7" s="77"/>
      <c r="E7" s="77"/>
    </row>
    <row r="8" spans="1:5" ht="45.75">
      <c r="A8" s="35" t="s">
        <v>113</v>
      </c>
      <c r="B8" s="37" t="s">
        <v>122</v>
      </c>
    </row>
    <row r="9" spans="1:5">
      <c r="A9" s="35"/>
      <c r="B9" s="37"/>
    </row>
    <row r="10" spans="1:5">
      <c r="A10" s="35" t="s">
        <v>110</v>
      </c>
      <c r="B10" s="37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90" zoomScaleNormal="90" workbookViewId="0">
      <selection activeCell="B18" sqref="B18"/>
    </sheetView>
  </sheetViews>
  <sheetFormatPr defaultColWidth="8.6640625" defaultRowHeight="15.75"/>
  <cols>
    <col min="1" max="1" width="31.33203125" customWidth="1"/>
    <col min="2" max="2" width="23.6640625" customWidth="1"/>
    <col min="3" max="3" width="91" customWidth="1"/>
    <col min="11" max="11" width="40.33203125" customWidth="1"/>
  </cols>
  <sheetData>
    <row r="1" spans="1:14">
      <c r="A1" s="33" t="s">
        <v>19</v>
      </c>
      <c r="B1" s="33" t="s">
        <v>20</v>
      </c>
      <c r="C1" s="29" t="s">
        <v>99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30">
      <c r="A2" s="36" t="s">
        <v>98</v>
      </c>
      <c r="B2" s="37">
        <f>5000000+945120*3</f>
        <v>7835360</v>
      </c>
      <c r="C2" s="38" t="s">
        <v>100</v>
      </c>
      <c r="D2" s="5"/>
      <c r="E2" s="5"/>
      <c r="F2" s="5"/>
      <c r="G2" s="5"/>
      <c r="H2" s="5"/>
    </row>
    <row r="3" spans="1:14">
      <c r="A3" s="36" t="s">
        <v>116</v>
      </c>
      <c r="B3" s="67">
        <f>87600*12</f>
        <v>1051200</v>
      </c>
      <c r="C3" t="s">
        <v>115</v>
      </c>
      <c r="D3" s="5"/>
      <c r="E3" s="5"/>
      <c r="F3" s="5"/>
      <c r="G3" s="5"/>
      <c r="H3" s="5"/>
    </row>
    <row r="5" spans="1:14" ht="84" customHeight="1">
      <c r="A5" s="5"/>
      <c r="F5" s="78"/>
    </row>
    <row r="6" spans="1:14">
      <c r="A6" s="81" t="s">
        <v>116</v>
      </c>
      <c r="B6" s="81" t="s">
        <v>119</v>
      </c>
      <c r="F6" s="79"/>
    </row>
    <row r="7" spans="1:14" ht="126">
      <c r="A7" s="82" t="s">
        <v>120</v>
      </c>
      <c r="B7" s="83" t="s">
        <v>112</v>
      </c>
      <c r="C7" s="80"/>
    </row>
    <row r="8" spans="1:14" ht="31.5">
      <c r="A8" s="82" t="s">
        <v>115</v>
      </c>
      <c r="B8" s="83" t="s">
        <v>117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17"/>
  <sheetViews>
    <sheetView workbookViewId="0">
      <selection activeCell="I28" sqref="I28"/>
    </sheetView>
  </sheetViews>
  <sheetFormatPr defaultColWidth="8.6640625" defaultRowHeight="15.75"/>
  <cols>
    <col min="1" max="1" width="28.44140625" customWidth="1"/>
    <col min="2" max="2" width="16.88671875" customWidth="1"/>
    <col min="3" max="3" width="11.6640625" customWidth="1"/>
    <col min="4" max="4" width="22.44140625" customWidth="1"/>
  </cols>
  <sheetData>
    <row r="1" spans="1:8">
      <c r="A1" s="29" t="s">
        <v>21</v>
      </c>
      <c r="B1" s="29" t="s">
        <v>22</v>
      </c>
      <c r="C1" s="29" t="s">
        <v>23</v>
      </c>
      <c r="D1" s="29" t="s">
        <v>20</v>
      </c>
    </row>
    <row r="2" spans="1:8">
      <c r="A2" s="30" t="s">
        <v>24</v>
      </c>
      <c r="B2" s="54">
        <v>0.8</v>
      </c>
      <c r="C2" s="46">
        <v>4000</v>
      </c>
      <c r="D2" s="46">
        <f>C2*B2*8*20*12</f>
        <v>6144000</v>
      </c>
    </row>
    <row r="3" spans="1:8">
      <c r="A3" s="30" t="s">
        <v>25</v>
      </c>
      <c r="B3" s="54">
        <v>1</v>
      </c>
      <c r="C3" s="46">
        <v>3300</v>
      </c>
      <c r="D3" s="46">
        <f t="shared" ref="D3:D10" si="0">C3*B3*8*20*12</f>
        <v>6336000</v>
      </c>
    </row>
    <row r="4" spans="1:8">
      <c r="A4" s="30" t="s">
        <v>26</v>
      </c>
      <c r="B4" s="54">
        <v>0.8</v>
      </c>
      <c r="C4" s="46">
        <v>3300</v>
      </c>
      <c r="D4" s="46">
        <f t="shared" si="0"/>
        <v>5068800</v>
      </c>
    </row>
    <row r="5" spans="1:8">
      <c r="A5" s="30" t="s">
        <v>27</v>
      </c>
      <c r="B5" s="54">
        <v>0.6</v>
      </c>
      <c r="C5" s="46">
        <v>3900</v>
      </c>
      <c r="D5" s="46">
        <f t="shared" si="0"/>
        <v>4492800</v>
      </c>
    </row>
    <row r="6" spans="1:8">
      <c r="A6" s="30" t="s">
        <v>28</v>
      </c>
      <c r="B6" s="54">
        <v>0.6</v>
      </c>
      <c r="C6" s="46">
        <v>3900</v>
      </c>
      <c r="D6" s="46">
        <f t="shared" si="0"/>
        <v>4492800</v>
      </c>
    </row>
    <row r="7" spans="1:8">
      <c r="A7" s="30" t="s">
        <v>29</v>
      </c>
      <c r="B7" s="54">
        <v>0.8</v>
      </c>
      <c r="C7" s="46">
        <v>4500</v>
      </c>
      <c r="D7" s="46">
        <f t="shared" si="0"/>
        <v>6912000</v>
      </c>
    </row>
    <row r="8" spans="1:8">
      <c r="A8" s="30" t="s">
        <v>30</v>
      </c>
      <c r="B8" s="54">
        <v>0.3</v>
      </c>
      <c r="C8" s="46">
        <v>3500</v>
      </c>
      <c r="D8" s="46">
        <f t="shared" si="0"/>
        <v>2016000</v>
      </c>
    </row>
    <row r="9" spans="1:8">
      <c r="A9" s="30" t="s">
        <v>31</v>
      </c>
      <c r="B9" s="54">
        <v>0.3</v>
      </c>
      <c r="C9" s="46">
        <v>4500</v>
      </c>
      <c r="D9" s="46">
        <f t="shared" si="0"/>
        <v>2592000</v>
      </c>
    </row>
    <row r="10" spans="1:8">
      <c r="A10" s="30" t="s">
        <v>32</v>
      </c>
      <c r="B10" s="54">
        <v>0.3</v>
      </c>
      <c r="C10" s="46">
        <v>3900</v>
      </c>
      <c r="D10" s="46">
        <f t="shared" si="0"/>
        <v>2246400</v>
      </c>
    </row>
    <row r="13" spans="1:8">
      <c r="C13" s="28"/>
      <c r="D13" s="28"/>
      <c r="E13" s="28"/>
      <c r="F13" s="28"/>
      <c r="G13" s="28"/>
      <c r="H13" s="28"/>
    </row>
    <row r="17" spans="1:2">
      <c r="A17" s="32" t="s">
        <v>33</v>
      </c>
      <c r="B17" s="31">
        <f>SUM(D2:D10)</f>
        <v>40300800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12"/>
  <sheetViews>
    <sheetView workbookViewId="0">
      <selection activeCell="B9" sqref="B9"/>
    </sheetView>
  </sheetViews>
  <sheetFormatPr defaultColWidth="8.6640625" defaultRowHeight="15.75"/>
  <cols>
    <col min="1" max="1" width="53" customWidth="1"/>
    <col min="2" max="2" width="14.88671875" customWidth="1"/>
  </cols>
  <sheetData>
    <row r="1" spans="1:2">
      <c r="A1" s="34" t="s">
        <v>41</v>
      </c>
      <c r="B1" s="34" t="s">
        <v>42</v>
      </c>
    </row>
    <row r="2" spans="1:2" ht="30.75">
      <c r="A2" s="40" t="s">
        <v>40</v>
      </c>
      <c r="B2" s="56">
        <v>1</v>
      </c>
    </row>
    <row r="3" spans="1:2">
      <c r="A3" s="40" t="s">
        <v>44</v>
      </c>
      <c r="B3" s="47">
        <v>489745</v>
      </c>
    </row>
    <row r="4" spans="1:2">
      <c r="A4" s="40" t="s">
        <v>43</v>
      </c>
      <c r="B4" s="56">
        <v>6</v>
      </c>
    </row>
    <row r="5" spans="1:2" ht="30.75">
      <c r="A5" s="40" t="s">
        <v>65</v>
      </c>
      <c r="B5" s="57">
        <v>517345</v>
      </c>
    </row>
    <row r="6" spans="1:2" ht="30.75">
      <c r="A6" s="40" t="s">
        <v>38</v>
      </c>
      <c r="B6" s="58">
        <v>0.85</v>
      </c>
    </row>
    <row r="7" spans="1:2">
      <c r="A7" s="39"/>
      <c r="B7" s="56"/>
    </row>
    <row r="8" spans="1:2">
      <c r="A8" s="40" t="s">
        <v>39</v>
      </c>
      <c r="B8" s="56">
        <f>B2*B6</f>
        <v>0.85</v>
      </c>
    </row>
    <row r="9" spans="1:2">
      <c r="A9" s="40" t="s">
        <v>45</v>
      </c>
      <c r="B9" s="47">
        <f>B8*B3</f>
        <v>416283.25</v>
      </c>
    </row>
    <row r="10" spans="1:2">
      <c r="A10" s="40" t="s">
        <v>46</v>
      </c>
      <c r="B10" s="57">
        <f>B8*B4*B5</f>
        <v>2638459.5</v>
      </c>
    </row>
    <row r="11" spans="1:2">
      <c r="A11" s="39"/>
      <c r="B11" s="56"/>
    </row>
    <row r="12" spans="1:2">
      <c r="A12" s="41" t="s">
        <v>47</v>
      </c>
      <c r="B12" s="47">
        <f>B9+B10</f>
        <v>3054742.75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12"/>
  <sheetViews>
    <sheetView workbookViewId="0">
      <selection activeCell="B6" sqref="B6"/>
    </sheetView>
  </sheetViews>
  <sheetFormatPr defaultColWidth="8.6640625" defaultRowHeight="15.75"/>
  <cols>
    <col min="1" max="1" width="42.44140625" customWidth="1"/>
    <col min="2" max="2" width="21.6640625" customWidth="1"/>
    <col min="3" max="3" width="15.88671875" customWidth="1"/>
    <col min="7" max="7" width="61.6640625" customWidth="1"/>
    <col min="8" max="8" width="16" customWidth="1"/>
  </cols>
  <sheetData>
    <row r="1" spans="1:8" ht="31.5">
      <c r="A1" s="44" t="s">
        <v>53</v>
      </c>
      <c r="B1" s="44" t="s">
        <v>50</v>
      </c>
    </row>
    <row r="2" spans="1:8" ht="30.75">
      <c r="A2" s="40" t="s">
        <v>102</v>
      </c>
      <c r="B2" s="53">
        <v>33</v>
      </c>
    </row>
    <row r="3" spans="1:8">
      <c r="A3" s="40" t="s">
        <v>103</v>
      </c>
      <c r="B3" s="52">
        <v>60000</v>
      </c>
    </row>
    <row r="4" spans="1:8" ht="7.5" hidden="1" customHeight="1">
      <c r="A4" s="39"/>
      <c r="B4" s="36"/>
    </row>
    <row r="5" spans="1:8">
      <c r="A5" s="34" t="s">
        <v>49</v>
      </c>
      <c r="B5" s="51" t="s">
        <v>50</v>
      </c>
      <c r="G5" s="2"/>
      <c r="H5" s="2"/>
    </row>
    <row r="6" spans="1:8" ht="30.75">
      <c r="A6" s="40" t="s">
        <v>48</v>
      </c>
      <c r="B6" s="54">
        <v>5</v>
      </c>
      <c r="H6" s="3"/>
    </row>
    <row r="7" spans="1:8">
      <c r="A7" s="40" t="s">
        <v>51</v>
      </c>
      <c r="B7" s="46">
        <f>B2*B3</f>
        <v>1980000</v>
      </c>
      <c r="C7" s="1"/>
      <c r="H7" s="3"/>
    </row>
    <row r="8" spans="1:8">
      <c r="A8" s="40" t="s">
        <v>52</v>
      </c>
      <c r="B8" s="55">
        <v>0.85</v>
      </c>
    </row>
    <row r="9" spans="1:8">
      <c r="A9" s="39"/>
      <c r="B9" s="54"/>
    </row>
    <row r="10" spans="1:8">
      <c r="A10" s="39"/>
      <c r="B10" s="54"/>
    </row>
    <row r="11" spans="1:8">
      <c r="A11" s="45" t="s">
        <v>54</v>
      </c>
      <c r="B11" s="46">
        <f>B6*B7*B8</f>
        <v>8415000</v>
      </c>
      <c r="C11" s="1"/>
    </row>
    <row r="12" spans="1:8">
      <c r="B12" s="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2"/>
  <sheetViews>
    <sheetView workbookViewId="0">
      <selection activeCell="B8" sqref="B8"/>
    </sheetView>
  </sheetViews>
  <sheetFormatPr defaultColWidth="8.6640625" defaultRowHeight="15.75"/>
  <cols>
    <col min="1" max="1" width="43" customWidth="1"/>
    <col min="2" max="2" width="26.6640625" customWidth="1"/>
    <col min="3" max="3" width="15.6640625" bestFit="1" customWidth="1"/>
    <col min="4" max="4" width="14.88671875" customWidth="1"/>
  </cols>
  <sheetData>
    <row r="1" spans="1:4">
      <c r="A1" s="48" t="s">
        <v>49</v>
      </c>
      <c r="B1" s="48" t="s">
        <v>50</v>
      </c>
      <c r="C1" s="48" t="s">
        <v>101</v>
      </c>
    </row>
    <row r="2" spans="1:4" ht="30.75">
      <c r="A2" s="35" t="s">
        <v>55</v>
      </c>
      <c r="B2" s="37">
        <v>300000</v>
      </c>
      <c r="C2" s="64" t="s">
        <v>105</v>
      </c>
      <c r="D2" s="1"/>
    </row>
    <row r="3" spans="1:4" ht="30.75">
      <c r="A3" s="35" t="s">
        <v>56</v>
      </c>
      <c r="B3" s="63">
        <v>200000</v>
      </c>
      <c r="C3" s="66" t="s">
        <v>106</v>
      </c>
      <c r="D3" s="1"/>
    </row>
    <row r="4" spans="1:4">
      <c r="A4" s="35"/>
      <c r="B4" s="49"/>
      <c r="C4" s="65"/>
    </row>
    <row r="5" spans="1:4">
      <c r="A5" s="35" t="s">
        <v>67</v>
      </c>
      <c r="B5" s="37">
        <v>2000</v>
      </c>
      <c r="C5" s="30"/>
      <c r="D5" s="1"/>
    </row>
    <row r="6" spans="1:4" ht="30.75">
      <c r="A6" s="35" t="s">
        <v>57</v>
      </c>
      <c r="B6" s="37">
        <v>20000</v>
      </c>
      <c r="C6" s="30"/>
      <c r="D6" s="1"/>
    </row>
    <row r="7" spans="1:4" hidden="1">
      <c r="A7" s="30"/>
      <c r="B7" s="36"/>
      <c r="C7" s="30"/>
    </row>
    <row r="8" spans="1:4">
      <c r="A8" s="32" t="s">
        <v>58</v>
      </c>
      <c r="B8" s="37">
        <f>B2+B3-B6-B5</f>
        <v>478000</v>
      </c>
      <c r="C8" s="30"/>
      <c r="D8" s="1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7"/>
  <sheetViews>
    <sheetView workbookViewId="0">
      <selection activeCell="B7" sqref="B7"/>
    </sheetView>
  </sheetViews>
  <sheetFormatPr defaultColWidth="8.6640625" defaultRowHeight="15.75"/>
  <cols>
    <col min="1" max="1" width="40.44140625" customWidth="1"/>
    <col min="2" max="2" width="14.88671875" customWidth="1"/>
  </cols>
  <sheetData>
    <row r="1" spans="1:2">
      <c r="A1" s="33" t="s">
        <v>41</v>
      </c>
      <c r="B1" s="33" t="s">
        <v>42</v>
      </c>
    </row>
    <row r="2" spans="1:2" ht="30.75">
      <c r="A2" s="35" t="s">
        <v>59</v>
      </c>
      <c r="B2" s="54">
        <v>4</v>
      </c>
    </row>
    <row r="3" spans="1:2" ht="30.75">
      <c r="A3" s="35" t="s">
        <v>60</v>
      </c>
      <c r="B3" s="54">
        <v>6</v>
      </c>
    </row>
    <row r="4" spans="1:2" ht="30.75">
      <c r="A4" s="35" t="s">
        <v>61</v>
      </c>
      <c r="B4" s="46">
        <v>100000</v>
      </c>
    </row>
    <row r="5" spans="1:2" ht="30.75">
      <c r="A5" s="35" t="s">
        <v>62</v>
      </c>
      <c r="B5" s="54">
        <v>2</v>
      </c>
    </row>
    <row r="6" spans="1:2" hidden="1">
      <c r="A6" s="35"/>
      <c r="B6" s="54"/>
    </row>
    <row r="7" spans="1:2" ht="30.75">
      <c r="A7" s="50" t="s">
        <v>63</v>
      </c>
      <c r="B7" s="46">
        <f>(B2-B5)*B3*B4</f>
        <v>1200000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5"/>
  <sheetViews>
    <sheetView zoomScale="90" zoomScaleNormal="90" workbookViewId="0">
      <selection activeCell="C12" sqref="C12"/>
    </sheetView>
  </sheetViews>
  <sheetFormatPr defaultColWidth="8.6640625" defaultRowHeight="15.75"/>
  <cols>
    <col min="1" max="1" width="42.5546875" customWidth="1"/>
    <col min="2" max="2" width="9.44140625" customWidth="1"/>
    <col min="3" max="3" width="41.6640625" customWidth="1"/>
  </cols>
  <sheetData>
    <row r="1" spans="1:3">
      <c r="A1" s="33" t="s">
        <v>69</v>
      </c>
      <c r="B1" s="33" t="s">
        <v>50</v>
      </c>
      <c r="C1" s="43" t="s">
        <v>68</v>
      </c>
    </row>
    <row r="2" spans="1:3">
      <c r="A2" s="30" t="s">
        <v>70</v>
      </c>
      <c r="B2" s="59">
        <v>1</v>
      </c>
      <c r="C2" s="35" t="s">
        <v>71</v>
      </c>
    </row>
    <row r="3" spans="1:3" ht="30.75">
      <c r="A3" s="30" t="s">
        <v>72</v>
      </c>
      <c r="B3" s="60">
        <v>5.5E-2</v>
      </c>
      <c r="C3" s="35" t="s">
        <v>73</v>
      </c>
    </row>
    <row r="4" spans="1:3" ht="30.75">
      <c r="A4" s="30" t="s">
        <v>74</v>
      </c>
      <c r="B4" s="61">
        <v>1.2</v>
      </c>
      <c r="C4" s="35" t="s">
        <v>75</v>
      </c>
    </row>
    <row r="5" spans="1:3">
      <c r="A5" s="30" t="s">
        <v>76</v>
      </c>
      <c r="B5" s="59">
        <v>0.16600000000000001</v>
      </c>
      <c r="C5" s="35" t="s">
        <v>77</v>
      </c>
    </row>
    <row r="6" spans="1:3" ht="30.75">
      <c r="A6" s="30" t="s">
        <v>78</v>
      </c>
      <c r="B6" s="59">
        <v>0.105</v>
      </c>
      <c r="C6" s="35" t="s">
        <v>79</v>
      </c>
    </row>
    <row r="7" spans="1:3" ht="30.75">
      <c r="A7" s="30" t="s">
        <v>80</v>
      </c>
      <c r="B7" s="42">
        <v>0.35</v>
      </c>
      <c r="C7" s="35" t="s">
        <v>81</v>
      </c>
    </row>
    <row r="8" spans="1:3">
      <c r="A8" s="30" t="s">
        <v>82</v>
      </c>
      <c r="B8" s="42">
        <v>0.2</v>
      </c>
      <c r="C8" s="35" t="s">
        <v>83</v>
      </c>
    </row>
    <row r="9" spans="1:3" ht="30.75">
      <c r="A9" s="35" t="s">
        <v>84</v>
      </c>
      <c r="B9" s="42">
        <v>0.14000000000000001</v>
      </c>
      <c r="C9" s="30"/>
    </row>
    <row r="10" spans="1:3" ht="45.75">
      <c r="A10" s="30" t="s">
        <v>85</v>
      </c>
      <c r="B10" s="42">
        <v>0.01</v>
      </c>
      <c r="C10" s="35" t="s">
        <v>86</v>
      </c>
    </row>
    <row r="11" spans="1:3" ht="45.75">
      <c r="A11" s="30" t="s">
        <v>87</v>
      </c>
      <c r="B11" s="62">
        <v>5.0000000000000001E-3</v>
      </c>
      <c r="C11" s="35" t="s">
        <v>88</v>
      </c>
    </row>
    <row r="12" spans="1:3" ht="45.75">
      <c r="A12" s="30" t="s">
        <v>89</v>
      </c>
      <c r="B12" s="62">
        <v>5.0000000000000001E-3</v>
      </c>
      <c r="C12" s="35" t="s">
        <v>90</v>
      </c>
    </row>
    <row r="13" spans="1:3" ht="45.75">
      <c r="A13" s="30" t="s">
        <v>91</v>
      </c>
      <c r="B13" s="42">
        <v>0</v>
      </c>
      <c r="C13" s="35" t="s">
        <v>92</v>
      </c>
    </row>
    <row r="14" spans="1:3" ht="45.75">
      <c r="A14" s="30" t="s">
        <v>93</v>
      </c>
      <c r="B14" s="42">
        <v>0</v>
      </c>
      <c r="C14" s="35" t="s">
        <v>94</v>
      </c>
    </row>
    <row r="15" spans="1:3">
      <c r="A15" s="30" t="s">
        <v>95</v>
      </c>
      <c r="B15" s="68">
        <v>0.16000000000000003</v>
      </c>
      <c r="C1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СВОД НА 1 ДВИГАТЕЛЬ</vt:lpstr>
      <vt:lpstr>CAPEX</vt:lpstr>
      <vt:lpstr>OPEX</vt:lpstr>
      <vt:lpstr>Стоимость команды</vt:lpstr>
      <vt:lpstr>ЭФ1</vt:lpstr>
      <vt:lpstr>ЭФ2</vt:lpstr>
      <vt:lpstr>ЭФ3</vt:lpstr>
      <vt:lpstr>ЭФ4</vt:lpstr>
      <vt:lpstr>Ставка дисконтирования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Марченко</dc:creator>
  <cp:lastModifiedBy>R</cp:lastModifiedBy>
  <dcterms:created xsi:type="dcterms:W3CDTF">2025-07-10T08:51:07Z</dcterms:created>
  <dcterms:modified xsi:type="dcterms:W3CDTF">2025-08-27T22:40:51Z</dcterms:modified>
</cp:coreProperties>
</file>