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30720" windowHeight="13692" activeTab="1"/>
  </bookViews>
  <sheets>
    <sheet name="ЕП с размещением" sheetId="7" r:id="rId1"/>
    <sheet name=" ЕП до 600 т.р (п.4)" sheetId="2" r:id="rId2"/>
    <sheet name="ТОРГИ" sheetId="3" r:id="rId3"/>
    <sheet name="Гарантийные обязательства" sheetId="6" r:id="rId4"/>
    <sheet name="ФАС" sheetId="8" r:id="rId5"/>
    <sheet name="Лист1" sheetId="10" r:id="rId6"/>
  </sheets>
  <definedNames>
    <definedName name="_xlnm._FilterDatabase" localSheetId="1" hidden="1">' ЕП до 600 т.р (п.4)'!$A$1:$Z$71</definedName>
    <definedName name="_xlnm._FilterDatabase" localSheetId="0" hidden="1">'ЕП с размещением'!$B$1:$AC$43</definedName>
    <definedName name="_xlnm._FilterDatabase" localSheetId="2" hidden="1">ТОРГИ!$A$1:$S$49</definedName>
    <definedName name="_xlnm.Print_Area" localSheetId="1">' ЕП до 600 т.р (п.4)'!$A$2:$S$6</definedName>
    <definedName name="_xlnm.Print_Area" localSheetId="2">ТОРГИ!$A$1:$S$1</definedName>
  </definedNames>
  <calcPr calcId="152511" refMode="R1C1"/>
</workbook>
</file>

<file path=xl/calcChain.xml><?xml version="1.0" encoding="utf-8"?>
<calcChain xmlns="http://schemas.openxmlformats.org/spreadsheetml/2006/main">
  <c r="L15" i="2" l="1"/>
  <c r="L16" i="2"/>
  <c r="L17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21" i="2"/>
  <c r="O49" i="3"/>
  <c r="L3" i="2"/>
  <c r="L4" i="2"/>
  <c r="L5" i="2"/>
  <c r="L6" i="2"/>
  <c r="L8" i="2"/>
  <c r="L9" i="2"/>
  <c r="L10" i="2"/>
  <c r="L11" i="2"/>
  <c r="L12" i="2"/>
  <c r="O50" i="3" l="1"/>
  <c r="R13" i="2" l="1"/>
  <c r="Y31" i="3" l="1"/>
  <c r="T34" i="7"/>
  <c r="T32" i="7"/>
  <c r="T36" i="7"/>
  <c r="T33" i="7"/>
  <c r="Q51" i="2" l="1"/>
  <c r="T30" i="7" l="1"/>
  <c r="T28" i="7"/>
  <c r="T27" i="7"/>
  <c r="T29" i="7" l="1"/>
  <c r="Q29" i="7" s="1"/>
  <c r="U29" i="7"/>
  <c r="L20" i="2" l="1"/>
  <c r="Q13" i="2"/>
  <c r="P13" i="2"/>
  <c r="O13" i="2"/>
  <c r="L13" i="2" s="1"/>
  <c r="U29" i="3" l="1"/>
  <c r="U38" i="7" l="1"/>
  <c r="O48" i="3" l="1"/>
  <c r="L18" i="2" l="1"/>
  <c r="M12" i="2"/>
  <c r="Q14" i="2" l="1"/>
  <c r="L14" i="2" s="1"/>
  <c r="Q7" i="2" l="1"/>
  <c r="O46" i="3" l="1"/>
  <c r="U34" i="7"/>
  <c r="U32" i="7"/>
  <c r="U36" i="7"/>
  <c r="U33" i="7"/>
  <c r="U22" i="3" l="1"/>
  <c r="X31" i="3"/>
  <c r="W31" i="3"/>
  <c r="U31" i="3"/>
  <c r="O7" i="2" l="1"/>
  <c r="S33" i="7" l="1"/>
  <c r="S32" i="7"/>
  <c r="S36" i="7"/>
  <c r="Q27" i="7"/>
  <c r="S34" i="7"/>
  <c r="P7" i="2" l="1"/>
  <c r="L7" i="2" s="1"/>
  <c r="L19" i="2" l="1"/>
  <c r="S28" i="7" l="1"/>
  <c r="Q28" i="7" s="1"/>
  <c r="S30" i="7"/>
  <c r="Q30" i="7" s="1"/>
  <c r="Q25" i="7" l="1"/>
  <c r="Q23" i="7"/>
  <c r="Q39" i="7" l="1"/>
  <c r="U28" i="3" l="1"/>
  <c r="R35" i="7" l="1"/>
  <c r="R34" i="7"/>
  <c r="R33" i="7"/>
  <c r="R32" i="7"/>
  <c r="R36" i="7" l="1"/>
  <c r="U19" i="3"/>
  <c r="V8" i="3" l="1"/>
  <c r="U20" i="3" l="1"/>
  <c r="U27" i="3" l="1"/>
  <c r="M8" i="2" l="1"/>
  <c r="V18" i="3" l="1"/>
  <c r="U18" i="3" s="1"/>
  <c r="W23" i="3" l="1"/>
  <c r="U23" i="3" s="1"/>
  <c r="Q40" i="7" l="1"/>
  <c r="U25" i="3"/>
  <c r="Q37" i="7" l="1"/>
  <c r="Q26" i="7"/>
  <c r="Q24" i="7"/>
  <c r="Q32" i="7"/>
  <c r="L2" i="2" l="1"/>
  <c r="U21" i="3" l="1"/>
  <c r="S35" i="7" l="1"/>
  <c r="Q35" i="7" s="1"/>
  <c r="Q34" i="7"/>
  <c r="Q33" i="7"/>
  <c r="Q36" i="7"/>
  <c r="V7" i="3" l="1"/>
  <c r="O36" i="3" l="1"/>
  <c r="O44" i="3"/>
  <c r="O43" i="3"/>
  <c r="O42" i="3"/>
  <c r="O41" i="3"/>
  <c r="O38" i="3"/>
  <c r="O45" i="3"/>
  <c r="O37" i="3"/>
  <c r="O40" i="3"/>
  <c r="O39" i="3"/>
  <c r="O34" i="3"/>
  <c r="O29" i="3"/>
  <c r="O32" i="3"/>
  <c r="O27" i="3"/>
  <c r="O28" i="3"/>
  <c r="O26" i="3"/>
  <c r="O25" i="3"/>
  <c r="O24" i="3"/>
  <c r="O22" i="3"/>
  <c r="O21" i="3"/>
  <c r="O20" i="3"/>
  <c r="O19" i="3"/>
  <c r="O18" i="3"/>
  <c r="O17" i="3"/>
  <c r="O16" i="3"/>
  <c r="O14" i="3"/>
  <c r="O12" i="3"/>
  <c r="O3" i="7"/>
  <c r="O4" i="7"/>
  <c r="O5" i="7"/>
  <c r="O6" i="7"/>
  <c r="O7" i="7"/>
  <c r="O8" i="7"/>
  <c r="O9" i="7"/>
  <c r="O11" i="7"/>
  <c r="O12" i="7"/>
  <c r="O13" i="7"/>
  <c r="O14" i="7"/>
  <c r="O15" i="7"/>
  <c r="O16" i="7"/>
  <c r="O17" i="7"/>
  <c r="O18" i="7"/>
  <c r="O19" i="7"/>
  <c r="O20" i="7"/>
  <c r="O21" i="7"/>
  <c r="O22" i="7"/>
  <c r="O2" i="7"/>
  <c r="M5" i="2" l="1"/>
  <c r="M7" i="2"/>
  <c r="M14" i="2"/>
  <c r="M21" i="2"/>
  <c r="M22" i="2"/>
  <c r="M24" i="2"/>
  <c r="M25" i="2"/>
  <c r="M26" i="2"/>
  <c r="M27" i="2"/>
  <c r="M28" i="2"/>
  <c r="M30" i="2"/>
  <c r="M15" i="2" l="1"/>
  <c r="O10" i="3" l="1"/>
  <c r="O6" i="3"/>
  <c r="O5" i="3" l="1"/>
  <c r="O4" i="3" l="1"/>
  <c r="O2" i="3" l="1"/>
</calcChain>
</file>

<file path=xl/comments1.xml><?xml version="1.0" encoding="utf-8"?>
<comments xmlns="http://schemas.openxmlformats.org/spreadsheetml/2006/main">
  <authors>
    <author>Автор</author>
  </authors>
  <commentList>
    <comment ref="R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от 12.01.2021 № 159549 за декабрь; </t>
        </r>
      </text>
    </comment>
    <comment ref="R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261906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261907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261904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261903 от 18.01.2021_декабрь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69_00002284446 от 12.01.2021; ПП № 244074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69_00002285265 от 12.01.2021; ПП № 244073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9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70_00002293875 от 12.01.202; ПП № 244076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628529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628543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628532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19.01.2021; ПП № 628536 от 25.01.2021_декабрь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5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27_00000060325 от 13.01.2021; ПП № 290941 от 19.01.2021_декабрь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 № 842007/50/033944 от 12.01.2021; ПП № 244075 от 15.01.2021_декабрь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7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Э/69/76383 от 19.01.2020; ПП № 718847 от 26.01.2021_декабрь;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Э/62/96851 от 20.01.2021; ПП № 718849 от 26.01.2020_декабрь;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Э/64/99146 от 20.01.2021№ ПП № 718846 от 26.01.2021_декабрь;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Э/62/100110 от 21.01.2021; ПП № 718848 от 26.01.2021_декабрь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718850 от 26.01.2021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770001304720 от 31.12.2020; ПП № 159548 от 12.01.2021_декабрь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129164 от 04.02.2021; ПП № 278002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271356 от 04.03.2021; ПП № 859100 от 10.03.2021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459135 от 06.04.2021; ПП № 859775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55277 от 02.02.2021; ПП  № 130621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244577 от 03.03.2021; ПП № 859090 от 10.03.2021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459136 от 06.04.2021; ПП № 859779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244578 от 03.03.2021; ПП № 758485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55278 от 02.02.2021; ПП № 130626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244579 от 03.03.2021; ПП № 758483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459137 от 06.04.2021; ПП № 859758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12.01.2021; ПП № 464047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12.03.2021; ПП № 750142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154963 от 02.03.2021; акт от 12.04.2021;  ПП № 392409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209116 от 02.04.201_аванс; акт от 12.04.2021;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акт от 12.01.2021;
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464045 от 20.02.2021; акт от 12.03.2021; ПП № 750138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154970 от 02.03.2021; акт от 12.04.2021; ПП № 392417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209122 от 02.04.2021_аванс; акт от 12.04.2021;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2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12.20.2021; ПП № 464053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12.03.2021; ПП № 750143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154968 от 02.03.2021; акт от 12.04.2021; ПП № 392403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209124 от 02.04.2021_аванс; акт от 12.04.2021; ПП № 392403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3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12.02.2021; ПП № 464057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793017 от 25.02.2021_аванс; акт от 12.03.2021; ПП № 750139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154966 от 02.03.2021; акт от 12.04.2021; ПП № 392421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209120 от 02.04.2021_аванс; акт от 12.04.2021;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№ 169221 от 13.01.2021_аванс 30%; ПП № 261901 от 18.01.2021_аванс 40%; УПД № Э/62/6947 от 15.02.2021; ПП № 460435 от 20.02.2021 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128664 от 09.02.2021_аванс 30%; ПП № 831227 от 16.02.2021_аванс40%; УПД № Э/62/14738 от 16.03.2021; ПП № 750146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 № 530277 от 04.03.2021_аванс 30%; ПП № 445206 от 16.03.2021; УПД № Э/62/22539 от 15.04.2021; ПП № 692713 от 19,04.2021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618122 от 07.04.2021_аванс 30%; ПП № 789772 от 20.04.2021_аванс 40%;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2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824091 (аванс 30,40 май)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169222 от 13.01.2021_аванс 30%, 40%; УПД № Э/62/3709 от 15.02.2021; ПП № 460430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130625 от 09.02.2021_аванс 30%, 40%; УПД № Э/62/11497 от 16.03.2021; ПП № 750148 от 18.03.2021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530273 от 04.03.2021_аванс; УПД № Э/62/19295 от 15.04.2021; ПП № 692695 от 19.04.2021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 № 618119 от 07.04.2021;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3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824086</t>
        </r>
      </text>
    </comment>
    <comment ref="R34" authorId="0" shapeId="0">
      <text>
        <r>
          <rPr>
            <sz val="9"/>
            <color indexed="81"/>
            <rFont val="Tahoma"/>
            <family val="2"/>
            <charset val="204"/>
          </rPr>
          <t>ПП № 169220 от 13.01.2021_аванс 30%, 40%;
УПД № Э/64/2042 от 15.02.2021; ПП № 460433 от 20.02.2021</t>
        </r>
      </text>
    </comment>
    <comment ref="S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 № 128662 от 09.02.2021_аванс 30%, 40%; УПД № Э/64/10244 от 16.03.2021; ПП № 750147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№ 530276 от 04.03.2021_аванс; УПД № Э/64/18497 от 15.04.2021; ПП № 789770 от 20.04.2021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618111 от 07.04.2021_аванс;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824084 (аванс 30.40)</t>
        </r>
      </text>
    </comment>
    <comment ref="R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№169218 от 13.01.2021_аванс 30%, 40%; УПД № Э/64/7831 от 15.02.2021; ПП № 460431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128658 от 09.02.2021_аванс 30%, 40%;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530278 от 04.03.2021_аванс; УПД № Э/64/24300 от 15.04.2021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824093 (аванс 30.40 май)</t>
        </r>
      </text>
    </comment>
    <comment ref="R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169219 от 13.01.2021_аванс, 30%, 40%; УПД № Э/69/15620 от 15.02.2021; ПП № 460434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128653 от 09.02.2021_аванс 30%, 40%; УПД № Э/69/21356 от 16.03.2021; ПП № 750145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530274 от 04.03.2021_аванс; УПД № Э/69/31155 от 14.04.2021; ПП № 692705 от 19.04.2021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 № 618125 от 07.04.2021_аванс;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824089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3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02.02.2021; ПП № 130629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552997 от 05.03.2021;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02.04.2021; ПП № 618129 от 07.04.2021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3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545537, 545529 от 06.04.2021</t>
        </r>
      </text>
    </comment>
    <comment ref="R3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842107/50/002155 от 17.02.2021; ПП № 817252 от 26.02.2021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3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842107/50/004718 от 04.03.2021; ПП № 859103 от 10.03.2021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3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842107 50 006253 от 06.04.2021; ПП № 859771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27_10000002324 от 04.02.2021; ПП № 130635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27_10000007620 от 05.03.2021; ПП № 88043 от 12.03.2021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27_10000013269 от 06.04.2021;  ПП № 859764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69/12000165298 от 10.02.2021; ПП № 646783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1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69_10000289067 от 03.03.2021; ПП  № 758496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1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69_10000441447 от 06.04.2021; ПП № 859787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69/12000160341 от 10.02.2021; ПП № 646774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2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69_10000289844 от 03.03.2021; ПП  № 758490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2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УПД № 69_10000442211 от 06.04.2021; ПП № 859753 от 09.04.2021 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70/12000171338 от 10.02.2021; ПП № 646781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3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70_10000298017 от 03.03.2021; ПП № 758493 от 09.03.2021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70_10000450318 от 06.04.2021; ПП № 859760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175 от 31.03.2021; ПП № 202610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4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174 от 31.03.2021; ПП № 202595 от 02.04 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Автор</author>
  </authors>
  <commentList>
    <comment ref="Q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19442 от 01.03.2021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256857 от 29.01.2021_ноябрь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СПГУ-000023 от 23.11.2021; ПП № 472605 от 11.02.2021_октябрь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3" authorId="0" shapeId="0">
      <text>
        <r>
          <rPr>
            <b/>
            <sz val="9"/>
            <color indexed="81"/>
            <rFont val="Tahoma"/>
            <family val="2"/>
            <charset val="204"/>
          </rPr>
          <t>Какт № СПГУ-000002 от 17.02.2021. ПП от 23.03.2021 № 135610</t>
        </r>
      </text>
    </comment>
    <comment ref="O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463386 от 11.02.2021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445203 от 16.03.2021</t>
        </r>
      </text>
    </comment>
    <comment ref="Q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209111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S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22.05.2020 № 411748</t>
        </r>
      </text>
    </comment>
    <comment ref="O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25.02.2020 № 749084</t>
        </r>
      </text>
    </comment>
    <comment ref="P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11.03.2020 № 519489</t>
        </r>
      </text>
    </comment>
    <comment ref="Q5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12.05.2020 № 615674</t>
        </r>
      </text>
    </comment>
    <comment ref="S5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подписала счет от16.06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77000005340 от 31.01.2021; ПП № 278008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77000114052 от 28.02.2021; ПП № 154972 от 02.03.2021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6" authorId="0" shapeId="0">
      <text>
        <r>
          <rPr>
            <b/>
            <sz val="9"/>
            <color indexed="81"/>
            <rFont val="Tahoma"/>
            <family val="2"/>
            <charset val="204"/>
          </rPr>
          <t>ПП 3 209114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628526 от 25.01.2021 (за январь 9840); ПП № 628546 от 25.01.2021. (за декабрь) акты № 523, № 637 от 31.01.2021;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134437 (455,37);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акты № 1639, 1718 от 28.02.2021;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134438 (1363,86); ПП от 23.03.2021 № 134436 (9840)</t>
        </r>
      </text>
    </comment>
    <comment ref="Q7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 ПП от 23.03.2021 № 134435 (9840)</t>
        </r>
      </text>
    </comment>
    <comment ref="Q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88030 от 12.03.2021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от 15.05.2020 № 810094 </t>
        </r>
      </text>
    </comment>
    <comment ref="S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478961 от 22.06.2020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23163 от 21.08.2020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23160 от 21.08.2020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K9" authorId="0" shapeId="0">
      <text>
        <r>
          <rPr>
            <sz val="9"/>
            <color indexed="81"/>
            <rFont val="Tahoma"/>
            <family val="2"/>
            <charset val="204"/>
          </rPr>
          <t xml:space="preserve"> </t>
        </r>
        <r>
          <rPr>
            <b/>
            <sz val="9"/>
            <color indexed="81"/>
            <rFont val="Tahoma"/>
            <family val="2"/>
            <charset val="204"/>
          </rPr>
          <t>за 2018 15 600,00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9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309296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41676 от 28.01.2021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18.02.2020 № 436908</t>
        </r>
      </text>
    </comment>
    <comment ref="Q1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713623 от 29.03.2021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12" authorId="0" shapeId="0">
      <text>
        <r>
          <rPr>
            <sz val="9"/>
            <color indexed="81"/>
            <rFont val="Tahoma"/>
            <family val="2"/>
            <charset val="204"/>
          </rPr>
          <t>ПП от 04.05.2021 № 48670</t>
        </r>
      </text>
    </comment>
    <comment ref="K13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Неопределенный объем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628546, 628526 от 25.01.2021; ПП № 134437 от 23.03.2021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134438, 134436 от 23.03.2021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134435 от 23.02.2021; ПП № 24857 от 21.04.2021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24856 от 21.04.2021;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4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24.03.2021 № 309283; акт  № 25 от 31.032.2021;</t>
        </r>
      </text>
    </comment>
    <comment ref="U1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297789 от 10.08.2020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2343/7431 от 31.01.2021;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5" authorId="0" shapeId="0">
      <text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5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07463-14363403-2021 от 06.04.2021;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130638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445201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 от 31.01.2021; ПП № 646777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40 от 28.20.2021; ПП № 88027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74 от 31.03.2021; ПП № 589486 от 16.04.2021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278008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154975 от 02.03.2021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209114 от 02.04.2021</t>
        </r>
      </text>
    </comment>
    <comment ref="R1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04.05.2021 № 48662</t>
        </r>
      </text>
    </comment>
    <comment ref="Q1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392429 от 14.02.2021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793022 от т25.02.2021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134439 от т23.03.2021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24855 от 21.04.2021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Z2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79081 от 23.12.2020_аванс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366970 от 01.02.2021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793022 от 25.02.2021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 от 28.02.2021;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134439</t>
        </r>
      </text>
    </comment>
    <comment ref="O2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41678 от 28.01.2021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2812200001 от 28.12.2020; ПП 290948 от 19.01.2021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30.12.2021; ПП № 209947 от 19.01.2021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ЧДК00005189 от 02.02.2021; ПП № 21406 от 08.02.2021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29.01.2021;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35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O3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261902 от 18.01.2021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167037 от 13.01.2021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8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718851 от 26.01.2021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3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718852 от 26.01.2021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41680 от 28.01.2021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460428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505778 от 03.02.2021;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O4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505781 от 03.02.2021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3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278029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217480 от 18.02.2021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4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464055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29.04.2021 № 690930</t>
        </r>
      </text>
    </comment>
    <comment ref="P4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460429 от 20.02.2021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47" authorId="0" shapeId="0">
      <text>
        <r>
          <rPr>
            <b/>
            <sz val="9"/>
            <color indexed="81"/>
            <rFont val="Tahoma"/>
            <family val="2"/>
            <charset val="204"/>
          </rPr>
          <t>аки № 1 от 18.03.2021 (КС-2);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309298</t>
        </r>
      </text>
    </comment>
    <comment ref="P4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831231 от 16.02.2021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4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21-222 от 31.03.2021;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50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154976 от 02.03.2021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5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309283 от 24.03.2021; ПП № 859785 от 09.04.2021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859783 от 09.04.2021_аванс;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53" authorId="0" shapeId="0">
      <text>
        <r>
          <rPr>
            <b/>
            <sz val="9"/>
            <color indexed="81"/>
            <rFont val="Tahoma"/>
            <family val="2"/>
            <charset val="204"/>
          </rPr>
          <t>Козлова Татьяна Александровна: авансовый отчет</t>
        </r>
      </text>
    </comment>
    <comment ref="O5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00ГУ-000010 от 31.01.2021;</t>
        </r>
        <r>
          <rPr>
            <sz val="9"/>
            <color indexed="81"/>
            <rFont val="Tahoma"/>
            <family val="2"/>
            <charset val="204"/>
          </rPr>
          <t xml:space="preserve">
ПП от 22.03.2021 № 133459
</t>
        </r>
      </text>
    </comment>
    <comment ref="P5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801267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5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656409 от 16.04.2021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P5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445205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6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824095</t>
        </r>
      </text>
    </comment>
    <comment ref="Q5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750140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58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29.04.2021 № 690941</t>
        </r>
      </text>
    </comment>
    <comment ref="Q60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309287</t>
        </r>
      </text>
    </comment>
    <comment ref="Q6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ПП от 24.03.2021 № 309291</t>
        </r>
      </text>
    </comment>
    <comment ref="Q63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Автор:
</t>
        </r>
      </text>
    </comment>
    <comment ref="R6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16.04.2021;</t>
        </r>
        <r>
          <rPr>
            <sz val="9"/>
            <color indexed="81"/>
            <rFont val="Tahoma"/>
            <family val="2"/>
            <charset val="204"/>
          </rPr>
          <t xml:space="preserve">
ПП от 22.04.2021 № 118805</t>
        </r>
      </text>
    </comment>
    <comment ref="Q65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209048 от 02.04.2021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Q66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392719 от 05.04.2021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67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переделают на 1</t>
        </r>
      </text>
    </comment>
    <comment ref="R67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230358 от 13.04.2021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69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392411 от 14.04.2021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1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13.04.2021 № 239904</t>
        </r>
      </text>
    </comment>
    <comment ref="AH71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239904 от 13.04.2021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R72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30.04.2021 № 824092</t>
        </r>
      </text>
    </comment>
    <comment ref="AH72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239904 от 13.04.2021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Автор</author>
  </authors>
  <commentList>
    <comment ref="V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БВ000004372 от 31.12.2020; ПП № 290945 от 19.01.2021_декабрь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58 от 27.01.2021; ПП № 505779 от 03.02.2021_декабрь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4" authorId="0" shapeId="0">
      <text>
        <r>
          <rPr>
            <b/>
            <sz val="9"/>
            <color indexed="81"/>
            <rFont val="Tahoma"/>
            <family val="2"/>
            <charset val="204"/>
          </rPr>
          <t>УПД № 69_00002287219 от 11.01.2020; ПП № 494626 от 21.01.2021_декабрь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31.12.2020; ПП № 290950 от 19.01.2021_декабрь</t>
        </r>
      </text>
    </comment>
    <comment ref="V6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Акт № 2164. от 31.12.2020; ПП № 290952 от 19.01.2021_декабрь
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  <charset val="204"/>
          </rPr>
          <t>ПП от 12.01.2021 № 159545 (за июль); ПП от 12.01.2021 № 159544 (за август); ПП от 12.01.2021 (за ноябрь); акты от 18.01.20201; ПП № 628540, 628542, 628534 от 25.01.2021_сентябрь, октябрь, декабрь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0475 от 21.12.2020 от 21.12.2020; ПП № 376442 от 25.12.2020; Акт № 2025, 1992, 2024 от 28.12.2020; ПП № 849016, 849022, 849033 от 30.12.2020; Акт № 9 от 31.12.2020; ПП № 290949 от 19.01.2021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18.01.2021; ПП № 524576 от 22.01.2021_декабрь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18.01.2021; ПП № 524584 от 22.01.2021_декабрь;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719 от 02.02.2021; ПП № 21408 от 08.02.2021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2" authorId="0" shapeId="0">
      <text>
        <r>
          <rPr>
            <sz val="9"/>
            <color indexed="81"/>
            <rFont val="Tahoma"/>
            <family val="2"/>
            <charset val="204"/>
          </rPr>
          <t>акт № 12/21-ЭА/Б-20202 от 15.01.2020; ПП №494628 от 21.01.2021_декабрь</t>
        </r>
      </text>
    </comment>
    <comment ref="V1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 от 31.12.2020; ПП № 45730 от 19.01.2021_декабрь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137 от 31.12.2020; ПП № 494624 от 21.01.2021_декабрь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T1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24.11.2020; ПП № 740225 от 01.12.2020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27.01.2021; ПП № 366971 от 01.02.2021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1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32 от 31.12.2020; ПП № 290944 от 19.01.2021_декабрь</t>
        </r>
      </text>
    </comment>
    <comment ref="W1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11.02.2021; ПП № 217467 от 18.02.2021</t>
        </r>
      </text>
    </comment>
    <comment ref="V1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28.01.2021; акт от 04.02.2021; ПП № 505780 от 03.02.2021; ПП № 278005 от 10.02.2021</t>
        </r>
      </text>
    </comment>
    <comment ref="W1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11.03.2021; ПП № 713622 от 29.03.2021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ПП № 230349 от акт № 49 от 31.03.2021; 13.04.2021
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 от 16.02.2021; ПП № 654033 от 24.01.2021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 от 10.03.2021; ПП № 445202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 от 12.04.2021; ПП № 589478 от 16.04.2021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 от 12.02.2021; ПП № 217473 от 18.02.2021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 от 10.03.2021; ПП № 445204 от 16.03.2021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 от 12.04.2021; пп № 589476 ОТ 16.04.2021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68 от 04.02.2021; ПП № 646772 от 15.02.2021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325 от 05.03.2021; ПП № 88036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482 от 06.04.2021;</t>
        </r>
        <r>
          <rPr>
            <sz val="9"/>
            <color indexed="81"/>
            <rFont val="Tahoma"/>
            <family val="2"/>
            <charset val="204"/>
          </rPr>
          <t xml:space="preserve">
ПП №230365 от 13.04.2021
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 № 1/03-ЭА/Б-2021 от 25.02.2021; ПП № 431298 от 03.03.2021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2/03-ЭА/Б-2021 от 10.03.2021; ПП № 750141 от 18.03.2021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3/03-ЭА/Б-2021 от 07.04.2021;</t>
        </r>
        <r>
          <rPr>
            <sz val="9"/>
            <color indexed="81"/>
            <rFont val="Tahoma"/>
            <family val="2"/>
            <charset val="204"/>
          </rPr>
          <t xml:space="preserve">
ПП 239883 от 13.04.2021
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№№ 20_2234, 20-2235, 20-2254 от 12.02.2021; ПП №№ 217470,217472, 217475 от 18.02.2021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20-2396 от 05.03.2021; ПП № 88041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  <charset val="204"/>
          </rPr>
          <t>ПП № 793016 от 25.02.2021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12 от 04.02.2021; ПП № 130633 от 09.02.2021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13 от 17.03.2021;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134440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05.04.2021; ПП № 716303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13 от 04.02.2021; ПП № 278026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14 от 17.03.2021;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134434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05.04.2021; ПП № 716300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04.02.2021; ПП № 278012 от 10.02.2021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17.03.2021;</t>
        </r>
        <r>
          <rPr>
            <sz val="9"/>
            <color indexed="81"/>
            <rFont val="Tahoma"/>
            <family val="2"/>
            <charset val="204"/>
          </rPr>
          <t xml:space="preserve">
ПП от 23.03.2021 № 134433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05.04.2021; ПП № 716305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18.02.2021; ПП № 793021 от 25.01.2021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05.03.2021; ПП № 88032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01.04.2021; ПП № 545526 от 06.04.2021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02.04.2021; ПП № 716297 от 08.04.2021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12.02.2021; ПП № 217465 от 18.02.2021; акт от 03.03.2021; акт от 05.03.2021; ПП № 758479 от 09.03.2021; ПП № 88033 от 12.03.2021</t>
        </r>
      </text>
    </comment>
    <comment ref="X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05.03.2021; ;ПП № 88033 от 12.03.2021; акт от 23.03.2021; ПП № 526028 от 26.03.2021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07.04.2021; ПП № 239889 от 16.04.2021; акт от 21.04.2021; ПП от 26.04.2021 № 420087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34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18.03.2021; ПП от 24.03.2021 № 309295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13.04.2021; ПП  № 24854 от 21.04.2021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3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ЧДР00000368 от 05.03.2021; ПП № 88039 от 12.03.2021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36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ЧДР00000548 от 01.04.2021; ПП № 618477 от 07.04.2021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01.04.2021; ПП № 31 от 05.04.2021_пенни; ПП № 716309 от 08.04.2021</t>
        </r>
      </text>
    </comment>
    <comment ref="X38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1/18-ЭА/Б-2021 от 15.03.2021; ПП от 24.03.2021 № 309299</t>
        </r>
      </text>
    </comment>
    <comment ref="X40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29.03.2021; ПП № 209041 от 02.04.2021</t>
        </r>
      </text>
    </comment>
    <comment ref="Y41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№ 1/21-ЭА/Б-2021 от 14.04.2021; ПП № 24858 от 21.04.2021</t>
        </r>
      </text>
    </comment>
    <comment ref="W43" authorId="0" shapeId="0">
      <text>
        <r>
          <rPr>
            <b/>
            <sz val="9"/>
            <color indexed="81"/>
            <rFont val="Tahoma"/>
            <family val="2"/>
            <charset val="204"/>
          </rPr>
          <t>акт от 18.02.2021;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<sst xmlns="http://schemas.openxmlformats.org/spreadsheetml/2006/main" count="1636" uniqueCount="866">
  <si>
    <t>№ п/п</t>
  </si>
  <si>
    <t>Статус</t>
  </si>
  <si>
    <t>Наименование  организации</t>
  </si>
  <si>
    <t>Предмет договора</t>
  </si>
  <si>
    <t>Номер договора</t>
  </si>
  <si>
    <t>Дата заключения</t>
  </si>
  <si>
    <t>Дата начала выполнения</t>
  </si>
  <si>
    <t>Дата  окончания выполнения</t>
  </si>
  <si>
    <t xml:space="preserve">Сумма договора </t>
  </si>
  <si>
    <t>Ответственный исполнитель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</si>
  <si>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</si>
  <si>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</si>
  <si>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</si>
  <si>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</si>
  <si>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</si>
  <si>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</si>
  <si>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</si>
  <si>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</si>
  <si>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</si>
  <si>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</si>
  <si>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</si>
  <si>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</si>
  <si>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АО "Мосводоканал"</t>
  </si>
  <si>
    <t>Холодное снабжение и водоотведение (Погодинская 8, к.2)</t>
  </si>
  <si>
    <t>п.8 ч.1 ст 93</t>
  </si>
  <si>
    <t>Нестеров П.А.</t>
  </si>
  <si>
    <t>Холодное снабжение и водоотведение (Б. Толмачевский, 3)</t>
  </si>
  <si>
    <t>ПАО "МОЭК"</t>
  </si>
  <si>
    <t>Холодное снабжение и водоотведение (Большая Полянка, 58)</t>
  </si>
  <si>
    <t>Извещение</t>
  </si>
  <si>
    <t>ПАО "Ростелеком"</t>
  </si>
  <si>
    <t>п.1 ч.1 ст 93</t>
  </si>
  <si>
    <t>УПрС Спецсвязи ФСО России</t>
  </si>
  <si>
    <t>п.6 ч.1 ст 93</t>
  </si>
  <si>
    <t>Предоставление правительственной специальной телефонной связи</t>
  </si>
  <si>
    <t>ФГУП "Российские сети вещания и оповещения"</t>
  </si>
  <si>
    <t xml:space="preserve"> Услуги связи проводного радиовещания и оповещения</t>
  </si>
  <si>
    <t>Заключен</t>
  </si>
  <si>
    <t>Холодное снабжение и водоотведение (Погодинская 8)</t>
  </si>
  <si>
    <t>ПАО МГТС</t>
  </si>
  <si>
    <t>0035053-1/2008</t>
  </si>
  <si>
    <t>0091621-1/2008</t>
  </si>
  <si>
    <t>0024417-1/2002</t>
  </si>
  <si>
    <t>п. 29 ч.1 ст 93</t>
  </si>
  <si>
    <t>Услуги телефонной связи (Погодинская, 8 - 1 номер)</t>
  </si>
  <si>
    <t xml:space="preserve"> СМП</t>
  </si>
  <si>
    <t>НМЦК</t>
  </si>
  <si>
    <t>Экономия</t>
  </si>
  <si>
    <t>ЭА</t>
  </si>
  <si>
    <t>Аникеев В.И.</t>
  </si>
  <si>
    <t>Кузнецов А.Г.</t>
  </si>
  <si>
    <t>Номер контракта</t>
  </si>
  <si>
    <t>Поставка бензина автомобильного АИ-95</t>
  </si>
  <si>
    <t>нет</t>
  </si>
  <si>
    <t>Оказание услуг по сопровождению программного обеспечения «EOS for SharePoint»</t>
  </si>
  <si>
    <t>ООО "ГОЛДЭКС"</t>
  </si>
  <si>
    <t xml:space="preserve">Шишкова И. </t>
  </si>
  <si>
    <t xml:space="preserve">Резервирование места в линейно-кабельных сооружениях МГТС </t>
  </si>
  <si>
    <t>Исполнено</t>
  </si>
  <si>
    <t>СМП</t>
  </si>
  <si>
    <t>7711S10363</t>
  </si>
  <si>
    <t>ФГУП "ОХРАНА" ФЕДЕРАЛЬНОЙ СЛУЖБЫ ВОЙСК НАЦИОНАЛЬНОЙ ГВАРДИИ РОССИЙСКОЙ ФЕДЕРАЦИИ</t>
  </si>
  <si>
    <t>Оказание услуг по пультовой охране и техническому обслуживанию комплекса технических средств охраны и объектовой приемопередающей аппаратуры</t>
  </si>
  <si>
    <t>ООО "ДОРОЖНИК"</t>
  </si>
  <si>
    <t>ООО "Ресурс"</t>
  </si>
  <si>
    <t>ТО узла учета расхода тепловой энергии (ул. Б. Полянка д. 58, стр.1)</t>
  </si>
  <si>
    <t>Исполнен</t>
  </si>
  <si>
    <t xml:space="preserve">Оказание услуг по сопровождению и сервисному обслуживанию программных комплексов «1С: Бухгалтерия государственного учреждения» и «1С: Зарплата и кадры государственного учреждения» </t>
  </si>
  <si>
    <t>ООО "Артифекс-2"</t>
  </si>
  <si>
    <t>Фалина Е.В.</t>
  </si>
  <si>
    <t>Оказание услуг по сопровождению программ для ЭВМ, баз данных "1С:Предприятие"</t>
  </si>
  <si>
    <t>Нет</t>
  </si>
  <si>
    <t>11-МЗ/Б-2019</t>
  </si>
  <si>
    <t xml:space="preserve">АО "Мосэнергосбыт" </t>
  </si>
  <si>
    <t>ООО "Рациональные решения"</t>
  </si>
  <si>
    <t>Отклоненные по первым частям</t>
  </si>
  <si>
    <t>Отклоненные по вторым частям</t>
  </si>
  <si>
    <t xml:space="preserve">Подано заявок </t>
  </si>
  <si>
    <t>Обоснованная/необоснованная</t>
  </si>
  <si>
    <t>Жалобы</t>
  </si>
  <si>
    <t>Запросы на разъяснение</t>
  </si>
  <si>
    <t>Дата регистрации контракта</t>
  </si>
  <si>
    <t>Канцелярия</t>
  </si>
  <si>
    <t>Плата за возмещение коммунальных, эксплуатационных и администритивно-хозяйственных услуг</t>
  </si>
  <si>
    <t>145</t>
  </si>
  <si>
    <t>ФГБНУ "ИКП РАО"</t>
  </si>
  <si>
    <t>Возмещение расхода на оплату поставки тепловой энгергии</t>
  </si>
  <si>
    <t>16-93.23/Б-2019</t>
  </si>
  <si>
    <t>Услуги по охране объекта (Б. Полянка, д. 58, стр. 1)</t>
  </si>
  <si>
    <t>Способ закупки</t>
  </si>
  <si>
    <t>ДОКУМЕНТЫ ОБ ИСПОЛНЕНИИ/ДАТА РАЗМЕЩЕНИЯИЯ</t>
  </si>
  <si>
    <t>ФГБУ "Институт управления образованием РАО"</t>
  </si>
  <si>
    <t>ПАО "Центральный телеграф"</t>
  </si>
  <si>
    <t>Отправка телеграмм</t>
  </si>
  <si>
    <t>TLG-6/165-00071</t>
  </si>
  <si>
    <t xml:space="preserve">0373100111319000004  </t>
  </si>
  <si>
    <t xml:space="preserve">Поставка, монтаж и пуско-наладка оборудования для модернизации видеосистемы конференц-зала </t>
  </si>
  <si>
    <t>Поставка картриджей</t>
  </si>
  <si>
    <t xml:space="preserve">0373100111319000008  </t>
  </si>
  <si>
    <t>Поставка комплектующих для офисной техники</t>
  </si>
  <si>
    <t>0373100111319000006</t>
  </si>
  <si>
    <t>Поставка, монтаж и пуско-наладка оборудования для модернизации конференц-зала</t>
  </si>
  <si>
    <t xml:space="preserve">0373100111319000007  </t>
  </si>
  <si>
    <t>14-ЭА/Б-2019</t>
  </si>
  <si>
    <t>16-ЭА/Б-2019</t>
  </si>
  <si>
    <t>17-ЭА/Б-2019</t>
  </si>
  <si>
    <t>18-ЭА/Б-2019</t>
  </si>
  <si>
    <t>ООО "ПРО-ИНЖИНИРИНГ"</t>
  </si>
  <si>
    <t>ИП Осипов</t>
  </si>
  <si>
    <t>ООО "КОМПИТ"</t>
  </si>
  <si>
    <t>А.Г. Кузнецов</t>
  </si>
  <si>
    <t>-</t>
  </si>
  <si>
    <t>П.А. Нестеров</t>
  </si>
  <si>
    <t>Оказание услуг по проведению вебинаров</t>
  </si>
  <si>
    <t>Оказание услуг по предоставлению доступа к сети Интернет</t>
  </si>
  <si>
    <t>Оказание информационных услуг с использованием установленных экземпляров Систем КонсультантПлюс на основе специального лицензионного программного обеспечения, обеспечивающего совместимость информационных услуг с используемыми заказчиком экземплярами Систем КонсультантПлюс</t>
  </si>
  <si>
    <t>Т.А. Ляшенко</t>
  </si>
  <si>
    <t>Проведение предрейсового и послерейсового медицинского осмотра (обследования) работников 2020 год</t>
  </si>
  <si>
    <t>Проведение предварительного, периодического медицинского осмотра (обследования) и психиатрического освидетельствования работников 2020 год</t>
  </si>
  <si>
    <t>Оказание услуг по повышению квалификации и профессиональной переподготовке</t>
  </si>
  <si>
    <t>Оказание услуг по очистке кровли зданий РАО от снега и наледи, вывоз снега</t>
  </si>
  <si>
    <t>А.Ю. Сазонов</t>
  </si>
  <si>
    <t>Выполнение работ по ремонту слаботочной и электрической сетей (3 этаж)</t>
  </si>
  <si>
    <t>20 к.д.</t>
  </si>
  <si>
    <t>Выполнение работ по ремонту локально-вычислительной сети</t>
  </si>
  <si>
    <t>Оказание услуг по диагностике, техническому обслуживанию, ремонту и мойке автотранспортных средств</t>
  </si>
  <si>
    <t>ООО "РЕПУТАЦИЯ"</t>
  </si>
  <si>
    <t>Услуги телефонной связи (Б. Толмачёвский пер.)</t>
  </si>
  <si>
    <t>Комплекс работ по замене трансформаторов тока (Погодинская, д.8, корп.2)</t>
  </si>
  <si>
    <t>Д-072-19100838-1-04</t>
  </si>
  <si>
    <t>Обеспечние исполнения контракта</t>
  </si>
  <si>
    <t>Обеспечение гарантийных обязательств</t>
  </si>
  <si>
    <t>12.12.2019 + 10рд для оплаты</t>
  </si>
  <si>
    <t xml:space="preserve">0373100111319000014 </t>
  </si>
  <si>
    <t>0373100111319000015</t>
  </si>
  <si>
    <t>Акт сдачи-приёмки от 07.11.2019/08.11.2019;</t>
  </si>
  <si>
    <t>02-ЭА/Б-2020</t>
  </si>
  <si>
    <t>21-ЭА/Б-2019</t>
  </si>
  <si>
    <t>24-МЗ/Б-2019</t>
  </si>
  <si>
    <t>01.550162кТЭ</t>
  </si>
  <si>
    <t>Отопление (Б. Толмачёвский пер., д. 3)</t>
  </si>
  <si>
    <t>Отопление (Б. Полянка, д. 58)</t>
  </si>
  <si>
    <t>01.500039кТЭ</t>
  </si>
  <si>
    <t>Отопление Погодинская, д.8, к.2)</t>
  </si>
  <si>
    <t>01.595114кТЭ</t>
  </si>
  <si>
    <t>Отопление (Погодинская, д. 8)</t>
  </si>
  <si>
    <t>01.595363кТЭ</t>
  </si>
  <si>
    <t>Горячее водоснабжение (Б. Полянка, д. 58)</t>
  </si>
  <si>
    <t>01-ЭА/Б-2020</t>
  </si>
  <si>
    <t>акт от 15.11.2019/18.11.2019; ПП № 67398 от 22.11.2019/26.11.2019</t>
  </si>
  <si>
    <t>ПМ/ЛКС D19S00156122</t>
  </si>
  <si>
    <t>ООО "БИЗНЕС-ВЕКТОР"</t>
  </si>
  <si>
    <t>ООО "ЮМОС"</t>
  </si>
  <si>
    <t xml:space="preserve">ИП БОГУТ АЛЕКСЕЙ АЛЕКСАНДРОВИЧ </t>
  </si>
  <si>
    <t>акт от 15.11.2019/18.11.2019; ПП № 183144 от 26.11.2019/29.11.2019</t>
  </si>
  <si>
    <t>Оказание услуги по резервному доступу к сети Интернет</t>
  </si>
  <si>
    <t>0373100111319000019</t>
  </si>
  <si>
    <t>0373100111319000018</t>
  </si>
  <si>
    <t>Поставка радиомикрофонов</t>
  </si>
  <si>
    <t>22-ЭА/Б-2019</t>
  </si>
  <si>
    <t>03-ЭА/Б-2020</t>
  </si>
  <si>
    <t xml:space="preserve">01-МЗ/Б-2020 </t>
  </si>
  <si>
    <t>Поставка компьютерной и офисной техники</t>
  </si>
  <si>
    <t>23-ЭА/Б-2019</t>
  </si>
  <si>
    <t xml:space="preserve">Оказание услуг внутризоновой, междугородной и международной телефонной связи </t>
  </si>
  <si>
    <t xml:space="preserve">01Ю-09193/19-861Д  </t>
  </si>
  <si>
    <t xml:space="preserve">Поставка электрической энергии </t>
  </si>
  <si>
    <t xml:space="preserve">Поставка расходных материалов для хозяйственных нужд </t>
  </si>
  <si>
    <t>ИП Павлова Елена Владимировна</t>
  </si>
  <si>
    <t>0373100111319000024</t>
  </si>
  <si>
    <t xml:space="preserve">Поставка хозяйственных товаров </t>
  </si>
  <si>
    <t>0373100111319000025</t>
  </si>
  <si>
    <t>Поставка хозяйственного оборудования и расходных материалов</t>
  </si>
  <si>
    <t>0373100111319000026</t>
  </si>
  <si>
    <t>0373100111319000020</t>
  </si>
  <si>
    <t>ПАО "Мосэнергосбыт"</t>
  </si>
  <si>
    <t>150 рабочих дней</t>
  </si>
  <si>
    <t xml:space="preserve">Выполнение работ по приспособлению помещений для осуществления мероприятий в сфере образования по адресу: г. Москва, ул. Погодинская, д. 8, 7-й этаж (левое крыло) </t>
  </si>
  <si>
    <t>Выполнение работ по приспособлению помещений для осуществления мероприятий в сфере образования по адресу: г. Москва, ул. Погодинская, д. 8, 7-й этаж (центральная часть)</t>
  </si>
  <si>
    <t>26-ЭА/Б-2019</t>
  </si>
  <si>
    <t>24-ЗК/Б-2019</t>
  </si>
  <si>
    <t>25-ЗК/Б-2019</t>
  </si>
  <si>
    <t>БГ № 124776 от 19.11.2019</t>
  </si>
  <si>
    <t>БГ № 133705 от 10.12.2019</t>
  </si>
  <si>
    <t>0373100111319000021</t>
  </si>
  <si>
    <t>Поставка жалюзи</t>
  </si>
  <si>
    <t>27-ЭА/Б-2019</t>
  </si>
  <si>
    <t>0373100111319000022</t>
  </si>
  <si>
    <t>Поставка мебели</t>
  </si>
  <si>
    <t>28-ЭА/Б-2019</t>
  </si>
  <si>
    <t>ООО "Строй Арсенал"</t>
  </si>
  <si>
    <t>ООО "Юникс"</t>
  </si>
  <si>
    <t>0373100111319000027</t>
  </si>
  <si>
    <t xml:space="preserve">Капитальный ремонт кровли здания РАО, расположенного по адресу: г. Москва, ул. Погодинская, д.8, корп.2 </t>
  </si>
  <si>
    <t>ООО "ИНЖСТРОЙ"</t>
  </si>
  <si>
    <t xml:space="preserve">0373100111319000028 </t>
  </si>
  <si>
    <t>Выполнение работ по техническому обслуживанию лифтов</t>
  </si>
  <si>
    <t>ООО "ПРИОРИТЕТЛИФТ"</t>
  </si>
  <si>
    <t>06-ЭА/Б-2020</t>
  </si>
  <si>
    <t>07-ЭА/Б-2020</t>
  </si>
  <si>
    <t>08-ЭА/Б-2020</t>
  </si>
  <si>
    <t>Оказание услуг по вывозу ТКО и крупногабаритного мусора</t>
  </si>
  <si>
    <t>0373100111319000030</t>
  </si>
  <si>
    <t>0373100111319000029</t>
  </si>
  <si>
    <t>0373100111319000035</t>
  </si>
  <si>
    <t>0373100111319000032</t>
  </si>
  <si>
    <t>Поставка ИБП</t>
  </si>
  <si>
    <t>Поставка оборудования для залов заседаний</t>
  </si>
  <si>
    <t>0373100111319000034</t>
  </si>
  <si>
    <t>0373100111319000033</t>
  </si>
  <si>
    <t>Поставка серверной техники</t>
  </si>
  <si>
    <t>05-ЭА/Б-2020</t>
  </si>
  <si>
    <t>ООО "Акцент"</t>
  </si>
  <si>
    <t>0373100111319000031</t>
  </si>
  <si>
    <t>БГ № 19777-447-0467450 от 23.12.2019</t>
  </si>
  <si>
    <t>БГ № 19777-447-0467435 от 23.12.2019</t>
  </si>
  <si>
    <t>ПП № 1751 от 16.12.2019</t>
  </si>
  <si>
    <t>Акт от 13.12.2019/17.12.2019; ПП № 712541 от 20.12.2019/25.12.2019;</t>
  </si>
  <si>
    <t>Акт от 13.12.2019/16.12.2019; ПП № 712542 от 20.12.2019/25.12.2019</t>
  </si>
  <si>
    <t>0373100111319000039</t>
  </si>
  <si>
    <t>0373100111319000038</t>
  </si>
  <si>
    <t>Оказание услуг по передаче неисключительных (пользовательских) лицензионных прав на
программное обеспечение</t>
  </si>
  <si>
    <t>Выполнение работ по приспособлению сантехнических помещений для обеспечения мероприятий по адресу: г. Москва, ул. Погодинская, д. 8, 7-й этаж</t>
  </si>
  <si>
    <t>Оказание услуг по подписке и доставке периодических изданий</t>
  </si>
  <si>
    <t>Поставка автономных систем пожаротушения</t>
  </si>
  <si>
    <t>Индивидуальный предприниматель Дорошев Виталий Владимирович</t>
  </si>
  <si>
    <t>0373100111319000040</t>
  </si>
  <si>
    <t>0373100111319000041</t>
  </si>
  <si>
    <t xml:space="preserve">Заключен по п. 23 ч. 1 ст. 93 </t>
  </si>
  <si>
    <t>необоснованная</t>
  </si>
  <si>
    <t>БГ № 570089 от 18.12.2019</t>
  </si>
  <si>
    <t>ПП № 9 от 19.12.2019</t>
  </si>
  <si>
    <t>09-ЭА/Б-2020</t>
  </si>
  <si>
    <t>Акт от 13.12.2019/17.12.2019; ПП № 789390 от 23.12.2019/26.12.2019</t>
  </si>
  <si>
    <t>10-ЭА/Б-2020</t>
  </si>
  <si>
    <t>БГ № 1544994 от 24.12.2019</t>
  </si>
  <si>
    <t>БГ № 83519-10 от 26.12.2019</t>
  </si>
  <si>
    <t>ПП № 1749 от 16.12.2019</t>
  </si>
  <si>
    <t>11-ЭА/Б-2020</t>
  </si>
  <si>
    <t>12-ЭА/Б-2020</t>
  </si>
  <si>
    <t>БГ № 580889 от 24.12.2019</t>
  </si>
  <si>
    <t>0373100111319000050</t>
  </si>
  <si>
    <t>0373100111319000048</t>
  </si>
  <si>
    <t>0373100111319000047</t>
  </si>
  <si>
    <t>0373100111319000046</t>
  </si>
  <si>
    <t>13-ЭА/Б-2020</t>
  </si>
  <si>
    <t>14-ЭА/Б-2020</t>
  </si>
  <si>
    <t>БГ № 279057-БГ/19 от 31.12.2019</t>
  </si>
  <si>
    <t>Добросовестность</t>
  </si>
  <si>
    <t>ООО «СОЦМЕД»</t>
  </si>
  <si>
    <t>15-ЭА/Б-2020</t>
  </si>
  <si>
    <t>16-ЭА/Б-2020</t>
  </si>
  <si>
    <t>17-ЭА/Б-2020</t>
  </si>
  <si>
    <t>01.500093кГВ</t>
  </si>
  <si>
    <t>ООО «Центр технической физики МГТУ им. Н.Э. Баумана»</t>
  </si>
  <si>
    <t>19-ЭА/Б-2020</t>
  </si>
  <si>
    <t>ООО «ХАРИС АЙТИ»</t>
  </si>
  <si>
    <t>ООО «УРАЛ-ПРЕСС ЛИДЕР»</t>
  </si>
  <si>
    <t>ИП Горбунов Дмитрий Дмитриевич</t>
  </si>
  <si>
    <t>20-ЭА/Б-2020</t>
  </si>
  <si>
    <t>21-ЭА/Б-2020</t>
  </si>
  <si>
    <t>НО</t>
  </si>
  <si>
    <t>22-ЭА/Б-2020</t>
  </si>
  <si>
    <t>АО «СОФТЛАЙН ТРЕЙД»</t>
  </si>
  <si>
    <t>23-ЭА/Б-2020</t>
  </si>
  <si>
    <t>ИП Кочин С.В.</t>
  </si>
  <si>
    <t>БГ № МТС-91223/20 от 16.01.2020</t>
  </si>
  <si>
    <t>акт сдачи-приёмки от 10.01.2020/16.01.2020; ПП № 892099 от 20.01.2020/22.01.2020</t>
  </si>
  <si>
    <t>БГ от 20 января 2020 года № ЭГ-107902/20</t>
  </si>
  <si>
    <t xml:space="preserve">Добросовестность + ПП от 22.01.2020 № 102 </t>
  </si>
  <si>
    <t>ПП от 21.01.2020 № 5</t>
  </si>
  <si>
    <t>БГ от 30.12.2019 № МТС-90148/19</t>
  </si>
  <si>
    <t>ПП № 3 от 21.01.2020</t>
  </si>
  <si>
    <t>ПП от 11.11.2019 № 204, вернуть  по истечению  срока гарантии (36 месяцев) 22.11.2022</t>
  </si>
  <si>
    <t>ПП от 21.10.2019 № 4</t>
  </si>
  <si>
    <t>ПП от 29.10.2019 № 7, вернуть  по истечению  срока гарантии (12 месяцев) 07.11.2020</t>
  </si>
  <si>
    <t>БГ от 25.11.2019 № 19777-447-0448459</t>
  </si>
  <si>
    <t>ПП № 991660 от 11.12.2019 (12 месяцев) Вернуть 13.12.2020</t>
  </si>
  <si>
    <t>ПП № 248 от 10.12.2019 (12 месяцев) Вернуть 13.12.2020</t>
  </si>
  <si>
    <t>ПП № 1750 от 16.12.2019</t>
  </si>
  <si>
    <t>ПП от 23.01.2020 № 5663</t>
  </si>
  <si>
    <t>ПП от 30.12.2019 № 102</t>
  </si>
  <si>
    <t>ПП от 30.12.2019 № 103</t>
  </si>
  <si>
    <t>ПП от 31.12.2019 № 303</t>
  </si>
  <si>
    <t>ПП № 66 от 30.01.2020</t>
  </si>
  <si>
    <t>акт сдачи-приёмки от 17.01.2020/24.01.2020; ПП № 342381 от 28.01.2020/31.01.2020</t>
  </si>
  <si>
    <t>акт № 1/28-ЭА/Б-2019 от 27.01.2020/30.01.2020; ПП № 652166 от 04.02.2020/07.02.2020</t>
  </si>
  <si>
    <t>16-93.23/Б-2020</t>
  </si>
  <si>
    <t>ООО "ФИРМА "АВТОЛИК"</t>
  </si>
  <si>
    <t>ООО "ЭСТЭР-СЕРИС"</t>
  </si>
  <si>
    <t>10-МЗ/Б-2020</t>
  </si>
  <si>
    <t>Предмет контракта</t>
  </si>
  <si>
    <t xml:space="preserve">Сумма контракта </t>
  </si>
  <si>
    <t>№ в ЭБ</t>
  </si>
  <si>
    <t>Итоговая фактическая оплата 2020</t>
  </si>
  <si>
    <r>
      <t xml:space="preserve">акт сдачи-приёмки от 10.01.2020/14.01.2020; </t>
    </r>
    <r>
      <rPr>
        <sz val="10"/>
        <color rgb="FFFF0000"/>
        <rFont val="Times New Roman"/>
        <family val="1"/>
        <charset val="204"/>
      </rPr>
      <t>ПП № 892083 от 20.01.2020/22.01.2020</t>
    </r>
  </si>
  <si>
    <t>БГ от 24.04.2020 № ЭГ-137321/20</t>
  </si>
  <si>
    <r>
      <t>Акт от 27.12.2019/13.01.2020;</t>
    </r>
    <r>
      <rPr>
        <sz val="10"/>
        <color theme="1"/>
        <rFont val="Times New Roman"/>
        <family val="1"/>
        <charset val="204"/>
      </rPr>
      <t xml:space="preserve"> ПП № 523179 от 30.12.2019/13.01.2020</t>
    </r>
  </si>
  <si>
    <r>
      <t>Акт от 24.12.2019/25.12.2019;</t>
    </r>
    <r>
      <rPr>
        <sz val="10"/>
        <color theme="1"/>
        <rFont val="Times New Roman"/>
        <family val="1"/>
        <charset val="204"/>
      </rPr>
      <t xml:space="preserve"> ПП  № 438723 от 30.12.2019/13.01.2020</t>
    </r>
  </si>
  <si>
    <t>ПП от 10.03.2020 № 40</t>
  </si>
  <si>
    <t>Акт от 27.02.2020 № 1;
ПП № 411680 от 06.03.2020;</t>
  </si>
  <si>
    <t>Акт сдачи-приёмки от 10.02.2020 № 1;
ПП № 875458 от 27.02.2020;</t>
  </si>
  <si>
    <t>Акт сдачи-приёмки № 1 от 03.03.2020;
Акт сдачи-приёмки № 2 от 17.03.2020;
ПП от 06.03.2020 № 411696;
ПП от 24.03.2020 № 282824</t>
  </si>
  <si>
    <t>ИП Богут Алексей Александрович</t>
  </si>
  <si>
    <t>БГ от 10.03.2020 № 163970</t>
  </si>
  <si>
    <t>БГ от 12.02.2020 № 019546БЭГ/2020</t>
  </si>
  <si>
    <t>Акт сдачи-приёмки от 11.03.2020;
ПП № 73726 от 19.03.2020</t>
  </si>
  <si>
    <t>Акт сдачи-приёмки от 11.02.2020;
ПП № 272486 от 14.02.2020</t>
  </si>
  <si>
    <t>Акт сдачи-приёмки от 14.02.2020;
ПП № 509800 от 19.02.2020</t>
  </si>
  <si>
    <t>25-ЭА/Б-2020</t>
  </si>
  <si>
    <t xml:space="preserve">  0373100111320000001  </t>
  </si>
  <si>
    <t>ООО "АРТИКО ИНВЕСТ"</t>
  </si>
  <si>
    <t>26-ЭА/Б-2020</t>
  </si>
  <si>
    <t xml:space="preserve">0373100111320000002 </t>
  </si>
  <si>
    <t>ООО "ЮНИКСОФТ"</t>
  </si>
  <si>
    <t>ГУП "Мосводосток"</t>
  </si>
  <si>
    <t>Оказание услуг по приему сточных вод</t>
  </si>
  <si>
    <t xml:space="preserve"> </t>
  </si>
  <si>
    <t>АО "Мосэнергосбыт"</t>
  </si>
  <si>
    <t>Услуги телефонной связи (Погодинская, 8 - 25 номеров)</t>
  </si>
  <si>
    <t>12192-31886</t>
  </si>
  <si>
    <t>Вернуть по истечению срока гарантии</t>
  </si>
  <si>
    <t>БГ от 31.10.2019 № 12638-19-Ф.ЭГ</t>
  </si>
  <si>
    <t xml:space="preserve"> БГ от 23.10.2019 № 113209</t>
  </si>
  <si>
    <t xml:space="preserve">БГ от 05.02.2020 № 19.958-61815ЭГ-20 </t>
  </si>
  <si>
    <t xml:space="preserve">БГ от 05.02.2020 № 19.958-61554ЭГ-20 </t>
  </si>
  <si>
    <t>БГ от 25.12.2019 № 19.910-46101ЭГ-19</t>
  </si>
  <si>
    <t>Акт от 28.05.2020 № 1</t>
  </si>
  <si>
    <t>БГ от 25.05.2020 № 18888-20КЭБГ/0002</t>
  </si>
  <si>
    <t>БГ от 16.10.2019 № БГ-068-595</t>
  </si>
  <si>
    <t>БГ от 16.10.2019 № БГ-068-522</t>
  </si>
  <si>
    <t xml:space="preserve">ИП Кочин С.В. </t>
  </si>
  <si>
    <t>27-29 разряд ИКЗ</t>
  </si>
  <si>
    <t>Поставка электротехнических материалов</t>
  </si>
  <si>
    <t>ООО «Про-Инжиниринг»</t>
  </si>
  <si>
    <t>Оказание услуг по забору биоматериала у работников Российской академии образования и определение РНК 2019-nCoV методом ПЦР</t>
  </si>
  <si>
    <t>Сазонов А.Ю.</t>
  </si>
  <si>
    <t>29-ЭА/Б-2020</t>
  </si>
  <si>
    <t xml:space="preserve">Поставка ноутбуков </t>
  </si>
  <si>
    <t>55Р</t>
  </si>
  <si>
    <t>Мухамметшин М.М.</t>
  </si>
  <si>
    <t>ООО «Высокие технологии»</t>
  </si>
  <si>
    <t>26700/0620</t>
  </si>
  <si>
    <t>0373100111320000005</t>
  </si>
  <si>
    <t xml:space="preserve">Предоставление телекоммуникационных услуг </t>
  </si>
  <si>
    <t>В.Л. Новиков</t>
  </si>
  <si>
    <t>Выполнение работ по ежемесячному техническому обслуживанию систем видеонаблюдения и контроля доступа на объектах РАО</t>
  </si>
  <si>
    <t>Войтикова М.А.</t>
  </si>
  <si>
    <t>Егорова Л.В.</t>
  </si>
  <si>
    <t>Поставка видеокамер 
для телеконференцсвязи</t>
  </si>
  <si>
    <t>30-ЭА/Б-2020</t>
  </si>
  <si>
    <t>0373100111320000007</t>
  </si>
  <si>
    <t>акт сдачи-приёмки от 28.07.2020/03.08.2020; ПП № 295568 от 10.08.2020/12.08.2020</t>
  </si>
  <si>
    <t>32-ЭА/Б-2020</t>
  </si>
  <si>
    <t>0373100111320000006</t>
  </si>
  <si>
    <t>ООО ЛАБОРАТОРИЯ "ЛИТЕХ"</t>
  </si>
  <si>
    <t xml:space="preserve">  Интернет</t>
  </si>
  <si>
    <t>0373100111320000010</t>
  </si>
  <si>
    <t>Оказание автотранспортных услуг</t>
  </si>
  <si>
    <t>34-ЭА/Б-2020</t>
  </si>
  <si>
    <t>500 000,00/
1 900,15</t>
  </si>
  <si>
    <t>500 000,00/
3 170,00</t>
  </si>
  <si>
    <t>БГ № 025Q7X от 1808.2020</t>
  </si>
  <si>
    <t>ИП Никитенко И.А.</t>
  </si>
  <si>
    <t>Техническое обслуживание оборудования RFID "Электронная книговыдача"</t>
  </si>
  <si>
    <t>ПИ_67</t>
  </si>
  <si>
    <t>Фатеева Р.И.</t>
  </si>
  <si>
    <t>0373100111320000011</t>
  </si>
  <si>
    <t>Поставка оборудования для зала заседания</t>
  </si>
  <si>
    <t>Аникеев М.Н.</t>
  </si>
  <si>
    <t>ООО "РСКАРГО"</t>
  </si>
  <si>
    <t>Номер закупки</t>
  </si>
  <si>
    <t>Предмет закупки</t>
  </si>
  <si>
    <t>Вызов</t>
  </si>
  <si>
    <t>Заявитель</t>
  </si>
  <si>
    <t>Предмет жалобы</t>
  </si>
  <si>
    <t>Результат рассмотрения</t>
  </si>
  <si>
    <t>ПО/46854/20 
от 24.08.2020</t>
  </si>
  <si>
    <t>ИП Иванов И.П.</t>
  </si>
  <si>
    <t>действия Заказчика при проведении электронного аукциона</t>
  </si>
  <si>
    <t>действия аукционной комиссии Заказчика при проведении  электронного аукциона</t>
  </si>
  <si>
    <t>ПО/47675/20 
от 27.08.2020</t>
  </si>
  <si>
    <t>ИП Кириллов М.В.</t>
  </si>
  <si>
    <t>373100111320000011</t>
  </si>
  <si>
    <t>АК/51819/20 от 18.09.2020</t>
  </si>
  <si>
    <t>ООО "Гефест Капитал"</t>
  </si>
  <si>
    <t>Решение ФАС</t>
  </si>
  <si>
    <t>Признана обоснованной
Предписание не выдано</t>
  </si>
  <si>
    <t xml:space="preserve">Признана необоснованной
Предписание не выдано </t>
  </si>
  <si>
    <r>
      <t>1. Оставить жалобу ИП Кирилов М.В. на действия аукционной комиссии Российская академия образования</t>
    </r>
    <r>
      <rPr>
        <b/>
        <u/>
        <sz val="10"/>
        <color theme="1"/>
        <rFont val="Times New Roman"/>
        <family val="1"/>
        <charset val="204"/>
      </rPr>
      <t xml:space="preserve"> без рассмотрения </t>
    </r>
    <r>
      <rPr>
        <sz val="10"/>
        <color theme="1"/>
        <rFont val="Times New Roman"/>
        <family val="1"/>
        <charset val="204"/>
      </rPr>
      <t>в соответствии с  ч.4 ст.105 Закона о контрактной системе.
 2. Снять ограничения на определение поставщика (подрядчика, исполнителя), наложенные письмом Московского УФАС России № ПО/47675/20
от 27.08.2020.</t>
    </r>
  </si>
  <si>
    <r>
      <t xml:space="preserve">1. Признать жалобу ИП Иванов И.П. на действия ФГБУ «Российская академия образования» </t>
    </r>
    <r>
      <rPr>
        <b/>
        <u/>
        <sz val="10"/>
        <color theme="1"/>
        <rFont val="Times New Roman"/>
        <family val="1"/>
        <charset val="204"/>
      </rPr>
      <t>необоснованной</t>
    </r>
    <r>
      <rPr>
        <sz val="10"/>
        <color theme="1"/>
        <rFont val="Times New Roman"/>
        <family val="1"/>
        <charset val="204"/>
      </rPr>
      <t xml:space="preserve">.
2. Оставить жалобы ИП Иванов И.П. в части обжалования порядка формирования НМЦК </t>
    </r>
    <r>
      <rPr>
        <b/>
        <u/>
        <sz val="10"/>
        <color theme="1"/>
        <rFont val="Times New Roman"/>
        <family val="1"/>
        <charset val="204"/>
      </rPr>
      <t xml:space="preserve">без рассмотрения </t>
    </r>
    <r>
      <rPr>
        <sz val="10"/>
        <color theme="1"/>
        <rFont val="Times New Roman"/>
        <family val="1"/>
        <charset val="204"/>
      </rPr>
      <t>в соответствии со ст.99 Закона о контрактной системе.
3. Снять ограничения на определение поставщика (подрядчика, исполнителя), наложенные письмом Московского УФАС России от 24.08.2020 № ПО/46854/20.</t>
    </r>
  </si>
  <si>
    <r>
      <t xml:space="preserve">1. Заказчику, Аукционной комиссии </t>
    </r>
    <r>
      <rPr>
        <b/>
        <u/>
        <sz val="10"/>
        <color theme="1"/>
        <rFont val="Times New Roman"/>
        <family val="1"/>
        <charset val="204"/>
      </rPr>
      <t xml:space="preserve">отменить Протокол подведения итогов, Протокол рассмотрения заявок </t>
    </r>
    <r>
      <rPr>
        <sz val="10"/>
        <color theme="1"/>
        <rFont val="Times New Roman"/>
        <family val="1"/>
        <charset val="204"/>
      </rPr>
      <t xml:space="preserve">на участие в Аукционе (далее – Протоколы).
3.  Заказчику:
– </t>
    </r>
    <r>
      <rPr>
        <b/>
        <u/>
        <sz val="10"/>
        <color theme="1"/>
        <rFont val="Times New Roman"/>
        <family val="1"/>
        <charset val="204"/>
      </rPr>
      <t>привести документацию об Аукционе в соответствие</t>
    </r>
    <r>
      <rPr>
        <sz val="10"/>
        <color theme="1"/>
        <rFont val="Times New Roman"/>
        <family val="1"/>
        <charset val="204"/>
      </rPr>
      <t xml:space="preserve"> с требованиями Закона о контрактной системе и с учетом решения от 22.09.2020 по делу № 077/06/57-15724/2020 и разместить соответствующую документацию в единой информационной системе;
– назначить новую дату окончания срока подачи заявок на участие в Аукционе, дату рассмотрения первых частей заявок на участие в Аукционе, дату проведения Аукциона, а также разместить в единой информационной системе информацию о новой дате окончания срока подачи заявок на участие в Аукционе, дате рассмотрения первых частей заявок на участие в Аукционе и дате проведения Аукциона. При этом дата окончания срока подачи заявок на участие в Аукционе должна быть назначена в соответствии с ч.6 ст.65 Закона о контрактной системе.
5. Заказчику, Аукционной комиссии, Оператору электронной площадки осуществить дальнейшее проведение процедуры закупки в соответствии с требованиями законодательства Российской Федерации об осуществлении закупок и с учетом решения Московского УФАС России от 22.09.2020 по делу № 077/06/57-15724/2020.
6. Заказчику, Аукционной комиссии </t>
    </r>
    <r>
      <rPr>
        <b/>
        <sz val="10"/>
        <color rgb="FFFF0000"/>
        <rFont val="Times New Roman"/>
        <family val="1"/>
        <charset val="204"/>
      </rPr>
      <t>в срок до 22.10.2020 представить в Московское УФАС</t>
    </r>
    <r>
      <rPr>
        <sz val="10"/>
        <color theme="1"/>
        <rFont val="Times New Roman"/>
        <family val="1"/>
        <charset val="204"/>
      </rPr>
      <t xml:space="preserve"> России подтверждение исполнения настоящего предписания в письменном виде или по факсимильной связи (8(495) 607-42-92) или электронной почте по адресу: to77@fas.gov.ru.</t>
    </r>
  </si>
  <si>
    <t>005</t>
  </si>
  <si>
    <t>006</t>
  </si>
  <si>
    <t>007</t>
  </si>
  <si>
    <t>008</t>
  </si>
  <si>
    <t>акт сдачи-приёмки от 23.09.2020/24.09.2020; ПП № 588933 от 30.09.2020/02.10.2020</t>
  </si>
  <si>
    <t>ПП № 73 от 28.07.2020</t>
  </si>
  <si>
    <t xml:space="preserve">ПП № 115  от 08.09.2020   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</si>
  <si>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</si>
  <si>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</si>
  <si>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</si>
  <si>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</si>
  <si>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</si>
  <si>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</si>
  <si>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</si>
  <si>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</si>
  <si>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</si>
  <si>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</si>
  <si>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</si>
  <si>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022</t>
  </si>
  <si>
    <t>023</t>
  </si>
  <si>
    <t>01.695363кТЭ</t>
  </si>
  <si>
    <t>01.695114кТЭ</t>
  </si>
  <si>
    <t>01.650162кТЭ</t>
  </si>
  <si>
    <t>01.600039кТЭ</t>
  </si>
  <si>
    <t>12192-40551</t>
  </si>
  <si>
    <t>Оказание услуг внутризоновой, междугородной и международной телефонной связи юридическим лимам</t>
  </si>
  <si>
    <t xml:space="preserve">Резервирование мест в линейно-кабельных сооружениях МГТС </t>
  </si>
  <si>
    <t>ПМ/ЛКС D20S00170776</t>
  </si>
  <si>
    <t>024</t>
  </si>
  <si>
    <t>025</t>
  </si>
  <si>
    <t>026</t>
  </si>
  <si>
    <t>Холодное снабжение и водоотведение (Погодинская, 8)</t>
  </si>
  <si>
    <t>ООО "ОПТЛАЙН"</t>
  </si>
  <si>
    <t>027</t>
  </si>
  <si>
    <t>028</t>
  </si>
  <si>
    <t xml:space="preserve">55/78 </t>
  </si>
  <si>
    <t>Предоставление связи автоматической телефонной сети связи органов государственной власти (АТС-ОГВ)</t>
  </si>
  <si>
    <t xml:space="preserve">01-МЗ/Б-2021 </t>
  </si>
  <si>
    <t>ПП № 34 от 11.03.2020 (36 месяцев)</t>
  </si>
  <si>
    <t>ПП от 23.01.2020 № 5665 (12 месяцев)</t>
  </si>
  <si>
    <t>ПП от 10.03.2020 № 40 (12 месяцев)</t>
  </si>
  <si>
    <t>?????</t>
  </si>
  <si>
    <t>ПП от 30.01.2020 № 11 (12 месяцев)</t>
  </si>
  <si>
    <t>БГ от 04.08.2020 № ЭГ-163134/20</t>
  </si>
  <si>
    <t xml:space="preserve">БГ от 17.02.2020 № ЭГ-107862/20 </t>
  </si>
  <si>
    <t>БГ от 25.08.2020 № 819702</t>
  </si>
  <si>
    <t>Акт от 08.10.2020</t>
  </si>
  <si>
    <t>55/77</t>
  </si>
  <si>
    <t xml:space="preserve">01Ю-07531/20-861Д  </t>
  </si>
  <si>
    <t xml:space="preserve"> 07.11.2020
ПП № 429794 от 12.11.2020</t>
  </si>
  <si>
    <t>БГ № 20 0044 AST ММБ 246533 от 12.11.2020</t>
  </si>
  <si>
    <t>40-ЭА/Б-2020</t>
  </si>
  <si>
    <t>41-ЭА/Б-2020</t>
  </si>
  <si>
    <t>0373100111320000018</t>
  </si>
  <si>
    <t>ООО "Высота"</t>
  </si>
  <si>
    <t>ПП от 20.11.2020 № 745</t>
  </si>
  <si>
    <t>ООО «Три Технолоджи»</t>
  </si>
  <si>
    <t>Оказание услуг по мойке автотранспортных средств</t>
  </si>
  <si>
    <t>ИП Дорошев Виталий Владимирович</t>
  </si>
  <si>
    <t>Услуги по уборке помещений с использованием дезинфицирующих средств для предупреждения распространения вирусной инфекции в помещениях (профилактическая  дезинфекция помещений) по адресу: ул. Погодинская, д. 8</t>
  </si>
  <si>
    <t>01-ЭА/Б-2021</t>
  </si>
  <si>
    <t>02-ЭА/Б-2021</t>
  </si>
  <si>
    <t>0373100111320000019</t>
  </si>
  <si>
    <t>0373100111320000021</t>
  </si>
  <si>
    <t>0373100111320000022</t>
  </si>
  <si>
    <t>0373100111320000023</t>
  </si>
  <si>
    <t>0373100111320000024</t>
  </si>
  <si>
    <t>Поставка, монтаж и пусконаладка мультимедийного оборудования для читального зала библиотеки</t>
  </si>
  <si>
    <t>0373100111320000025</t>
  </si>
  <si>
    <t>Оказание услуг по диагностике, техническому обслуживанию и ремонту автотранспортных средств</t>
  </si>
  <si>
    <t>0373100111320000026</t>
  </si>
  <si>
    <t>Поставка, монтаж и пусконаладка мультимедийного оборудования в зал заседания на 4 этаже</t>
  </si>
  <si>
    <t>0373100111320000029</t>
  </si>
  <si>
    <t>0373100111320000030</t>
  </si>
  <si>
    <t>Оказание услуг по резервному доступу к сети Интернет</t>
  </si>
  <si>
    <t>43-ЭА/Б-2020</t>
  </si>
  <si>
    <t>Оказание услуг по  техническому обслуживанию мини АТС, ip-сервера телефонии и телефонной сети</t>
  </si>
  <si>
    <t>44-ЭА/Б-2020</t>
  </si>
  <si>
    <t>03-ЭА/Б-2021</t>
  </si>
  <si>
    <t>ИП Гельфер Дмитрий Александрович</t>
  </si>
  <si>
    <t>43-МЗ/Б-2020</t>
  </si>
  <si>
    <t>04-ЭА/Б-2021</t>
  </si>
  <si>
    <t>АО "Региональный сетевой информационный центр"</t>
  </si>
  <si>
    <t>Услуги по поддержке доменов и хостинга</t>
  </si>
  <si>
    <t>2893631/NIC-D</t>
  </si>
  <si>
    <t>Счет на 19939,72</t>
  </si>
  <si>
    <t>ПП № 683 от 09.12.2020</t>
  </si>
  <si>
    <t>05-ЭА/Б-2021</t>
  </si>
  <si>
    <t>06-ЭА/Б-2021</t>
  </si>
  <si>
    <t>46-МЗ/Б-2020</t>
  </si>
  <si>
    <t>ОО О "АРТИКО ИНВЕСТ"</t>
  </si>
  <si>
    <t>БГ № 434274-БГ/20 от 09.12.2020</t>
  </si>
  <si>
    <t>ООО «ПОДПИСКА-ЭКСПРЕСС»</t>
  </si>
  <si>
    <t>БГ № 1811377 от 11.12.2020</t>
  </si>
  <si>
    <t>25.12.220</t>
  </si>
  <si>
    <t>ООО «Офисофт»</t>
  </si>
  <si>
    <t>Работы по разовому техническому обслуживанию прецизионных кондиционеров Libert HPS06</t>
  </si>
  <si>
    <t>ООО "Интеркул"</t>
  </si>
  <si>
    <t>47-МЗ/Б-2020</t>
  </si>
  <si>
    <t>Новиков В.Л.</t>
  </si>
  <si>
    <t xml:space="preserve">Поставка периферийного оборудования </t>
  </si>
  <si>
    <t>Краснов Л.С.</t>
  </si>
  <si>
    <t>Оказание услуг по техническому обслуживанию лифтов</t>
  </si>
  <si>
    <t>Оказание услуг по проведению предварительных, периодических медицинских осмотров и психиатрического освидетельствования работников</t>
  </si>
  <si>
    <t>Оказание услуг по забору биоматериала у работников Российской академии образования и анализ на диагностику коронавирусной инфекции SARS-CoV-2 методом ПЦР</t>
  </si>
  <si>
    <t>Оказание услуг по проведению дезинфекции в помещениях РАО, расположенных по адресам: г. Москва, ул. Погодинская, д. 8 и г. Москва, Б. Толмачевский пер., д. 3 (стр.5, 6)</t>
  </si>
  <si>
    <t>Мероприятия по приспособлению помещений по адресу: г. Москва, ул. Погодинская, д. 8, 6 этаж</t>
  </si>
  <si>
    <t>ПП от 21.12.2020 № 258 на 6890,92</t>
  </si>
  <si>
    <t>ИП Дорошев 
Виталий Владимирович</t>
  </si>
  <si>
    <t>ООО «ТЦ «ЮМОС»</t>
  </si>
  <si>
    <t>БГ № 20777-447-0595841 от 16.12.2020</t>
  </si>
  <si>
    <t>ООО "ТЕХНЕТ"</t>
  </si>
  <si>
    <t>Почта России</t>
  </si>
  <si>
    <t>Оказание почтовых услуг</t>
  </si>
  <si>
    <t xml:space="preserve">021 </t>
  </si>
  <si>
    <t>АО «СофтЛайн Трейд»</t>
  </si>
  <si>
    <t>Неисключительные (ограниченные) права на использование определенных Программ для ЭВМ (Kaspersky)</t>
  </si>
  <si>
    <t>48-МЗ/Б-2020</t>
  </si>
  <si>
    <t>49-МЗ/Б-2020</t>
  </si>
  <si>
    <t>50-МЗ/Б-2020</t>
  </si>
  <si>
    <t xml:space="preserve">Выполнение электромонтажных работ в здании РАО, расположенного по адресу:
 г. Москва, Бол. Толмачевский пер. д.3
</t>
  </si>
  <si>
    <t>90рд с аванса</t>
  </si>
  <si>
    <t>ООО "Что делать консалт"</t>
  </si>
  <si>
    <t>Оказание услуг с использованием экземпляров систем Консультант+</t>
  </si>
  <si>
    <t>81340-ЧДК</t>
  </si>
  <si>
    <t>07-ЭА/Б-2021</t>
  </si>
  <si>
    <t>51-МЗ/Б-2020</t>
  </si>
  <si>
    <t>Ремонт МФУ</t>
  </si>
  <si>
    <t>ИП Богут 
Алексей Александрович</t>
  </si>
  <si>
    <t>ИП Целовальнов 
Игорь Вадимович</t>
  </si>
  <si>
    <t>08-ЭА/Б-2021</t>
  </si>
  <si>
    <t>09-ЭА/Б-2021</t>
  </si>
  <si>
    <t>10-ЭА/Б-2021</t>
  </si>
  <si>
    <t>12-ЭА/Б-2021</t>
  </si>
  <si>
    <t>Жидкость незамерзающая -30С, 4л, NIGRIN (NIG4W30 Set)</t>
  </si>
  <si>
    <t>13-ЭА/Б-2021</t>
  </si>
  <si>
    <t>14-ЭА/Б-2021</t>
  </si>
  <si>
    <t xml:space="preserve">0373100111320000039 </t>
  </si>
  <si>
    <t>Поставка, монтаж и пусконаладка мультимедийного оборудования для читального зала информационного центра «Библиотека имени К.Д. Ушинского»</t>
  </si>
  <si>
    <t>52-МЗ/Б-2020</t>
  </si>
  <si>
    <t>15 рд</t>
  </si>
  <si>
    <t xml:space="preserve"> 0373100111320000041 </t>
  </si>
  <si>
    <t>Оказание услуг по проведению предрейсового и послерейсового медицинского осмотра (обследования) работников</t>
  </si>
  <si>
    <t>15-ЭА/Б-2021</t>
  </si>
  <si>
    <t>0373100111319000013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</si>
  <si>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</si>
  <si>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</si>
  <si>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</si>
  <si>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</si>
  <si>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</si>
  <si>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</si>
  <si>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</si>
  <si>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</si>
  <si>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</si>
  <si>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</si>
  <si>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</si>
  <si>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</si>
  <si>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Итоговая фактическая оплата 2020 год</t>
  </si>
  <si>
    <t>Январь 2021</t>
  </si>
  <si>
    <t>Февраль 2021</t>
  </si>
  <si>
    <t>Март 2021</t>
  </si>
  <si>
    <t>Апрель 2021</t>
  </si>
  <si>
    <t>Май 2021</t>
  </si>
  <si>
    <t>Июнь 2021</t>
  </si>
  <si>
    <t>Июль 2021</t>
  </si>
  <si>
    <t>Август 2021</t>
  </si>
  <si>
    <t>Сентябрь 2021</t>
  </si>
  <si>
    <t>Октябрь 2021</t>
  </si>
  <si>
    <t>Ноябрь 2021</t>
  </si>
  <si>
    <t>Декабрь 2021</t>
  </si>
  <si>
    <t>Основание заключения с ЕП</t>
  </si>
  <si>
    <t>0373100111320000037</t>
  </si>
  <si>
    <t>ЕИ/257/21 от 11.01.2021</t>
  </si>
  <si>
    <t>ООО «Медикал Сервис»</t>
  </si>
  <si>
    <t xml:space="preserve">Неправомерный отказ в допуске </t>
  </si>
  <si>
    <t>Поставка тепловой энергии (Погодинская, 8)</t>
  </si>
  <si>
    <t>Поставка тепловой энергии (Погодинская, 8-2)</t>
  </si>
  <si>
    <t>Поставка тепловой энергии (Б. Толмачёвский, 3)</t>
  </si>
  <si>
    <t>Поставка тепловой энергии (Б. Полянка, 58)</t>
  </si>
  <si>
    <t xml:space="preserve">
Оказание услуг по горячему водоснабжению 
  (Б. Полянка, 58)</t>
  </si>
  <si>
    <t>Поставка электрической энергии (Погодинская, 8)</t>
  </si>
  <si>
    <t>Поставка электрической энергии (Погодинская, 8-2)</t>
  </si>
  <si>
    <t>Поставка электрической энергии (Б. Толмачёвский, 3)</t>
  </si>
  <si>
    <t>Поставка электрической энергии (Б. Полянка, 58)</t>
  </si>
  <si>
    <t>Поставка электрической энергии (Ростокинский, 15)</t>
  </si>
  <si>
    <t>Оказание услуг по приему сточных вод (Погодинская, 8)</t>
  </si>
  <si>
    <t>01.600093кГВ</t>
  </si>
  <si>
    <t>Документы о расторжении или доп. соглашения</t>
  </si>
  <si>
    <t>ПП № 4 от 12.01.2021</t>
  </si>
  <si>
    <t>Итоговая фактическая оплата 2020-2021</t>
  </si>
  <si>
    <t>ООО "ТРИ ТЕХНОЛОДЖИ"</t>
  </si>
  <si>
    <t xml:space="preserve"> 0373100111320000043</t>
  </si>
  <si>
    <t>Капитальный ремонт теплового пункта по адресу: ул. Погодинская, д.8, корп.2</t>
  </si>
  <si>
    <t>ООО «ПСК ЭНЕРГОМОНТАЖ»</t>
  </si>
  <si>
    <t>0373100111320000040</t>
  </si>
  <si>
    <t>Поставка, монтаж и пусконаладка оборудования для зала заседания на 1 этаже</t>
  </si>
  <si>
    <t>0373100111320000042</t>
  </si>
  <si>
    <t>Поставка офисной мебели</t>
  </si>
  <si>
    <t>ООО «ЕВРООТЕЛЬ»</t>
  </si>
  <si>
    <t>0373100111320000044</t>
  </si>
  <si>
    <t>Капитальный ремонт системы охранно-пожарной сигнализации здания, расположенного по адресу: Москва, ул. Погодинская, дом 8</t>
  </si>
  <si>
    <t>0373100111320000045</t>
  </si>
  <si>
    <t>Поставка, монтаж и пусконаладка оборудования для бесконтактного измерения температуры тела</t>
  </si>
  <si>
    <t>0373100111320000046</t>
  </si>
  <si>
    <t>Выполнение работ по модернизации системы контроля и управления доступом</t>
  </si>
  <si>
    <t>ООО "СТРОЙСТАНДАРТ СЕРВИС"</t>
  </si>
  <si>
    <t>0373100111320000047</t>
  </si>
  <si>
    <t>Приведение эксплуатационных характеристик здания по адресу: ул. Погодинская, дом 8, корпус 2 к нормативным</t>
  </si>
  <si>
    <t>ООО "НИТРИКС"</t>
  </si>
  <si>
    <t>0373100111320000048</t>
  </si>
  <si>
    <t>Поставка компьютерной и оргтехники для оснащения рабочих мест</t>
  </si>
  <si>
    <t>0373100111320000049</t>
  </si>
  <si>
    <t>Выполнение работ по разработке специальных технических условий на проектирование противопожарной защиты объекта культурного наследия</t>
  </si>
  <si>
    <t>0373100111320000050</t>
  </si>
  <si>
    <t>ООО "Что делать решение"</t>
  </si>
  <si>
    <t>Ляшенко Т.А.</t>
  </si>
  <si>
    <t>ООО «Приоритетлифт»</t>
  </si>
  <si>
    <t>ООО «МАГНЕТОМ-М»</t>
  </si>
  <si>
    <t>На подписи</t>
  </si>
  <si>
    <t>ООО «ДНКОМ»</t>
  </si>
  <si>
    <t>ООО "ВОСТОК СИТИ"</t>
  </si>
  <si>
    <t>ООО «ЮНИКСОФТ»</t>
  </si>
  <si>
    <t>16-ЭА/Б-2021</t>
  </si>
  <si>
    <t xml:space="preserve">0373100111320000037 </t>
  </si>
  <si>
    <t>17-ЭА/Б-2021</t>
  </si>
  <si>
    <t>БГ № 450212-БГ/21 от 14.01.2021</t>
  </si>
  <si>
    <t>18-ЭА/Б-2021</t>
  </si>
  <si>
    <t>19-ЭА/Б-2021</t>
  </si>
  <si>
    <t>20-ЭА/Б-2021</t>
  </si>
  <si>
    <t>21-ЭА/Б-2021</t>
  </si>
  <si>
    <t>22-ЭА/Б-2021</t>
  </si>
  <si>
    <t>23-ЭА/Б-2021</t>
  </si>
  <si>
    <t>24-ЭА/Б-2021</t>
  </si>
  <si>
    <t>25-ЭА/Б-2021</t>
  </si>
  <si>
    <t>ООО "ТЕЛЕКОМСТРОЙПРОЕКТ +"</t>
  </si>
  <si>
    <t>ПП № 36 от 19.01.2021</t>
  </si>
  <si>
    <t>ООО "КОМУС"</t>
  </si>
  <si>
    <t>Аванс на оплату почтовых отправлений в под отчёт</t>
  </si>
  <si>
    <t>служебная записка от 11.01.2021</t>
  </si>
  <si>
    <t>Федюнина Е.А.</t>
  </si>
  <si>
    <t>ПП № 68 от 27.08.2020 (возврат)</t>
  </si>
  <si>
    <t>ПП  № 111 от 14.04.2020 (возврат)</t>
  </si>
  <si>
    <t>ПП № 1330 от 30.03.2020  (возврат)</t>
  </si>
  <si>
    <t>ПП № 8216 от 10.12.2019 (возврат)</t>
  </si>
  <si>
    <t xml:space="preserve">
Услуги телефонной связи (Погодинская, 8 - 25 номера)
</t>
  </si>
  <si>
    <t xml:space="preserve">
Доп. соглашение № 1 от 16.03.2020
</t>
  </si>
  <si>
    <t>Совершение нотариальных действий за 28 января 2021 года по акту № 1 от 28 января 2021</t>
  </si>
  <si>
    <t>Шерихова М.С.</t>
  </si>
  <si>
    <t>БГ № 03333-21-10 от 26.01.2021</t>
  </si>
  <si>
    <t>БГ № 21/0044/AST/ММБ/002823 от 21.01.2021</t>
  </si>
  <si>
    <t xml:space="preserve">
БГ № 20777-447-0595927 от 16.12.2020
</t>
  </si>
  <si>
    <t>БГ № 10103233 от 27.01.2021</t>
  </si>
  <si>
    <t>БГ № 1856967 от 29.01.2021</t>
  </si>
  <si>
    <t>БГ № 448422 от 25.01.2021</t>
  </si>
  <si>
    <t>Обоснованной</t>
  </si>
  <si>
    <t xml:space="preserve">0373100111320000033 </t>
  </si>
  <si>
    <t xml:space="preserve">0373100111320000031 </t>
  </si>
  <si>
    <t xml:space="preserve">
БГ № 20777-447-0602088 от 30.12.2020
</t>
  </si>
  <si>
    <t xml:space="preserve"> 0373100111320000036 </t>
  </si>
  <si>
    <t xml:space="preserve"> 0373100111320000032 </t>
  </si>
  <si>
    <t>БГ № 10101331 от 14.01.2020</t>
  </si>
  <si>
    <t xml:space="preserve"> 0373100111320000034 </t>
  </si>
  <si>
    <t>БГ № М106943 от 15.01.2020</t>
  </si>
  <si>
    <t xml:space="preserve"> 0373100111320000035 </t>
  </si>
  <si>
    <t>БГ № ЭГ-221403/21 от 18.01.2021</t>
  </si>
  <si>
    <t>ФИЛИАЛ ФГУП "ОХРАНА" ФЕДЕРАЛЬНОЙ СЛУЖБЫ ВОЙСК НАЦИОНАЛЬНОЙ ГВАРДИИ РОССИЙСКОЙ ФЕДЕРАЦИИ ПО Г. МОСКВЕ</t>
  </si>
  <si>
    <t>ПП № 929 от 27.01.2021</t>
  </si>
  <si>
    <t>а/о 4</t>
  </si>
  <si>
    <t>счёт от 28.01.2021 на 170150,00</t>
  </si>
  <si>
    <t>НОЧУ ДПОО "УЧЕБНЫЙ ЦЕНТР «ОЛИВИН»</t>
  </si>
  <si>
    <t>35-ЭА/Б-2020
доп. Соглашение № 1 от 04.02.2021</t>
  </si>
  <si>
    <t>ИП Назарова 
Ольга Николаевна</t>
  </si>
  <si>
    <t>Таблички</t>
  </si>
  <si>
    <t>счёт № 2</t>
  </si>
  <si>
    <t>Услуги связи проводного радиовещания и оповещения</t>
  </si>
  <si>
    <t>счёт от 31.01.2021 на 1386,84</t>
  </si>
  <si>
    <t>Итоговая фактическая оплата 2021</t>
  </si>
  <si>
    <t>ПП № 52 от 04.02.2021</t>
  </si>
  <si>
    <t>Возмещение перерасхода на приобретение расходных материалов</t>
  </si>
  <si>
    <t>а/о 2</t>
  </si>
  <si>
    <t>а/о 6</t>
  </si>
  <si>
    <t>Возмещение перерасхода на приобретение тачки 200кг/90л</t>
  </si>
  <si>
    <t>а/о 3</t>
  </si>
  <si>
    <t>Нотариус города Москвы Ястребов Дмитрий Владиславович</t>
  </si>
  <si>
    <t>Возмещение перерасхода заверение у ноитариуса Ястребова Д.В.</t>
  </si>
  <si>
    <t>Услуги телефонной связи Б. Толмачёвский пер., 3)</t>
  </si>
  <si>
    <t>ИП Семенюк Л.А.</t>
  </si>
  <si>
    <t>Демонтаж,  постака и монтаж кондиционера</t>
  </si>
  <si>
    <t>счет № 23, тн 23</t>
  </si>
  <si>
    <t>Доп. соглашение к Контракту № 01500093кГВ от 09.12.2019 г.
Соглашение о расторжении от 10.02.2021</t>
  </si>
  <si>
    <t>Расторгнут</t>
  </si>
  <si>
    <t>Такелажно-монтажные работы</t>
  </si>
  <si>
    <t xml:space="preserve">счёт № 1 </t>
  </si>
  <si>
    <t>счёт № 29</t>
  </si>
  <si>
    <t>счёт № 04</t>
  </si>
  <si>
    <t xml:space="preserve">  </t>
  </si>
  <si>
    <t>ИП Палий Р.Э.</t>
  </si>
  <si>
    <t>Выполнение работ по продлению срока действия изобразительного товарного знака № 235239</t>
  </si>
  <si>
    <t>счет-договор б/н</t>
  </si>
  <si>
    <t>счет-договор б/н на 61470</t>
  </si>
  <si>
    <t>Оказание услуг по адаптации  и модификации программного продукта на платформе 1С: Предприятие 8.3</t>
  </si>
  <si>
    <t>059/170121/001</t>
  </si>
  <si>
    <t>Буран Е.И.</t>
  </si>
  <si>
    <t xml:space="preserve">Начислении неустоек(штрафов, пеней) </t>
  </si>
  <si>
    <t>Нарушение срока исполнения контракта
ПП № 4 от 18.02.2021</t>
  </si>
  <si>
    <t xml:space="preserve">счёт № 01 </t>
  </si>
  <si>
    <t>ООО "Репутация"</t>
  </si>
  <si>
    <t>акт сдачи-приёмки от 11.02.2021; ПП № 217467 от 18.02.2021</t>
  </si>
  <si>
    <t>счёт от 26.02.2021 на 15000,00</t>
  </si>
  <si>
    <t>ООО "ЕвроОтель"</t>
  </si>
  <si>
    <t>Поставка штор</t>
  </si>
  <si>
    <t>АНО ДПО "ИПТСУ"</t>
  </si>
  <si>
    <t>Шишкова И.</t>
  </si>
  <si>
    <t xml:space="preserve">ООО "Репутация" </t>
  </si>
  <si>
    <t>Выполнение текущего ремонта помещений 7-го этажа здания РАО по адресу: г. Москва, ул. Погодинская, д. 8</t>
  </si>
  <si>
    <t>ООО "МК СФЕРА"</t>
  </si>
  <si>
    <t>Установка металлической двери</t>
  </si>
  <si>
    <t>Возмещение перерасхода на приобретениепечатей</t>
  </si>
  <si>
    <t>а/о 10</t>
  </si>
  <si>
    <t>акт сдачи-приёмки от 23.12.2020, ПП № 667586 от 28.12.2020</t>
  </si>
  <si>
    <t>0373100111319000037</t>
  </si>
  <si>
    <t xml:space="preserve">
Оказание услуг по проведению вебинаров
</t>
  </si>
  <si>
    <t xml:space="preserve">Выполнение работ по утилизации основных средств </t>
  </si>
  <si>
    <t>ООО Цир «СОФТ-АВ»</t>
  </si>
  <si>
    <t>15 кд+16 недель</t>
  </si>
  <si>
    <t xml:space="preserve">02-МЗ/Б-2021 </t>
  </si>
  <si>
    <t xml:space="preserve">03-МЗ/Б-2021 </t>
  </si>
  <si>
    <t>45 рд</t>
  </si>
  <si>
    <t>04-МЗ/Б-2021</t>
  </si>
  <si>
    <t>10 рд</t>
  </si>
  <si>
    <t>Фрахтование</t>
  </si>
  <si>
    <t>Ремонт дверного замка</t>
  </si>
  <si>
    <t>а/о 74</t>
  </si>
  <si>
    <t>Отменён</t>
  </si>
  <si>
    <t>05-МЗ/Б-2021</t>
  </si>
  <si>
    <t>ООО "РСКарго"</t>
  </si>
  <si>
    <t>БГ № 21/0044/ASTQD/ММБ/003640 от 04.03.2021</t>
  </si>
  <si>
    <t>Приобретение пылесоса портативного Polaris PVCS 1101 HandStickPRO</t>
  </si>
  <si>
    <t>ООО "Комус"</t>
  </si>
  <si>
    <t>счёт № OVT/169382/33410983</t>
  </si>
  <si>
    <t>АО "РСИЦ"</t>
  </si>
  <si>
    <t>Получение прав на доменное имя</t>
  </si>
  <si>
    <r>
      <t xml:space="preserve">Счет </t>
    </r>
    <r>
      <rPr>
        <sz val="10"/>
        <color rgb="FFFF0000"/>
        <rFont val="Times New Roman"/>
        <family val="1"/>
        <charset val="204"/>
      </rPr>
      <t>№ 364282</t>
    </r>
    <r>
      <rPr>
        <sz val="10"/>
        <color theme="1"/>
        <rFont val="Times New Roman"/>
        <family val="1"/>
        <charset val="204"/>
      </rPr>
      <t>-2893631/NIC-D</t>
    </r>
  </si>
  <si>
    <t>счёт № 54</t>
  </si>
  <si>
    <t>Техническое обслуживание и диагностика МФУ и принтеров</t>
  </si>
  <si>
    <t>Картридж лазерный Xerox 106R02773 черный для WC3025</t>
  </si>
  <si>
    <t>счёт № OLW/169382/4948886</t>
  </si>
  <si>
    <t>Подключение к БД "Учёт в учреждении"</t>
  </si>
  <si>
    <t>№ 406326788</t>
  </si>
  <si>
    <t>Оказание услуг по сопровождению и сервисному обслуживанию программных комплексов "1С: Зарплата и кадры государственного учреждения"</t>
  </si>
  <si>
    <t>12Р</t>
  </si>
  <si>
    <t>06-ЭБ-ОТ-ПТМ/53</t>
  </si>
  <si>
    <t>?</t>
  </si>
  <si>
    <t>счёт № 20</t>
  </si>
  <si>
    <t>Такелажные работы</t>
  </si>
  <si>
    <t xml:space="preserve">Нарушение срока исполнения контракта
</t>
  </si>
  <si>
    <t>Услуги регистратора доменных имен и хостинга</t>
  </si>
  <si>
    <t>3858003/NIC-D</t>
  </si>
  <si>
    <t>10/03/21-1</t>
  </si>
  <si>
    <t>ООО "Электрозамер"</t>
  </si>
  <si>
    <t>Периодические электроизмерительные работы в зданиях РАО по адресам: ул. Погодинская, д. 8, ул. Погодинская, д. 8, корп. 2, Б. Толмачевский пер., д. 3</t>
  </si>
  <si>
    <t>45 рд+15рд</t>
  </si>
  <si>
    <t>0434, 0435, 0436</t>
  </si>
  <si>
    <t>БГ от 27.01.2021 №1859339</t>
  </si>
  <si>
    <t>ГБУ МосгорБТИ</t>
  </si>
  <si>
    <t>Оказание услуг по проведению технической инветаризации и изготовлению технической документации БТИ в 1 экз., в отношении объекта недвижимости, расположенного по адресу: Погодинская ул., дом 8</t>
  </si>
  <si>
    <t>14 50 350428</t>
  </si>
  <si>
    <t>30 кд</t>
  </si>
  <si>
    <t xml:space="preserve">Скородумова Н.И. </t>
  </si>
  <si>
    <t>ИП Кочин</t>
  </si>
  <si>
    <t>Закупка электротехнических материалов для монтажа в здании РАО, расположенного по адресу: г. Москва, Б. Толмачёвский пер., 3</t>
  </si>
  <si>
    <t xml:space="preserve">07-МЗ/Б-2021 </t>
  </si>
  <si>
    <t>Дезинсекция служебных помещений по адресу: ул. Погодинская, д. 8 стр. 5</t>
  </si>
  <si>
    <t>Табличка 40*30 металл, скотч</t>
  </si>
  <si>
    <t xml:space="preserve">Специальная оценка условий труда </t>
  </si>
  <si>
    <t xml:space="preserve">0373100111321000004 </t>
  </si>
  <si>
    <t xml:space="preserve">0373100111321000003 </t>
  </si>
  <si>
    <t xml:space="preserve"> 0373100111321000002 </t>
  </si>
  <si>
    <t>Оказание услуг по обновлению системы автоматизации библиотек ИРБИС64 посредством обновления до актуальной версии, расширения функциональных возможностей, адаптации под требования Заказчика, корректировки информации в электронных каталогах и базах данных Заказчика</t>
  </si>
  <si>
    <t xml:space="preserve"> 0373100111321000001 </t>
  </si>
  <si>
    <t>26-ЭА/Б-2021</t>
  </si>
  <si>
    <t xml:space="preserve">ООО "ЭЙВИДИ-СИСТЕМ"
</t>
  </si>
  <si>
    <t>27-ЭА/Б-2021</t>
  </si>
  <si>
    <t>счёт от 31.03.2021 на 54500,00</t>
  </si>
  <si>
    <t xml:space="preserve">08-МЗ/Б-2021 </t>
  </si>
  <si>
    <t>Выполнение электромонтажных работ в помещениях зданиях РАО по адресу: г. москва, Бол. Толмачевский пер., д. 3</t>
  </si>
  <si>
    <t xml:space="preserve">09-МЗ/Б-2021 </t>
  </si>
  <si>
    <t>60 рд</t>
  </si>
  <si>
    <t>0431 не хватает 40 тыс.</t>
  </si>
  <si>
    <t>ИГ-20/00397-ПУС-06-059</t>
  </si>
  <si>
    <t>Нарушение срока исполнения контракта
ПП № 31 от 05.04.2021</t>
  </si>
  <si>
    <t>счёт от 31.03.2021 на 12353,04</t>
  </si>
  <si>
    <t>28-ЭА/Б-2021</t>
  </si>
  <si>
    <t>ООО "ГРОСМАЛАЙН"</t>
  </si>
  <si>
    <t>Аптечка автомобильная САЛЮТ полистрол</t>
  </si>
  <si>
    <t>счёт № OLW/169382/4999347</t>
  </si>
  <si>
    <t>счёт от 31.03.2021 на 1386,84</t>
  </si>
  <si>
    <t>29-ЭА/Б-2021</t>
  </si>
  <si>
    <t>Нарушение срока обязательств по Контракту
ПП № 569 от 16.04.2021</t>
  </si>
  <si>
    <t>27.01.2020
ПП № 844565 от 09.04.2021</t>
  </si>
  <si>
    <t>17.01.2020
ПП № 65324 от 12.04.2021</t>
  </si>
  <si>
    <t>11.02.2021
ПП № 460438 от 20.02.2021</t>
  </si>
  <si>
    <t>14.02.2021
ПП № 647838 от 24.02.2021</t>
  </si>
  <si>
    <t>03.02.2021
ПП № 29356 от 31.03.2021</t>
  </si>
  <si>
    <t>11-ЭА/Б-2021
Соглашение о рассторжении Контракта от 21.04.2021</t>
  </si>
  <si>
    <t>ИП Целовальнов  
Игорь Вадимович</t>
  </si>
  <si>
    <t xml:space="preserve">10-МЗ/Б-2021 </t>
  </si>
  <si>
    <t>ООО "МЦФЭР-пресс"</t>
  </si>
  <si>
    <t>Оказание услуг по аренде программно-аппаратного комплекса и программного обеспечения для голосования</t>
  </si>
  <si>
    <t>30-ЭА/Б-2021</t>
  </si>
  <si>
    <t>счет аванс 30% 135000 от 25.04</t>
  </si>
  <si>
    <t>а/о 23</t>
  </si>
  <si>
    <t>Возмещение перерасхода на приобретение 3-х цилиндровых механизмов</t>
  </si>
  <si>
    <t>ПП от 28.04.2021 № 5</t>
  </si>
  <si>
    <t xml:space="preserve">0373100111321000005 </t>
  </si>
  <si>
    <t>ООО "ТО"</t>
  </si>
  <si>
    <t>ПП от 30.04.2021 № 6422</t>
  </si>
  <si>
    <t>Возмещение перерасхода на приобретение 2-х уголков 20х20 для металлопласта</t>
  </si>
  <si>
    <t>а/о 31</t>
  </si>
  <si>
    <t>Счет на 199498,12</t>
  </si>
  <si>
    <t>счет от 30.04.2021 на 10083,10</t>
  </si>
  <si>
    <t>счет от 30.04.2021 на 13176,00</t>
  </si>
  <si>
    <t>Счет от 30.04.2021 на 538.80</t>
  </si>
  <si>
    <t>Счет от 30.04.2021 на 13667,11</t>
  </si>
  <si>
    <t>счет от 30.04.2021 на 3440,40</t>
  </si>
  <si>
    <t>счет от 30.04.2021 на 1317,62</t>
  </si>
  <si>
    <t>Счет от 30.04.2021 на 109,42</t>
  </si>
  <si>
    <t>Счет от 30.04.2021 на 13093,81</t>
  </si>
  <si>
    <t>Счет от 30.04.2021 на 12720,48</t>
  </si>
  <si>
    <t>Подписка сервиса SendPuise (массовая рассылка писем до 20000 подписчиков)</t>
  </si>
  <si>
    <t>счет на 17670,00</t>
  </si>
  <si>
    <t>Счет на 11730</t>
  </si>
  <si>
    <t>90000 + счет на 210000</t>
  </si>
  <si>
    <t>Непонятно</t>
  </si>
  <si>
    <t>Это уже вроде не актуальное, надо уточнить</t>
  </si>
  <si>
    <t>Непонятная сумма 7020, судя по 248160.83, контракт исполнен, не отмечено</t>
  </si>
  <si>
    <t>нет инфрмации о ПП, странная информация про счет-договор</t>
  </si>
  <si>
    <t>10000 кажется не отсюда, так как ПП раньше чем контракт</t>
  </si>
  <si>
    <t>Сумма контракта 215000, а в пп 49600, и даты  не в формате</t>
  </si>
  <si>
    <t>счёт № 0ЕР/14264218</t>
  </si>
  <si>
    <t>ООО "Экожилстрой"</t>
  </si>
  <si>
    <t xml:space="preserve">Аникеев В.И. </t>
  </si>
  <si>
    <t xml:space="preserve">Кузнецов А.Г. </t>
  </si>
  <si>
    <t xml:space="preserve">Сазонов А.Ю. </t>
  </si>
  <si>
    <t xml:space="preserve">Бикбау К.Я. </t>
  </si>
  <si>
    <t xml:space="preserve">Шишкова И.  </t>
  </si>
  <si>
    <t xml:space="preserve">Нестеров П.А. </t>
  </si>
  <si>
    <t>БГ от 21.04.2021 № 1917969</t>
  </si>
  <si>
    <t>БГ от 20.04.2021 № БГ-143-072</t>
  </si>
  <si>
    <t>БГ от 06.04.2021 № 21/0044/ASTQD/ММБ/027429</t>
  </si>
  <si>
    <t>счет № 20</t>
  </si>
  <si>
    <t>счет № 22</t>
  </si>
  <si>
    <t>не те ПП</t>
  </si>
  <si>
    <t>Наверное, не может быть исполненным, если висит счет желтым</t>
  </si>
  <si>
    <t>Нет информации о платежке, но написано что исполнено, и даты  не в формате</t>
  </si>
  <si>
    <t>Счет на 33000,00</t>
  </si>
  <si>
    <t xml:space="preserve">11-МЗ/Б-2021 </t>
  </si>
  <si>
    <t>Нет инф о ПП</t>
  </si>
  <si>
    <t>ПП больше чем сумма а.о, видимо не то ПП</t>
  </si>
  <si>
    <t>ПП раньше чем договор, видимо не то ПП</t>
  </si>
  <si>
    <t>ПП меньше чем сумма а.о, видимо не то ПП</t>
  </si>
  <si>
    <t>Надо проверить</t>
  </si>
  <si>
    <t>уже должно было быть исполнено</t>
  </si>
  <si>
    <t>ПП больше чем сумма счета, видимо не то ПП</t>
  </si>
  <si>
    <t>ПП больше чем сумма договора, видимо не то ПП</t>
  </si>
  <si>
    <t>Нет ПП</t>
  </si>
  <si>
    <t>Надо проверить, возможно, он уже исполнен</t>
  </si>
  <si>
    <t>не те ПП, возможно он уже исполнен</t>
  </si>
  <si>
    <t>Нет ПП, говорят сделано</t>
  </si>
  <si>
    <t>Счет на 6436,6 от 13.05.21</t>
  </si>
  <si>
    <t xml:space="preserve">СПАО "РЕСО" </t>
  </si>
  <si>
    <t>полис ТТТ 7000487700</t>
  </si>
  <si>
    <t xml:space="preserve">ОСАГО </t>
  </si>
  <si>
    <t>Подписка сервиса SendPuise (массовая рассылка писем до 4000 подписчиков)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</si>
</sst>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dd/mm/yy;@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2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0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name val="Times New Roman"/>
      <family val="1"/>
      <charset val="204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10"/>
      <color theme="0" tint="-0.499984740745262"/>
      <name val="Times New Roman"/>
      <family val="1"/>
      <charset val="204"/>
    </font>
    <font>
      <sz val="11"/>
      <name val="Times New Roman"/>
      <family val="1"/>
      <charset val="204"/>
    </font>
    <font>
      <sz val="11"/>
      <color theme="0" tint="-0.499984740745262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  <charset val="204"/>
    </font>
    <font>
      <b/>
      <sz val="10"/>
      <color theme="6" tint="-0.499984740745262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u/>
      <sz val="10"/>
      <color theme="1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b/>
      <sz val="10"/>
      <color theme="1" tint="0.34998626667073579"/>
      <name val="Times New Roman"/>
      <family val="1"/>
      <charset val="204"/>
    </font>
    <font>
      <sz val="10"/>
      <color theme="1" tint="0.34998626667073579"/>
      <name val="Times New Roman"/>
      <family val="1"/>
      <charset val="204"/>
    </font>
    <font>
      <sz val="11"/>
      <color theme="1" tint="0.34998626667073579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</borders>
  <cellStyleXfs count="6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  <xf numFmtId="0" fontId="19" fillId="0" borderId="0" applyNumberFormat="0" applyFont="0" applyFill="0" applyBorder="0" applyAlignment="0" applyProtection="0"/>
  </cellStyleXfs>
  <cellXfs count="415">
    <xf numFmtId="0" fontId="0" fillId="0" borderId="0" xfId="0"/>
    <xf numFmtId="164" fontId="3" fillId="0" borderId="1" xfId="1" applyFont="1" applyBorder="1" applyAlignment="1">
      <alignment horizontal="center" vertical="center" wrapText="1"/>
    </xf>
    <xf numFmtId="49" fontId="3" fillId="0" borderId="1" xfId="1" applyNumberFormat="1" applyFont="1" applyBorder="1" applyAlignment="1">
      <alignment horizontal="center" vertical="center" wrapText="1"/>
    </xf>
    <xf numFmtId="165" fontId="3" fillId="0" borderId="1" xfId="1" applyNumberFormat="1" applyFont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4" fontId="3" fillId="0" borderId="1" xfId="1" applyNumberFormat="1" applyFont="1" applyBorder="1" applyAlignment="1">
      <alignment horizontal="center" vertical="center" wrapText="1"/>
    </xf>
    <xf numFmtId="0" fontId="9" fillId="0" borderId="0" xfId="0" applyFont="1"/>
    <xf numFmtId="0" fontId="10" fillId="0" borderId="0" xfId="0" applyFont="1"/>
    <xf numFmtId="0" fontId="12" fillId="0" borderId="1" xfId="0" applyFont="1" applyBorder="1" applyAlignment="1">
      <alignment horizontal="center" vertical="center" wrapText="1"/>
    </xf>
    <xf numFmtId="2" fontId="10" fillId="0" borderId="0" xfId="0" applyNumberFormat="1" applyFont="1"/>
    <xf numFmtId="4" fontId="3" fillId="0" borderId="0" xfId="0" applyNumberFormat="1" applyFont="1"/>
    <xf numFmtId="4" fontId="10" fillId="0" borderId="0" xfId="0" applyNumberFormat="1" applyFont="1"/>
    <xf numFmtId="4" fontId="15" fillId="0" borderId="1" xfId="0" applyNumberFormat="1" applyFont="1" applyBorder="1" applyAlignment="1">
      <alignment horizontal="center" vertical="center" wrapText="1"/>
    </xf>
    <xf numFmtId="164" fontId="12" fillId="2" borderId="1" xfId="1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164" fontId="8" fillId="2" borderId="2" xfId="1" applyFont="1" applyFill="1" applyBorder="1" applyAlignment="1">
      <alignment horizontal="center" vertical="center" wrapText="1"/>
    </xf>
    <xf numFmtId="164" fontId="8" fillId="0" borderId="2" xfId="1" applyFont="1" applyBorder="1" applyAlignment="1">
      <alignment horizontal="center" vertical="center" wrapText="1"/>
    </xf>
    <xf numFmtId="2" fontId="8" fillId="0" borderId="2" xfId="1" applyNumberFormat="1" applyFont="1" applyBorder="1" applyAlignment="1">
      <alignment horizontal="center" vertical="center" wrapText="1"/>
    </xf>
    <xf numFmtId="49" fontId="8" fillId="0" borderId="2" xfId="1" applyNumberFormat="1" applyFont="1" applyBorder="1" applyAlignment="1">
      <alignment horizontal="center" vertical="center" wrapText="1"/>
    </xf>
    <xf numFmtId="165" fontId="8" fillId="0" borderId="2" xfId="1" applyNumberFormat="1" applyFont="1" applyBorder="1" applyAlignment="1">
      <alignment horizontal="center" vertical="center" wrapText="1"/>
    </xf>
    <xf numFmtId="4" fontId="8" fillId="0" borderId="2" xfId="1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4" fontId="15" fillId="0" borderId="1" xfId="0" applyNumberFormat="1" applyFont="1" applyBorder="1" applyAlignment="1">
      <alignment horizontal="center" vertical="center"/>
    </xf>
    <xf numFmtId="164" fontId="8" fillId="0" borderId="1" xfId="1" applyFont="1" applyBorder="1" applyAlignment="1">
      <alignment horizontal="center" vertical="center" wrapText="1"/>
    </xf>
    <xf numFmtId="0" fontId="1" fillId="0" borderId="0" xfId="0" applyFont="1"/>
    <xf numFmtId="49" fontId="12" fillId="2" borderId="1" xfId="1" applyNumberFormat="1" applyFont="1" applyFill="1" applyBorder="1" applyAlignment="1">
      <alignment horizontal="center" vertical="center" wrapText="1"/>
    </xf>
    <xf numFmtId="165" fontId="12" fillId="2" borderId="1" xfId="1" applyNumberFormat="1" applyFont="1" applyFill="1" applyBorder="1" applyAlignment="1">
      <alignment horizontal="center" vertical="center" wrapText="1"/>
    </xf>
    <xf numFmtId="14" fontId="12" fillId="2" borderId="1" xfId="1" applyNumberFormat="1" applyFont="1" applyFill="1" applyBorder="1" applyAlignment="1">
      <alignment horizontal="center" vertical="center" wrapText="1"/>
    </xf>
    <xf numFmtId="4" fontId="12" fillId="2" borderId="1" xfId="1" applyNumberFormat="1" applyFont="1" applyFill="1" applyBorder="1" applyAlignment="1">
      <alignment horizontal="center" vertical="center" wrapText="1"/>
    </xf>
    <xf numFmtId="0" fontId="17" fillId="2" borderId="0" xfId="0" applyFont="1" applyFill="1"/>
    <xf numFmtId="4" fontId="6" fillId="2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4" fontId="5" fillId="2" borderId="1" xfId="0" applyNumberFormat="1" applyFont="1" applyFill="1" applyBorder="1" applyAlignment="1">
      <alignment horizontal="center" vertical="center" wrapText="1"/>
    </xf>
    <xf numFmtId="0" fontId="4" fillId="0" borderId="0" xfId="0" applyFont="1"/>
    <xf numFmtId="0" fontId="6" fillId="0" borderId="1" xfId="0" applyFont="1" applyBorder="1" applyAlignment="1">
      <alignment horizontal="center" vertical="center" wrapText="1"/>
    </xf>
    <xf numFmtId="14" fontId="8" fillId="0" borderId="3" xfId="1" applyNumberFormat="1" applyFont="1" applyBorder="1" applyAlignment="1">
      <alignment horizontal="center" vertical="center" wrapText="1"/>
    </xf>
    <xf numFmtId="14" fontId="11" fillId="0" borderId="0" xfId="0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center" vertical="center"/>
    </xf>
    <xf numFmtId="0" fontId="17" fillId="0" borderId="0" xfId="0" applyFont="1"/>
    <xf numFmtId="14" fontId="12" fillId="2" borderId="1" xfId="0" applyNumberFormat="1" applyFont="1" applyFill="1" applyBorder="1" applyAlignment="1">
      <alignment horizontal="center" vertical="center" wrapText="1"/>
    </xf>
    <xf numFmtId="49" fontId="12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12" fillId="2" borderId="1" xfId="0" applyNumberFormat="1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4" fontId="8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wrapText="1"/>
    </xf>
    <xf numFmtId="0" fontId="0" fillId="5" borderId="0" xfId="0" applyFill="1"/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/>
    </xf>
    <xf numFmtId="49" fontId="4" fillId="2" borderId="2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14" fontId="6" fillId="2" borderId="4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0" fontId="10" fillId="0" borderId="0" xfId="0" applyFont="1"/>
    <xf numFmtId="0" fontId="12" fillId="2" borderId="1" xfId="0" applyFont="1" applyFill="1" applyBorder="1" applyAlignment="1">
      <alignment horizontal="center" vertical="center"/>
    </xf>
    <xf numFmtId="4" fontId="12" fillId="0" borderId="1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4" fontId="12" fillId="2" borderId="1" xfId="0" applyNumberFormat="1" applyFont="1" applyFill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/>
    </xf>
    <xf numFmtId="4" fontId="4" fillId="2" borderId="1" xfId="1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4" fontId="6" fillId="6" borderId="1" xfId="0" applyNumberFormat="1" applyFont="1" applyFill="1" applyBorder="1" applyAlignment="1">
      <alignment horizontal="center" vertical="center" wrapText="1"/>
    </xf>
    <xf numFmtId="14" fontId="6" fillId="6" borderId="1" xfId="0" applyNumberFormat="1" applyFont="1" applyFill="1" applyBorder="1" applyAlignment="1">
      <alignment horizontal="center" vertical="center" wrapText="1"/>
    </xf>
    <xf numFmtId="14" fontId="6" fillId="6" borderId="4" xfId="0" applyNumberFormat="1" applyFont="1" applyFill="1" applyBorder="1" applyAlignment="1">
      <alignment horizontal="center" vertical="center" wrapText="1"/>
    </xf>
    <xf numFmtId="0" fontId="16" fillId="6" borderId="0" xfId="0" applyFont="1" applyFill="1"/>
    <xf numFmtId="49" fontId="4" fillId="6" borderId="1" xfId="0" applyNumberFormat="1" applyFont="1" applyFill="1" applyBorder="1" applyAlignment="1">
      <alignment horizontal="center" vertical="center" wrapText="1"/>
    </xf>
    <xf numFmtId="14" fontId="4" fillId="6" borderId="1" xfId="0" applyNumberFormat="1" applyFont="1" applyFill="1" applyBorder="1" applyAlignment="1">
      <alignment horizontal="center" vertical="center"/>
    </xf>
    <xf numFmtId="14" fontId="4" fillId="6" borderId="4" xfId="0" applyNumberFormat="1" applyFont="1" applyFill="1" applyBorder="1" applyAlignment="1">
      <alignment horizontal="center" vertical="center" wrapText="1"/>
    </xf>
    <xf numFmtId="2" fontId="4" fillId="6" borderId="1" xfId="0" applyNumberFormat="1" applyFont="1" applyFill="1" applyBorder="1" applyAlignment="1">
      <alignment horizontal="center" vertical="center" wrapText="1"/>
    </xf>
    <xf numFmtId="14" fontId="4" fillId="0" borderId="1" xfId="0" applyNumberFormat="1" applyFont="1" applyFill="1" applyBorder="1" applyAlignment="1">
      <alignment horizontal="center" vertical="center"/>
    </xf>
    <xf numFmtId="0" fontId="0" fillId="0" borderId="0" xfId="0" applyFont="1"/>
    <xf numFmtId="0" fontId="4" fillId="0" borderId="2" xfId="0" applyFont="1" applyBorder="1" applyAlignment="1">
      <alignment horizontal="center" vertical="center" wrapText="1"/>
    </xf>
    <xf numFmtId="14" fontId="4" fillId="2" borderId="2" xfId="0" applyNumberFormat="1" applyFont="1" applyFill="1" applyBorder="1" applyAlignment="1">
      <alignment horizontal="center" vertical="center" wrapText="1"/>
    </xf>
    <xf numFmtId="4" fontId="4" fillId="0" borderId="2" xfId="0" applyNumberFormat="1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4" fontId="3" fillId="2" borderId="2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NumberFormat="1" applyBorder="1" applyAlignment="1">
      <alignment horizontal="center" vertical="center"/>
    </xf>
    <xf numFmtId="4" fontId="5" fillId="7" borderId="1" xfId="0" applyNumberFormat="1" applyFont="1" applyFill="1" applyBorder="1" applyAlignment="1">
      <alignment horizontal="center" vertical="center" wrapText="1"/>
    </xf>
    <xf numFmtId="4" fontId="20" fillId="0" borderId="1" xfId="0" applyNumberFormat="1" applyFont="1" applyBorder="1" applyAlignment="1">
      <alignment horizontal="center" vertical="center" wrapText="1"/>
    </xf>
    <xf numFmtId="4" fontId="5" fillId="2" borderId="1" xfId="0" applyNumberFormat="1" applyFont="1" applyFill="1" applyBorder="1" applyAlignment="1">
      <alignment horizontal="center" vertical="center"/>
    </xf>
    <xf numFmtId="4" fontId="21" fillId="0" borderId="0" xfId="0" applyNumberFormat="1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distributed"/>
    </xf>
    <xf numFmtId="0" fontId="0" fillId="0" borderId="0" xfId="0" applyAlignment="1">
      <alignment vertical="distributed"/>
    </xf>
    <xf numFmtId="0" fontId="4" fillId="0" borderId="1" xfId="0" applyFont="1" applyBorder="1" applyAlignment="1">
      <alignment horizontal="justify" vertical="center" wrapText="1"/>
    </xf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14" fontId="6" fillId="8" borderId="1" xfId="0" applyNumberFormat="1" applyFont="1" applyFill="1" applyBorder="1" applyAlignment="1">
      <alignment horizontal="center" vertical="center" wrapText="1"/>
    </xf>
    <xf numFmtId="164" fontId="3" fillId="2" borderId="1" xfId="1" applyFont="1" applyFill="1" applyBorder="1" applyAlignment="1">
      <alignment horizontal="center" vertical="center" wrapText="1"/>
    </xf>
    <xf numFmtId="0" fontId="0" fillId="2" borderId="0" xfId="0" applyFill="1"/>
    <xf numFmtId="0" fontId="6" fillId="2" borderId="1" xfId="0" applyFont="1" applyFill="1" applyBorder="1" applyAlignment="1">
      <alignment horizontal="center" vertical="center" wrapText="1"/>
    </xf>
    <xf numFmtId="4" fontId="4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 wrapText="1"/>
    </xf>
    <xf numFmtId="49" fontId="3" fillId="2" borderId="1" xfId="1" applyNumberFormat="1" applyFont="1" applyFill="1" applyBorder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4" fontId="3" fillId="2" borderId="1" xfId="1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wrapText="1"/>
    </xf>
    <xf numFmtId="0" fontId="0" fillId="2" borderId="0" xfId="0" applyFill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" fontId="7" fillId="0" borderId="0" xfId="0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6" fillId="2" borderId="2" xfId="0" applyNumberFormat="1" applyFont="1" applyFill="1" applyBorder="1" applyAlignment="1">
      <alignment horizontal="center" vertical="center" wrapText="1"/>
    </xf>
    <xf numFmtId="0" fontId="6" fillId="2" borderId="1" xfId="0" applyNumberFormat="1" applyFont="1" applyFill="1" applyBorder="1" applyAlignment="1">
      <alignment horizontal="center" vertical="center"/>
    </xf>
    <xf numFmtId="165" fontId="8" fillId="2" borderId="1" xfId="1" applyNumberFormat="1" applyFont="1" applyFill="1" applyBorder="1" applyAlignment="1">
      <alignment horizontal="center" vertical="center" wrapText="1"/>
    </xf>
    <xf numFmtId="0" fontId="1" fillId="2" borderId="0" xfId="0" applyFont="1" applyFill="1"/>
    <xf numFmtId="0" fontId="8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wrapText="1"/>
    </xf>
    <xf numFmtId="49" fontId="7" fillId="0" borderId="1" xfId="0" applyNumberFormat="1" applyFont="1" applyBorder="1" applyAlignment="1">
      <alignment wrapText="1"/>
    </xf>
    <xf numFmtId="0" fontId="7" fillId="0" borderId="0" xfId="0" applyFont="1" applyAlignment="1">
      <alignment wrapText="1"/>
    </xf>
    <xf numFmtId="0" fontId="4" fillId="7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 wrapText="1"/>
    </xf>
    <xf numFmtId="164" fontId="8" fillId="0" borderId="1" xfId="1" applyFont="1" applyBorder="1" applyAlignment="1">
      <alignment horizontal="center" vertical="center" wrapText="1"/>
    </xf>
    <xf numFmtId="14" fontId="6" fillId="0" borderId="1" xfId="0" applyNumberFormat="1" applyFont="1" applyBorder="1" applyAlignment="1">
      <alignment horizontal="center" vertical="center" wrapText="1"/>
    </xf>
    <xf numFmtId="165" fontId="8" fillId="0" borderId="1" xfId="1" applyNumberFormat="1" applyFont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4" fontId="12" fillId="2" borderId="1" xfId="0" applyNumberFormat="1" applyFont="1" applyFill="1" applyBorder="1" applyAlignment="1">
      <alignment horizontal="center" vertical="center"/>
    </xf>
    <xf numFmtId="14" fontId="12" fillId="2" borderId="1" xfId="0" applyNumberFormat="1" applyFont="1" applyFill="1" applyBorder="1" applyAlignment="1">
      <alignment horizontal="center" vertical="center" wrapText="1"/>
    </xf>
    <xf numFmtId="4" fontId="8" fillId="0" borderId="1" xfId="0" applyNumberFormat="1" applyFont="1" applyBorder="1" applyAlignment="1">
      <alignment horizontal="center" vertical="center" wrapText="1"/>
    </xf>
    <xf numFmtId="164" fontId="8" fillId="2" borderId="1" xfId="1" applyFont="1" applyFill="1" applyBorder="1" applyAlignment="1">
      <alignment horizontal="center" vertical="center" wrapText="1"/>
    </xf>
    <xf numFmtId="2" fontId="8" fillId="0" borderId="1" xfId="1" applyNumberFormat="1" applyFont="1" applyBorder="1" applyAlignment="1">
      <alignment horizontal="center" vertical="center" wrapText="1"/>
    </xf>
    <xf numFmtId="49" fontId="8" fillId="0" borderId="1" xfId="1" applyNumberFormat="1" applyFont="1" applyBorder="1" applyAlignment="1">
      <alignment horizontal="center" vertical="center" wrapText="1"/>
    </xf>
    <xf numFmtId="14" fontId="8" fillId="0" borderId="1" xfId="1" applyNumberFormat="1" applyFont="1" applyBorder="1" applyAlignment="1">
      <alignment horizontal="center" vertical="center" wrapText="1"/>
    </xf>
    <xf numFmtId="4" fontId="8" fillId="0" borderId="1" xfId="1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4" fontId="6" fillId="2" borderId="1" xfId="0" applyNumberFormat="1" applyFont="1" applyFill="1" applyBorder="1" applyAlignment="1">
      <alignment horizontal="center" vertical="center" wrapText="1"/>
    </xf>
    <xf numFmtId="14" fontId="6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9" fontId="4" fillId="2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/>
    </xf>
    <xf numFmtId="4" fontId="4" fillId="2" borderId="1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10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14" fontId="6" fillId="0" borderId="1" xfId="0" applyNumberFormat="1" applyFont="1" applyBorder="1" applyAlignment="1">
      <alignment horizontal="center" vertical="center"/>
    </xf>
    <xf numFmtId="4" fontId="4" fillId="0" borderId="0" xfId="0" applyNumberFormat="1" applyFont="1"/>
    <xf numFmtId="0" fontId="4" fillId="9" borderId="1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 wrapText="1"/>
    </xf>
    <xf numFmtId="4" fontId="3" fillId="9" borderId="1" xfId="0" applyNumberFormat="1" applyFont="1" applyFill="1" applyBorder="1" applyAlignment="1">
      <alignment horizontal="center" vertical="center" wrapText="1"/>
    </xf>
    <xf numFmtId="4" fontId="4" fillId="9" borderId="1" xfId="0" applyNumberFormat="1" applyFont="1" applyFill="1" applyBorder="1" applyAlignment="1">
      <alignment horizontal="center" vertical="center" wrapText="1"/>
    </xf>
    <xf numFmtId="0" fontId="0" fillId="9" borderId="0" xfId="0" applyFill="1"/>
    <xf numFmtId="0" fontId="4" fillId="10" borderId="1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14" fontId="4" fillId="10" borderId="1" xfId="0" applyNumberFormat="1" applyFont="1" applyFill="1" applyBorder="1" applyAlignment="1">
      <alignment horizontal="center" vertical="center" wrapText="1"/>
    </xf>
    <xf numFmtId="4" fontId="4" fillId="10" borderId="1" xfId="0" applyNumberFormat="1" applyFont="1" applyFill="1" applyBorder="1" applyAlignment="1">
      <alignment horizontal="center" vertical="center" wrapText="1"/>
    </xf>
    <xf numFmtId="0" fontId="0" fillId="10" borderId="0" xfId="0" applyFill="1"/>
    <xf numFmtId="0" fontId="4" fillId="11" borderId="1" xfId="0" applyFont="1" applyFill="1" applyBorder="1" applyAlignment="1">
      <alignment horizontal="center" vertical="center" wrapText="1"/>
    </xf>
    <xf numFmtId="0" fontId="4" fillId="11" borderId="1" xfId="0" applyFont="1" applyFill="1" applyBorder="1" applyAlignment="1">
      <alignment horizontal="center" vertical="center"/>
    </xf>
    <xf numFmtId="0" fontId="0" fillId="11" borderId="0" xfId="0" applyFill="1"/>
    <xf numFmtId="49" fontId="4" fillId="10" borderId="1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14" fontId="6" fillId="10" borderId="1" xfId="0" applyNumberFormat="1" applyFont="1" applyFill="1" applyBorder="1" applyAlignment="1">
      <alignment horizontal="center" vertical="center"/>
    </xf>
    <xf numFmtId="14" fontId="3" fillId="10" borderId="1" xfId="0" applyNumberFormat="1" applyFont="1" applyFill="1" applyBorder="1" applyAlignment="1">
      <alignment horizontal="center" vertical="center"/>
    </xf>
    <xf numFmtId="165" fontId="4" fillId="10" borderId="1" xfId="0" applyNumberFormat="1" applyFont="1" applyFill="1" applyBorder="1" applyAlignment="1">
      <alignment horizontal="center" vertical="center"/>
    </xf>
    <xf numFmtId="4" fontId="8" fillId="10" borderId="1" xfId="0" applyNumberFormat="1" applyFont="1" applyFill="1" applyBorder="1" applyAlignment="1">
      <alignment horizontal="center" vertical="center"/>
    </xf>
    <xf numFmtId="14" fontId="4" fillId="10" borderId="1" xfId="0" applyNumberFormat="1" applyFont="1" applyFill="1" applyBorder="1" applyAlignment="1">
      <alignment horizontal="center" vertical="center"/>
    </xf>
    <xf numFmtId="4" fontId="3" fillId="10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14" fontId="6" fillId="12" borderId="1" xfId="0" applyNumberFormat="1" applyFont="1" applyFill="1" applyBorder="1" applyAlignment="1">
      <alignment horizontal="center" vertical="center"/>
    </xf>
    <xf numFmtId="14" fontId="4" fillId="12" borderId="1" xfId="0" applyNumberFormat="1" applyFont="1" applyFill="1" applyBorder="1" applyAlignment="1">
      <alignment horizontal="center" vertical="center" wrapText="1"/>
    </xf>
    <xf numFmtId="14" fontId="3" fillId="12" borderId="1" xfId="0" applyNumberFormat="1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 wrapText="1"/>
    </xf>
    <xf numFmtId="4" fontId="4" fillId="12" borderId="1" xfId="0" applyNumberFormat="1" applyFont="1" applyFill="1" applyBorder="1" applyAlignment="1">
      <alignment horizontal="center" vertical="center" wrapText="1"/>
    </xf>
    <xf numFmtId="0" fontId="0" fillId="12" borderId="0" xfId="0" applyFill="1"/>
    <xf numFmtId="14" fontId="4" fillId="12" borderId="1" xfId="0" applyNumberFormat="1" applyFont="1" applyFill="1" applyBorder="1" applyAlignment="1">
      <alignment horizontal="center" vertical="center"/>
    </xf>
    <xf numFmtId="4" fontId="3" fillId="12" borderId="1" xfId="0" applyNumberFormat="1" applyFont="1" applyFill="1" applyBorder="1" applyAlignment="1">
      <alignment horizontal="center" vertical="center"/>
    </xf>
    <xf numFmtId="49" fontId="4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/>
    </xf>
    <xf numFmtId="0" fontId="6" fillId="13" borderId="1" xfId="0" applyFont="1" applyFill="1" applyBorder="1" applyAlignment="1">
      <alignment horizontal="center" vertical="center" wrapText="1"/>
    </xf>
    <xf numFmtId="14" fontId="3" fillId="13" borderId="1" xfId="0" applyNumberFormat="1" applyFont="1" applyFill="1" applyBorder="1" applyAlignment="1">
      <alignment horizontal="center" vertical="center"/>
    </xf>
    <xf numFmtId="0" fontId="4" fillId="13" borderId="1" xfId="0" applyFont="1" applyFill="1" applyBorder="1" applyAlignment="1">
      <alignment horizontal="center" vertical="center" wrapText="1"/>
    </xf>
    <xf numFmtId="4" fontId="8" fillId="13" borderId="1" xfId="0" applyNumberFormat="1" applyFont="1" applyFill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 vertical="center" wrapText="1"/>
    </xf>
    <xf numFmtId="0" fontId="0" fillId="13" borderId="0" xfId="0" applyFill="1"/>
    <xf numFmtId="14" fontId="4" fillId="13" borderId="1" xfId="0" applyNumberFormat="1" applyFont="1" applyFill="1" applyBorder="1" applyAlignment="1">
      <alignment horizontal="center" vertical="center"/>
    </xf>
    <xf numFmtId="4" fontId="3" fillId="13" borderId="1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14" fontId="4" fillId="11" borderId="1" xfId="0" applyNumberFormat="1" applyFont="1" applyFill="1" applyBorder="1" applyAlignment="1">
      <alignment horizontal="center" vertical="center"/>
    </xf>
    <xf numFmtId="4" fontId="3" fillId="11" borderId="1" xfId="0" applyNumberFormat="1" applyFont="1" applyFill="1" applyBorder="1" applyAlignment="1">
      <alignment horizontal="center" vertical="center"/>
    </xf>
    <xf numFmtId="49" fontId="4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/>
    </xf>
    <xf numFmtId="0" fontId="6" fillId="14" borderId="1" xfId="0" applyFont="1" applyFill="1" applyBorder="1" applyAlignment="1">
      <alignment horizontal="center" vertical="center" wrapText="1"/>
    </xf>
    <xf numFmtId="14" fontId="3" fillId="14" borderId="1" xfId="0" applyNumberFormat="1" applyFont="1" applyFill="1" applyBorder="1" applyAlignment="1">
      <alignment horizontal="center" vertical="center"/>
    </xf>
    <xf numFmtId="0" fontId="4" fillId="14" borderId="1" xfId="0" applyFont="1" applyFill="1" applyBorder="1" applyAlignment="1">
      <alignment horizontal="center" vertical="center" wrapText="1"/>
    </xf>
    <xf numFmtId="4" fontId="8" fillId="14" borderId="1" xfId="0" applyNumberFormat="1" applyFont="1" applyFill="1" applyBorder="1" applyAlignment="1">
      <alignment horizontal="center" vertical="center"/>
    </xf>
    <xf numFmtId="4" fontId="4" fillId="14" borderId="1" xfId="0" applyNumberFormat="1" applyFont="1" applyFill="1" applyBorder="1" applyAlignment="1">
      <alignment horizontal="center" vertical="center" wrapText="1"/>
    </xf>
    <xf numFmtId="0" fontId="0" fillId="14" borderId="0" xfId="0" applyFill="1"/>
    <xf numFmtId="14" fontId="4" fillId="14" borderId="1" xfId="0" applyNumberFormat="1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/>
    </xf>
    <xf numFmtId="49" fontId="6" fillId="9" borderId="1" xfId="0" applyNumberFormat="1" applyFont="1" applyFill="1" applyBorder="1" applyAlignment="1">
      <alignment horizontal="center" vertical="center"/>
    </xf>
    <xf numFmtId="14" fontId="4" fillId="9" borderId="1" xfId="0" applyNumberFormat="1" applyFont="1" applyFill="1" applyBorder="1" applyAlignment="1">
      <alignment horizontal="center" vertical="center"/>
    </xf>
    <xf numFmtId="14" fontId="3" fillId="9" borderId="1" xfId="0" applyNumberFormat="1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49" fontId="6" fillId="12" borderId="1" xfId="0" applyNumberFormat="1" applyFont="1" applyFill="1" applyBorder="1" applyAlignment="1">
      <alignment horizontal="center" vertical="center"/>
    </xf>
    <xf numFmtId="49" fontId="6" fillId="10" borderId="1" xfId="0" applyNumberFormat="1" applyFont="1" applyFill="1" applyBorder="1" applyAlignment="1">
      <alignment horizontal="center" vertical="center"/>
    </xf>
    <xf numFmtId="4" fontId="15" fillId="11" borderId="1" xfId="0" applyNumberFormat="1" applyFont="1" applyFill="1" applyBorder="1" applyAlignment="1">
      <alignment horizontal="center" vertical="center"/>
    </xf>
    <xf numFmtId="4" fontId="6" fillId="11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 wrapText="1"/>
    </xf>
    <xf numFmtId="49" fontId="12" fillId="11" borderId="1" xfId="0" applyNumberFormat="1" applyFont="1" applyFill="1" applyBorder="1" applyAlignment="1">
      <alignment horizontal="center" vertical="center" wrapText="1"/>
    </xf>
    <xf numFmtId="14" fontId="12" fillId="11" borderId="1" xfId="0" applyNumberFormat="1" applyFont="1" applyFill="1" applyBorder="1" applyAlignment="1">
      <alignment horizontal="center" vertical="center" wrapText="1"/>
    </xf>
    <xf numFmtId="4" fontId="12" fillId="11" borderId="1" xfId="0" applyNumberFormat="1" applyFont="1" applyFill="1" applyBorder="1" applyAlignment="1">
      <alignment horizontal="center" vertical="center" wrapText="1"/>
    </xf>
    <xf numFmtId="0" fontId="11" fillId="11" borderId="0" xfId="0" applyFont="1" applyFill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4" fontId="4" fillId="11" borderId="1" xfId="0" applyNumberFormat="1" applyFont="1" applyFill="1" applyBorder="1" applyAlignment="1">
      <alignment horizontal="center" vertical="center"/>
    </xf>
    <xf numFmtId="4" fontId="5" fillId="11" borderId="1" xfId="0" applyNumberFormat="1" applyFont="1" applyFill="1" applyBorder="1" applyAlignment="1">
      <alignment horizontal="center" vertical="center" wrapText="1"/>
    </xf>
    <xf numFmtId="4" fontId="8" fillId="11" borderId="1" xfId="0" applyNumberFormat="1" applyFont="1" applyFill="1" applyBorder="1" applyAlignment="1">
      <alignment horizontal="center" vertical="center"/>
    </xf>
    <xf numFmtId="0" fontId="12" fillId="11" borderId="1" xfId="0" applyNumberFormat="1" applyFont="1" applyFill="1" applyBorder="1" applyAlignment="1">
      <alignment horizontal="center" vertical="center" wrapText="1"/>
    </xf>
    <xf numFmtId="0" fontId="12" fillId="11" borderId="1" xfId="0" applyFont="1" applyFill="1" applyBorder="1" applyAlignment="1">
      <alignment horizontal="center" vertical="center"/>
    </xf>
    <xf numFmtId="14" fontId="12" fillId="11" borderId="1" xfId="0" applyNumberFormat="1" applyFont="1" applyFill="1" applyBorder="1" applyAlignment="1">
      <alignment horizontal="center" vertical="center"/>
    </xf>
    <xf numFmtId="0" fontId="12" fillId="11" borderId="1" xfId="0" applyNumberFormat="1" applyFont="1" applyFill="1" applyBorder="1" applyAlignment="1">
      <alignment horizontal="center" vertical="center"/>
    </xf>
    <xf numFmtId="0" fontId="17" fillId="11" borderId="0" xfId="0" applyFont="1" applyFill="1"/>
    <xf numFmtId="4" fontId="12" fillId="11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horizontal="center" vertical="center"/>
    </xf>
    <xf numFmtId="165" fontId="12" fillId="11" borderId="1" xfId="0" applyNumberFormat="1" applyFont="1" applyFill="1" applyBorder="1" applyAlignment="1">
      <alignment horizontal="center"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165" fontId="12" fillId="11" borderId="1" xfId="0" applyNumberFormat="1" applyFont="1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 wrapText="1"/>
    </xf>
    <xf numFmtId="4" fontId="3" fillId="11" borderId="2" xfId="0" applyNumberFormat="1" applyFont="1" applyFill="1" applyBorder="1" applyAlignment="1">
      <alignment horizontal="center" vertical="center"/>
    </xf>
    <xf numFmtId="4" fontId="8" fillId="11" borderId="2" xfId="0" applyNumberFormat="1" applyFont="1" applyFill="1" applyBorder="1" applyAlignment="1">
      <alignment horizontal="center" vertical="center"/>
    </xf>
    <xf numFmtId="4" fontId="15" fillId="2" borderId="1" xfId="0" applyNumberFormat="1" applyFont="1" applyFill="1" applyBorder="1" applyAlignment="1">
      <alignment horizontal="center" vertical="center" wrapText="1"/>
    </xf>
    <xf numFmtId="0" fontId="11" fillId="2" borderId="0" xfId="0" applyFont="1" applyFill="1"/>
    <xf numFmtId="0" fontId="4" fillId="11" borderId="0" xfId="0" applyFont="1" applyFill="1" applyBorder="1" applyAlignment="1">
      <alignment horizontal="center" vertical="center"/>
    </xf>
    <xf numFmtId="0" fontId="0" fillId="2" borderId="0" xfId="0" applyFont="1" applyFill="1"/>
    <xf numFmtId="4" fontId="4" fillId="14" borderId="1" xfId="0" applyNumberFormat="1" applyFont="1" applyFill="1" applyBorder="1" applyAlignment="1">
      <alignment horizontal="center" vertical="center"/>
    </xf>
    <xf numFmtId="4" fontId="4" fillId="10" borderId="1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4" fontId="3" fillId="0" borderId="2" xfId="0" applyNumberFormat="1" applyFont="1" applyBorder="1" applyAlignment="1">
      <alignment horizontal="center" vertical="center"/>
    </xf>
    <xf numFmtId="4" fontId="3" fillId="0" borderId="1" xfId="0" applyNumberFormat="1" applyFont="1" applyBorder="1"/>
    <xf numFmtId="4" fontId="7" fillId="0" borderId="1" xfId="0" applyNumberFormat="1" applyFont="1" applyBorder="1" applyAlignment="1">
      <alignment horizontal="center" vertical="center"/>
    </xf>
    <xf numFmtId="0" fontId="10" fillId="0" borderId="1" xfId="0" applyFont="1" applyBorder="1"/>
    <xf numFmtId="4" fontId="0" fillId="0" borderId="1" xfId="0" applyNumberFormat="1" applyBorder="1" applyAlignment="1">
      <alignment horizontal="center" vertical="center"/>
    </xf>
    <xf numFmtId="4" fontId="4" fillId="9" borderId="1" xfId="0" applyNumberFormat="1" applyFont="1" applyFill="1" applyBorder="1" applyAlignment="1">
      <alignment horizontal="center" vertical="center"/>
    </xf>
    <xf numFmtId="14" fontId="4" fillId="11" borderId="2" xfId="0" applyNumberFormat="1" applyFont="1" applyFill="1" applyBorder="1" applyAlignment="1">
      <alignment horizontal="center" vertical="center"/>
    </xf>
    <xf numFmtId="14" fontId="6" fillId="11" borderId="1" xfId="0" applyNumberFormat="1" applyFont="1" applyFill="1" applyBorder="1" applyAlignment="1">
      <alignment horizontal="center" vertical="center"/>
    </xf>
    <xf numFmtId="4" fontId="6" fillId="14" borderId="1" xfId="0" applyNumberFormat="1" applyFont="1" applyFill="1" applyBorder="1" applyAlignment="1">
      <alignment horizontal="center" vertical="center" wrapText="1"/>
    </xf>
    <xf numFmtId="4" fontId="24" fillId="11" borderId="1" xfId="0" applyNumberFormat="1" applyFont="1" applyFill="1" applyBorder="1" applyAlignment="1">
      <alignment horizontal="center" vertical="center"/>
    </xf>
    <xf numFmtId="0" fontId="25" fillId="11" borderId="1" xfId="0" applyFont="1" applyFill="1" applyBorder="1" applyAlignment="1">
      <alignment horizontal="center" vertical="center" wrapText="1"/>
    </xf>
    <xf numFmtId="0" fontId="25" fillId="11" borderId="1" xfId="0" applyFont="1" applyFill="1" applyBorder="1" applyAlignment="1">
      <alignment horizontal="center" vertical="center"/>
    </xf>
    <xf numFmtId="14" fontId="25" fillId="11" borderId="1" xfId="0" applyNumberFormat="1" applyFont="1" applyFill="1" applyBorder="1" applyAlignment="1">
      <alignment horizontal="center" vertical="center"/>
    </xf>
    <xf numFmtId="4" fontId="24" fillId="11" borderId="1" xfId="0" applyNumberFormat="1" applyFont="1" applyFill="1" applyBorder="1" applyAlignment="1">
      <alignment horizontal="center" vertical="center" wrapText="1"/>
    </xf>
    <xf numFmtId="4" fontId="25" fillId="11" borderId="1" xfId="0" applyNumberFormat="1" applyFont="1" applyFill="1" applyBorder="1" applyAlignment="1">
      <alignment horizontal="center" vertical="center" wrapText="1"/>
    </xf>
    <xf numFmtId="0" fontId="26" fillId="11" borderId="0" xfId="0" applyFont="1" applyFill="1"/>
    <xf numFmtId="14" fontId="25" fillId="11" borderId="1" xfId="0" applyNumberFormat="1" applyFont="1" applyFill="1" applyBorder="1" applyAlignment="1">
      <alignment horizontal="center" vertical="center" wrapText="1"/>
    </xf>
    <xf numFmtId="0" fontId="25" fillId="11" borderId="2" xfId="0" applyFont="1" applyFill="1" applyBorder="1" applyAlignment="1">
      <alignment horizontal="center" vertical="center"/>
    </xf>
    <xf numFmtId="4" fontId="25" fillId="11" borderId="1" xfId="0" applyNumberFormat="1" applyFont="1" applyFill="1" applyBorder="1" applyAlignment="1">
      <alignment horizontal="center" vertical="center"/>
    </xf>
    <xf numFmtId="4" fontId="6" fillId="9" borderId="1" xfId="0" applyNumberFormat="1" applyFont="1" applyFill="1" applyBorder="1" applyAlignment="1">
      <alignment horizontal="center" vertical="center" wrapText="1"/>
    </xf>
    <xf numFmtId="14" fontId="4" fillId="0" borderId="2" xfId="0" applyNumberFormat="1" applyFont="1" applyBorder="1" applyAlignment="1">
      <alignment horizontal="center" vertical="center" wrapText="1"/>
    </xf>
    <xf numFmtId="14" fontId="6" fillId="13" borderId="1" xfId="0" applyNumberFormat="1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  <xf numFmtId="49" fontId="6" fillId="11" borderId="1" xfId="0" applyNumberFormat="1" applyFont="1" applyFill="1" applyBorder="1" applyAlignment="1">
      <alignment horizontal="center" vertical="center" wrapText="1"/>
    </xf>
    <xf numFmtId="14" fontId="6" fillId="11" borderId="1" xfId="0" applyNumberFormat="1" applyFont="1" applyFill="1" applyBorder="1" applyAlignment="1">
      <alignment horizontal="center" vertical="center" wrapText="1"/>
    </xf>
    <xf numFmtId="14" fontId="6" fillId="11" borderId="4" xfId="0" applyNumberFormat="1" applyFont="1" applyFill="1" applyBorder="1" applyAlignment="1">
      <alignment horizontal="center" vertical="center" wrapText="1"/>
    </xf>
    <xf numFmtId="49" fontId="4" fillId="11" borderId="2" xfId="0" applyNumberFormat="1" applyFont="1" applyFill="1" applyBorder="1" applyAlignment="1">
      <alignment horizontal="center" vertical="center" wrapText="1"/>
    </xf>
    <xf numFmtId="0" fontId="6" fillId="11" borderId="5" xfId="0" applyFont="1" applyFill="1" applyBorder="1" applyAlignment="1">
      <alignment horizontal="center" vertical="center" wrapText="1"/>
    </xf>
    <xf numFmtId="14" fontId="4" fillId="11" borderId="4" xfId="0" applyNumberFormat="1" applyFont="1" applyFill="1" applyBorder="1" applyAlignment="1">
      <alignment horizontal="center" vertical="center" wrapText="1"/>
    </xf>
    <xf numFmtId="49" fontId="4" fillId="11" borderId="1" xfId="0" applyNumberFormat="1" applyFont="1" applyFill="1" applyBorder="1" applyAlignment="1">
      <alignment horizontal="center" vertical="center" wrapText="1"/>
    </xf>
    <xf numFmtId="0" fontId="16" fillId="11" borderId="0" xfId="0" applyFont="1" applyFill="1"/>
    <xf numFmtId="14" fontId="4" fillId="11" borderId="1" xfId="0" applyNumberFormat="1" applyFont="1" applyFill="1" applyBorder="1" applyAlignment="1">
      <alignment horizontal="center" vertical="center" wrapText="1"/>
    </xf>
    <xf numFmtId="0" fontId="4" fillId="11" borderId="0" xfId="0" applyFont="1" applyFill="1"/>
    <xf numFmtId="4" fontId="10" fillId="11" borderId="1" xfId="0" applyNumberFormat="1" applyFont="1" applyFill="1" applyBorder="1"/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4" fontId="3" fillId="11" borderId="1" xfId="0" applyNumberFormat="1" applyFont="1" applyFill="1" applyBorder="1" applyAlignment="1">
      <alignment horizontal="center" vertical="center" wrapText="1"/>
    </xf>
    <xf numFmtId="4" fontId="4" fillId="11" borderId="1" xfId="0" applyNumberFormat="1" applyFont="1" applyFill="1" applyBorder="1" applyAlignment="1">
      <alignment horizontal="center" vertical="center" wrapText="1"/>
    </xf>
    <xf numFmtId="0" fontId="4" fillId="11" borderId="1" xfId="0" applyNumberFormat="1" applyFont="1" applyFill="1" applyBorder="1" applyAlignment="1">
      <alignment horizontal="center" vertical="center"/>
    </xf>
    <xf numFmtId="0" fontId="0" fillId="11" borderId="0" xfId="0" applyFont="1" applyFill="1"/>
    <xf numFmtId="0" fontId="1" fillId="2" borderId="7" xfId="0" applyFont="1" applyFill="1" applyBorder="1"/>
    <xf numFmtId="0" fontId="1" fillId="2" borderId="6" xfId="0" applyFont="1" applyFill="1" applyBorder="1"/>
    <xf numFmtId="4" fontId="12" fillId="15" borderId="1" xfId="0" applyNumberFormat="1" applyFont="1" applyFill="1" applyBorder="1" applyAlignment="1">
      <alignment horizontal="center" vertical="center"/>
    </xf>
    <xf numFmtId="4" fontId="12" fillId="15" borderId="1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4" fontId="4" fillId="13" borderId="1" xfId="0" applyNumberFormat="1" applyFont="1" applyFill="1" applyBorder="1" applyAlignment="1">
      <alignment horizontal="center" vertical="center"/>
    </xf>
    <xf numFmtId="4" fontId="3" fillId="7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4" fontId="23" fillId="0" borderId="1" xfId="0" applyNumberFormat="1" applyFont="1" applyBorder="1" applyAlignment="1">
      <alignment horizontal="center" vertical="center"/>
    </xf>
    <xf numFmtId="4" fontId="4" fillId="6" borderId="1" xfId="0" applyNumberFormat="1" applyFont="1" applyFill="1" applyBorder="1" applyAlignment="1">
      <alignment horizontal="center" vertical="center"/>
    </xf>
    <xf numFmtId="4" fontId="6" fillId="6" borderId="1" xfId="0" applyNumberFormat="1" applyFont="1" applyFill="1" applyBorder="1" applyAlignment="1">
      <alignment horizontal="center" vertical="center"/>
    </xf>
    <xf numFmtId="4" fontId="8" fillId="6" borderId="1" xfId="0" applyNumberFormat="1" applyFont="1" applyFill="1" applyBorder="1" applyAlignment="1">
      <alignment horizontal="center" vertical="center"/>
    </xf>
    <xf numFmtId="0" fontId="6" fillId="6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21" fillId="0" borderId="1" xfId="0" applyNumberFormat="1" applyFont="1" applyBorder="1"/>
    <xf numFmtId="4" fontId="6" fillId="11" borderId="1" xfId="0" applyNumberFormat="1" applyFont="1" applyFill="1" applyBorder="1" applyAlignment="1">
      <alignment horizontal="center" vertical="center"/>
    </xf>
    <xf numFmtId="4" fontId="6" fillId="12" borderId="1" xfId="0" applyNumberFormat="1" applyFont="1" applyFill="1" applyBorder="1" applyAlignment="1">
      <alignment horizontal="center" vertical="center" wrapText="1"/>
    </xf>
    <xf numFmtId="49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14" fontId="3" fillId="3" borderId="1" xfId="0" applyNumberFormat="1" applyFont="1" applyFill="1" applyBorder="1" applyAlignment="1">
      <alignment horizontal="center" vertical="center"/>
    </xf>
    <xf numFmtId="14" fontId="4" fillId="3" borderId="1" xfId="0" applyNumberFormat="1" applyFont="1" applyFill="1" applyBorder="1" applyAlignment="1">
      <alignment horizontal="center" vertical="center"/>
    </xf>
    <xf numFmtId="4" fontId="3" fillId="3" borderId="1" xfId="0" applyNumberFormat="1" applyFont="1" applyFill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 wrapText="1"/>
    </xf>
    <xf numFmtId="0" fontId="0" fillId="3" borderId="0" xfId="0" applyFill="1"/>
    <xf numFmtId="4" fontId="4" fillId="0" borderId="2" xfId="0" applyNumberFormat="1" applyFont="1" applyBorder="1" applyAlignment="1">
      <alignment horizontal="center" vertical="center"/>
    </xf>
    <xf numFmtId="4" fontId="4" fillId="0" borderId="0" xfId="0" applyNumberFormat="1" applyFont="1" applyBorder="1" applyAlignment="1">
      <alignment horizontal="center" vertical="center"/>
    </xf>
    <xf numFmtId="4" fontId="6" fillId="11" borderId="0" xfId="0" applyNumberFormat="1" applyFont="1" applyFill="1" applyBorder="1" applyAlignment="1">
      <alignment horizontal="center" vertical="center" wrapText="1"/>
    </xf>
    <xf numFmtId="0" fontId="4" fillId="11" borderId="1" xfId="5" applyFont="1" applyFill="1" applyBorder="1" applyAlignment="1">
      <alignment horizontal="center" vertical="center" wrapText="1"/>
    </xf>
    <xf numFmtId="2" fontId="10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/>
    <xf numFmtId="14" fontId="11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/>
    <xf numFmtId="4" fontId="4" fillId="0" borderId="1" xfId="0" applyNumberFormat="1" applyFont="1" applyBorder="1"/>
    <xf numFmtId="4" fontId="10" fillId="0" borderId="1" xfId="0" applyNumberFormat="1" applyFont="1" applyBorder="1"/>
    <xf numFmtId="0" fontId="4" fillId="11" borderId="0" xfId="0" applyFont="1" applyFill="1" applyAlignment="1">
      <alignment horizontal="center" vertical="center"/>
    </xf>
    <xf numFmtId="0" fontId="6" fillId="11" borderId="2" xfId="0" applyFont="1" applyFill="1" applyBorder="1" applyAlignment="1">
      <alignment horizontal="center" vertical="center" wrapText="1"/>
    </xf>
    <xf numFmtId="0" fontId="9" fillId="11" borderId="0" xfId="0" applyFont="1" applyFill="1"/>
    <xf numFmtId="4" fontId="4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center" vertical="center" wrapText="1"/>
    </xf>
    <xf numFmtId="4" fontId="6" fillId="2" borderId="4" xfId="0" applyNumberFormat="1" applyFont="1" applyFill="1" applyBorder="1" applyAlignment="1">
      <alignment horizontal="center" vertical="center" wrapText="1"/>
    </xf>
    <xf numFmtId="4" fontId="25" fillId="11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/>
    </xf>
    <xf numFmtId="4" fontId="4" fillId="0" borderId="3" xfId="0" applyNumberFormat="1" applyFont="1" applyBorder="1" applyAlignment="1">
      <alignment horizontal="center" vertical="center"/>
    </xf>
    <xf numFmtId="4" fontId="4" fillId="0" borderId="4" xfId="0" applyNumberFormat="1" applyFont="1" applyBorder="1" applyAlignment="1">
      <alignment horizontal="center" vertical="center"/>
    </xf>
    <xf numFmtId="4" fontId="5" fillId="7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 wrapText="1"/>
    </xf>
    <xf numFmtId="4" fontId="12" fillId="2" borderId="4" xfId="0" applyNumberFormat="1" applyFont="1" applyFill="1" applyBorder="1" applyAlignment="1">
      <alignment horizontal="center" vertical="center"/>
    </xf>
    <xf numFmtId="4" fontId="6" fillId="2" borderId="4" xfId="0" applyNumberFormat="1" applyFont="1" applyFill="1" applyBorder="1" applyAlignment="1">
      <alignment horizontal="center" vertical="center"/>
    </xf>
    <xf numFmtId="4" fontId="4" fillId="11" borderId="4" xfId="0" applyNumberFormat="1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 wrapText="1"/>
    </xf>
    <xf numFmtId="4" fontId="0" fillId="0" borderId="4" xfId="0" applyNumberFormat="1" applyBorder="1" applyAlignment="1">
      <alignment horizontal="center" vertical="center"/>
    </xf>
    <xf numFmtId="4" fontId="4" fillId="11" borderId="4" xfId="0" applyNumberFormat="1" applyFont="1" applyFill="1" applyBorder="1" applyAlignment="1">
      <alignment horizontal="center" vertical="center" wrapText="1"/>
    </xf>
    <xf numFmtId="4" fontId="25" fillId="2" borderId="4" xfId="0" applyNumberFormat="1" applyFont="1" applyFill="1" applyBorder="1" applyAlignment="1">
      <alignment horizontal="center" vertical="center" wrapText="1"/>
    </xf>
    <xf numFmtId="4" fontId="25" fillId="2" borderId="1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25" fillId="11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5" fillId="11" borderId="4" xfId="0" applyFont="1" applyFill="1" applyBorder="1" applyAlignment="1">
      <alignment horizontal="center" vertical="center"/>
    </xf>
    <xf numFmtId="4" fontId="6" fillId="11" borderId="4" xfId="0" applyNumberFormat="1" applyFont="1" applyFill="1" applyBorder="1" applyAlignment="1">
      <alignment horizontal="center" vertical="center"/>
    </xf>
    <xf numFmtId="0" fontId="6" fillId="11" borderId="0" xfId="0" applyFont="1" applyFill="1" applyAlignment="1">
      <alignment horizontal="center" vertical="center"/>
    </xf>
    <xf numFmtId="0" fontId="4" fillId="17" borderId="1" xfId="0" applyFont="1" applyFill="1" applyBorder="1" applyAlignment="1">
      <alignment horizontal="center" vertical="center" wrapText="1"/>
    </xf>
    <xf numFmtId="4" fontId="4" fillId="16" borderId="1" xfId="0" applyNumberFormat="1" applyFont="1" applyFill="1" applyBorder="1" applyAlignment="1">
      <alignment horizontal="center" vertical="center" wrapText="1"/>
    </xf>
    <xf numFmtId="0" fontId="4" fillId="16" borderId="2" xfId="0" applyFont="1" applyFill="1" applyBorder="1" applyAlignment="1">
      <alignment horizontal="center" vertical="center"/>
    </xf>
    <xf numFmtId="4" fontId="8" fillId="16" borderId="1" xfId="0" applyNumberFormat="1" applyFont="1" applyFill="1" applyBorder="1" applyAlignment="1">
      <alignment horizontal="center" vertical="center" wrapText="1"/>
    </xf>
    <xf numFmtId="4" fontId="3" fillId="16" borderId="1" xfId="0" applyNumberFormat="1" applyFont="1" applyFill="1" applyBorder="1" applyAlignment="1">
      <alignment horizontal="center" vertical="center" wrapText="1"/>
    </xf>
    <xf numFmtId="4" fontId="8" fillId="16" borderId="2" xfId="0" applyNumberFormat="1" applyFont="1" applyFill="1" applyBorder="1" applyAlignment="1">
      <alignment horizontal="center" vertical="center" wrapText="1"/>
    </xf>
    <xf numFmtId="4" fontId="8" fillId="16" borderId="1" xfId="0" applyNumberFormat="1" applyFont="1" applyFill="1" applyBorder="1" applyAlignment="1">
      <alignment horizontal="center" vertical="center"/>
    </xf>
    <xf numFmtId="0" fontId="4" fillId="16" borderId="1" xfId="0" applyFont="1" applyFill="1" applyBorder="1" applyAlignment="1">
      <alignment horizontal="center" vertical="center"/>
    </xf>
    <xf numFmtId="4" fontId="3" fillId="16" borderId="1" xfId="0" applyNumberFormat="1" applyFont="1" applyFill="1" applyBorder="1" applyAlignment="1">
      <alignment horizontal="center" vertical="center"/>
    </xf>
    <xf numFmtId="4" fontId="23" fillId="11" borderId="2" xfId="0" applyNumberFormat="1" applyFont="1" applyFill="1" applyBorder="1" applyAlignment="1">
      <alignment horizontal="center" vertical="center"/>
    </xf>
    <xf numFmtId="4" fontId="25" fillId="2" borderId="1" xfId="0" applyNumberFormat="1" applyFont="1" applyFill="1" applyBorder="1" applyAlignment="1">
      <alignment horizontal="center" vertical="center"/>
    </xf>
    <xf numFmtId="14" fontId="6" fillId="16" borderId="1" xfId="0" applyNumberFormat="1" applyFont="1" applyFill="1" applyBorder="1" applyAlignment="1">
      <alignment horizontal="center" vertical="center"/>
    </xf>
  </cellXfs>
  <cellStyles count="6">
    <cellStyle name="Обычный" xfId="0" builtinId="0"/>
    <cellStyle name="Обычный 2" xfId="2"/>
    <cellStyle name="Обычный 2 2" xfId="4"/>
    <cellStyle name="Обычный 3" xfId="3"/>
    <cellStyle name="Обычный 4" xfId="5"/>
    <cellStyle name="Финансовый 2" xfId="1"/>
  </cellStyles>
  <dxfs count="0"/>
  <tableStyles count="0" defaultTableStyle="TableStyleMedium2" defaultPivotStyle="PivotStyleMedium9"/>
  <colors>
    <mruColors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V548"/>
  <sheetViews>
    <sheetView topLeftCell="E1" zoomScaleNormal="100" workbookViewId="0">
      <pane ySplit="1" topLeftCell="A37" activePane="bottomLeft" state="frozen"/>
      <selection activeCell="P1" sqref="P1"/>
      <selection pane="bottomLeft" activeCell="H44" sqref="H44"/>
    </sheetView>
  </sheetViews>
  <sheetFormatPr defaultRowHeight="14.4" x14ac:dyDescent="0.3"/>
  <cols>
    <col min="1" max="1" width="6.88671875" style="112" customWidth="1"/>
    <col min="2" max="2" width="4.6640625" customWidth="1"/>
    <col min="3" max="3" width="9.109375" customWidth="1"/>
    <col min="4" max="4" width="19.5546875" customWidth="1"/>
    <col min="5" max="5" width="24.44140625" customWidth="1"/>
    <col min="6" max="6" width="15.44140625" style="111" customWidth="1"/>
    <col min="7" max="7" width="12" customWidth="1"/>
    <col min="8" max="8" width="11.33203125" customWidth="1"/>
    <col min="9" max="10" width="11.44140625" customWidth="1"/>
    <col min="11" max="11" width="15.109375" style="57" customWidth="1"/>
    <col min="12" max="12" width="13.109375" style="57" customWidth="1"/>
    <col min="13" max="13" width="12.33203125" style="39" customWidth="1"/>
    <col min="14" max="14" width="15" customWidth="1"/>
    <col min="15" max="15" width="13.33203125" style="71" customWidth="1"/>
    <col min="16" max="17" width="14.5546875" style="58" customWidth="1"/>
    <col min="18" max="18" width="11.5546875" style="56" customWidth="1"/>
    <col min="19" max="19" width="11" style="56" customWidth="1"/>
    <col min="20" max="29" width="10.5546875" style="56" customWidth="1"/>
    <col min="30" max="100" width="9.109375" style="126"/>
  </cols>
  <sheetData>
    <row r="1" spans="1:29" ht="52.8" x14ac:dyDescent="0.3">
      <c r="A1" s="139" t="s">
        <v>332</v>
      </c>
      <c r="B1" s="125" t="s">
        <v>0</v>
      </c>
      <c r="C1" s="125" t="s">
        <v>1</v>
      </c>
      <c r="D1" s="125" t="s">
        <v>2</v>
      </c>
      <c r="E1" s="125" t="s">
        <v>3</v>
      </c>
      <c r="F1" s="135" t="s">
        <v>4</v>
      </c>
      <c r="G1" s="136" t="s">
        <v>5</v>
      </c>
      <c r="H1" s="150" t="s">
        <v>81</v>
      </c>
      <c r="I1" s="137" t="s">
        <v>6</v>
      </c>
      <c r="J1" s="137" t="s">
        <v>7</v>
      </c>
      <c r="K1" s="137" t="s">
        <v>562</v>
      </c>
      <c r="L1" s="125" t="s">
        <v>9</v>
      </c>
      <c r="M1" s="137" t="s">
        <v>8</v>
      </c>
      <c r="N1" s="152" t="s">
        <v>579</v>
      </c>
      <c r="O1" s="134" t="s">
        <v>581</v>
      </c>
      <c r="P1" s="134" t="s">
        <v>294</v>
      </c>
      <c r="Q1" s="134" t="s">
        <v>668</v>
      </c>
      <c r="R1" s="138" t="s">
        <v>550</v>
      </c>
      <c r="S1" s="138" t="s">
        <v>551</v>
      </c>
      <c r="T1" s="138" t="s">
        <v>552</v>
      </c>
      <c r="U1" s="138" t="s">
        <v>553</v>
      </c>
      <c r="V1" s="138" t="s">
        <v>554</v>
      </c>
      <c r="W1" s="138" t="s">
        <v>555</v>
      </c>
      <c r="X1" s="138" t="s">
        <v>556</v>
      </c>
      <c r="Y1" s="138" t="s">
        <v>557</v>
      </c>
      <c r="Z1" s="138" t="s">
        <v>558</v>
      </c>
      <c r="AA1" s="138" t="s">
        <v>559</v>
      </c>
      <c r="AB1" s="138" t="s">
        <v>560</v>
      </c>
      <c r="AC1" s="138" t="s">
        <v>561</v>
      </c>
    </row>
    <row r="2" spans="1:29" s="275" customFormat="1" ht="66" x14ac:dyDescent="0.3">
      <c r="A2" s="274"/>
      <c r="B2" s="262">
        <v>1</v>
      </c>
      <c r="C2" s="272" t="s">
        <v>66</v>
      </c>
      <c r="D2" s="262" t="s">
        <v>315</v>
      </c>
      <c r="E2" s="262" t="s">
        <v>316</v>
      </c>
      <c r="F2" s="262" t="s">
        <v>320</v>
      </c>
      <c r="G2" s="264">
        <v>43879</v>
      </c>
      <c r="H2" s="264">
        <v>43931</v>
      </c>
      <c r="I2" s="278">
        <v>43891</v>
      </c>
      <c r="J2" s="278">
        <v>44196</v>
      </c>
      <c r="K2" s="262" t="s">
        <v>24</v>
      </c>
      <c r="L2" s="262" t="s">
        <v>25</v>
      </c>
      <c r="M2" s="279">
        <v>105078.56</v>
      </c>
      <c r="N2" s="262" t="s">
        <v>637</v>
      </c>
      <c r="O2" s="276">
        <f>P2+R2</f>
        <v>94359.999999999985</v>
      </c>
      <c r="P2" s="260">
        <v>83641.439999999988</v>
      </c>
      <c r="Q2" s="260"/>
      <c r="R2" s="265">
        <v>10718.56</v>
      </c>
      <c r="S2" s="265"/>
      <c r="T2" s="265"/>
      <c r="U2" s="265"/>
      <c r="V2" s="265"/>
      <c r="W2" s="265"/>
      <c r="X2" s="265"/>
      <c r="Y2" s="265"/>
      <c r="Z2" s="265"/>
      <c r="AA2" s="265"/>
      <c r="AB2" s="265"/>
      <c r="AC2" s="265"/>
    </row>
    <row r="3" spans="1:29" s="275" customFormat="1" ht="39.6" x14ac:dyDescent="0.3">
      <c r="A3" s="274"/>
      <c r="B3" s="262">
        <v>2</v>
      </c>
      <c r="C3" s="272" t="s">
        <v>66</v>
      </c>
      <c r="D3" s="262" t="s">
        <v>22</v>
      </c>
      <c r="E3" s="262" t="s">
        <v>26</v>
      </c>
      <c r="F3" s="262">
        <v>3054473</v>
      </c>
      <c r="G3" s="264">
        <v>43742</v>
      </c>
      <c r="H3" s="264">
        <v>43745</v>
      </c>
      <c r="I3" s="278">
        <v>43831</v>
      </c>
      <c r="J3" s="278">
        <v>44196</v>
      </c>
      <c r="K3" s="262" t="s">
        <v>24</v>
      </c>
      <c r="L3" s="262" t="s">
        <v>112</v>
      </c>
      <c r="M3" s="279">
        <v>85000</v>
      </c>
      <c r="N3" s="262"/>
      <c r="O3" s="276">
        <f t="shared" ref="O3:O22" si="0">P3+R3</f>
        <v>14668.640000000001</v>
      </c>
      <c r="P3" s="260">
        <v>13570.640000000001</v>
      </c>
      <c r="Q3" s="260"/>
      <c r="R3" s="265">
        <v>1098</v>
      </c>
      <c r="S3" s="265"/>
      <c r="T3" s="265"/>
      <c r="U3" s="265"/>
      <c r="V3" s="265"/>
      <c r="W3" s="265"/>
      <c r="X3" s="265"/>
      <c r="Y3" s="265"/>
      <c r="Z3" s="265"/>
      <c r="AA3" s="265"/>
      <c r="AB3" s="265"/>
      <c r="AC3" s="265"/>
    </row>
    <row r="4" spans="1:29" s="275" customFormat="1" ht="39.6" x14ac:dyDescent="0.3">
      <c r="A4" s="274"/>
      <c r="B4" s="262">
        <v>3</v>
      </c>
      <c r="C4" s="272" t="s">
        <v>66</v>
      </c>
      <c r="D4" s="262" t="s">
        <v>22</v>
      </c>
      <c r="E4" s="262" t="s">
        <v>28</v>
      </c>
      <c r="F4" s="262">
        <v>3054476</v>
      </c>
      <c r="G4" s="264">
        <v>43747</v>
      </c>
      <c r="H4" s="264">
        <v>43748</v>
      </c>
      <c r="I4" s="278">
        <v>43831</v>
      </c>
      <c r="J4" s="278">
        <v>44196</v>
      </c>
      <c r="K4" s="262" t="s">
        <v>24</v>
      </c>
      <c r="L4" s="262" t="s">
        <v>112</v>
      </c>
      <c r="M4" s="279">
        <v>35000</v>
      </c>
      <c r="N4" s="262"/>
      <c r="O4" s="276">
        <f t="shared" si="0"/>
        <v>362.11</v>
      </c>
      <c r="P4" s="260">
        <v>288.91000000000003</v>
      </c>
      <c r="Q4" s="260"/>
      <c r="R4" s="265">
        <v>73.2</v>
      </c>
      <c r="S4" s="265"/>
      <c r="T4" s="265"/>
      <c r="U4" s="265"/>
      <c r="V4" s="265"/>
      <c r="W4" s="265"/>
      <c r="X4" s="265"/>
      <c r="Y4" s="265"/>
      <c r="Z4" s="265"/>
      <c r="AA4" s="265"/>
      <c r="AB4" s="265"/>
      <c r="AC4" s="265"/>
    </row>
    <row r="5" spans="1:29" s="275" customFormat="1" ht="39.6" x14ac:dyDescent="0.3">
      <c r="A5" s="274"/>
      <c r="B5" s="262">
        <v>4</v>
      </c>
      <c r="C5" s="272" t="s">
        <v>66</v>
      </c>
      <c r="D5" s="262" t="s">
        <v>22</v>
      </c>
      <c r="E5" s="262" t="s">
        <v>23</v>
      </c>
      <c r="F5" s="262">
        <v>3054477</v>
      </c>
      <c r="G5" s="264">
        <v>43742</v>
      </c>
      <c r="H5" s="264">
        <v>43745</v>
      </c>
      <c r="I5" s="278">
        <v>43831</v>
      </c>
      <c r="J5" s="278">
        <v>44196</v>
      </c>
      <c r="K5" s="262" t="s">
        <v>24</v>
      </c>
      <c r="L5" s="262" t="s">
        <v>112</v>
      </c>
      <c r="M5" s="279">
        <v>120000</v>
      </c>
      <c r="N5" s="262"/>
      <c r="O5" s="276">
        <f t="shared" si="0"/>
        <v>40098.97</v>
      </c>
      <c r="P5" s="260">
        <v>37463.770000000004</v>
      </c>
      <c r="Q5" s="260"/>
      <c r="R5" s="265">
        <v>2635.2</v>
      </c>
      <c r="S5" s="265"/>
      <c r="T5" s="265"/>
      <c r="U5" s="265"/>
      <c r="V5" s="265"/>
      <c r="W5" s="265"/>
      <c r="X5" s="265"/>
      <c r="Y5" s="265"/>
      <c r="Z5" s="265"/>
      <c r="AA5" s="265"/>
      <c r="AB5" s="265"/>
      <c r="AC5" s="265"/>
    </row>
    <row r="6" spans="1:29" s="275" customFormat="1" ht="39.6" x14ac:dyDescent="0.3">
      <c r="A6" s="274"/>
      <c r="B6" s="262">
        <v>5</v>
      </c>
      <c r="C6" s="272" t="s">
        <v>66</v>
      </c>
      <c r="D6" s="262" t="s">
        <v>22</v>
      </c>
      <c r="E6" s="262" t="s">
        <v>38</v>
      </c>
      <c r="F6" s="262">
        <v>3054478</v>
      </c>
      <c r="G6" s="264">
        <v>43742</v>
      </c>
      <c r="H6" s="264">
        <v>43747</v>
      </c>
      <c r="I6" s="278">
        <v>43831</v>
      </c>
      <c r="J6" s="278">
        <v>44196</v>
      </c>
      <c r="K6" s="262" t="s">
        <v>24</v>
      </c>
      <c r="L6" s="262" t="s">
        <v>112</v>
      </c>
      <c r="M6" s="279">
        <v>200000</v>
      </c>
      <c r="N6" s="262"/>
      <c r="O6" s="276">
        <f t="shared" si="0"/>
        <v>75318.03</v>
      </c>
      <c r="P6" s="260">
        <v>60678.03</v>
      </c>
      <c r="Q6" s="260"/>
      <c r="R6" s="265">
        <v>14640</v>
      </c>
      <c r="S6" s="265"/>
      <c r="T6" s="265"/>
      <c r="U6" s="265"/>
      <c r="V6" s="265"/>
      <c r="W6" s="265"/>
      <c r="X6" s="265"/>
      <c r="Y6" s="265"/>
      <c r="Z6" s="265"/>
      <c r="AA6" s="265"/>
      <c r="AB6" s="265"/>
      <c r="AC6" s="265"/>
    </row>
    <row r="7" spans="1:29" s="275" customFormat="1" ht="37.5" customHeight="1" x14ac:dyDescent="0.3">
      <c r="A7" s="274"/>
      <c r="B7" s="262">
        <v>7</v>
      </c>
      <c r="C7" s="272" t="s">
        <v>66</v>
      </c>
      <c r="D7" s="262" t="s">
        <v>39</v>
      </c>
      <c r="E7" s="262" t="s">
        <v>636</v>
      </c>
      <c r="F7" s="262" t="s">
        <v>42</v>
      </c>
      <c r="G7" s="264">
        <v>43796</v>
      </c>
      <c r="H7" s="264">
        <v>43797</v>
      </c>
      <c r="I7" s="278">
        <v>43831</v>
      </c>
      <c r="J7" s="278">
        <v>44196</v>
      </c>
      <c r="K7" s="262" t="s">
        <v>31</v>
      </c>
      <c r="L7" s="262" t="s">
        <v>112</v>
      </c>
      <c r="M7" s="279">
        <v>250000</v>
      </c>
      <c r="N7" s="262"/>
      <c r="O7" s="276">
        <f t="shared" si="0"/>
        <v>170067.97</v>
      </c>
      <c r="P7" s="260">
        <v>156235.91</v>
      </c>
      <c r="Q7" s="260"/>
      <c r="R7" s="265">
        <v>13832.06</v>
      </c>
      <c r="S7" s="265"/>
      <c r="T7" s="265"/>
      <c r="U7" s="265"/>
      <c r="V7" s="265"/>
      <c r="W7" s="265"/>
      <c r="X7" s="265"/>
      <c r="Y7" s="265"/>
      <c r="Z7" s="265"/>
      <c r="AA7" s="265"/>
      <c r="AB7" s="265"/>
      <c r="AC7" s="265"/>
    </row>
    <row r="8" spans="1:29" s="275" customFormat="1" ht="26.4" x14ac:dyDescent="0.3">
      <c r="A8" s="274"/>
      <c r="B8" s="262">
        <v>8</v>
      </c>
      <c r="C8" s="272" t="s">
        <v>66</v>
      </c>
      <c r="D8" s="262" t="s">
        <v>39</v>
      </c>
      <c r="E8" s="262" t="s">
        <v>44</v>
      </c>
      <c r="F8" s="262" t="s">
        <v>40</v>
      </c>
      <c r="G8" s="264">
        <v>43796</v>
      </c>
      <c r="H8" s="264">
        <v>43797</v>
      </c>
      <c r="I8" s="278">
        <v>43831</v>
      </c>
      <c r="J8" s="278">
        <v>44196</v>
      </c>
      <c r="K8" s="262" t="s">
        <v>31</v>
      </c>
      <c r="L8" s="262" t="s">
        <v>112</v>
      </c>
      <c r="M8" s="279">
        <v>10000</v>
      </c>
      <c r="N8" s="262"/>
      <c r="O8" s="276">
        <f t="shared" si="0"/>
        <v>6465.6000000000013</v>
      </c>
      <c r="P8" s="260">
        <v>5926.8000000000011</v>
      </c>
      <c r="Q8" s="260"/>
      <c r="R8" s="265">
        <v>538.79999999999995</v>
      </c>
      <c r="S8" s="265"/>
      <c r="T8" s="265"/>
      <c r="U8" s="265"/>
      <c r="V8" s="265"/>
      <c r="W8" s="265"/>
      <c r="X8" s="265"/>
      <c r="Y8" s="265"/>
      <c r="Z8" s="265"/>
      <c r="AA8" s="265"/>
      <c r="AB8" s="265"/>
      <c r="AC8" s="265"/>
    </row>
    <row r="9" spans="1:29" s="275" customFormat="1" ht="26.4" x14ac:dyDescent="0.3">
      <c r="A9" s="274"/>
      <c r="B9" s="262">
        <v>9</v>
      </c>
      <c r="C9" s="272" t="s">
        <v>66</v>
      </c>
      <c r="D9" s="262" t="s">
        <v>39</v>
      </c>
      <c r="E9" s="262" t="s">
        <v>127</v>
      </c>
      <c r="F9" s="262" t="s">
        <v>41</v>
      </c>
      <c r="G9" s="264">
        <v>43796</v>
      </c>
      <c r="H9" s="264">
        <v>43797</v>
      </c>
      <c r="I9" s="278">
        <v>43831</v>
      </c>
      <c r="J9" s="278">
        <v>44196</v>
      </c>
      <c r="K9" s="262" t="s">
        <v>31</v>
      </c>
      <c r="L9" s="262" t="s">
        <v>112</v>
      </c>
      <c r="M9" s="279">
        <v>200000</v>
      </c>
      <c r="N9" s="262"/>
      <c r="O9" s="276">
        <f t="shared" si="0"/>
        <v>123069.47</v>
      </c>
      <c r="P9" s="260">
        <v>112921.91</v>
      </c>
      <c r="Q9" s="260"/>
      <c r="R9" s="265">
        <v>10147.56</v>
      </c>
      <c r="S9" s="265"/>
      <c r="T9" s="265"/>
      <c r="U9" s="265"/>
      <c r="V9" s="265"/>
      <c r="W9" s="265"/>
      <c r="X9" s="265"/>
      <c r="Y9" s="265"/>
      <c r="Z9" s="265"/>
      <c r="AA9" s="265"/>
      <c r="AB9" s="265"/>
      <c r="AC9" s="265"/>
    </row>
    <row r="10" spans="1:29" s="275" customFormat="1" ht="26.4" x14ac:dyDescent="0.3">
      <c r="A10" s="274"/>
      <c r="B10" s="262">
        <v>10</v>
      </c>
      <c r="C10" s="272" t="s">
        <v>66</v>
      </c>
      <c r="D10" s="262" t="s">
        <v>27</v>
      </c>
      <c r="E10" s="262" t="s">
        <v>140</v>
      </c>
      <c r="F10" s="262" t="s">
        <v>139</v>
      </c>
      <c r="G10" s="264">
        <v>43808</v>
      </c>
      <c r="H10" s="264">
        <v>43811</v>
      </c>
      <c r="I10" s="278">
        <v>43831</v>
      </c>
      <c r="J10" s="278">
        <v>44196</v>
      </c>
      <c r="K10" s="262" t="s">
        <v>24</v>
      </c>
      <c r="L10" s="262" t="s">
        <v>112</v>
      </c>
      <c r="M10" s="279">
        <v>1058927.29</v>
      </c>
      <c r="N10" s="262"/>
      <c r="O10" s="276">
        <v>786534.38</v>
      </c>
      <c r="P10" s="260">
        <v>677033.35</v>
      </c>
      <c r="Q10" s="260"/>
      <c r="R10" s="265">
        <v>163886.04</v>
      </c>
      <c r="S10" s="265"/>
      <c r="T10" s="265"/>
      <c r="U10" s="265"/>
      <c r="V10" s="265"/>
      <c r="W10" s="265"/>
      <c r="X10" s="265"/>
      <c r="Y10" s="265"/>
      <c r="Z10" s="265"/>
      <c r="AA10" s="265"/>
      <c r="AB10" s="265"/>
      <c r="AC10" s="265"/>
    </row>
    <row r="11" spans="1:29" s="275" customFormat="1" ht="26.4" x14ac:dyDescent="0.3">
      <c r="A11" s="274"/>
      <c r="B11" s="262">
        <v>11</v>
      </c>
      <c r="C11" s="272" t="s">
        <v>66</v>
      </c>
      <c r="D11" s="262" t="s">
        <v>27</v>
      </c>
      <c r="E11" s="262" t="s">
        <v>141</v>
      </c>
      <c r="F11" s="262" t="s">
        <v>142</v>
      </c>
      <c r="G11" s="264">
        <v>43816</v>
      </c>
      <c r="H11" s="264">
        <v>43822</v>
      </c>
      <c r="I11" s="278">
        <v>43831</v>
      </c>
      <c r="J11" s="278">
        <v>44196</v>
      </c>
      <c r="K11" s="262" t="s">
        <v>24</v>
      </c>
      <c r="L11" s="262" t="s">
        <v>112</v>
      </c>
      <c r="M11" s="279">
        <v>650701.75</v>
      </c>
      <c r="N11" s="262"/>
      <c r="O11" s="276">
        <f t="shared" si="0"/>
        <v>436037.13</v>
      </c>
      <c r="P11" s="260">
        <v>415582.54</v>
      </c>
      <c r="Q11" s="260"/>
      <c r="R11" s="265">
        <v>20454.59</v>
      </c>
      <c r="S11" s="265"/>
      <c r="T11" s="265"/>
      <c r="U11" s="265"/>
      <c r="V11" s="265"/>
      <c r="W11" s="265"/>
      <c r="X11" s="265"/>
      <c r="Y11" s="265"/>
      <c r="Z11" s="265"/>
      <c r="AA11" s="265"/>
      <c r="AB11" s="265"/>
      <c r="AC11" s="265"/>
    </row>
    <row r="12" spans="1:29" s="275" customFormat="1" ht="92.4" x14ac:dyDescent="0.3">
      <c r="A12" s="274"/>
      <c r="B12" s="262">
        <v>12</v>
      </c>
      <c r="C12" s="272" t="s">
        <v>682</v>
      </c>
      <c r="D12" s="262" t="s">
        <v>27</v>
      </c>
      <c r="E12" s="262" t="s">
        <v>147</v>
      </c>
      <c r="F12" s="262" t="s">
        <v>253</v>
      </c>
      <c r="G12" s="264">
        <v>43808</v>
      </c>
      <c r="H12" s="264">
        <v>43810</v>
      </c>
      <c r="I12" s="278">
        <v>43831</v>
      </c>
      <c r="J12" s="278">
        <v>44196</v>
      </c>
      <c r="K12" s="262" t="s">
        <v>24</v>
      </c>
      <c r="L12" s="262" t="s">
        <v>112</v>
      </c>
      <c r="M12" s="279">
        <v>25524.53</v>
      </c>
      <c r="N12" s="262" t="s">
        <v>681</v>
      </c>
      <c r="O12" s="276">
        <f t="shared" si="0"/>
        <v>0</v>
      </c>
      <c r="P12" s="260">
        <v>0</v>
      </c>
      <c r="Q12" s="260"/>
      <c r="R12" s="265"/>
      <c r="S12" s="265"/>
      <c r="T12" s="265"/>
      <c r="U12" s="265"/>
      <c r="V12" s="265"/>
      <c r="W12" s="265"/>
      <c r="X12" s="265"/>
      <c r="Y12" s="265"/>
      <c r="Z12" s="265"/>
      <c r="AA12" s="265"/>
      <c r="AB12" s="265"/>
      <c r="AC12" s="265"/>
    </row>
    <row r="13" spans="1:29" s="275" customFormat="1" ht="26.4" x14ac:dyDescent="0.3">
      <c r="A13" s="274"/>
      <c r="B13" s="262">
        <v>13</v>
      </c>
      <c r="C13" s="272" t="s">
        <v>66</v>
      </c>
      <c r="D13" s="262" t="s">
        <v>27</v>
      </c>
      <c r="E13" s="262" t="s">
        <v>143</v>
      </c>
      <c r="F13" s="262" t="s">
        <v>144</v>
      </c>
      <c r="G13" s="264">
        <v>43808</v>
      </c>
      <c r="H13" s="264">
        <v>43810</v>
      </c>
      <c r="I13" s="278">
        <v>43831</v>
      </c>
      <c r="J13" s="278">
        <v>44196</v>
      </c>
      <c r="K13" s="262" t="s">
        <v>24</v>
      </c>
      <c r="L13" s="262" t="s">
        <v>112</v>
      </c>
      <c r="M13" s="279">
        <v>1622259.2</v>
      </c>
      <c r="N13" s="262"/>
      <c r="O13" s="276">
        <f t="shared" si="0"/>
        <v>888756.26</v>
      </c>
      <c r="P13" s="260">
        <v>808681.23</v>
      </c>
      <c r="Q13" s="260"/>
      <c r="R13" s="265">
        <v>80075.03</v>
      </c>
      <c r="S13" s="265"/>
      <c r="T13" s="265"/>
      <c r="U13" s="265"/>
      <c r="V13" s="265"/>
      <c r="W13" s="265"/>
      <c r="X13" s="265"/>
      <c r="Y13" s="265"/>
      <c r="Z13" s="265"/>
      <c r="AA13" s="265"/>
      <c r="AB13" s="265"/>
      <c r="AC13" s="265"/>
    </row>
    <row r="14" spans="1:29" s="275" customFormat="1" ht="26.4" x14ac:dyDescent="0.3">
      <c r="A14" s="274"/>
      <c r="B14" s="262">
        <v>14</v>
      </c>
      <c r="C14" s="272" t="s">
        <v>66</v>
      </c>
      <c r="D14" s="262" t="s">
        <v>27</v>
      </c>
      <c r="E14" s="262" t="s">
        <v>145</v>
      </c>
      <c r="F14" s="262" t="s">
        <v>146</v>
      </c>
      <c r="G14" s="264">
        <v>43808</v>
      </c>
      <c r="H14" s="264">
        <v>43810</v>
      </c>
      <c r="I14" s="278">
        <v>43831</v>
      </c>
      <c r="J14" s="278">
        <v>44196</v>
      </c>
      <c r="K14" s="262" t="s">
        <v>24</v>
      </c>
      <c r="L14" s="262" t="s">
        <v>112</v>
      </c>
      <c r="M14" s="279">
        <v>3970401.74</v>
      </c>
      <c r="N14" s="262"/>
      <c r="O14" s="276">
        <f t="shared" si="0"/>
        <v>2247460.5500000003</v>
      </c>
      <c r="P14" s="260">
        <v>2005686.5500000003</v>
      </c>
      <c r="Q14" s="260"/>
      <c r="R14" s="265">
        <v>241774</v>
      </c>
      <c r="S14" s="265"/>
      <c r="T14" s="265"/>
      <c r="U14" s="265"/>
      <c r="V14" s="265"/>
      <c r="W14" s="265"/>
      <c r="X14" s="265"/>
      <c r="Y14" s="265"/>
      <c r="Z14" s="265"/>
      <c r="AA14" s="265"/>
      <c r="AB14" s="265"/>
      <c r="AC14" s="265"/>
    </row>
    <row r="15" spans="1:29" s="275" customFormat="1" ht="39.6" x14ac:dyDescent="0.3">
      <c r="A15" s="274"/>
      <c r="B15" s="272">
        <v>15</v>
      </c>
      <c r="C15" s="272" t="s">
        <v>66</v>
      </c>
      <c r="D15" s="272" t="s">
        <v>39</v>
      </c>
      <c r="E15" s="262" t="s">
        <v>57</v>
      </c>
      <c r="F15" s="262" t="s">
        <v>150</v>
      </c>
      <c r="G15" s="273">
        <v>43815</v>
      </c>
      <c r="H15" s="264">
        <v>43818</v>
      </c>
      <c r="I15" s="280">
        <v>43831</v>
      </c>
      <c r="J15" s="280">
        <v>44196</v>
      </c>
      <c r="K15" s="262" t="s">
        <v>31</v>
      </c>
      <c r="L15" s="262" t="s">
        <v>112</v>
      </c>
      <c r="M15" s="260">
        <v>135193.20000000001</v>
      </c>
      <c r="N15" s="262"/>
      <c r="O15" s="276">
        <f t="shared" si="0"/>
        <v>135193.20000000004</v>
      </c>
      <c r="P15" s="260">
        <v>123927.10000000003</v>
      </c>
      <c r="Q15" s="260"/>
      <c r="R15" s="265">
        <v>11266.1</v>
      </c>
      <c r="S15" s="265"/>
      <c r="T15" s="265"/>
      <c r="U15" s="265"/>
      <c r="V15" s="265"/>
      <c r="W15" s="265"/>
      <c r="X15" s="265"/>
      <c r="Y15" s="265"/>
      <c r="Z15" s="265"/>
      <c r="AA15" s="265"/>
      <c r="AB15" s="265"/>
      <c r="AC15" s="265"/>
    </row>
    <row r="16" spans="1:29" s="275" customFormat="1" ht="66" x14ac:dyDescent="0.3">
      <c r="A16" s="274"/>
      <c r="B16" s="272">
        <v>19</v>
      </c>
      <c r="C16" s="272" t="s">
        <v>66</v>
      </c>
      <c r="D16" s="272" t="s">
        <v>30</v>
      </c>
      <c r="E16" s="262" t="s">
        <v>164</v>
      </c>
      <c r="F16" s="262" t="s">
        <v>165</v>
      </c>
      <c r="G16" s="273">
        <v>43826</v>
      </c>
      <c r="H16" s="264">
        <v>43829</v>
      </c>
      <c r="I16" s="280">
        <v>43831</v>
      </c>
      <c r="J16" s="280">
        <v>44196</v>
      </c>
      <c r="K16" s="262" t="s">
        <v>31</v>
      </c>
      <c r="L16" s="262" t="s">
        <v>112</v>
      </c>
      <c r="M16" s="260">
        <v>50000</v>
      </c>
      <c r="N16" s="262"/>
      <c r="O16" s="276">
        <f t="shared" si="0"/>
        <v>5434.87</v>
      </c>
      <c r="P16" s="260">
        <v>5117.01</v>
      </c>
      <c r="Q16" s="260"/>
      <c r="R16" s="265">
        <v>317.86</v>
      </c>
      <c r="S16" s="265"/>
      <c r="T16" s="265"/>
      <c r="U16" s="265"/>
      <c r="V16" s="265"/>
      <c r="W16" s="265"/>
      <c r="X16" s="265"/>
      <c r="Y16" s="265"/>
      <c r="Z16" s="265"/>
      <c r="AA16" s="265"/>
      <c r="AB16" s="265"/>
      <c r="AC16" s="265"/>
    </row>
    <row r="17" spans="1:29" s="275" customFormat="1" ht="26.4" x14ac:dyDescent="0.3">
      <c r="A17" s="274"/>
      <c r="B17" s="272">
        <v>20</v>
      </c>
      <c r="C17" s="272" t="s">
        <v>66</v>
      </c>
      <c r="D17" s="272" t="s">
        <v>175</v>
      </c>
      <c r="E17" s="262" t="s">
        <v>166</v>
      </c>
      <c r="F17" s="262">
        <v>39013569</v>
      </c>
      <c r="G17" s="273">
        <v>43826</v>
      </c>
      <c r="H17" s="264">
        <v>43829</v>
      </c>
      <c r="I17" s="280">
        <v>43831</v>
      </c>
      <c r="J17" s="280">
        <v>44196</v>
      </c>
      <c r="K17" s="262" t="s">
        <v>43</v>
      </c>
      <c r="L17" s="262" t="s">
        <v>112</v>
      </c>
      <c r="M17" s="260">
        <v>139500</v>
      </c>
      <c r="N17" s="262"/>
      <c r="O17" s="276">
        <f t="shared" si="0"/>
        <v>109343.05000000002</v>
      </c>
      <c r="P17" s="260">
        <v>97835.220000000016</v>
      </c>
      <c r="Q17" s="260"/>
      <c r="R17" s="265">
        <v>11507.83</v>
      </c>
      <c r="S17" s="265"/>
      <c r="T17" s="265"/>
      <c r="U17" s="265"/>
      <c r="V17" s="265"/>
      <c r="W17" s="265"/>
      <c r="X17" s="265"/>
      <c r="Y17" s="265"/>
      <c r="Z17" s="265"/>
      <c r="AA17" s="265"/>
      <c r="AB17" s="265"/>
      <c r="AC17" s="265"/>
    </row>
    <row r="18" spans="1:29" s="275" customFormat="1" ht="26.4" x14ac:dyDescent="0.3">
      <c r="A18" s="274"/>
      <c r="B18" s="272">
        <v>21</v>
      </c>
      <c r="C18" s="272" t="s">
        <v>66</v>
      </c>
      <c r="D18" s="272" t="s">
        <v>175</v>
      </c>
      <c r="E18" s="262" t="s">
        <v>166</v>
      </c>
      <c r="F18" s="262">
        <v>39346862</v>
      </c>
      <c r="G18" s="273">
        <v>43826</v>
      </c>
      <c r="H18" s="264">
        <v>43829</v>
      </c>
      <c r="I18" s="280">
        <v>43831</v>
      </c>
      <c r="J18" s="280">
        <v>44196</v>
      </c>
      <c r="K18" s="262" t="s">
        <v>43</v>
      </c>
      <c r="L18" s="262" t="s">
        <v>112</v>
      </c>
      <c r="M18" s="260">
        <v>225000</v>
      </c>
      <c r="N18" s="262"/>
      <c r="O18" s="276">
        <f t="shared" si="0"/>
        <v>84447.710000000021</v>
      </c>
      <c r="P18" s="260">
        <v>82131.360000000015</v>
      </c>
      <c r="Q18" s="260"/>
      <c r="R18" s="265">
        <v>2316.35</v>
      </c>
      <c r="S18" s="265"/>
      <c r="T18" s="265"/>
      <c r="U18" s="265"/>
      <c r="V18" s="265"/>
      <c r="W18" s="265"/>
      <c r="X18" s="265"/>
      <c r="Y18" s="265"/>
      <c r="Z18" s="265"/>
      <c r="AA18" s="265"/>
      <c r="AB18" s="265"/>
      <c r="AC18" s="265"/>
    </row>
    <row r="19" spans="1:29" s="275" customFormat="1" ht="26.4" x14ac:dyDescent="0.3">
      <c r="A19" s="274"/>
      <c r="B19" s="272">
        <v>23</v>
      </c>
      <c r="C19" s="272" t="s">
        <v>66</v>
      </c>
      <c r="D19" s="272" t="s">
        <v>175</v>
      </c>
      <c r="E19" s="262" t="s">
        <v>166</v>
      </c>
      <c r="F19" s="262">
        <v>80258464</v>
      </c>
      <c r="G19" s="273">
        <v>44014</v>
      </c>
      <c r="H19" s="264">
        <v>44015</v>
      </c>
      <c r="I19" s="280">
        <v>44014</v>
      </c>
      <c r="J19" s="280">
        <v>44196</v>
      </c>
      <c r="K19" s="262" t="s">
        <v>43</v>
      </c>
      <c r="L19" s="262" t="s">
        <v>112</v>
      </c>
      <c r="M19" s="260">
        <v>14490</v>
      </c>
      <c r="N19" s="262"/>
      <c r="O19" s="276">
        <f t="shared" si="0"/>
        <v>5909.02</v>
      </c>
      <c r="P19" s="260">
        <v>4378.43</v>
      </c>
      <c r="Q19" s="260"/>
      <c r="R19" s="265">
        <v>1530.59</v>
      </c>
      <c r="S19" s="265"/>
      <c r="T19" s="265"/>
      <c r="U19" s="265"/>
      <c r="V19" s="265"/>
      <c r="W19" s="265"/>
      <c r="X19" s="265"/>
      <c r="Y19" s="265"/>
      <c r="Z19" s="265"/>
      <c r="AA19" s="265"/>
      <c r="AB19" s="265"/>
      <c r="AC19" s="265"/>
    </row>
    <row r="20" spans="1:29" s="275" customFormat="1" ht="26.4" x14ac:dyDescent="0.3">
      <c r="A20" s="274"/>
      <c r="B20" s="272">
        <v>24</v>
      </c>
      <c r="C20" s="272" t="s">
        <v>66</v>
      </c>
      <c r="D20" s="272" t="s">
        <v>175</v>
      </c>
      <c r="E20" s="262" t="s">
        <v>166</v>
      </c>
      <c r="F20" s="262">
        <v>39300662</v>
      </c>
      <c r="G20" s="273">
        <v>43826</v>
      </c>
      <c r="H20" s="264">
        <v>43829</v>
      </c>
      <c r="I20" s="280">
        <v>43831</v>
      </c>
      <c r="J20" s="280">
        <v>44196</v>
      </c>
      <c r="K20" s="262" t="s">
        <v>43</v>
      </c>
      <c r="L20" s="262" t="s">
        <v>112</v>
      </c>
      <c r="M20" s="260">
        <v>3412500</v>
      </c>
      <c r="N20" s="262"/>
      <c r="O20" s="276">
        <f t="shared" si="0"/>
        <v>1583314.68</v>
      </c>
      <c r="P20" s="260">
        <v>1512123.89</v>
      </c>
      <c r="Q20" s="260"/>
      <c r="R20" s="265">
        <v>71190.789999999994</v>
      </c>
      <c r="S20" s="265"/>
      <c r="T20" s="265"/>
      <c r="U20" s="265"/>
      <c r="V20" s="265"/>
      <c r="W20" s="265"/>
      <c r="X20" s="265"/>
      <c r="Y20" s="265"/>
      <c r="Z20" s="265"/>
      <c r="AA20" s="265"/>
      <c r="AB20" s="265"/>
      <c r="AC20" s="265"/>
    </row>
    <row r="21" spans="1:29" s="275" customFormat="1" ht="26.4" x14ac:dyDescent="0.3">
      <c r="A21" s="274"/>
      <c r="B21" s="272">
        <v>25</v>
      </c>
      <c r="C21" s="272" t="s">
        <v>66</v>
      </c>
      <c r="D21" s="272" t="s">
        <v>175</v>
      </c>
      <c r="E21" s="262" t="s">
        <v>166</v>
      </c>
      <c r="F21" s="262">
        <v>80564264</v>
      </c>
      <c r="G21" s="273">
        <v>43826</v>
      </c>
      <c r="H21" s="264">
        <v>43829</v>
      </c>
      <c r="I21" s="280">
        <v>43831</v>
      </c>
      <c r="J21" s="280">
        <v>44196</v>
      </c>
      <c r="K21" s="262" t="s">
        <v>43</v>
      </c>
      <c r="L21" s="262" t="s">
        <v>112</v>
      </c>
      <c r="M21" s="260">
        <v>832500</v>
      </c>
      <c r="N21" s="262"/>
      <c r="O21" s="276">
        <f t="shared" si="0"/>
        <v>583467.9800000001</v>
      </c>
      <c r="P21" s="260">
        <v>543178.62000000011</v>
      </c>
      <c r="Q21" s="260"/>
      <c r="R21" s="265">
        <v>40289.360000000001</v>
      </c>
      <c r="S21" s="265"/>
      <c r="T21" s="265"/>
      <c r="U21" s="265"/>
      <c r="V21" s="265"/>
      <c r="W21" s="265"/>
      <c r="X21" s="265"/>
      <c r="Y21" s="265"/>
      <c r="Z21" s="265"/>
      <c r="AA21" s="265"/>
      <c r="AB21" s="265"/>
      <c r="AC21" s="265"/>
    </row>
    <row r="22" spans="1:29" s="275" customFormat="1" ht="92.4" x14ac:dyDescent="0.3">
      <c r="A22" s="274"/>
      <c r="B22" s="262">
        <v>27</v>
      </c>
      <c r="C22" s="272" t="s">
        <v>66</v>
      </c>
      <c r="D22" s="262" t="s">
        <v>61</v>
      </c>
      <c r="E22" s="262" t="s">
        <v>62</v>
      </c>
      <c r="F22" s="262" t="s">
        <v>60</v>
      </c>
      <c r="G22" s="264">
        <v>43829</v>
      </c>
      <c r="H22" s="264">
        <v>43830</v>
      </c>
      <c r="I22" s="280">
        <v>43831</v>
      </c>
      <c r="J22" s="280">
        <v>44196</v>
      </c>
      <c r="K22" s="262" t="s">
        <v>33</v>
      </c>
      <c r="L22" s="262" t="s">
        <v>112</v>
      </c>
      <c r="M22" s="279">
        <v>91955.79</v>
      </c>
      <c r="N22" s="262"/>
      <c r="O22" s="276">
        <f t="shared" si="0"/>
        <v>91955.759999999966</v>
      </c>
      <c r="P22" s="260">
        <v>84292.77999999997</v>
      </c>
      <c r="Q22" s="260"/>
      <c r="R22" s="265">
        <v>7662.98</v>
      </c>
      <c r="S22" s="265"/>
      <c r="T22" s="265"/>
      <c r="U22" s="265"/>
      <c r="V22" s="265"/>
      <c r="W22" s="265"/>
      <c r="X22" s="265"/>
      <c r="Y22" s="265"/>
      <c r="Z22" s="265"/>
      <c r="AA22" s="265"/>
      <c r="AB22" s="265"/>
      <c r="AC22" s="265"/>
    </row>
    <row r="23" spans="1:29" s="207" customFormat="1" ht="39.6" x14ac:dyDescent="0.3">
      <c r="A23" s="211" t="s">
        <v>392</v>
      </c>
      <c r="B23" s="203"/>
      <c r="C23" s="203" t="s">
        <v>37</v>
      </c>
      <c r="D23" s="212" t="s">
        <v>22</v>
      </c>
      <c r="E23" s="204" t="s">
        <v>423</v>
      </c>
      <c r="F23" s="204">
        <v>3057289</v>
      </c>
      <c r="G23" s="213">
        <v>44105</v>
      </c>
      <c r="H23" s="205">
        <v>44113</v>
      </c>
      <c r="I23" s="214">
        <v>44197</v>
      </c>
      <c r="J23" s="215">
        <v>44561</v>
      </c>
      <c r="K23" s="204" t="s">
        <v>24</v>
      </c>
      <c r="L23" s="202" t="s">
        <v>112</v>
      </c>
      <c r="M23" s="216">
        <v>200000</v>
      </c>
      <c r="N23" s="203"/>
      <c r="O23" s="203"/>
      <c r="P23" s="203"/>
      <c r="Q23" s="289">
        <f>SUM(R23,S23,T23,U23,V23,W23,X23,Y23,Z23,AA23,AB23)</f>
        <v>54607.199999999997</v>
      </c>
      <c r="R23" s="206">
        <v>17714.400000000001</v>
      </c>
      <c r="S23" s="206">
        <v>14859.6</v>
      </c>
      <c r="T23" s="206">
        <v>22033.200000000001</v>
      </c>
      <c r="U23" s="113" t="s">
        <v>813</v>
      </c>
      <c r="V23" s="206"/>
      <c r="W23" s="206"/>
      <c r="X23" s="206"/>
      <c r="Y23" s="206"/>
      <c r="Z23" s="206"/>
      <c r="AA23" s="206"/>
      <c r="AB23" s="206"/>
      <c r="AC23" s="206"/>
    </row>
    <row r="24" spans="1:29" s="207" customFormat="1" ht="39.6" x14ac:dyDescent="0.3">
      <c r="A24" s="211" t="s">
        <v>393</v>
      </c>
      <c r="B24" s="203"/>
      <c r="C24" s="203" t="s">
        <v>37</v>
      </c>
      <c r="D24" s="202" t="s">
        <v>22</v>
      </c>
      <c r="E24" s="204" t="s">
        <v>23</v>
      </c>
      <c r="F24" s="202">
        <v>3057290</v>
      </c>
      <c r="G24" s="217">
        <v>44105</v>
      </c>
      <c r="H24" s="205">
        <v>44106</v>
      </c>
      <c r="I24" s="214">
        <v>44197</v>
      </c>
      <c r="J24" s="215">
        <v>44561</v>
      </c>
      <c r="K24" s="202" t="s">
        <v>24</v>
      </c>
      <c r="L24" s="202" t="s">
        <v>112</v>
      </c>
      <c r="M24" s="218">
        <v>120000</v>
      </c>
      <c r="N24" s="203"/>
      <c r="O24" s="203"/>
      <c r="P24" s="203"/>
      <c r="Q24" s="289">
        <f>SUM(R24:AC24)</f>
        <v>6807.6</v>
      </c>
      <c r="R24" s="206">
        <v>2635.2</v>
      </c>
      <c r="S24" s="206">
        <v>2196</v>
      </c>
      <c r="T24" s="206">
        <v>1976.4</v>
      </c>
      <c r="U24" s="113" t="s">
        <v>816</v>
      </c>
      <c r="V24" s="206"/>
      <c r="W24" s="206"/>
      <c r="X24" s="206"/>
      <c r="Y24" s="206"/>
      <c r="Z24" s="206"/>
      <c r="AA24" s="206"/>
      <c r="AB24" s="206"/>
      <c r="AC24" s="206"/>
    </row>
    <row r="25" spans="1:29" s="207" customFormat="1" ht="39.6" x14ac:dyDescent="0.3">
      <c r="A25" s="211" t="s">
        <v>394</v>
      </c>
      <c r="B25" s="203"/>
      <c r="C25" s="203" t="s">
        <v>37</v>
      </c>
      <c r="D25" s="203" t="s">
        <v>22</v>
      </c>
      <c r="E25" s="202" t="s">
        <v>28</v>
      </c>
      <c r="F25" s="202">
        <v>3057291</v>
      </c>
      <c r="G25" s="217">
        <v>44105</v>
      </c>
      <c r="H25" s="205">
        <v>44116</v>
      </c>
      <c r="I25" s="214">
        <v>44197</v>
      </c>
      <c r="J25" s="215">
        <v>44561</v>
      </c>
      <c r="K25" s="202" t="s">
        <v>24</v>
      </c>
      <c r="L25" s="202" t="s">
        <v>112</v>
      </c>
      <c r="M25" s="218">
        <v>35000</v>
      </c>
      <c r="N25" s="203"/>
      <c r="O25" s="203"/>
      <c r="P25" s="203"/>
      <c r="Q25" s="289">
        <f>SUM(R25,S25,T25,U25,V25,W25,X25,Y25,Z25,AA25,AB25)</f>
        <v>2415.6</v>
      </c>
      <c r="R25" s="206"/>
      <c r="S25" s="206">
        <v>2415.6</v>
      </c>
      <c r="T25" s="206"/>
      <c r="U25" s="206"/>
      <c r="V25" s="206"/>
      <c r="W25" s="206"/>
      <c r="X25" s="206"/>
      <c r="Y25" s="206"/>
      <c r="Z25" s="206"/>
      <c r="AA25" s="206"/>
      <c r="AB25" s="206"/>
      <c r="AC25" s="206"/>
    </row>
    <row r="26" spans="1:29" s="207" customFormat="1" ht="39.6" x14ac:dyDescent="0.3">
      <c r="A26" s="211" t="s">
        <v>395</v>
      </c>
      <c r="B26" s="203"/>
      <c r="C26" s="203" t="s">
        <v>37</v>
      </c>
      <c r="D26" s="203" t="s">
        <v>22</v>
      </c>
      <c r="E26" s="202" t="s">
        <v>26</v>
      </c>
      <c r="F26" s="202">
        <v>3057294</v>
      </c>
      <c r="G26" s="217">
        <v>44105</v>
      </c>
      <c r="H26" s="205">
        <v>44106</v>
      </c>
      <c r="I26" s="214">
        <v>44197</v>
      </c>
      <c r="J26" s="215">
        <v>44561</v>
      </c>
      <c r="K26" s="202" t="s">
        <v>24</v>
      </c>
      <c r="L26" s="202" t="s">
        <v>112</v>
      </c>
      <c r="M26" s="218">
        <v>85000</v>
      </c>
      <c r="N26" s="203"/>
      <c r="O26" s="203"/>
      <c r="P26" s="203"/>
      <c r="Q26" s="289">
        <f>SUM(R26:AC26)</f>
        <v>3440.4</v>
      </c>
      <c r="R26" s="206">
        <v>805.2</v>
      </c>
      <c r="S26" s="206">
        <v>1390.8</v>
      </c>
      <c r="T26" s="206">
        <v>1244.4000000000001</v>
      </c>
      <c r="U26" s="113" t="s">
        <v>817</v>
      </c>
      <c r="V26" s="206"/>
      <c r="W26" s="206"/>
      <c r="X26" s="206"/>
      <c r="Y26" s="206"/>
      <c r="Z26" s="206"/>
      <c r="AA26" s="206"/>
      <c r="AB26" s="206"/>
      <c r="AC26" s="206"/>
    </row>
    <row r="27" spans="1:29" s="236" customFormat="1" ht="26.4" x14ac:dyDescent="0.3">
      <c r="A27" s="252" t="s">
        <v>399</v>
      </c>
      <c r="B27" s="230"/>
      <c r="C27" s="230" t="s">
        <v>37</v>
      </c>
      <c r="D27" s="230" t="s">
        <v>27</v>
      </c>
      <c r="E27" s="231" t="s">
        <v>567</v>
      </c>
      <c r="F27" s="231" t="s">
        <v>412</v>
      </c>
      <c r="G27" s="237">
        <v>44162</v>
      </c>
      <c r="H27" s="237">
        <v>44169</v>
      </c>
      <c r="I27" s="232">
        <v>44197</v>
      </c>
      <c r="J27" s="237">
        <v>44561</v>
      </c>
      <c r="K27" s="233" t="s">
        <v>24</v>
      </c>
      <c r="L27" s="233" t="s">
        <v>25</v>
      </c>
      <c r="M27" s="234">
        <v>2351270.6</v>
      </c>
      <c r="N27" s="230"/>
      <c r="O27" s="230"/>
      <c r="P27" s="230"/>
      <c r="Q27" s="337">
        <f>SUM(R27,S27,T27,U27,V27,W27,X27,Y27,Z27,AA27,AB27)</f>
        <v>1629666.61</v>
      </c>
      <c r="R27" s="235">
        <v>530762.71</v>
      </c>
      <c r="S27" s="235">
        <v>481213.05</v>
      </c>
      <c r="T27" s="235">
        <f>SUM(73809.21+463390.79)</f>
        <v>537200</v>
      </c>
      <c r="U27" s="235">
        <v>80490.850000000006</v>
      </c>
      <c r="V27" s="235"/>
      <c r="W27" s="235"/>
      <c r="X27" s="235"/>
      <c r="Y27" s="235"/>
      <c r="Z27" s="235"/>
      <c r="AA27" s="235"/>
      <c r="AB27" s="235"/>
      <c r="AC27" s="235"/>
    </row>
    <row r="28" spans="1:29" s="236" customFormat="1" ht="26.4" x14ac:dyDescent="0.3">
      <c r="A28" s="229" t="s">
        <v>400</v>
      </c>
      <c r="B28" s="230"/>
      <c r="C28" s="230" t="s">
        <v>37</v>
      </c>
      <c r="D28" s="230" t="s">
        <v>27</v>
      </c>
      <c r="E28" s="231" t="s">
        <v>568</v>
      </c>
      <c r="F28" s="231" t="s">
        <v>413</v>
      </c>
      <c r="G28" s="237">
        <v>44162</v>
      </c>
      <c r="H28" s="237">
        <v>44173</v>
      </c>
      <c r="I28" s="232">
        <v>44197</v>
      </c>
      <c r="J28" s="237">
        <v>44561</v>
      </c>
      <c r="K28" s="233" t="s">
        <v>24</v>
      </c>
      <c r="L28" s="233" t="s">
        <v>25</v>
      </c>
      <c r="M28" s="234">
        <v>972284.1</v>
      </c>
      <c r="N28" s="230"/>
      <c r="O28" s="230"/>
      <c r="P28" s="230"/>
      <c r="Q28" s="337">
        <f>SUM(S28,T28,U28,V28,W28,X28,Y28,Z28,AA28,AB28)</f>
        <v>332666.57</v>
      </c>
      <c r="R28" s="113">
        <v>70934.399999999994</v>
      </c>
      <c r="S28" s="235">
        <f>SUM(71525.52+92133.93)</f>
        <v>163659.45000000001</v>
      </c>
      <c r="T28" s="235">
        <f>SUM(61478.45+70288.11)</f>
        <v>131766.56</v>
      </c>
      <c r="U28" s="235">
        <v>37240.559999999998</v>
      </c>
      <c r="V28" s="235"/>
      <c r="W28" s="235"/>
      <c r="X28" s="235"/>
      <c r="Y28" s="235"/>
      <c r="Z28" s="235"/>
      <c r="AA28" s="235"/>
      <c r="AB28" s="235"/>
      <c r="AC28" s="235"/>
    </row>
    <row r="29" spans="1:29" s="236" customFormat="1" ht="26.4" x14ac:dyDescent="0.3">
      <c r="A29" s="229" t="s">
        <v>401</v>
      </c>
      <c r="B29" s="230"/>
      <c r="C29" s="230" t="s">
        <v>37</v>
      </c>
      <c r="D29" s="230" t="s">
        <v>27</v>
      </c>
      <c r="E29" s="231" t="s">
        <v>569</v>
      </c>
      <c r="F29" s="231" t="s">
        <v>414</v>
      </c>
      <c r="G29" s="237">
        <v>44183</v>
      </c>
      <c r="H29" s="237">
        <v>44187</v>
      </c>
      <c r="I29" s="232">
        <v>44197</v>
      </c>
      <c r="J29" s="237">
        <v>44561</v>
      </c>
      <c r="K29" s="233" t="s">
        <v>24</v>
      </c>
      <c r="L29" s="233" t="s">
        <v>25</v>
      </c>
      <c r="M29" s="238">
        <v>1184427.45</v>
      </c>
      <c r="N29" s="230"/>
      <c r="O29" s="230"/>
      <c r="P29" s="230"/>
      <c r="Q29" s="337">
        <f>SUM(R29,S29,T29,U29,V29,W29,X29,Y29,Z29,AA29,AB29)</f>
        <v>478631.79999999993</v>
      </c>
      <c r="R29" s="235">
        <v>156396.54999999999</v>
      </c>
      <c r="S29" s="235">
        <v>165255.49</v>
      </c>
      <c r="T29" s="235">
        <f>SUM(34684.96+95907.22)</f>
        <v>130592.18</v>
      </c>
      <c r="U29" s="235">
        <f>SUM(24168.91+0)</f>
        <v>24168.91</v>
      </c>
      <c r="V29" s="113">
        <v>2218.67</v>
      </c>
      <c r="W29" s="235"/>
      <c r="X29" s="235"/>
      <c r="Y29" s="235"/>
      <c r="Z29" s="235"/>
      <c r="AA29" s="235"/>
      <c r="AB29" s="235"/>
      <c r="AC29" s="235"/>
    </row>
    <row r="30" spans="1:29" s="236" customFormat="1" ht="26.4" x14ac:dyDescent="0.3">
      <c r="A30" s="229" t="s">
        <v>402</v>
      </c>
      <c r="B30" s="230"/>
      <c r="C30" s="230" t="s">
        <v>37</v>
      </c>
      <c r="D30" s="230" t="s">
        <v>27</v>
      </c>
      <c r="E30" s="231" t="s">
        <v>570</v>
      </c>
      <c r="F30" s="231" t="s">
        <v>415</v>
      </c>
      <c r="G30" s="237">
        <v>44183</v>
      </c>
      <c r="H30" s="237">
        <v>44193</v>
      </c>
      <c r="I30" s="232">
        <v>44197</v>
      </c>
      <c r="J30" s="237">
        <v>44561</v>
      </c>
      <c r="K30" s="233" t="s">
        <v>24</v>
      </c>
      <c r="L30" s="233" t="s">
        <v>25</v>
      </c>
      <c r="M30" s="238">
        <v>467515.75</v>
      </c>
      <c r="N30" s="230"/>
      <c r="O30" s="230"/>
      <c r="P30" s="230"/>
      <c r="Q30" s="337">
        <f>SUM(R30,S30,T30,U30,V30,W30,X30,Y30,Z30,AA30,AB30)</f>
        <v>394381.07999999996</v>
      </c>
      <c r="R30" s="235">
        <v>127610.42</v>
      </c>
      <c r="S30" s="235">
        <f>SUM(24116.17+126058.44)</f>
        <v>150174.60999999999</v>
      </c>
      <c r="T30" s="235">
        <f>SUM(21209.6+77100.69)</f>
        <v>98310.290000000008</v>
      </c>
      <c r="U30" s="235">
        <v>18285.759999999998</v>
      </c>
      <c r="V30" s="235"/>
      <c r="W30" s="235"/>
      <c r="X30" s="235"/>
      <c r="Y30" s="235"/>
      <c r="Z30" s="235"/>
      <c r="AA30" s="235"/>
      <c r="AB30" s="235"/>
      <c r="AC30" s="235"/>
    </row>
    <row r="31" spans="1:29" s="236" customFormat="1" ht="52.8" x14ac:dyDescent="0.3">
      <c r="A31" s="252" t="s">
        <v>403</v>
      </c>
      <c r="B31" s="230"/>
      <c r="C31" s="230" t="s">
        <v>37</v>
      </c>
      <c r="D31" s="230" t="s">
        <v>27</v>
      </c>
      <c r="E31" s="231" t="s">
        <v>571</v>
      </c>
      <c r="F31" s="231" t="s">
        <v>578</v>
      </c>
      <c r="G31" s="237">
        <v>44162</v>
      </c>
      <c r="H31" s="237">
        <v>44169</v>
      </c>
      <c r="I31" s="232">
        <v>44197</v>
      </c>
      <c r="J31" s="237">
        <v>44561</v>
      </c>
      <c r="K31" s="233" t="s">
        <v>24</v>
      </c>
      <c r="L31" s="233" t="s">
        <v>25</v>
      </c>
      <c r="M31" s="234">
        <v>26166.62</v>
      </c>
      <c r="N31" s="230"/>
      <c r="O31" s="230"/>
      <c r="P31" s="230"/>
      <c r="Q31" s="230"/>
      <c r="R31" s="235"/>
      <c r="S31" s="235"/>
      <c r="T31" s="235"/>
      <c r="U31" s="235"/>
      <c r="V31" s="235"/>
      <c r="W31" s="235"/>
      <c r="X31" s="235"/>
      <c r="Y31" s="235"/>
      <c r="Z31" s="235"/>
      <c r="AA31" s="235"/>
      <c r="AB31" s="235"/>
      <c r="AC31" s="235"/>
    </row>
    <row r="32" spans="1:29" s="250" customFormat="1" ht="26.4" x14ac:dyDescent="0.3">
      <c r="A32" s="253" t="s">
        <v>404</v>
      </c>
      <c r="B32" s="243"/>
      <c r="C32" s="247" t="s">
        <v>37</v>
      </c>
      <c r="D32" s="244" t="s">
        <v>318</v>
      </c>
      <c r="E32" s="245" t="s">
        <v>572</v>
      </c>
      <c r="F32" s="245">
        <v>39300662</v>
      </c>
      <c r="G32" s="251">
        <v>44160</v>
      </c>
      <c r="H32" s="251">
        <v>44168</v>
      </c>
      <c r="I32" s="246">
        <v>44197</v>
      </c>
      <c r="J32" s="251">
        <v>44561</v>
      </c>
      <c r="K32" s="247" t="s">
        <v>43</v>
      </c>
      <c r="L32" s="247" t="s">
        <v>25</v>
      </c>
      <c r="M32" s="248">
        <v>3196000</v>
      </c>
      <c r="N32" s="243"/>
      <c r="O32" s="243"/>
      <c r="P32" s="243"/>
      <c r="Q32" s="288">
        <f t="shared" ref="Q32:Q37" si="1">SUM(R32:AC32)</f>
        <v>515003.52</v>
      </c>
      <c r="R32" s="249">
        <f>SUM(41529.28+55372.37+42662.42)</f>
        <v>139564.07</v>
      </c>
      <c r="S32" s="299">
        <f>SUM(32856.16+43808.21+45505.03)</f>
        <v>122169.4</v>
      </c>
      <c r="T32" s="249">
        <f>SUM(41869.22+55825.63+31344.74)</f>
        <v>129039.59000000001</v>
      </c>
      <c r="U32" s="249">
        <f>SUM(36650.82+48867.76)</f>
        <v>85518.58</v>
      </c>
      <c r="V32" s="249">
        <v>38711.879999999997</v>
      </c>
      <c r="W32" s="249"/>
      <c r="X32" s="249"/>
      <c r="Y32" s="249"/>
      <c r="Z32" s="249"/>
      <c r="AA32" s="249"/>
      <c r="AB32" s="249"/>
      <c r="AC32" s="249"/>
    </row>
    <row r="33" spans="1:29" s="250" customFormat="1" ht="26.4" x14ac:dyDescent="0.3">
      <c r="A33" s="242" t="s">
        <v>405</v>
      </c>
      <c r="B33" s="243"/>
      <c r="C33" s="247" t="s">
        <v>37</v>
      </c>
      <c r="D33" s="244" t="s">
        <v>318</v>
      </c>
      <c r="E33" s="245" t="s">
        <v>573</v>
      </c>
      <c r="F33" s="245">
        <v>39346862</v>
      </c>
      <c r="G33" s="251">
        <v>44160</v>
      </c>
      <c r="H33" s="251">
        <v>44161</v>
      </c>
      <c r="I33" s="246">
        <v>44197</v>
      </c>
      <c r="J33" s="251">
        <v>44561</v>
      </c>
      <c r="K33" s="247" t="s">
        <v>43</v>
      </c>
      <c r="L33" s="247" t="s">
        <v>25</v>
      </c>
      <c r="M33" s="248">
        <v>233120</v>
      </c>
      <c r="N33" s="243"/>
      <c r="O33" s="243"/>
      <c r="P33" s="243"/>
      <c r="Q33" s="288">
        <f t="shared" si="1"/>
        <v>38770.630000000005</v>
      </c>
      <c r="R33" s="249">
        <f>SUM(3894.27+3155.87)</f>
        <v>7050.1399999999994</v>
      </c>
      <c r="S33" s="249">
        <f>SUM(1762.4+2349.86+4140.44)</f>
        <v>8252.7000000000007</v>
      </c>
      <c r="T33" s="249">
        <f>SUM(4935.11+5471.31)</f>
        <v>10406.42</v>
      </c>
      <c r="U33" s="249">
        <f>SUM(2475.8+3301.08)</f>
        <v>5776.88</v>
      </c>
      <c r="V33" s="249">
        <v>7284.49</v>
      </c>
      <c r="W33" s="249"/>
      <c r="X33" s="249"/>
      <c r="Y33" s="249"/>
      <c r="Z33" s="249"/>
      <c r="AA33" s="249"/>
      <c r="AB33" s="249"/>
      <c r="AC33" s="249"/>
    </row>
    <row r="34" spans="1:29" s="250" customFormat="1" ht="26.4" x14ac:dyDescent="0.3">
      <c r="A34" s="242" t="s">
        <v>406</v>
      </c>
      <c r="B34" s="243"/>
      <c r="C34" s="247" t="s">
        <v>37</v>
      </c>
      <c r="D34" s="244" t="s">
        <v>318</v>
      </c>
      <c r="E34" s="245" t="s">
        <v>574</v>
      </c>
      <c r="F34" s="245">
        <v>80564264</v>
      </c>
      <c r="G34" s="251">
        <v>44158</v>
      </c>
      <c r="H34" s="251">
        <v>44160</v>
      </c>
      <c r="I34" s="246">
        <v>44197</v>
      </c>
      <c r="J34" s="251">
        <v>44561</v>
      </c>
      <c r="K34" s="247" t="s">
        <v>43</v>
      </c>
      <c r="L34" s="247" t="s">
        <v>25</v>
      </c>
      <c r="M34" s="248">
        <v>744480</v>
      </c>
      <c r="N34" s="243"/>
      <c r="O34" s="243"/>
      <c r="P34" s="243"/>
      <c r="Q34" s="288">
        <f t="shared" si="1"/>
        <v>303669.46999999997</v>
      </c>
      <c r="R34" s="249">
        <f>SUM(44404.82+15449.46)</f>
        <v>59854.28</v>
      </c>
      <c r="S34" s="249">
        <f>SUM(22365.68+29820.91+20613.99)</f>
        <v>72800.58</v>
      </c>
      <c r="T34" s="249">
        <f>SUM(41898+28722.11)</f>
        <v>70620.11</v>
      </c>
      <c r="U34" s="249">
        <f>SUM(21840.18+29120.23)</f>
        <v>50960.41</v>
      </c>
      <c r="V34" s="249">
        <v>49434.09</v>
      </c>
      <c r="W34" s="249"/>
      <c r="X34" s="249"/>
      <c r="Y34" s="249"/>
      <c r="Z34" s="249"/>
      <c r="AA34" s="249"/>
      <c r="AB34" s="249"/>
      <c r="AC34" s="249"/>
    </row>
    <row r="35" spans="1:29" s="250" customFormat="1" ht="26.4" x14ac:dyDescent="0.3">
      <c r="A35" s="242" t="s">
        <v>407</v>
      </c>
      <c r="B35" s="243"/>
      <c r="C35" s="247" t="s">
        <v>37</v>
      </c>
      <c r="D35" s="244" t="s">
        <v>318</v>
      </c>
      <c r="E35" s="245" t="s">
        <v>575</v>
      </c>
      <c r="F35" s="245">
        <v>80258464</v>
      </c>
      <c r="G35" s="251">
        <v>44158</v>
      </c>
      <c r="H35" s="251">
        <v>44160</v>
      </c>
      <c r="I35" s="246">
        <v>44197</v>
      </c>
      <c r="J35" s="251">
        <v>44561</v>
      </c>
      <c r="K35" s="247" t="s">
        <v>43</v>
      </c>
      <c r="L35" s="247" t="s">
        <v>25</v>
      </c>
      <c r="M35" s="248">
        <v>26320</v>
      </c>
      <c r="N35" s="243"/>
      <c r="O35" s="243"/>
      <c r="P35" s="243"/>
      <c r="Q35" s="288">
        <f t="shared" si="1"/>
        <v>3278.42</v>
      </c>
      <c r="R35" s="249">
        <f>SUM(541.88+342.99)</f>
        <v>884.87</v>
      </c>
      <c r="S35" s="249">
        <f>SUM(552.5+734.33)</f>
        <v>1286.83</v>
      </c>
      <c r="T35" s="249">
        <v>618.69000000000005</v>
      </c>
      <c r="U35" s="249"/>
      <c r="V35" s="249">
        <v>488.03</v>
      </c>
      <c r="W35" s="249"/>
      <c r="X35" s="249"/>
      <c r="Y35" s="249"/>
      <c r="Z35" s="249"/>
      <c r="AA35" s="249"/>
      <c r="AB35" s="249"/>
      <c r="AC35" s="249"/>
    </row>
    <row r="36" spans="1:29" s="250" customFormat="1" ht="26.4" x14ac:dyDescent="0.3">
      <c r="A36" s="253" t="s">
        <v>408</v>
      </c>
      <c r="B36" s="243"/>
      <c r="C36" s="247" t="s">
        <v>37</v>
      </c>
      <c r="D36" s="244" t="s">
        <v>318</v>
      </c>
      <c r="E36" s="245" t="s">
        <v>576</v>
      </c>
      <c r="F36" s="245">
        <v>39013569</v>
      </c>
      <c r="G36" s="251">
        <v>44158</v>
      </c>
      <c r="H36" s="251">
        <v>44160</v>
      </c>
      <c r="I36" s="246">
        <v>44197</v>
      </c>
      <c r="J36" s="251">
        <v>44561</v>
      </c>
      <c r="K36" s="247" t="s">
        <v>43</v>
      </c>
      <c r="L36" s="247" t="s">
        <v>25</v>
      </c>
      <c r="M36" s="248">
        <v>140624</v>
      </c>
      <c r="N36" s="243"/>
      <c r="O36" s="243"/>
      <c r="P36" s="243"/>
      <c r="Q36" s="288">
        <f t="shared" si="1"/>
        <v>80287.66</v>
      </c>
      <c r="R36" s="249">
        <f>SUM(9132.4+8996.54)</f>
        <v>18128.940000000002</v>
      </c>
      <c r="S36" s="249">
        <f>SUM(11567.5+8076.87)</f>
        <v>19644.37</v>
      </c>
      <c r="T36" s="249">
        <f>SUM(12690.27+4232.72)</f>
        <v>16922.990000000002</v>
      </c>
      <c r="U36" s="249">
        <f>SUM(5894.78+7854.8)</f>
        <v>13749.58</v>
      </c>
      <c r="V36" s="249">
        <v>11841.78</v>
      </c>
      <c r="W36" s="249"/>
      <c r="X36" s="249"/>
      <c r="Y36" s="249"/>
      <c r="Z36" s="249"/>
      <c r="AA36" s="249"/>
      <c r="AB36" s="249"/>
      <c r="AC36" s="249"/>
    </row>
    <row r="37" spans="1:29" s="207" customFormat="1" ht="39.6" x14ac:dyDescent="0.3">
      <c r="A37" s="259" t="s">
        <v>409</v>
      </c>
      <c r="B37" s="203"/>
      <c r="C37" s="202" t="s">
        <v>37</v>
      </c>
      <c r="D37" s="204" t="s">
        <v>315</v>
      </c>
      <c r="E37" s="204" t="s">
        <v>577</v>
      </c>
      <c r="F37" s="204" t="s">
        <v>416</v>
      </c>
      <c r="G37" s="217">
        <v>44159</v>
      </c>
      <c r="H37" s="217">
        <v>44161</v>
      </c>
      <c r="I37" s="214">
        <v>44197</v>
      </c>
      <c r="J37" s="217">
        <v>44561</v>
      </c>
      <c r="K37" s="202" t="s">
        <v>24</v>
      </c>
      <c r="L37" s="202" t="s">
        <v>25</v>
      </c>
      <c r="M37" s="216">
        <v>157125.72</v>
      </c>
      <c r="N37" s="203"/>
      <c r="O37" s="203"/>
      <c r="P37" s="203"/>
      <c r="Q37" s="289">
        <f t="shared" si="1"/>
        <v>39281.43</v>
      </c>
      <c r="R37" s="206">
        <v>13093.81</v>
      </c>
      <c r="S37" s="206">
        <v>13093.81</v>
      </c>
      <c r="T37" s="206">
        <v>13093.81</v>
      </c>
      <c r="U37" s="113" t="s">
        <v>819</v>
      </c>
      <c r="V37" s="206"/>
      <c r="W37" s="206"/>
      <c r="X37" s="206"/>
      <c r="Y37" s="206"/>
      <c r="Z37" s="206"/>
      <c r="AA37" s="206"/>
      <c r="AB37" s="206"/>
      <c r="AC37" s="206"/>
    </row>
    <row r="38" spans="1:29" s="360" customFormat="1" ht="26.4" x14ac:dyDescent="0.3">
      <c r="A38" s="352" t="s">
        <v>506</v>
      </c>
      <c r="B38" s="353"/>
      <c r="C38" s="354" t="s">
        <v>37</v>
      </c>
      <c r="D38" s="353" t="s">
        <v>504</v>
      </c>
      <c r="E38" s="355" t="s">
        <v>505</v>
      </c>
      <c r="F38" s="355" t="s">
        <v>781</v>
      </c>
      <c r="G38" s="357">
        <v>44274</v>
      </c>
      <c r="H38" s="357">
        <v>44280</v>
      </c>
      <c r="I38" s="356">
        <v>44197</v>
      </c>
      <c r="J38" s="357">
        <v>44561</v>
      </c>
      <c r="K38" s="354" t="s">
        <v>31</v>
      </c>
      <c r="L38" s="354" t="s">
        <v>369</v>
      </c>
      <c r="M38" s="358">
        <v>60000</v>
      </c>
      <c r="N38" s="353"/>
      <c r="O38" s="353"/>
      <c r="P38" s="359"/>
      <c r="Q38" s="359"/>
      <c r="R38" s="359"/>
      <c r="S38" s="359"/>
      <c r="T38" s="359"/>
      <c r="U38" s="359">
        <f>SUM(55000+5000)</f>
        <v>60000</v>
      </c>
      <c r="V38" s="359"/>
      <c r="W38" s="359"/>
      <c r="X38" s="359"/>
      <c r="Y38" s="359"/>
      <c r="Z38" s="359"/>
      <c r="AA38" s="359"/>
      <c r="AB38" s="359"/>
      <c r="AC38" s="359"/>
    </row>
    <row r="39" spans="1:29" s="201" customFormat="1" ht="66" x14ac:dyDescent="0.3">
      <c r="A39" s="254" t="s">
        <v>410</v>
      </c>
      <c r="B39" s="197"/>
      <c r="C39" s="196" t="s">
        <v>37</v>
      </c>
      <c r="D39" s="197" t="s">
        <v>30</v>
      </c>
      <c r="E39" s="198" t="s">
        <v>417</v>
      </c>
      <c r="F39" s="196" t="s">
        <v>440</v>
      </c>
      <c r="G39" s="255">
        <v>44146</v>
      </c>
      <c r="H39" s="255">
        <v>44148</v>
      </c>
      <c r="I39" s="256">
        <v>44197</v>
      </c>
      <c r="J39" s="255">
        <v>44561</v>
      </c>
      <c r="K39" s="196" t="s">
        <v>31</v>
      </c>
      <c r="L39" s="196" t="s">
        <v>25</v>
      </c>
      <c r="M39" s="199">
        <v>50000</v>
      </c>
      <c r="N39" s="197"/>
      <c r="O39" s="197"/>
      <c r="P39" s="197"/>
      <c r="Q39" s="296">
        <f>SUM(R39:AB39)</f>
        <v>710.33999999999992</v>
      </c>
      <c r="R39" s="200">
        <v>99.14</v>
      </c>
      <c r="S39" s="200">
        <v>244.51</v>
      </c>
      <c r="T39" s="200">
        <v>366.69</v>
      </c>
      <c r="U39" s="113" t="s">
        <v>818</v>
      </c>
      <c r="V39" s="200"/>
      <c r="W39" s="200"/>
      <c r="X39" s="200"/>
      <c r="Y39" s="200"/>
      <c r="Z39" s="200"/>
      <c r="AA39" s="200"/>
      <c r="AB39" s="200"/>
      <c r="AC39" s="200"/>
    </row>
    <row r="40" spans="1:29" s="201" customFormat="1" ht="39.6" x14ac:dyDescent="0.3">
      <c r="A40" s="254" t="s">
        <v>411</v>
      </c>
      <c r="B40" s="197"/>
      <c r="C40" s="196" t="s">
        <v>37</v>
      </c>
      <c r="D40" s="197" t="s">
        <v>39</v>
      </c>
      <c r="E40" s="198" t="s">
        <v>418</v>
      </c>
      <c r="F40" s="196" t="s">
        <v>419</v>
      </c>
      <c r="G40" s="255">
        <v>44146</v>
      </c>
      <c r="H40" s="255">
        <v>44147</v>
      </c>
      <c r="I40" s="256">
        <v>44197</v>
      </c>
      <c r="J40" s="255">
        <v>44561</v>
      </c>
      <c r="K40" s="196" t="s">
        <v>31</v>
      </c>
      <c r="L40" s="196" t="s">
        <v>25</v>
      </c>
      <c r="M40" s="199">
        <v>152645.76000000001</v>
      </c>
      <c r="N40" s="197"/>
      <c r="O40" s="197"/>
      <c r="P40" s="197"/>
      <c r="Q40" s="296">
        <f>SUM(R40:AC40)</f>
        <v>38161.440000000002</v>
      </c>
      <c r="R40" s="200">
        <v>12720.48</v>
      </c>
      <c r="S40" s="200">
        <v>12720.48</v>
      </c>
      <c r="T40" s="310">
        <v>12720.48</v>
      </c>
      <c r="U40" s="113" t="s">
        <v>820</v>
      </c>
      <c r="V40" s="200"/>
      <c r="W40" s="200"/>
      <c r="X40" s="200"/>
      <c r="Y40" s="200"/>
      <c r="Z40" s="200"/>
      <c r="AA40" s="200"/>
      <c r="AB40" s="200"/>
      <c r="AC40" s="200"/>
    </row>
    <row r="41" spans="1:29" s="201" customFormat="1" ht="39.6" x14ac:dyDescent="0.3">
      <c r="A41" s="254" t="s">
        <v>420</v>
      </c>
      <c r="B41" s="197"/>
      <c r="C41" s="197" t="s">
        <v>37</v>
      </c>
      <c r="D41" s="257" t="s">
        <v>39</v>
      </c>
      <c r="E41" s="198" t="s">
        <v>319</v>
      </c>
      <c r="F41" s="196" t="s">
        <v>42</v>
      </c>
      <c r="G41" s="255">
        <v>44146</v>
      </c>
      <c r="H41" s="255">
        <v>44147</v>
      </c>
      <c r="I41" s="256">
        <v>44197</v>
      </c>
      <c r="J41" s="255">
        <v>44561</v>
      </c>
      <c r="K41" s="196" t="s">
        <v>31</v>
      </c>
      <c r="L41" s="196" t="s">
        <v>25</v>
      </c>
      <c r="M41" s="199">
        <v>210000</v>
      </c>
      <c r="N41" s="197"/>
      <c r="O41" s="197"/>
      <c r="P41" s="197"/>
      <c r="Q41" s="197"/>
      <c r="R41" s="310">
        <v>13608.34</v>
      </c>
      <c r="S41" s="310">
        <v>13674.7</v>
      </c>
      <c r="T41" s="310">
        <v>13862.4</v>
      </c>
      <c r="U41" s="113" t="s">
        <v>815</v>
      </c>
      <c r="V41" s="200"/>
      <c r="W41" s="200"/>
      <c r="X41" s="200"/>
      <c r="Y41" s="200"/>
      <c r="Z41" s="200"/>
      <c r="AA41" s="200"/>
      <c r="AB41" s="200"/>
      <c r="AC41" s="200"/>
    </row>
    <row r="42" spans="1:29" s="201" customFormat="1" ht="39.6" x14ac:dyDescent="0.3">
      <c r="A42" s="254" t="s">
        <v>421</v>
      </c>
      <c r="B42" s="197"/>
      <c r="C42" s="197" t="s">
        <v>37</v>
      </c>
      <c r="D42" s="257" t="s">
        <v>39</v>
      </c>
      <c r="E42" s="198" t="s">
        <v>44</v>
      </c>
      <c r="F42" s="196" t="s">
        <v>40</v>
      </c>
      <c r="G42" s="255">
        <v>44146</v>
      </c>
      <c r="H42" s="255">
        <v>44147</v>
      </c>
      <c r="I42" s="256">
        <v>44197</v>
      </c>
      <c r="J42" s="255">
        <v>44561</v>
      </c>
      <c r="K42" s="196" t="s">
        <v>31</v>
      </c>
      <c r="L42" s="196" t="s">
        <v>25</v>
      </c>
      <c r="M42" s="199">
        <v>7500</v>
      </c>
      <c r="N42" s="197"/>
      <c r="O42" s="197" t="s">
        <v>317</v>
      </c>
      <c r="P42" s="197"/>
      <c r="Q42" s="197"/>
      <c r="R42" s="310">
        <v>538.79999999999995</v>
      </c>
      <c r="S42" s="310">
        <v>538.79999999999995</v>
      </c>
      <c r="T42" s="310">
        <v>538.79999999999995</v>
      </c>
      <c r="U42" s="113" t="s">
        <v>814</v>
      </c>
      <c r="V42" s="200"/>
      <c r="W42" s="200"/>
      <c r="X42" s="200"/>
      <c r="Y42" s="200"/>
      <c r="Z42" s="200"/>
      <c r="AA42" s="200"/>
      <c r="AB42" s="200"/>
      <c r="AC42" s="200"/>
    </row>
    <row r="43" spans="1:29" s="201" customFormat="1" ht="39.6" x14ac:dyDescent="0.3">
      <c r="A43" s="254" t="s">
        <v>422</v>
      </c>
      <c r="B43" s="197"/>
      <c r="C43" s="197" t="s">
        <v>37</v>
      </c>
      <c r="D43" s="257" t="s">
        <v>39</v>
      </c>
      <c r="E43" s="198" t="s">
        <v>677</v>
      </c>
      <c r="F43" s="196" t="s">
        <v>41</v>
      </c>
      <c r="G43" s="255">
        <v>44146</v>
      </c>
      <c r="H43" s="255">
        <v>44147</v>
      </c>
      <c r="I43" s="256">
        <v>44197</v>
      </c>
      <c r="J43" s="255">
        <v>44561</v>
      </c>
      <c r="K43" s="196" t="s">
        <v>31</v>
      </c>
      <c r="L43" s="196" t="s">
        <v>25</v>
      </c>
      <c r="M43" s="199">
        <v>149000</v>
      </c>
      <c r="N43" s="197"/>
      <c r="O43" s="197"/>
      <c r="P43" s="197"/>
      <c r="Q43" s="197"/>
      <c r="R43" s="310">
        <v>10210.129999999999</v>
      </c>
      <c r="S43" s="310">
        <v>10608.29</v>
      </c>
      <c r="T43" s="310">
        <v>10164.629999999999</v>
      </c>
      <c r="U43" s="113" t="s">
        <v>812</v>
      </c>
      <c r="V43" s="200"/>
      <c r="W43" s="200"/>
      <c r="X43" s="200"/>
      <c r="Y43" s="200"/>
      <c r="Z43" s="200"/>
      <c r="AA43" s="200"/>
      <c r="AB43" s="200"/>
      <c r="AC43" s="200"/>
    </row>
    <row r="44" spans="1:29" s="226" customFormat="1" ht="66" x14ac:dyDescent="0.3">
      <c r="A44" s="258" t="s">
        <v>425</v>
      </c>
      <c r="B44" s="219"/>
      <c r="C44" s="219" t="s">
        <v>37</v>
      </c>
      <c r="D44" s="224" t="s">
        <v>32</v>
      </c>
      <c r="E44" s="224" t="s">
        <v>428</v>
      </c>
      <c r="F44" s="224" t="s">
        <v>427</v>
      </c>
      <c r="G44" s="227">
        <v>44146</v>
      </c>
      <c r="H44" s="221">
        <v>44147</v>
      </c>
      <c r="I44" s="223">
        <v>44197</v>
      </c>
      <c r="J44" s="227">
        <v>44561</v>
      </c>
      <c r="K44" s="220" t="s">
        <v>33</v>
      </c>
      <c r="L44" s="224" t="s">
        <v>25</v>
      </c>
      <c r="M44" s="228">
        <v>23340</v>
      </c>
      <c r="N44" s="219"/>
      <c r="O44" s="219"/>
      <c r="P44" s="219"/>
      <c r="Q44" s="219"/>
      <c r="R44" s="225"/>
      <c r="S44" s="225"/>
      <c r="T44" s="351">
        <v>5835</v>
      </c>
      <c r="U44" s="225"/>
      <c r="V44" s="225"/>
      <c r="W44" s="225"/>
      <c r="X44" s="225"/>
      <c r="Y44" s="225"/>
      <c r="Z44" s="225"/>
      <c r="AA44" s="225"/>
      <c r="AB44" s="225"/>
      <c r="AC44" s="225"/>
    </row>
    <row r="45" spans="1:29" s="226" customFormat="1" ht="52.8" x14ac:dyDescent="0.3">
      <c r="A45" s="258" t="s">
        <v>426</v>
      </c>
      <c r="B45" s="219"/>
      <c r="C45" s="219" t="s">
        <v>37</v>
      </c>
      <c r="D45" s="224" t="s">
        <v>32</v>
      </c>
      <c r="E45" s="224" t="s">
        <v>34</v>
      </c>
      <c r="F45" s="224" t="s">
        <v>439</v>
      </c>
      <c r="G45" s="227">
        <v>44161</v>
      </c>
      <c r="H45" s="222">
        <v>44162</v>
      </c>
      <c r="I45" s="223">
        <v>44197</v>
      </c>
      <c r="J45" s="227">
        <v>44561</v>
      </c>
      <c r="K45" s="224" t="s">
        <v>33</v>
      </c>
      <c r="L45" s="224" t="s">
        <v>25</v>
      </c>
      <c r="M45" s="228">
        <v>7800</v>
      </c>
      <c r="N45" s="219"/>
      <c r="O45" s="219"/>
      <c r="P45" s="219"/>
      <c r="Q45" s="219"/>
      <c r="R45" s="225"/>
      <c r="S45" s="225"/>
      <c r="T45" s="351">
        <v>1950</v>
      </c>
      <c r="U45" s="225"/>
      <c r="V45" s="225"/>
      <c r="W45" s="225"/>
      <c r="X45" s="225"/>
      <c r="Y45" s="225"/>
      <c r="Z45" s="225"/>
      <c r="AA45" s="225"/>
      <c r="AB45" s="225"/>
      <c r="AC45" s="225"/>
    </row>
    <row r="46" spans="1:29" s="126" customFormat="1" x14ac:dyDescent="0.3">
      <c r="F46" s="140"/>
      <c r="K46" s="141"/>
      <c r="L46" s="141"/>
      <c r="M46" s="142"/>
    </row>
    <row r="47" spans="1:29" s="126" customFormat="1" x14ac:dyDescent="0.3">
      <c r="F47" s="140"/>
      <c r="K47" s="141"/>
      <c r="L47" s="141"/>
      <c r="M47" s="142"/>
    </row>
    <row r="48" spans="1:29" s="126" customFormat="1" x14ac:dyDescent="0.3">
      <c r="F48" s="140"/>
      <c r="K48" s="141"/>
      <c r="L48" s="141"/>
      <c r="M48" s="142"/>
    </row>
    <row r="49" spans="6:17" s="126" customFormat="1" x14ac:dyDescent="0.3">
      <c r="F49" s="140"/>
      <c r="K49" s="141"/>
      <c r="L49" s="141"/>
      <c r="M49" s="142"/>
    </row>
    <row r="50" spans="6:17" s="126" customFormat="1" x14ac:dyDescent="0.3">
      <c r="F50" s="140"/>
      <c r="K50" s="141"/>
      <c r="L50" s="141"/>
      <c r="M50" s="142"/>
    </row>
    <row r="51" spans="6:17" s="126" customFormat="1" x14ac:dyDescent="0.3">
      <c r="F51" s="140"/>
      <c r="K51" s="141"/>
      <c r="L51" s="141"/>
      <c r="M51" s="142"/>
    </row>
    <row r="52" spans="6:17" s="126" customFormat="1" x14ac:dyDescent="0.3">
      <c r="F52" s="140"/>
      <c r="J52" s="126" t="s">
        <v>317</v>
      </c>
      <c r="K52" s="141"/>
      <c r="L52" s="141"/>
      <c r="M52" s="142"/>
    </row>
    <row r="53" spans="6:17" s="126" customFormat="1" x14ac:dyDescent="0.3">
      <c r="F53" s="140"/>
      <c r="K53" s="141"/>
      <c r="L53" s="141"/>
      <c r="M53" s="142"/>
    </row>
    <row r="54" spans="6:17" s="126" customFormat="1" x14ac:dyDescent="0.3">
      <c r="F54" s="140"/>
      <c r="K54" s="141"/>
      <c r="L54" s="141"/>
      <c r="M54" s="142"/>
    </row>
    <row r="55" spans="6:17" s="126" customFormat="1" x14ac:dyDescent="0.3">
      <c r="F55" s="140"/>
      <c r="K55" s="141"/>
      <c r="L55" s="141"/>
      <c r="M55" s="142"/>
    </row>
    <row r="56" spans="6:17" s="126" customFormat="1" x14ac:dyDescent="0.3">
      <c r="F56" s="140"/>
      <c r="K56" s="141"/>
      <c r="L56" s="141"/>
      <c r="M56" s="142"/>
    </row>
    <row r="57" spans="6:17" s="126" customFormat="1" x14ac:dyDescent="0.3">
      <c r="F57" s="140"/>
      <c r="K57" s="141"/>
      <c r="L57" s="141"/>
      <c r="M57" s="142"/>
    </row>
    <row r="58" spans="6:17" s="126" customFormat="1" x14ac:dyDescent="0.3">
      <c r="F58" s="140"/>
      <c r="K58" s="141"/>
      <c r="L58" s="141"/>
      <c r="M58" s="142"/>
    </row>
    <row r="59" spans="6:17" s="126" customFormat="1" x14ac:dyDescent="0.3">
      <c r="F59" s="140"/>
      <c r="K59" s="141"/>
      <c r="L59" s="141"/>
      <c r="M59" s="142"/>
    </row>
    <row r="60" spans="6:17" s="126" customFormat="1" x14ac:dyDescent="0.3">
      <c r="F60" s="140"/>
      <c r="K60" s="141"/>
      <c r="L60" s="141"/>
      <c r="M60" s="142"/>
    </row>
    <row r="61" spans="6:17" x14ac:dyDescent="0.3">
      <c r="P61" s="126"/>
      <c r="Q61" s="126"/>
    </row>
    <row r="62" spans="6:17" x14ac:dyDescent="0.3">
      <c r="P62" s="126"/>
      <c r="Q62" s="126"/>
    </row>
    <row r="63" spans="6:17" x14ac:dyDescent="0.3">
      <c r="P63" s="126"/>
      <c r="Q63" s="126"/>
    </row>
    <row r="64" spans="6:17" x14ac:dyDescent="0.3">
      <c r="P64" s="126"/>
      <c r="Q64" s="126"/>
    </row>
    <row r="65" spans="16:17" x14ac:dyDescent="0.3">
      <c r="P65" s="126"/>
      <c r="Q65" s="126"/>
    </row>
    <row r="66" spans="16:17" x14ac:dyDescent="0.3">
      <c r="P66" s="126"/>
      <c r="Q66" s="126"/>
    </row>
    <row r="67" spans="16:17" x14ac:dyDescent="0.3">
      <c r="P67" s="126"/>
      <c r="Q67" s="126"/>
    </row>
    <row r="68" spans="16:17" x14ac:dyDescent="0.3">
      <c r="P68" s="126"/>
      <c r="Q68" s="126"/>
    </row>
    <row r="69" spans="16:17" x14ac:dyDescent="0.3">
      <c r="P69" s="126"/>
      <c r="Q69" s="126"/>
    </row>
    <row r="70" spans="16:17" x14ac:dyDescent="0.3">
      <c r="P70" s="126"/>
      <c r="Q70" s="126"/>
    </row>
    <row r="71" spans="16:17" x14ac:dyDescent="0.3">
      <c r="P71" s="126"/>
      <c r="Q71" s="126"/>
    </row>
    <row r="72" spans="16:17" x14ac:dyDescent="0.3">
      <c r="P72" s="126"/>
      <c r="Q72" s="126"/>
    </row>
    <row r="73" spans="16:17" x14ac:dyDescent="0.3">
      <c r="P73" s="126"/>
      <c r="Q73" s="126"/>
    </row>
    <row r="74" spans="16:17" x14ac:dyDescent="0.3">
      <c r="P74" s="126"/>
      <c r="Q74" s="126"/>
    </row>
    <row r="75" spans="16:17" x14ac:dyDescent="0.3">
      <c r="P75" s="126"/>
      <c r="Q75" s="126"/>
    </row>
    <row r="76" spans="16:17" x14ac:dyDescent="0.3">
      <c r="P76" s="126"/>
      <c r="Q76" s="126"/>
    </row>
    <row r="77" spans="16:17" x14ac:dyDescent="0.3">
      <c r="P77" s="126"/>
      <c r="Q77" s="126"/>
    </row>
    <row r="78" spans="16:17" x14ac:dyDescent="0.3">
      <c r="P78" s="126"/>
      <c r="Q78" s="126"/>
    </row>
    <row r="79" spans="16:17" x14ac:dyDescent="0.3">
      <c r="P79" s="126"/>
      <c r="Q79" s="126"/>
    </row>
    <row r="80" spans="16:17" x14ac:dyDescent="0.3">
      <c r="P80" s="126"/>
      <c r="Q80" s="126"/>
    </row>
    <row r="81" spans="16:17" x14ac:dyDescent="0.3">
      <c r="P81" s="126"/>
      <c r="Q81" s="126"/>
    </row>
    <row r="82" spans="16:17" x14ac:dyDescent="0.3">
      <c r="P82" s="126"/>
      <c r="Q82" s="126"/>
    </row>
    <row r="83" spans="16:17" x14ac:dyDescent="0.3">
      <c r="P83" s="126"/>
      <c r="Q83" s="126"/>
    </row>
    <row r="84" spans="16:17" x14ac:dyDescent="0.3">
      <c r="P84" s="126"/>
      <c r="Q84" s="126"/>
    </row>
    <row r="85" spans="16:17" x14ac:dyDescent="0.3">
      <c r="P85" s="126"/>
      <c r="Q85" s="126"/>
    </row>
    <row r="86" spans="16:17" x14ac:dyDescent="0.3">
      <c r="P86" s="126"/>
      <c r="Q86" s="126"/>
    </row>
    <row r="87" spans="16:17" x14ac:dyDescent="0.3">
      <c r="P87" s="126"/>
      <c r="Q87" s="126"/>
    </row>
    <row r="88" spans="16:17" x14ac:dyDescent="0.3">
      <c r="P88" s="126"/>
      <c r="Q88" s="126"/>
    </row>
    <row r="89" spans="16:17" x14ac:dyDescent="0.3">
      <c r="P89" s="126"/>
      <c r="Q89" s="126"/>
    </row>
    <row r="90" spans="16:17" x14ac:dyDescent="0.3">
      <c r="P90" s="126"/>
      <c r="Q90" s="126"/>
    </row>
    <row r="91" spans="16:17" x14ac:dyDescent="0.3">
      <c r="P91" s="126"/>
      <c r="Q91" s="126"/>
    </row>
    <row r="92" spans="16:17" x14ac:dyDescent="0.3">
      <c r="P92" s="126"/>
      <c r="Q92" s="126"/>
    </row>
    <row r="93" spans="16:17" x14ac:dyDescent="0.3">
      <c r="P93" s="126"/>
      <c r="Q93" s="126"/>
    </row>
    <row r="94" spans="16:17" x14ac:dyDescent="0.3">
      <c r="P94" s="126"/>
      <c r="Q94" s="126"/>
    </row>
    <row r="95" spans="16:17" x14ac:dyDescent="0.3">
      <c r="P95" s="126"/>
      <c r="Q95" s="126"/>
    </row>
    <row r="96" spans="16:17" x14ac:dyDescent="0.3">
      <c r="P96" s="126"/>
      <c r="Q96" s="126"/>
    </row>
    <row r="97" spans="16:17" x14ac:dyDescent="0.3">
      <c r="P97" s="126"/>
      <c r="Q97" s="126"/>
    </row>
    <row r="98" spans="16:17" x14ac:dyDescent="0.3">
      <c r="P98" s="126"/>
      <c r="Q98" s="126"/>
    </row>
    <row r="99" spans="16:17" x14ac:dyDescent="0.3">
      <c r="P99" s="126"/>
      <c r="Q99" s="126"/>
    </row>
    <row r="100" spans="16:17" x14ac:dyDescent="0.3">
      <c r="P100" s="126"/>
      <c r="Q100" s="126"/>
    </row>
    <row r="101" spans="16:17" x14ac:dyDescent="0.3">
      <c r="P101" s="126"/>
      <c r="Q101" s="126"/>
    </row>
    <row r="102" spans="16:17" x14ac:dyDescent="0.3">
      <c r="P102" s="126"/>
      <c r="Q102" s="126"/>
    </row>
    <row r="103" spans="16:17" x14ac:dyDescent="0.3">
      <c r="P103" s="126"/>
      <c r="Q103" s="126"/>
    </row>
    <row r="104" spans="16:17" x14ac:dyDescent="0.3">
      <c r="P104" s="126"/>
      <c r="Q104" s="126"/>
    </row>
    <row r="105" spans="16:17" x14ac:dyDescent="0.3">
      <c r="P105" s="126"/>
      <c r="Q105" s="126"/>
    </row>
    <row r="106" spans="16:17" x14ac:dyDescent="0.3">
      <c r="P106" s="126"/>
      <c r="Q106" s="126"/>
    </row>
    <row r="107" spans="16:17" x14ac:dyDescent="0.3">
      <c r="P107" s="126"/>
      <c r="Q107" s="126"/>
    </row>
    <row r="108" spans="16:17" x14ac:dyDescent="0.3">
      <c r="P108" s="126"/>
      <c r="Q108" s="126"/>
    </row>
    <row r="109" spans="16:17" x14ac:dyDescent="0.3">
      <c r="P109" s="126"/>
      <c r="Q109" s="126"/>
    </row>
    <row r="110" spans="16:17" x14ac:dyDescent="0.3">
      <c r="P110" s="126"/>
      <c r="Q110" s="126"/>
    </row>
    <row r="111" spans="16:17" x14ac:dyDescent="0.3">
      <c r="P111" s="126"/>
      <c r="Q111" s="126"/>
    </row>
    <row r="112" spans="16:17" x14ac:dyDescent="0.3">
      <c r="P112" s="126"/>
      <c r="Q112" s="126"/>
    </row>
    <row r="113" spans="16:17" x14ac:dyDescent="0.3">
      <c r="P113" s="126"/>
      <c r="Q113" s="126"/>
    </row>
    <row r="114" spans="16:17" x14ac:dyDescent="0.3">
      <c r="P114" s="126"/>
      <c r="Q114" s="126"/>
    </row>
    <row r="115" spans="16:17" x14ac:dyDescent="0.3">
      <c r="P115" s="126"/>
      <c r="Q115" s="126"/>
    </row>
    <row r="116" spans="16:17" x14ac:dyDescent="0.3">
      <c r="P116" s="126"/>
      <c r="Q116" s="126"/>
    </row>
    <row r="117" spans="16:17" x14ac:dyDescent="0.3">
      <c r="P117" s="126"/>
      <c r="Q117" s="126"/>
    </row>
    <row r="118" spans="16:17" x14ac:dyDescent="0.3">
      <c r="P118" s="126"/>
      <c r="Q118" s="126"/>
    </row>
    <row r="119" spans="16:17" x14ac:dyDescent="0.3">
      <c r="P119" s="126"/>
      <c r="Q119" s="126"/>
    </row>
    <row r="120" spans="16:17" x14ac:dyDescent="0.3">
      <c r="P120" s="126"/>
      <c r="Q120" s="126"/>
    </row>
    <row r="121" spans="16:17" x14ac:dyDescent="0.3">
      <c r="P121" s="126"/>
      <c r="Q121" s="126"/>
    </row>
    <row r="122" spans="16:17" x14ac:dyDescent="0.3">
      <c r="P122" s="126"/>
      <c r="Q122" s="126"/>
    </row>
    <row r="123" spans="16:17" x14ac:dyDescent="0.3">
      <c r="P123" s="126"/>
      <c r="Q123" s="126"/>
    </row>
    <row r="124" spans="16:17" x14ac:dyDescent="0.3">
      <c r="P124" s="126"/>
      <c r="Q124" s="126"/>
    </row>
    <row r="125" spans="16:17" x14ac:dyDescent="0.3">
      <c r="P125" s="126"/>
      <c r="Q125" s="126"/>
    </row>
    <row r="126" spans="16:17" x14ac:dyDescent="0.3">
      <c r="P126" s="126"/>
      <c r="Q126" s="126"/>
    </row>
    <row r="127" spans="16:17" x14ac:dyDescent="0.3">
      <c r="P127" s="126"/>
      <c r="Q127" s="126"/>
    </row>
    <row r="128" spans="16:17" x14ac:dyDescent="0.3">
      <c r="P128" s="126"/>
      <c r="Q128" s="126"/>
    </row>
    <row r="129" spans="16:17" x14ac:dyDescent="0.3">
      <c r="P129" s="126"/>
      <c r="Q129" s="126"/>
    </row>
    <row r="130" spans="16:17" x14ac:dyDescent="0.3">
      <c r="P130" s="126"/>
      <c r="Q130" s="126"/>
    </row>
    <row r="131" spans="16:17" x14ac:dyDescent="0.3">
      <c r="P131" s="126"/>
      <c r="Q131" s="126"/>
    </row>
    <row r="132" spans="16:17" x14ac:dyDescent="0.3">
      <c r="P132" s="126"/>
      <c r="Q132" s="126"/>
    </row>
    <row r="133" spans="16:17" x14ac:dyDescent="0.3">
      <c r="P133" s="126"/>
      <c r="Q133" s="126"/>
    </row>
    <row r="134" spans="16:17" x14ac:dyDescent="0.3">
      <c r="P134" s="126"/>
      <c r="Q134" s="126"/>
    </row>
    <row r="135" spans="16:17" x14ac:dyDescent="0.3">
      <c r="P135" s="126"/>
      <c r="Q135" s="126"/>
    </row>
    <row r="136" spans="16:17" x14ac:dyDescent="0.3">
      <c r="P136" s="126"/>
      <c r="Q136" s="126"/>
    </row>
    <row r="137" spans="16:17" x14ac:dyDescent="0.3">
      <c r="P137" s="126"/>
      <c r="Q137" s="126"/>
    </row>
    <row r="138" spans="16:17" x14ac:dyDescent="0.3">
      <c r="P138" s="126"/>
      <c r="Q138" s="126"/>
    </row>
    <row r="139" spans="16:17" x14ac:dyDescent="0.3">
      <c r="P139" s="126"/>
      <c r="Q139" s="126"/>
    </row>
    <row r="140" spans="16:17" x14ac:dyDescent="0.3">
      <c r="P140" s="126"/>
      <c r="Q140" s="126"/>
    </row>
    <row r="141" spans="16:17" x14ac:dyDescent="0.3">
      <c r="P141" s="126"/>
      <c r="Q141" s="126"/>
    </row>
    <row r="142" spans="16:17" x14ac:dyDescent="0.3">
      <c r="P142" s="126"/>
      <c r="Q142" s="126"/>
    </row>
    <row r="143" spans="16:17" x14ac:dyDescent="0.3">
      <c r="P143" s="126"/>
      <c r="Q143" s="126"/>
    </row>
    <row r="144" spans="16:17" x14ac:dyDescent="0.3">
      <c r="P144" s="126"/>
      <c r="Q144" s="126"/>
    </row>
    <row r="145" spans="16:17" x14ac:dyDescent="0.3">
      <c r="P145" s="126"/>
      <c r="Q145" s="126"/>
    </row>
    <row r="146" spans="16:17" x14ac:dyDescent="0.3">
      <c r="P146" s="126"/>
      <c r="Q146" s="126"/>
    </row>
    <row r="147" spans="16:17" x14ac:dyDescent="0.3">
      <c r="P147" s="126"/>
      <c r="Q147" s="126"/>
    </row>
    <row r="148" spans="16:17" x14ac:dyDescent="0.3">
      <c r="P148" s="126"/>
      <c r="Q148" s="126"/>
    </row>
    <row r="149" spans="16:17" x14ac:dyDescent="0.3">
      <c r="P149" s="126"/>
      <c r="Q149" s="126"/>
    </row>
    <row r="150" spans="16:17" x14ac:dyDescent="0.3">
      <c r="P150" s="126"/>
      <c r="Q150" s="126"/>
    </row>
    <row r="151" spans="16:17" x14ac:dyDescent="0.3">
      <c r="P151" s="126"/>
      <c r="Q151" s="126"/>
    </row>
    <row r="152" spans="16:17" x14ac:dyDescent="0.3">
      <c r="P152" s="126"/>
      <c r="Q152" s="126"/>
    </row>
    <row r="153" spans="16:17" x14ac:dyDescent="0.3">
      <c r="P153" s="126"/>
      <c r="Q153" s="126"/>
    </row>
    <row r="154" spans="16:17" x14ac:dyDescent="0.3">
      <c r="P154" s="126"/>
      <c r="Q154" s="126"/>
    </row>
    <row r="155" spans="16:17" x14ac:dyDescent="0.3">
      <c r="P155" s="126"/>
      <c r="Q155" s="126"/>
    </row>
    <row r="156" spans="16:17" x14ac:dyDescent="0.3">
      <c r="P156" s="126"/>
      <c r="Q156" s="126"/>
    </row>
    <row r="157" spans="16:17" x14ac:dyDescent="0.3">
      <c r="P157" s="126"/>
      <c r="Q157" s="126"/>
    </row>
    <row r="158" spans="16:17" x14ac:dyDescent="0.3">
      <c r="P158" s="126"/>
      <c r="Q158" s="126"/>
    </row>
    <row r="159" spans="16:17" x14ac:dyDescent="0.3">
      <c r="P159" s="126"/>
      <c r="Q159" s="126"/>
    </row>
    <row r="160" spans="16:17" x14ac:dyDescent="0.3">
      <c r="P160" s="126"/>
      <c r="Q160" s="126"/>
    </row>
    <row r="161" spans="16:17" x14ac:dyDescent="0.3">
      <c r="P161" s="126"/>
      <c r="Q161" s="126"/>
    </row>
    <row r="162" spans="16:17" x14ac:dyDescent="0.3">
      <c r="P162" s="126"/>
      <c r="Q162" s="126"/>
    </row>
    <row r="163" spans="16:17" x14ac:dyDescent="0.3">
      <c r="P163" s="126"/>
      <c r="Q163" s="126"/>
    </row>
    <row r="164" spans="16:17" x14ac:dyDescent="0.3">
      <c r="P164" s="126"/>
      <c r="Q164" s="126"/>
    </row>
    <row r="165" spans="16:17" x14ac:dyDescent="0.3">
      <c r="P165" s="126"/>
      <c r="Q165" s="126"/>
    </row>
    <row r="166" spans="16:17" x14ac:dyDescent="0.3">
      <c r="P166" s="126"/>
      <c r="Q166" s="126"/>
    </row>
    <row r="167" spans="16:17" x14ac:dyDescent="0.3">
      <c r="P167" s="126"/>
      <c r="Q167" s="126"/>
    </row>
    <row r="168" spans="16:17" x14ac:dyDescent="0.3">
      <c r="P168" s="126"/>
      <c r="Q168" s="126"/>
    </row>
    <row r="169" spans="16:17" x14ac:dyDescent="0.3">
      <c r="P169" s="126"/>
      <c r="Q169" s="126"/>
    </row>
    <row r="170" spans="16:17" x14ac:dyDescent="0.3">
      <c r="P170" s="126"/>
      <c r="Q170" s="126"/>
    </row>
    <row r="171" spans="16:17" x14ac:dyDescent="0.3">
      <c r="P171" s="126"/>
      <c r="Q171" s="126"/>
    </row>
    <row r="172" spans="16:17" x14ac:dyDescent="0.3">
      <c r="P172" s="126"/>
      <c r="Q172" s="126"/>
    </row>
    <row r="173" spans="16:17" x14ac:dyDescent="0.3">
      <c r="P173" s="126"/>
      <c r="Q173" s="126"/>
    </row>
    <row r="174" spans="16:17" x14ac:dyDescent="0.3">
      <c r="P174" s="126"/>
      <c r="Q174" s="126"/>
    </row>
    <row r="175" spans="16:17" x14ac:dyDescent="0.3">
      <c r="P175" s="126"/>
      <c r="Q175" s="126"/>
    </row>
    <row r="176" spans="16:17" x14ac:dyDescent="0.3">
      <c r="P176" s="126"/>
      <c r="Q176" s="126"/>
    </row>
    <row r="177" spans="16:17" x14ac:dyDescent="0.3">
      <c r="P177" s="126"/>
      <c r="Q177" s="126"/>
    </row>
    <row r="178" spans="16:17" x14ac:dyDescent="0.3">
      <c r="P178" s="126"/>
      <c r="Q178" s="126"/>
    </row>
    <row r="179" spans="16:17" x14ac:dyDescent="0.3">
      <c r="P179" s="126"/>
      <c r="Q179" s="126"/>
    </row>
    <row r="180" spans="16:17" x14ac:dyDescent="0.3">
      <c r="P180" s="126"/>
      <c r="Q180" s="126"/>
    </row>
    <row r="181" spans="16:17" x14ac:dyDescent="0.3">
      <c r="P181" s="126"/>
      <c r="Q181" s="126"/>
    </row>
    <row r="182" spans="16:17" x14ac:dyDescent="0.3">
      <c r="P182" s="126"/>
      <c r="Q182" s="126"/>
    </row>
    <row r="183" spans="16:17" x14ac:dyDescent="0.3">
      <c r="P183" s="126"/>
      <c r="Q183" s="126"/>
    </row>
    <row r="184" spans="16:17" x14ac:dyDescent="0.3">
      <c r="P184" s="126"/>
      <c r="Q184" s="126"/>
    </row>
    <row r="185" spans="16:17" x14ac:dyDescent="0.3">
      <c r="P185" s="126"/>
      <c r="Q185" s="126"/>
    </row>
    <row r="186" spans="16:17" x14ac:dyDescent="0.3">
      <c r="P186" s="126"/>
      <c r="Q186" s="126"/>
    </row>
    <row r="187" spans="16:17" x14ac:dyDescent="0.3">
      <c r="P187" s="126"/>
      <c r="Q187" s="126"/>
    </row>
    <row r="188" spans="16:17" x14ac:dyDescent="0.3">
      <c r="P188" s="126"/>
      <c r="Q188" s="126"/>
    </row>
    <row r="189" spans="16:17" x14ac:dyDescent="0.3">
      <c r="P189" s="126"/>
      <c r="Q189" s="126"/>
    </row>
    <row r="190" spans="16:17" x14ac:dyDescent="0.3">
      <c r="P190" s="126"/>
      <c r="Q190" s="126"/>
    </row>
    <row r="191" spans="16:17" x14ac:dyDescent="0.3">
      <c r="P191" s="126"/>
      <c r="Q191" s="126"/>
    </row>
    <row r="192" spans="16:17" x14ac:dyDescent="0.3">
      <c r="P192" s="126"/>
      <c r="Q192" s="126"/>
    </row>
    <row r="193" spans="16:17" x14ac:dyDescent="0.3">
      <c r="P193" s="126"/>
      <c r="Q193" s="126"/>
    </row>
    <row r="194" spans="16:17" x14ac:dyDescent="0.3">
      <c r="P194" s="126"/>
      <c r="Q194" s="126"/>
    </row>
    <row r="195" spans="16:17" x14ac:dyDescent="0.3">
      <c r="P195" s="126"/>
      <c r="Q195" s="126"/>
    </row>
    <row r="196" spans="16:17" x14ac:dyDescent="0.3">
      <c r="P196" s="126"/>
      <c r="Q196" s="126"/>
    </row>
    <row r="197" spans="16:17" x14ac:dyDescent="0.3">
      <c r="P197" s="126"/>
      <c r="Q197" s="126"/>
    </row>
    <row r="198" spans="16:17" x14ac:dyDescent="0.3">
      <c r="P198" s="126"/>
      <c r="Q198" s="126"/>
    </row>
    <row r="199" spans="16:17" x14ac:dyDescent="0.3">
      <c r="P199" s="126"/>
      <c r="Q199" s="126"/>
    </row>
    <row r="200" spans="16:17" x14ac:dyDescent="0.3">
      <c r="P200" s="126"/>
      <c r="Q200" s="126"/>
    </row>
    <row r="201" spans="16:17" x14ac:dyDescent="0.3">
      <c r="P201" s="126"/>
      <c r="Q201" s="126"/>
    </row>
    <row r="202" spans="16:17" x14ac:dyDescent="0.3">
      <c r="P202" s="126"/>
      <c r="Q202" s="126"/>
    </row>
    <row r="203" spans="16:17" x14ac:dyDescent="0.3">
      <c r="P203" s="126"/>
      <c r="Q203" s="126"/>
    </row>
    <row r="204" spans="16:17" x14ac:dyDescent="0.3">
      <c r="P204" s="126"/>
      <c r="Q204" s="126"/>
    </row>
    <row r="205" spans="16:17" x14ac:dyDescent="0.3">
      <c r="P205" s="126"/>
      <c r="Q205" s="126"/>
    </row>
    <row r="206" spans="16:17" x14ac:dyDescent="0.3">
      <c r="P206" s="126"/>
      <c r="Q206" s="126"/>
    </row>
    <row r="207" spans="16:17" x14ac:dyDescent="0.3">
      <c r="P207" s="126"/>
      <c r="Q207" s="126"/>
    </row>
    <row r="208" spans="16:17" x14ac:dyDescent="0.3">
      <c r="P208" s="126"/>
      <c r="Q208" s="126"/>
    </row>
    <row r="209" spans="16:17" x14ac:dyDescent="0.3">
      <c r="P209" s="126"/>
      <c r="Q209" s="126"/>
    </row>
    <row r="210" spans="16:17" x14ac:dyDescent="0.3">
      <c r="P210" s="126"/>
      <c r="Q210" s="126"/>
    </row>
    <row r="211" spans="16:17" x14ac:dyDescent="0.3">
      <c r="P211" s="126"/>
      <c r="Q211" s="126"/>
    </row>
    <row r="212" spans="16:17" x14ac:dyDescent="0.3">
      <c r="P212" s="126"/>
      <c r="Q212" s="126"/>
    </row>
    <row r="213" spans="16:17" x14ac:dyDescent="0.3">
      <c r="P213" s="126"/>
      <c r="Q213" s="126"/>
    </row>
    <row r="214" spans="16:17" x14ac:dyDescent="0.3">
      <c r="P214" s="126"/>
      <c r="Q214" s="126"/>
    </row>
    <row r="215" spans="16:17" x14ac:dyDescent="0.3">
      <c r="P215" s="126"/>
      <c r="Q215" s="126"/>
    </row>
    <row r="216" spans="16:17" x14ac:dyDescent="0.3">
      <c r="P216" s="126"/>
      <c r="Q216" s="126"/>
    </row>
    <row r="217" spans="16:17" x14ac:dyDescent="0.3">
      <c r="P217" s="126"/>
      <c r="Q217" s="126"/>
    </row>
    <row r="218" spans="16:17" x14ac:dyDescent="0.3">
      <c r="P218" s="126"/>
      <c r="Q218" s="126"/>
    </row>
    <row r="219" spans="16:17" x14ac:dyDescent="0.3">
      <c r="P219" s="126"/>
      <c r="Q219" s="126"/>
    </row>
    <row r="220" spans="16:17" x14ac:dyDescent="0.3">
      <c r="P220" s="126"/>
      <c r="Q220" s="126"/>
    </row>
    <row r="221" spans="16:17" x14ac:dyDescent="0.3">
      <c r="P221" s="126"/>
      <c r="Q221" s="126"/>
    </row>
    <row r="222" spans="16:17" x14ac:dyDescent="0.3">
      <c r="P222" s="126"/>
      <c r="Q222" s="126"/>
    </row>
    <row r="223" spans="16:17" x14ac:dyDescent="0.3">
      <c r="P223" s="126"/>
      <c r="Q223" s="126"/>
    </row>
    <row r="224" spans="16:17" x14ac:dyDescent="0.3">
      <c r="P224" s="126"/>
      <c r="Q224" s="126"/>
    </row>
    <row r="225" spans="16:17" x14ac:dyDescent="0.3">
      <c r="P225" s="126"/>
      <c r="Q225" s="126"/>
    </row>
    <row r="226" spans="16:17" x14ac:dyDescent="0.3">
      <c r="P226" s="126"/>
      <c r="Q226" s="126"/>
    </row>
    <row r="227" spans="16:17" x14ac:dyDescent="0.3">
      <c r="P227" s="126"/>
      <c r="Q227" s="126"/>
    </row>
    <row r="228" spans="16:17" x14ac:dyDescent="0.3">
      <c r="P228" s="126"/>
      <c r="Q228" s="126"/>
    </row>
    <row r="229" spans="16:17" x14ac:dyDescent="0.3">
      <c r="P229" s="126"/>
      <c r="Q229" s="126"/>
    </row>
    <row r="230" spans="16:17" x14ac:dyDescent="0.3">
      <c r="P230" s="126"/>
      <c r="Q230" s="126"/>
    </row>
    <row r="231" spans="16:17" x14ac:dyDescent="0.3">
      <c r="P231" s="126"/>
      <c r="Q231" s="126"/>
    </row>
    <row r="232" spans="16:17" x14ac:dyDescent="0.3">
      <c r="P232" s="126"/>
      <c r="Q232" s="126"/>
    </row>
    <row r="233" spans="16:17" x14ac:dyDescent="0.3">
      <c r="P233" s="126"/>
      <c r="Q233" s="126"/>
    </row>
    <row r="234" spans="16:17" x14ac:dyDescent="0.3">
      <c r="P234" s="126"/>
      <c r="Q234" s="126"/>
    </row>
    <row r="235" spans="16:17" x14ac:dyDescent="0.3">
      <c r="P235" s="126"/>
      <c r="Q235" s="126"/>
    </row>
    <row r="236" spans="16:17" x14ac:dyDescent="0.3">
      <c r="P236" s="126"/>
      <c r="Q236" s="126"/>
    </row>
    <row r="237" spans="16:17" x14ac:dyDescent="0.3">
      <c r="P237" s="126"/>
      <c r="Q237" s="126"/>
    </row>
    <row r="238" spans="16:17" x14ac:dyDescent="0.3">
      <c r="P238" s="126"/>
      <c r="Q238" s="126"/>
    </row>
    <row r="239" spans="16:17" x14ac:dyDescent="0.3">
      <c r="P239" s="126"/>
      <c r="Q239" s="126"/>
    </row>
    <row r="240" spans="16:17" x14ac:dyDescent="0.3">
      <c r="P240" s="126"/>
      <c r="Q240" s="126"/>
    </row>
    <row r="241" spans="16:17" x14ac:dyDescent="0.3">
      <c r="P241" s="126"/>
      <c r="Q241" s="126"/>
    </row>
    <row r="242" spans="16:17" x14ac:dyDescent="0.3">
      <c r="P242" s="126"/>
      <c r="Q242" s="126"/>
    </row>
    <row r="243" spans="16:17" x14ac:dyDescent="0.3">
      <c r="P243" s="126"/>
      <c r="Q243" s="126"/>
    </row>
    <row r="244" spans="16:17" x14ac:dyDescent="0.3">
      <c r="P244" s="126"/>
      <c r="Q244" s="126"/>
    </row>
    <row r="245" spans="16:17" x14ac:dyDescent="0.3">
      <c r="P245" s="126"/>
      <c r="Q245" s="126"/>
    </row>
    <row r="246" spans="16:17" x14ac:dyDescent="0.3">
      <c r="P246" s="126"/>
      <c r="Q246" s="126"/>
    </row>
    <row r="247" spans="16:17" x14ac:dyDescent="0.3">
      <c r="P247" s="126"/>
      <c r="Q247" s="126"/>
    </row>
    <row r="248" spans="16:17" x14ac:dyDescent="0.3">
      <c r="P248" s="126"/>
      <c r="Q248" s="126"/>
    </row>
    <row r="249" spans="16:17" x14ac:dyDescent="0.3">
      <c r="P249" s="126"/>
      <c r="Q249" s="126"/>
    </row>
    <row r="250" spans="16:17" x14ac:dyDescent="0.3">
      <c r="P250" s="126"/>
      <c r="Q250" s="126"/>
    </row>
    <row r="251" spans="16:17" x14ac:dyDescent="0.3">
      <c r="P251" s="126"/>
      <c r="Q251" s="126"/>
    </row>
    <row r="252" spans="16:17" x14ac:dyDescent="0.3">
      <c r="P252" s="126"/>
      <c r="Q252" s="126"/>
    </row>
    <row r="253" spans="16:17" x14ac:dyDescent="0.3">
      <c r="P253" s="126"/>
      <c r="Q253" s="126"/>
    </row>
    <row r="254" spans="16:17" x14ac:dyDescent="0.3">
      <c r="P254" s="126"/>
      <c r="Q254" s="126"/>
    </row>
    <row r="255" spans="16:17" x14ac:dyDescent="0.3">
      <c r="P255" s="126"/>
      <c r="Q255" s="126"/>
    </row>
    <row r="256" spans="16:17" x14ac:dyDescent="0.3">
      <c r="P256" s="126"/>
      <c r="Q256" s="126"/>
    </row>
    <row r="257" spans="16:17" x14ac:dyDescent="0.3">
      <c r="P257" s="126"/>
      <c r="Q257" s="126"/>
    </row>
    <row r="258" spans="16:17" x14ac:dyDescent="0.3">
      <c r="P258" s="126"/>
      <c r="Q258" s="126"/>
    </row>
    <row r="259" spans="16:17" x14ac:dyDescent="0.3">
      <c r="P259" s="126"/>
      <c r="Q259" s="126"/>
    </row>
    <row r="260" spans="16:17" x14ac:dyDescent="0.3">
      <c r="P260" s="126"/>
      <c r="Q260" s="126"/>
    </row>
    <row r="261" spans="16:17" x14ac:dyDescent="0.3">
      <c r="P261" s="126"/>
      <c r="Q261" s="126"/>
    </row>
    <row r="262" spans="16:17" x14ac:dyDescent="0.3">
      <c r="P262" s="126"/>
      <c r="Q262" s="126"/>
    </row>
    <row r="263" spans="16:17" x14ac:dyDescent="0.3">
      <c r="P263" s="126"/>
      <c r="Q263" s="126"/>
    </row>
    <row r="264" spans="16:17" x14ac:dyDescent="0.3">
      <c r="P264" s="126"/>
      <c r="Q264" s="126"/>
    </row>
    <row r="265" spans="16:17" x14ac:dyDescent="0.3">
      <c r="P265" s="126"/>
      <c r="Q265" s="126"/>
    </row>
    <row r="266" spans="16:17" x14ac:dyDescent="0.3">
      <c r="P266" s="126"/>
      <c r="Q266" s="126"/>
    </row>
    <row r="267" spans="16:17" x14ac:dyDescent="0.3">
      <c r="P267" s="126"/>
      <c r="Q267" s="126"/>
    </row>
    <row r="268" spans="16:17" x14ac:dyDescent="0.3">
      <c r="P268" s="126"/>
      <c r="Q268" s="126"/>
    </row>
    <row r="269" spans="16:17" x14ac:dyDescent="0.3">
      <c r="P269" s="126"/>
      <c r="Q269" s="126"/>
    </row>
    <row r="270" spans="16:17" x14ac:dyDescent="0.3">
      <c r="P270" s="126"/>
      <c r="Q270" s="126"/>
    </row>
    <row r="271" spans="16:17" x14ac:dyDescent="0.3">
      <c r="P271" s="126"/>
      <c r="Q271" s="126"/>
    </row>
    <row r="272" spans="16:17" x14ac:dyDescent="0.3">
      <c r="P272" s="126"/>
      <c r="Q272" s="126"/>
    </row>
    <row r="273" spans="16:17" x14ac:dyDescent="0.3">
      <c r="P273" s="126"/>
      <c r="Q273" s="126"/>
    </row>
    <row r="274" spans="16:17" x14ac:dyDescent="0.3">
      <c r="P274" s="126"/>
      <c r="Q274" s="126"/>
    </row>
    <row r="275" spans="16:17" x14ac:dyDescent="0.3">
      <c r="P275" s="126"/>
      <c r="Q275" s="126"/>
    </row>
    <row r="276" spans="16:17" x14ac:dyDescent="0.3">
      <c r="P276" s="126"/>
      <c r="Q276" s="126"/>
    </row>
    <row r="277" spans="16:17" x14ac:dyDescent="0.3">
      <c r="P277" s="126"/>
      <c r="Q277" s="126"/>
    </row>
    <row r="278" spans="16:17" x14ac:dyDescent="0.3">
      <c r="P278" s="126"/>
      <c r="Q278" s="126"/>
    </row>
    <row r="279" spans="16:17" x14ac:dyDescent="0.3">
      <c r="P279" s="126"/>
      <c r="Q279" s="126"/>
    </row>
    <row r="280" spans="16:17" x14ac:dyDescent="0.3">
      <c r="P280" s="126"/>
      <c r="Q280" s="126"/>
    </row>
    <row r="281" spans="16:17" x14ac:dyDescent="0.3">
      <c r="P281" s="126"/>
      <c r="Q281" s="126"/>
    </row>
    <row r="282" spans="16:17" x14ac:dyDescent="0.3">
      <c r="P282" s="126"/>
      <c r="Q282" s="126"/>
    </row>
    <row r="283" spans="16:17" x14ac:dyDescent="0.3">
      <c r="P283" s="126"/>
      <c r="Q283" s="126"/>
    </row>
    <row r="284" spans="16:17" x14ac:dyDescent="0.3">
      <c r="P284" s="126"/>
      <c r="Q284" s="126"/>
    </row>
    <row r="285" spans="16:17" x14ac:dyDescent="0.3">
      <c r="P285" s="126"/>
      <c r="Q285" s="126"/>
    </row>
    <row r="286" spans="16:17" x14ac:dyDescent="0.3">
      <c r="P286" s="126"/>
      <c r="Q286" s="126"/>
    </row>
    <row r="287" spans="16:17" x14ac:dyDescent="0.3">
      <c r="P287" s="126"/>
      <c r="Q287" s="126"/>
    </row>
    <row r="288" spans="16:17" x14ac:dyDescent="0.3">
      <c r="P288" s="126"/>
      <c r="Q288" s="126"/>
    </row>
    <row r="289" spans="16:17" x14ac:dyDescent="0.3">
      <c r="P289" s="126"/>
      <c r="Q289" s="126"/>
    </row>
    <row r="290" spans="16:17" x14ac:dyDescent="0.3">
      <c r="P290" s="126"/>
      <c r="Q290" s="126"/>
    </row>
    <row r="291" spans="16:17" x14ac:dyDescent="0.3">
      <c r="P291" s="126"/>
      <c r="Q291" s="126"/>
    </row>
    <row r="292" spans="16:17" x14ac:dyDescent="0.3">
      <c r="P292" s="126"/>
      <c r="Q292" s="126"/>
    </row>
    <row r="293" spans="16:17" x14ac:dyDescent="0.3">
      <c r="P293" s="126"/>
      <c r="Q293" s="126"/>
    </row>
    <row r="294" spans="16:17" x14ac:dyDescent="0.3">
      <c r="P294" s="126"/>
      <c r="Q294" s="126"/>
    </row>
    <row r="295" spans="16:17" x14ac:dyDescent="0.3">
      <c r="P295" s="126"/>
      <c r="Q295" s="126"/>
    </row>
    <row r="296" spans="16:17" x14ac:dyDescent="0.3">
      <c r="P296" s="126"/>
      <c r="Q296" s="126"/>
    </row>
    <row r="297" spans="16:17" x14ac:dyDescent="0.3">
      <c r="P297" s="126"/>
      <c r="Q297" s="126"/>
    </row>
    <row r="298" spans="16:17" x14ac:dyDescent="0.3">
      <c r="P298" s="126"/>
      <c r="Q298" s="126"/>
    </row>
    <row r="299" spans="16:17" x14ac:dyDescent="0.3">
      <c r="P299" s="126"/>
      <c r="Q299" s="126"/>
    </row>
    <row r="300" spans="16:17" x14ac:dyDescent="0.3">
      <c r="P300" s="126"/>
      <c r="Q300" s="126"/>
    </row>
    <row r="301" spans="16:17" x14ac:dyDescent="0.3">
      <c r="P301" s="126"/>
      <c r="Q301" s="126"/>
    </row>
    <row r="302" spans="16:17" x14ac:dyDescent="0.3">
      <c r="P302" s="126"/>
      <c r="Q302" s="126"/>
    </row>
    <row r="303" spans="16:17" x14ac:dyDescent="0.3">
      <c r="P303" s="126"/>
      <c r="Q303" s="126"/>
    </row>
    <row r="304" spans="16:17" x14ac:dyDescent="0.3">
      <c r="P304" s="126"/>
      <c r="Q304" s="126"/>
    </row>
    <row r="305" spans="16:17" x14ac:dyDescent="0.3">
      <c r="P305" s="126"/>
      <c r="Q305" s="126"/>
    </row>
    <row r="306" spans="16:17" x14ac:dyDescent="0.3">
      <c r="P306" s="126"/>
      <c r="Q306" s="126"/>
    </row>
    <row r="307" spans="16:17" x14ac:dyDescent="0.3">
      <c r="P307" s="126"/>
      <c r="Q307" s="126"/>
    </row>
    <row r="308" spans="16:17" x14ac:dyDescent="0.3">
      <c r="P308" s="126"/>
      <c r="Q308" s="126"/>
    </row>
    <row r="309" spans="16:17" x14ac:dyDescent="0.3">
      <c r="P309" s="126"/>
      <c r="Q309" s="126"/>
    </row>
    <row r="310" spans="16:17" x14ac:dyDescent="0.3">
      <c r="P310" s="126"/>
      <c r="Q310" s="126"/>
    </row>
    <row r="311" spans="16:17" x14ac:dyDescent="0.3">
      <c r="P311" s="126"/>
      <c r="Q311" s="126"/>
    </row>
    <row r="312" spans="16:17" x14ac:dyDescent="0.3">
      <c r="P312" s="126"/>
      <c r="Q312" s="126"/>
    </row>
    <row r="313" spans="16:17" x14ac:dyDescent="0.3">
      <c r="P313" s="126"/>
      <c r="Q313" s="126"/>
    </row>
    <row r="314" spans="16:17" x14ac:dyDescent="0.3">
      <c r="P314" s="126"/>
      <c r="Q314" s="126"/>
    </row>
    <row r="315" spans="16:17" x14ac:dyDescent="0.3">
      <c r="P315" s="126"/>
      <c r="Q315" s="126"/>
    </row>
    <row r="316" spans="16:17" x14ac:dyDescent="0.3">
      <c r="P316" s="126"/>
      <c r="Q316" s="126"/>
    </row>
    <row r="317" spans="16:17" x14ac:dyDescent="0.3">
      <c r="P317" s="126"/>
      <c r="Q317" s="126"/>
    </row>
    <row r="318" spans="16:17" x14ac:dyDescent="0.3">
      <c r="P318" s="126"/>
      <c r="Q318" s="126"/>
    </row>
    <row r="319" spans="16:17" x14ac:dyDescent="0.3">
      <c r="P319" s="126"/>
      <c r="Q319" s="126"/>
    </row>
    <row r="320" spans="16:17" x14ac:dyDescent="0.3">
      <c r="P320" s="126"/>
      <c r="Q320" s="126"/>
    </row>
    <row r="321" spans="16:17" x14ac:dyDescent="0.3">
      <c r="P321" s="126"/>
      <c r="Q321" s="126"/>
    </row>
    <row r="322" spans="16:17" x14ac:dyDescent="0.3">
      <c r="P322" s="126"/>
      <c r="Q322" s="126"/>
    </row>
    <row r="323" spans="16:17" x14ac:dyDescent="0.3">
      <c r="P323" s="126"/>
      <c r="Q323" s="126"/>
    </row>
    <row r="324" spans="16:17" x14ac:dyDescent="0.3">
      <c r="P324" s="126"/>
      <c r="Q324" s="126"/>
    </row>
    <row r="325" spans="16:17" x14ac:dyDescent="0.3">
      <c r="P325" s="126"/>
      <c r="Q325" s="126"/>
    </row>
    <row r="326" spans="16:17" x14ac:dyDescent="0.3">
      <c r="P326" s="126"/>
      <c r="Q326" s="126"/>
    </row>
    <row r="327" spans="16:17" x14ac:dyDescent="0.3">
      <c r="P327" s="126"/>
      <c r="Q327" s="126"/>
    </row>
    <row r="328" spans="16:17" x14ac:dyDescent="0.3">
      <c r="P328" s="126"/>
      <c r="Q328" s="126"/>
    </row>
    <row r="329" spans="16:17" x14ac:dyDescent="0.3">
      <c r="P329" s="126"/>
      <c r="Q329" s="126"/>
    </row>
    <row r="330" spans="16:17" x14ac:dyDescent="0.3">
      <c r="P330" s="126"/>
      <c r="Q330" s="126"/>
    </row>
    <row r="331" spans="16:17" x14ac:dyDescent="0.3">
      <c r="P331" s="126"/>
      <c r="Q331" s="126"/>
    </row>
    <row r="332" spans="16:17" x14ac:dyDescent="0.3">
      <c r="P332" s="126"/>
      <c r="Q332" s="126"/>
    </row>
    <row r="333" spans="16:17" x14ac:dyDescent="0.3">
      <c r="P333" s="126"/>
      <c r="Q333" s="126"/>
    </row>
    <row r="334" spans="16:17" x14ac:dyDescent="0.3">
      <c r="P334" s="126"/>
      <c r="Q334" s="126"/>
    </row>
    <row r="335" spans="16:17" x14ac:dyDescent="0.3">
      <c r="P335" s="126"/>
      <c r="Q335" s="126"/>
    </row>
    <row r="336" spans="16:17" x14ac:dyDescent="0.3">
      <c r="P336" s="126"/>
      <c r="Q336" s="126"/>
    </row>
    <row r="337" spans="16:17" x14ac:dyDescent="0.3">
      <c r="P337" s="126"/>
      <c r="Q337" s="126"/>
    </row>
    <row r="338" spans="16:17" x14ac:dyDescent="0.3">
      <c r="P338" s="126"/>
      <c r="Q338" s="126"/>
    </row>
    <row r="339" spans="16:17" x14ac:dyDescent="0.3">
      <c r="P339" s="126"/>
      <c r="Q339" s="126"/>
    </row>
    <row r="340" spans="16:17" x14ac:dyDescent="0.3">
      <c r="P340" s="126"/>
      <c r="Q340" s="126"/>
    </row>
    <row r="341" spans="16:17" x14ac:dyDescent="0.3">
      <c r="P341" s="126"/>
      <c r="Q341" s="126"/>
    </row>
    <row r="342" spans="16:17" x14ac:dyDescent="0.3">
      <c r="P342" s="126"/>
      <c r="Q342" s="126"/>
    </row>
    <row r="343" spans="16:17" x14ac:dyDescent="0.3">
      <c r="P343" s="126"/>
      <c r="Q343" s="126"/>
    </row>
    <row r="344" spans="16:17" x14ac:dyDescent="0.3">
      <c r="P344" s="126"/>
      <c r="Q344" s="126"/>
    </row>
    <row r="345" spans="16:17" x14ac:dyDescent="0.3">
      <c r="P345" s="126"/>
      <c r="Q345" s="126"/>
    </row>
    <row r="346" spans="16:17" x14ac:dyDescent="0.3">
      <c r="P346" s="126"/>
      <c r="Q346" s="126"/>
    </row>
    <row r="347" spans="16:17" x14ac:dyDescent="0.3">
      <c r="P347" s="126"/>
      <c r="Q347" s="126"/>
    </row>
    <row r="348" spans="16:17" x14ac:dyDescent="0.3">
      <c r="P348" s="126"/>
      <c r="Q348" s="126"/>
    </row>
    <row r="349" spans="16:17" x14ac:dyDescent="0.3">
      <c r="P349" s="126"/>
      <c r="Q349" s="126"/>
    </row>
    <row r="350" spans="16:17" x14ac:dyDescent="0.3">
      <c r="P350" s="126"/>
      <c r="Q350" s="126"/>
    </row>
    <row r="351" spans="16:17" x14ac:dyDescent="0.3">
      <c r="P351" s="126"/>
      <c r="Q351" s="126"/>
    </row>
    <row r="352" spans="16:17" x14ac:dyDescent="0.3">
      <c r="P352" s="126"/>
      <c r="Q352" s="126"/>
    </row>
    <row r="353" spans="16:17" x14ac:dyDescent="0.3">
      <c r="P353" s="126"/>
      <c r="Q353" s="126"/>
    </row>
    <row r="354" spans="16:17" x14ac:dyDescent="0.3">
      <c r="P354" s="126"/>
      <c r="Q354" s="126"/>
    </row>
    <row r="355" spans="16:17" x14ac:dyDescent="0.3">
      <c r="P355" s="126"/>
      <c r="Q355" s="126"/>
    </row>
    <row r="356" spans="16:17" x14ac:dyDescent="0.3">
      <c r="P356" s="126"/>
      <c r="Q356" s="126"/>
    </row>
    <row r="357" spans="16:17" x14ac:dyDescent="0.3">
      <c r="P357" s="126"/>
      <c r="Q357" s="126"/>
    </row>
    <row r="358" spans="16:17" x14ac:dyDescent="0.3">
      <c r="P358" s="126"/>
      <c r="Q358" s="126"/>
    </row>
    <row r="359" spans="16:17" x14ac:dyDescent="0.3">
      <c r="P359" s="126"/>
      <c r="Q359" s="126"/>
    </row>
    <row r="360" spans="16:17" x14ac:dyDescent="0.3">
      <c r="P360" s="126"/>
      <c r="Q360" s="126"/>
    </row>
    <row r="361" spans="16:17" x14ac:dyDescent="0.3">
      <c r="P361" s="126"/>
      <c r="Q361" s="126"/>
    </row>
    <row r="362" spans="16:17" x14ac:dyDescent="0.3">
      <c r="P362" s="126"/>
      <c r="Q362" s="126"/>
    </row>
    <row r="363" spans="16:17" x14ac:dyDescent="0.3">
      <c r="P363" s="126"/>
      <c r="Q363" s="126"/>
    </row>
    <row r="364" spans="16:17" x14ac:dyDescent="0.3">
      <c r="P364" s="126"/>
      <c r="Q364" s="126"/>
    </row>
    <row r="365" spans="16:17" x14ac:dyDescent="0.3">
      <c r="P365" s="126"/>
      <c r="Q365" s="126"/>
    </row>
    <row r="366" spans="16:17" x14ac:dyDescent="0.3">
      <c r="P366" s="126"/>
      <c r="Q366" s="126"/>
    </row>
    <row r="367" spans="16:17" x14ac:dyDescent="0.3">
      <c r="P367" s="126"/>
      <c r="Q367" s="126"/>
    </row>
    <row r="368" spans="16:17" x14ac:dyDescent="0.3">
      <c r="P368" s="126"/>
      <c r="Q368" s="126"/>
    </row>
    <row r="369" spans="16:17" x14ac:dyDescent="0.3">
      <c r="P369" s="126"/>
      <c r="Q369" s="126"/>
    </row>
    <row r="370" spans="16:17" x14ac:dyDescent="0.3">
      <c r="P370" s="126"/>
      <c r="Q370" s="126"/>
    </row>
    <row r="371" spans="16:17" x14ac:dyDescent="0.3">
      <c r="P371" s="126"/>
      <c r="Q371" s="126"/>
    </row>
    <row r="372" spans="16:17" x14ac:dyDescent="0.3">
      <c r="P372" s="126"/>
      <c r="Q372" s="126"/>
    </row>
    <row r="373" spans="16:17" x14ac:dyDescent="0.3">
      <c r="P373" s="126"/>
      <c r="Q373" s="126"/>
    </row>
    <row r="374" spans="16:17" x14ac:dyDescent="0.3">
      <c r="P374" s="126"/>
      <c r="Q374" s="126"/>
    </row>
    <row r="375" spans="16:17" x14ac:dyDescent="0.3">
      <c r="P375" s="126"/>
      <c r="Q375" s="126"/>
    </row>
    <row r="376" spans="16:17" x14ac:dyDescent="0.3">
      <c r="P376" s="126"/>
      <c r="Q376" s="126"/>
    </row>
    <row r="377" spans="16:17" x14ac:dyDescent="0.3">
      <c r="P377" s="126"/>
      <c r="Q377" s="126"/>
    </row>
    <row r="378" spans="16:17" x14ac:dyDescent="0.3">
      <c r="P378" s="126"/>
      <c r="Q378" s="126"/>
    </row>
    <row r="379" spans="16:17" x14ac:dyDescent="0.3">
      <c r="P379" s="126"/>
      <c r="Q379" s="126"/>
    </row>
    <row r="380" spans="16:17" x14ac:dyDescent="0.3">
      <c r="P380" s="126"/>
      <c r="Q380" s="126"/>
    </row>
    <row r="381" spans="16:17" x14ac:dyDescent="0.3">
      <c r="P381" s="126"/>
      <c r="Q381" s="126"/>
    </row>
    <row r="382" spans="16:17" x14ac:dyDescent="0.3">
      <c r="P382" s="126"/>
      <c r="Q382" s="126"/>
    </row>
    <row r="383" spans="16:17" x14ac:dyDescent="0.3">
      <c r="P383" s="126"/>
      <c r="Q383" s="126"/>
    </row>
    <row r="384" spans="16:17" x14ac:dyDescent="0.3">
      <c r="P384" s="126"/>
      <c r="Q384" s="126"/>
    </row>
    <row r="385" spans="16:17" x14ac:dyDescent="0.3">
      <c r="P385" s="126"/>
      <c r="Q385" s="126"/>
    </row>
    <row r="386" spans="16:17" x14ac:dyDescent="0.3">
      <c r="P386" s="126"/>
      <c r="Q386" s="126"/>
    </row>
    <row r="387" spans="16:17" x14ac:dyDescent="0.3">
      <c r="P387" s="126"/>
      <c r="Q387" s="126"/>
    </row>
    <row r="388" spans="16:17" x14ac:dyDescent="0.3">
      <c r="P388" s="126"/>
      <c r="Q388" s="126"/>
    </row>
    <row r="389" spans="16:17" x14ac:dyDescent="0.3">
      <c r="P389" s="126"/>
      <c r="Q389" s="126"/>
    </row>
    <row r="390" spans="16:17" x14ac:dyDescent="0.3">
      <c r="P390" s="126"/>
      <c r="Q390" s="126"/>
    </row>
    <row r="391" spans="16:17" x14ac:dyDescent="0.3">
      <c r="P391" s="126"/>
      <c r="Q391" s="126"/>
    </row>
    <row r="392" spans="16:17" x14ac:dyDescent="0.3">
      <c r="P392" s="126"/>
      <c r="Q392" s="126"/>
    </row>
    <row r="393" spans="16:17" x14ac:dyDescent="0.3">
      <c r="P393" s="126"/>
      <c r="Q393" s="126"/>
    </row>
    <row r="394" spans="16:17" x14ac:dyDescent="0.3">
      <c r="P394" s="126"/>
      <c r="Q394" s="126"/>
    </row>
    <row r="395" spans="16:17" x14ac:dyDescent="0.3">
      <c r="P395" s="126"/>
      <c r="Q395" s="126"/>
    </row>
    <row r="396" spans="16:17" x14ac:dyDescent="0.3">
      <c r="P396" s="126"/>
      <c r="Q396" s="126"/>
    </row>
    <row r="397" spans="16:17" x14ac:dyDescent="0.3">
      <c r="P397" s="126"/>
      <c r="Q397" s="126"/>
    </row>
    <row r="398" spans="16:17" x14ac:dyDescent="0.3">
      <c r="P398" s="126"/>
      <c r="Q398" s="126"/>
    </row>
    <row r="399" spans="16:17" x14ac:dyDescent="0.3">
      <c r="P399" s="126"/>
      <c r="Q399" s="126"/>
    </row>
    <row r="400" spans="16:17" x14ac:dyDescent="0.3">
      <c r="P400" s="126"/>
      <c r="Q400" s="126"/>
    </row>
    <row r="401" spans="16:17" x14ac:dyDescent="0.3">
      <c r="P401" s="126"/>
      <c r="Q401" s="126"/>
    </row>
    <row r="402" spans="16:17" x14ac:dyDescent="0.3">
      <c r="P402" s="126"/>
      <c r="Q402" s="126"/>
    </row>
    <row r="403" spans="16:17" x14ac:dyDescent="0.3">
      <c r="P403" s="126"/>
      <c r="Q403" s="126"/>
    </row>
    <row r="404" spans="16:17" x14ac:dyDescent="0.3">
      <c r="P404" s="126"/>
      <c r="Q404" s="126"/>
    </row>
    <row r="405" spans="16:17" x14ac:dyDescent="0.3">
      <c r="P405" s="126"/>
      <c r="Q405" s="126"/>
    </row>
    <row r="406" spans="16:17" x14ac:dyDescent="0.3">
      <c r="P406" s="126"/>
      <c r="Q406" s="126"/>
    </row>
    <row r="407" spans="16:17" x14ac:dyDescent="0.3">
      <c r="P407" s="126"/>
      <c r="Q407" s="126"/>
    </row>
    <row r="408" spans="16:17" x14ac:dyDescent="0.3">
      <c r="P408" s="126"/>
      <c r="Q408" s="126"/>
    </row>
    <row r="409" spans="16:17" x14ac:dyDescent="0.3">
      <c r="P409" s="126"/>
      <c r="Q409" s="126"/>
    </row>
    <row r="410" spans="16:17" x14ac:dyDescent="0.3">
      <c r="P410" s="126"/>
      <c r="Q410" s="126"/>
    </row>
    <row r="411" spans="16:17" x14ac:dyDescent="0.3">
      <c r="P411" s="126"/>
      <c r="Q411" s="126"/>
    </row>
    <row r="412" spans="16:17" x14ac:dyDescent="0.3">
      <c r="P412" s="126"/>
      <c r="Q412" s="126"/>
    </row>
    <row r="413" spans="16:17" x14ac:dyDescent="0.3">
      <c r="P413" s="126"/>
      <c r="Q413" s="126"/>
    </row>
    <row r="414" spans="16:17" x14ac:dyDescent="0.3">
      <c r="P414" s="126"/>
      <c r="Q414" s="126"/>
    </row>
    <row r="415" spans="16:17" x14ac:dyDescent="0.3">
      <c r="P415" s="126"/>
      <c r="Q415" s="126"/>
    </row>
    <row r="416" spans="16:17" x14ac:dyDescent="0.3">
      <c r="P416" s="126"/>
      <c r="Q416" s="126"/>
    </row>
    <row r="417" spans="16:17" x14ac:dyDescent="0.3">
      <c r="P417" s="126"/>
      <c r="Q417" s="126"/>
    </row>
    <row r="418" spans="16:17" x14ac:dyDescent="0.3">
      <c r="P418" s="126"/>
      <c r="Q418" s="126"/>
    </row>
    <row r="419" spans="16:17" x14ac:dyDescent="0.3">
      <c r="P419" s="126"/>
      <c r="Q419" s="126"/>
    </row>
    <row r="420" spans="16:17" x14ac:dyDescent="0.3">
      <c r="P420" s="126"/>
      <c r="Q420" s="126"/>
    </row>
    <row r="421" spans="16:17" x14ac:dyDescent="0.3">
      <c r="P421" s="126"/>
      <c r="Q421" s="126"/>
    </row>
    <row r="422" spans="16:17" x14ac:dyDescent="0.3">
      <c r="P422" s="126"/>
      <c r="Q422" s="126"/>
    </row>
    <row r="423" spans="16:17" x14ac:dyDescent="0.3">
      <c r="P423" s="126"/>
      <c r="Q423" s="126"/>
    </row>
    <row r="424" spans="16:17" x14ac:dyDescent="0.3">
      <c r="P424" s="126"/>
      <c r="Q424" s="126"/>
    </row>
    <row r="425" spans="16:17" x14ac:dyDescent="0.3">
      <c r="P425" s="126"/>
      <c r="Q425" s="126"/>
    </row>
    <row r="426" spans="16:17" x14ac:dyDescent="0.3">
      <c r="P426" s="126"/>
      <c r="Q426" s="126"/>
    </row>
    <row r="427" spans="16:17" x14ac:dyDescent="0.3">
      <c r="P427" s="126"/>
      <c r="Q427" s="126"/>
    </row>
    <row r="428" spans="16:17" x14ac:dyDescent="0.3">
      <c r="P428" s="126"/>
      <c r="Q428" s="126"/>
    </row>
    <row r="429" spans="16:17" x14ac:dyDescent="0.3">
      <c r="P429" s="126"/>
      <c r="Q429" s="126"/>
    </row>
    <row r="430" spans="16:17" x14ac:dyDescent="0.3">
      <c r="P430" s="126"/>
      <c r="Q430" s="126"/>
    </row>
    <row r="431" spans="16:17" x14ac:dyDescent="0.3">
      <c r="P431" s="126"/>
      <c r="Q431" s="126"/>
    </row>
    <row r="432" spans="16:17" x14ac:dyDescent="0.3">
      <c r="P432" s="126"/>
      <c r="Q432" s="126"/>
    </row>
    <row r="433" spans="16:17" x14ac:dyDescent="0.3">
      <c r="P433" s="126"/>
      <c r="Q433" s="126"/>
    </row>
    <row r="434" spans="16:17" x14ac:dyDescent="0.3">
      <c r="P434" s="126"/>
      <c r="Q434" s="126"/>
    </row>
    <row r="435" spans="16:17" x14ac:dyDescent="0.3">
      <c r="P435" s="126"/>
      <c r="Q435" s="126"/>
    </row>
    <row r="436" spans="16:17" x14ac:dyDescent="0.3">
      <c r="P436" s="126"/>
      <c r="Q436" s="126"/>
    </row>
    <row r="437" spans="16:17" x14ac:dyDescent="0.3">
      <c r="P437" s="126"/>
      <c r="Q437" s="126"/>
    </row>
    <row r="438" spans="16:17" x14ac:dyDescent="0.3">
      <c r="P438" s="126"/>
      <c r="Q438" s="126"/>
    </row>
    <row r="439" spans="16:17" x14ac:dyDescent="0.3">
      <c r="P439" s="126"/>
      <c r="Q439" s="126"/>
    </row>
    <row r="440" spans="16:17" x14ac:dyDescent="0.3">
      <c r="P440" s="126"/>
      <c r="Q440" s="126"/>
    </row>
    <row r="441" spans="16:17" x14ac:dyDescent="0.3">
      <c r="P441" s="126"/>
      <c r="Q441" s="126"/>
    </row>
    <row r="442" spans="16:17" x14ac:dyDescent="0.3">
      <c r="P442" s="126"/>
      <c r="Q442" s="126"/>
    </row>
    <row r="443" spans="16:17" x14ac:dyDescent="0.3">
      <c r="P443" s="126"/>
      <c r="Q443" s="126"/>
    </row>
    <row r="444" spans="16:17" x14ac:dyDescent="0.3">
      <c r="P444" s="126"/>
      <c r="Q444" s="126"/>
    </row>
    <row r="445" spans="16:17" x14ac:dyDescent="0.3">
      <c r="P445" s="126"/>
      <c r="Q445" s="126"/>
    </row>
    <row r="446" spans="16:17" x14ac:dyDescent="0.3">
      <c r="P446" s="126"/>
      <c r="Q446" s="126"/>
    </row>
    <row r="447" spans="16:17" x14ac:dyDescent="0.3">
      <c r="P447" s="126"/>
      <c r="Q447" s="126"/>
    </row>
    <row r="448" spans="16:17" x14ac:dyDescent="0.3">
      <c r="P448" s="126"/>
      <c r="Q448" s="126"/>
    </row>
    <row r="449" spans="16:17" x14ac:dyDescent="0.3">
      <c r="P449" s="126"/>
      <c r="Q449" s="126"/>
    </row>
    <row r="450" spans="16:17" x14ac:dyDescent="0.3">
      <c r="P450" s="126"/>
      <c r="Q450" s="126"/>
    </row>
    <row r="451" spans="16:17" x14ac:dyDescent="0.3">
      <c r="P451" s="126"/>
      <c r="Q451" s="126"/>
    </row>
    <row r="452" spans="16:17" x14ac:dyDescent="0.3">
      <c r="P452" s="126"/>
      <c r="Q452" s="126"/>
    </row>
    <row r="453" spans="16:17" x14ac:dyDescent="0.3">
      <c r="P453" s="126"/>
      <c r="Q453" s="126"/>
    </row>
    <row r="454" spans="16:17" x14ac:dyDescent="0.3">
      <c r="P454" s="126"/>
      <c r="Q454" s="126"/>
    </row>
    <row r="455" spans="16:17" x14ac:dyDescent="0.3">
      <c r="P455" s="126"/>
      <c r="Q455" s="126"/>
    </row>
    <row r="456" spans="16:17" x14ac:dyDescent="0.3">
      <c r="P456" s="126"/>
      <c r="Q456" s="126"/>
    </row>
    <row r="457" spans="16:17" x14ac:dyDescent="0.3">
      <c r="P457" s="126"/>
      <c r="Q457" s="126"/>
    </row>
    <row r="458" spans="16:17" x14ac:dyDescent="0.3">
      <c r="P458" s="126"/>
      <c r="Q458" s="126"/>
    </row>
    <row r="459" spans="16:17" x14ac:dyDescent="0.3">
      <c r="P459" s="126"/>
      <c r="Q459" s="126"/>
    </row>
    <row r="460" spans="16:17" x14ac:dyDescent="0.3">
      <c r="P460" s="126"/>
      <c r="Q460" s="126"/>
    </row>
    <row r="461" spans="16:17" x14ac:dyDescent="0.3">
      <c r="P461" s="126"/>
      <c r="Q461" s="126"/>
    </row>
    <row r="462" spans="16:17" x14ac:dyDescent="0.3">
      <c r="P462" s="126"/>
      <c r="Q462" s="126"/>
    </row>
    <row r="463" spans="16:17" x14ac:dyDescent="0.3">
      <c r="P463" s="126"/>
      <c r="Q463" s="126"/>
    </row>
    <row r="464" spans="16:17" x14ac:dyDescent="0.3">
      <c r="P464" s="126"/>
      <c r="Q464" s="126"/>
    </row>
    <row r="465" spans="16:17" x14ac:dyDescent="0.3">
      <c r="P465" s="126"/>
      <c r="Q465" s="126"/>
    </row>
    <row r="466" spans="16:17" x14ac:dyDescent="0.3">
      <c r="P466" s="126"/>
      <c r="Q466" s="126"/>
    </row>
    <row r="467" spans="16:17" x14ac:dyDescent="0.3">
      <c r="P467" s="126"/>
      <c r="Q467" s="126"/>
    </row>
    <row r="468" spans="16:17" x14ac:dyDescent="0.3">
      <c r="P468" s="126"/>
      <c r="Q468" s="126"/>
    </row>
    <row r="469" spans="16:17" x14ac:dyDescent="0.3">
      <c r="P469" s="126"/>
      <c r="Q469" s="126"/>
    </row>
    <row r="470" spans="16:17" x14ac:dyDescent="0.3">
      <c r="P470" s="126"/>
      <c r="Q470" s="126"/>
    </row>
    <row r="471" spans="16:17" x14ac:dyDescent="0.3">
      <c r="P471" s="126"/>
      <c r="Q471" s="126"/>
    </row>
    <row r="472" spans="16:17" x14ac:dyDescent="0.3">
      <c r="P472" s="126"/>
      <c r="Q472" s="126"/>
    </row>
    <row r="473" spans="16:17" x14ac:dyDescent="0.3">
      <c r="P473" s="126"/>
      <c r="Q473" s="126"/>
    </row>
    <row r="474" spans="16:17" x14ac:dyDescent="0.3">
      <c r="P474" s="126"/>
      <c r="Q474" s="126"/>
    </row>
    <row r="475" spans="16:17" x14ac:dyDescent="0.3">
      <c r="P475" s="126"/>
      <c r="Q475" s="126"/>
    </row>
    <row r="476" spans="16:17" x14ac:dyDescent="0.3">
      <c r="P476" s="126"/>
      <c r="Q476" s="126"/>
    </row>
    <row r="477" spans="16:17" x14ac:dyDescent="0.3">
      <c r="P477" s="126"/>
      <c r="Q477" s="126"/>
    </row>
    <row r="478" spans="16:17" x14ac:dyDescent="0.3">
      <c r="P478" s="126"/>
      <c r="Q478" s="126"/>
    </row>
    <row r="479" spans="16:17" x14ac:dyDescent="0.3">
      <c r="P479" s="126"/>
      <c r="Q479" s="126"/>
    </row>
    <row r="480" spans="16:17" x14ac:dyDescent="0.3">
      <c r="P480" s="126"/>
      <c r="Q480" s="126"/>
    </row>
    <row r="481" spans="16:17" x14ac:dyDescent="0.3">
      <c r="P481" s="126"/>
      <c r="Q481" s="126"/>
    </row>
    <row r="482" spans="16:17" x14ac:dyDescent="0.3">
      <c r="P482" s="126"/>
      <c r="Q482" s="126"/>
    </row>
    <row r="483" spans="16:17" x14ac:dyDescent="0.3">
      <c r="P483" s="126"/>
      <c r="Q483" s="126"/>
    </row>
    <row r="484" spans="16:17" x14ac:dyDescent="0.3">
      <c r="P484" s="126"/>
      <c r="Q484" s="126"/>
    </row>
    <row r="485" spans="16:17" x14ac:dyDescent="0.3">
      <c r="P485" s="126"/>
      <c r="Q485" s="126"/>
    </row>
    <row r="486" spans="16:17" x14ac:dyDescent="0.3">
      <c r="P486" s="126"/>
      <c r="Q486" s="126"/>
    </row>
    <row r="487" spans="16:17" x14ac:dyDescent="0.3">
      <c r="P487" s="126"/>
      <c r="Q487" s="126"/>
    </row>
    <row r="488" spans="16:17" x14ac:dyDescent="0.3">
      <c r="P488" s="126"/>
      <c r="Q488" s="126"/>
    </row>
    <row r="489" spans="16:17" x14ac:dyDescent="0.3">
      <c r="P489" s="126"/>
      <c r="Q489" s="126"/>
    </row>
    <row r="490" spans="16:17" x14ac:dyDescent="0.3">
      <c r="P490" s="126"/>
      <c r="Q490" s="126"/>
    </row>
    <row r="491" spans="16:17" x14ac:dyDescent="0.3">
      <c r="P491" s="126"/>
      <c r="Q491" s="126"/>
    </row>
    <row r="492" spans="16:17" x14ac:dyDescent="0.3">
      <c r="P492" s="126"/>
      <c r="Q492" s="126"/>
    </row>
    <row r="493" spans="16:17" x14ac:dyDescent="0.3">
      <c r="P493" s="126"/>
      <c r="Q493" s="126"/>
    </row>
    <row r="494" spans="16:17" x14ac:dyDescent="0.3">
      <c r="P494" s="126"/>
      <c r="Q494" s="126"/>
    </row>
    <row r="495" spans="16:17" x14ac:dyDescent="0.3">
      <c r="P495" s="126"/>
      <c r="Q495" s="126"/>
    </row>
    <row r="496" spans="16:17" x14ac:dyDescent="0.3">
      <c r="P496" s="126"/>
      <c r="Q496" s="126"/>
    </row>
    <row r="497" spans="16:17" x14ac:dyDescent="0.3">
      <c r="P497" s="126"/>
      <c r="Q497" s="126"/>
    </row>
    <row r="498" spans="16:17" x14ac:dyDescent="0.3">
      <c r="P498" s="126"/>
      <c r="Q498" s="126"/>
    </row>
    <row r="499" spans="16:17" x14ac:dyDescent="0.3">
      <c r="P499" s="126"/>
      <c r="Q499" s="126"/>
    </row>
    <row r="500" spans="16:17" x14ac:dyDescent="0.3">
      <c r="P500" s="126"/>
      <c r="Q500" s="126"/>
    </row>
    <row r="501" spans="16:17" x14ac:dyDescent="0.3">
      <c r="P501" s="126"/>
      <c r="Q501" s="126"/>
    </row>
    <row r="502" spans="16:17" x14ac:dyDescent="0.3">
      <c r="P502" s="126"/>
      <c r="Q502" s="126"/>
    </row>
    <row r="503" spans="16:17" x14ac:dyDescent="0.3">
      <c r="P503" s="126"/>
      <c r="Q503" s="126"/>
    </row>
    <row r="504" spans="16:17" x14ac:dyDescent="0.3">
      <c r="P504" s="126"/>
      <c r="Q504" s="126"/>
    </row>
    <row r="505" spans="16:17" x14ac:dyDescent="0.3">
      <c r="P505" s="126"/>
      <c r="Q505" s="126"/>
    </row>
    <row r="506" spans="16:17" x14ac:dyDescent="0.3">
      <c r="P506" s="126"/>
      <c r="Q506" s="126"/>
    </row>
    <row r="507" spans="16:17" x14ac:dyDescent="0.3">
      <c r="P507" s="126"/>
      <c r="Q507" s="126"/>
    </row>
    <row r="508" spans="16:17" x14ac:dyDescent="0.3">
      <c r="P508" s="126"/>
      <c r="Q508" s="126"/>
    </row>
    <row r="509" spans="16:17" x14ac:dyDescent="0.3">
      <c r="P509" s="126"/>
      <c r="Q509" s="126"/>
    </row>
    <row r="510" spans="16:17" x14ac:dyDescent="0.3">
      <c r="P510" s="126"/>
      <c r="Q510" s="126"/>
    </row>
    <row r="511" spans="16:17" x14ac:dyDescent="0.3">
      <c r="P511" s="126"/>
      <c r="Q511" s="126"/>
    </row>
    <row r="512" spans="16:17" x14ac:dyDescent="0.3">
      <c r="P512" s="126"/>
      <c r="Q512" s="126"/>
    </row>
    <row r="513" spans="16:17" x14ac:dyDescent="0.3">
      <c r="P513" s="126"/>
      <c r="Q513" s="126"/>
    </row>
    <row r="514" spans="16:17" x14ac:dyDescent="0.3">
      <c r="P514" s="126"/>
      <c r="Q514" s="126"/>
    </row>
    <row r="515" spans="16:17" x14ac:dyDescent="0.3">
      <c r="P515" s="126"/>
      <c r="Q515" s="126"/>
    </row>
    <row r="516" spans="16:17" x14ac:dyDescent="0.3">
      <c r="P516" s="126"/>
      <c r="Q516" s="126"/>
    </row>
    <row r="517" spans="16:17" x14ac:dyDescent="0.3">
      <c r="P517" s="126"/>
      <c r="Q517" s="126"/>
    </row>
    <row r="518" spans="16:17" x14ac:dyDescent="0.3">
      <c r="P518" s="126"/>
      <c r="Q518" s="126"/>
    </row>
    <row r="519" spans="16:17" x14ac:dyDescent="0.3">
      <c r="P519" s="126"/>
      <c r="Q519" s="126"/>
    </row>
    <row r="520" spans="16:17" x14ac:dyDescent="0.3">
      <c r="P520" s="126"/>
      <c r="Q520" s="126"/>
    </row>
    <row r="521" spans="16:17" x14ac:dyDescent="0.3">
      <c r="P521" s="126"/>
      <c r="Q521" s="126"/>
    </row>
    <row r="522" spans="16:17" x14ac:dyDescent="0.3">
      <c r="P522" s="126"/>
      <c r="Q522" s="126"/>
    </row>
    <row r="523" spans="16:17" x14ac:dyDescent="0.3">
      <c r="P523" s="126"/>
      <c r="Q523" s="126"/>
    </row>
    <row r="524" spans="16:17" x14ac:dyDescent="0.3">
      <c r="P524" s="126"/>
      <c r="Q524" s="126"/>
    </row>
    <row r="525" spans="16:17" x14ac:dyDescent="0.3">
      <c r="P525" s="126"/>
      <c r="Q525" s="126"/>
    </row>
    <row r="526" spans="16:17" x14ac:dyDescent="0.3">
      <c r="P526" s="126"/>
      <c r="Q526" s="126"/>
    </row>
    <row r="527" spans="16:17" x14ac:dyDescent="0.3">
      <c r="P527" s="126"/>
      <c r="Q527" s="126"/>
    </row>
    <row r="528" spans="16:17" x14ac:dyDescent="0.3">
      <c r="P528" s="126"/>
      <c r="Q528" s="126"/>
    </row>
    <row r="529" spans="16:17" x14ac:dyDescent="0.3">
      <c r="P529" s="126"/>
      <c r="Q529" s="126"/>
    </row>
    <row r="530" spans="16:17" x14ac:dyDescent="0.3">
      <c r="P530" s="126"/>
      <c r="Q530" s="126"/>
    </row>
    <row r="531" spans="16:17" x14ac:dyDescent="0.3">
      <c r="P531" s="126"/>
      <c r="Q531" s="126"/>
    </row>
    <row r="532" spans="16:17" x14ac:dyDescent="0.3">
      <c r="P532" s="126"/>
      <c r="Q532" s="126"/>
    </row>
    <row r="533" spans="16:17" x14ac:dyDescent="0.3">
      <c r="P533" s="126"/>
      <c r="Q533" s="126"/>
    </row>
    <row r="534" spans="16:17" x14ac:dyDescent="0.3">
      <c r="P534" s="126"/>
      <c r="Q534" s="126"/>
    </row>
    <row r="535" spans="16:17" x14ac:dyDescent="0.3">
      <c r="P535" s="126"/>
      <c r="Q535" s="126"/>
    </row>
    <row r="536" spans="16:17" x14ac:dyDescent="0.3">
      <c r="P536" s="126"/>
      <c r="Q536" s="126"/>
    </row>
    <row r="537" spans="16:17" x14ac:dyDescent="0.3">
      <c r="P537" s="126"/>
      <c r="Q537" s="126"/>
    </row>
    <row r="538" spans="16:17" x14ac:dyDescent="0.3">
      <c r="P538" s="126"/>
      <c r="Q538" s="126"/>
    </row>
    <row r="539" spans="16:17" x14ac:dyDescent="0.3">
      <c r="P539" s="126"/>
      <c r="Q539" s="126"/>
    </row>
    <row r="540" spans="16:17" x14ac:dyDescent="0.3">
      <c r="P540" s="126"/>
      <c r="Q540" s="126"/>
    </row>
    <row r="541" spans="16:17" x14ac:dyDescent="0.3">
      <c r="P541" s="126"/>
      <c r="Q541" s="126"/>
    </row>
    <row r="542" spans="16:17" x14ac:dyDescent="0.3">
      <c r="P542" s="126"/>
      <c r="Q542" s="126"/>
    </row>
    <row r="543" spans="16:17" x14ac:dyDescent="0.3">
      <c r="P543" s="126"/>
      <c r="Q543" s="126"/>
    </row>
    <row r="544" spans="16:17" x14ac:dyDescent="0.3">
      <c r="P544" s="126"/>
      <c r="Q544" s="126"/>
    </row>
    <row r="545" spans="16:17" x14ac:dyDescent="0.3">
      <c r="P545" s="126"/>
      <c r="Q545" s="126"/>
    </row>
    <row r="546" spans="16:17" x14ac:dyDescent="0.3">
      <c r="P546" s="126"/>
      <c r="Q546" s="126"/>
    </row>
    <row r="547" spans="16:17" x14ac:dyDescent="0.3">
      <c r="P547" s="126"/>
      <c r="Q547" s="126"/>
    </row>
    <row r="548" spans="16:17" x14ac:dyDescent="0.3">
      <c r="P548" s="126"/>
      <c r="Q548" s="126"/>
    </row>
  </sheetData>
  <autoFilter ref="B1:AC43"/>
  <pageMargins left="0.7" right="0.7" top="0.75" bottom="0.75" header="0.3" footer="0.3"/>
  <pageSetup paperSize="8" orientation="portrait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W90"/>
  <sheetViews>
    <sheetView tabSelected="1" zoomScaleNormal="100" workbookViewId="0">
      <pane ySplit="1" topLeftCell="A65" activePane="bottomLeft" state="frozen"/>
      <selection pane="bottomLeft" activeCell="K78" sqref="K78"/>
    </sheetView>
  </sheetViews>
  <sheetFormatPr defaultRowHeight="14.4" x14ac:dyDescent="0.3"/>
  <cols>
    <col min="1" max="1" width="5.88671875" customWidth="1"/>
    <col min="2" max="2" width="12" style="7" customWidth="1"/>
    <col min="3" max="3" width="22.33203125" customWidth="1"/>
    <col min="4" max="4" width="33.5546875" customWidth="1"/>
    <col min="5" max="5" width="19.33203125" style="78" customWidth="1"/>
    <col min="6" max="6" width="9" style="78" customWidth="1"/>
    <col min="7" max="9" width="13.5546875" style="78" customWidth="1"/>
    <col min="10" max="10" width="18.44140625" style="78" customWidth="1"/>
    <col min="11" max="11" width="13.5546875" style="116" customWidth="1"/>
    <col min="12" max="12" width="14.44140625" style="10" customWidth="1"/>
    <col min="13" max="14" width="11.5546875" style="10" customWidth="1"/>
    <col min="15" max="24" width="11" style="147" customWidth="1"/>
    <col min="25" max="25" width="11" style="146" customWidth="1"/>
    <col min="26" max="26" width="12.44140625" style="147" customWidth="1"/>
    <col min="27" max="28" width="11" style="147" customWidth="1"/>
  </cols>
  <sheetData>
    <row r="1" spans="1:29" ht="52.8" x14ac:dyDescent="0.3">
      <c r="A1" s="125" t="s">
        <v>0</v>
      </c>
      <c r="B1" s="1" t="s">
        <v>1</v>
      </c>
      <c r="C1" s="125" t="s">
        <v>2</v>
      </c>
      <c r="D1" s="162" t="s">
        <v>291</v>
      </c>
      <c r="E1" s="2" t="s">
        <v>51</v>
      </c>
      <c r="F1" s="2" t="s">
        <v>293</v>
      </c>
      <c r="G1" s="3" t="s">
        <v>5</v>
      </c>
      <c r="H1" s="4" t="s">
        <v>6</v>
      </c>
      <c r="I1" s="4" t="s">
        <v>7</v>
      </c>
      <c r="J1" s="1" t="s">
        <v>9</v>
      </c>
      <c r="K1" s="5" t="s">
        <v>292</v>
      </c>
      <c r="L1" s="187" t="s">
        <v>668</v>
      </c>
      <c r="M1" s="187" t="s">
        <v>549</v>
      </c>
      <c r="N1" s="187" t="s">
        <v>825</v>
      </c>
      <c r="O1" s="187" t="s">
        <v>10</v>
      </c>
      <c r="P1" s="187" t="s">
        <v>11</v>
      </c>
      <c r="Q1" s="187" t="s">
        <v>12</v>
      </c>
      <c r="R1" s="187" t="s">
        <v>13</v>
      </c>
      <c r="S1" s="187" t="s">
        <v>14</v>
      </c>
      <c r="T1" s="187" t="s">
        <v>15</v>
      </c>
      <c r="U1" s="187" t="s">
        <v>16</v>
      </c>
      <c r="V1" s="187" t="s">
        <v>17</v>
      </c>
      <c r="W1" s="187" t="s">
        <v>18</v>
      </c>
      <c r="X1" s="187" t="s">
        <v>19</v>
      </c>
      <c r="Y1" s="187" t="s">
        <v>20</v>
      </c>
      <c r="Z1" s="187" t="s">
        <v>21</v>
      </c>
      <c r="AA1" s="187" t="s">
        <v>10</v>
      </c>
      <c r="AB1" s="187" t="s">
        <v>11</v>
      </c>
      <c r="AC1" s="335"/>
    </row>
    <row r="2" spans="1:29" s="29" customFormat="1" ht="39.6" x14ac:dyDescent="0.3">
      <c r="A2" s="13"/>
      <c r="B2" s="13" t="s">
        <v>37</v>
      </c>
      <c r="C2" s="13" t="s">
        <v>91</v>
      </c>
      <c r="D2" s="13" t="s">
        <v>83</v>
      </c>
      <c r="E2" s="25" t="s">
        <v>84</v>
      </c>
      <c r="F2" s="25"/>
      <c r="G2" s="26">
        <v>43010</v>
      </c>
      <c r="H2" s="26">
        <v>43010</v>
      </c>
      <c r="I2" s="27"/>
      <c r="J2" s="13"/>
      <c r="K2" s="28"/>
      <c r="L2" s="87">
        <f>SUM(O2:Z2)</f>
        <v>4000</v>
      </c>
      <c r="M2" s="87">
        <v>20782.98</v>
      </c>
      <c r="N2" s="406" t="s">
        <v>853</v>
      </c>
      <c r="O2" s="394"/>
      <c r="P2" s="128"/>
      <c r="Q2" s="179">
        <v>4000</v>
      </c>
      <c r="R2" s="161"/>
      <c r="S2" s="161"/>
      <c r="T2" s="161"/>
      <c r="U2" s="161"/>
      <c r="V2" s="161"/>
      <c r="W2" s="161"/>
      <c r="X2" s="161"/>
      <c r="Y2" s="161"/>
      <c r="Z2" s="32"/>
      <c r="AA2" s="167"/>
      <c r="AB2" s="161"/>
      <c r="AC2" s="395"/>
    </row>
    <row r="3" spans="1:29" s="29" customFormat="1" ht="39.6" x14ac:dyDescent="0.3">
      <c r="A3" s="13"/>
      <c r="B3" s="13" t="s">
        <v>37</v>
      </c>
      <c r="C3" s="13" t="s">
        <v>474</v>
      </c>
      <c r="D3" s="13" t="s">
        <v>475</v>
      </c>
      <c r="E3" s="25" t="s">
        <v>476</v>
      </c>
      <c r="F3" s="25"/>
      <c r="G3" s="26">
        <v>42891</v>
      </c>
      <c r="H3" s="26">
        <v>42891</v>
      </c>
      <c r="I3" s="27"/>
      <c r="J3" s="13" t="s">
        <v>110</v>
      </c>
      <c r="K3" s="28"/>
      <c r="L3" s="87">
        <f t="shared" ref="L3:L14" si="0">SUM(O3:Z3)</f>
        <v>12846.49</v>
      </c>
      <c r="M3" s="87"/>
      <c r="N3" s="406" t="s">
        <v>853</v>
      </c>
      <c r="O3" s="377">
        <v>4128.17</v>
      </c>
      <c r="P3" s="161">
        <v>2599.5</v>
      </c>
      <c r="Q3" s="161">
        <v>6118.82</v>
      </c>
      <c r="R3" s="161"/>
      <c r="S3" s="161"/>
      <c r="T3" s="161"/>
      <c r="U3" s="161"/>
      <c r="V3" s="161"/>
      <c r="W3" s="161"/>
      <c r="X3" s="161"/>
      <c r="Y3" s="161"/>
      <c r="Z3" s="161"/>
      <c r="AA3" s="161"/>
      <c r="AB3" s="161"/>
      <c r="AC3" s="395"/>
    </row>
    <row r="4" spans="1:29" s="285" customFormat="1" ht="52.8" x14ac:dyDescent="0.25">
      <c r="A4" s="79"/>
      <c r="B4" s="186" t="s">
        <v>58</v>
      </c>
      <c r="C4" s="186" t="s">
        <v>74</v>
      </c>
      <c r="D4" s="186" t="s">
        <v>70</v>
      </c>
      <c r="E4" s="186" t="s">
        <v>72</v>
      </c>
      <c r="F4" s="79"/>
      <c r="G4" s="86">
        <v>43530</v>
      </c>
      <c r="H4" s="86">
        <v>43530</v>
      </c>
      <c r="I4" s="414" t="s">
        <v>744</v>
      </c>
      <c r="J4" s="79" t="s">
        <v>69</v>
      </c>
      <c r="K4" s="284">
        <v>98600</v>
      </c>
      <c r="L4" s="87">
        <f t="shared" si="0"/>
        <v>32395</v>
      </c>
      <c r="M4" s="87"/>
      <c r="N4" s="406" t="s">
        <v>859</v>
      </c>
      <c r="O4" s="378">
        <v>6400</v>
      </c>
      <c r="P4" s="179">
        <v>6400</v>
      </c>
      <c r="Q4" s="179">
        <v>6400</v>
      </c>
      <c r="R4" s="167"/>
      <c r="S4" s="167">
        <v>13195</v>
      </c>
      <c r="T4" s="167"/>
      <c r="U4" s="161"/>
      <c r="V4" s="161"/>
      <c r="W4" s="161"/>
      <c r="X4" s="161"/>
      <c r="Y4" s="161"/>
      <c r="Z4" s="161"/>
      <c r="AA4" s="161"/>
      <c r="AB4" s="167"/>
      <c r="AC4" s="395"/>
    </row>
    <row r="5" spans="1:29" s="45" customFormat="1" ht="66" x14ac:dyDescent="0.3">
      <c r="A5" s="79"/>
      <c r="B5" s="8" t="s">
        <v>228</v>
      </c>
      <c r="C5" s="43" t="s">
        <v>85</v>
      </c>
      <c r="D5" s="8" t="s">
        <v>86</v>
      </c>
      <c r="E5" s="43" t="s">
        <v>87</v>
      </c>
      <c r="F5" s="43"/>
      <c r="G5" s="31">
        <v>43577</v>
      </c>
      <c r="H5" s="31">
        <v>43466</v>
      </c>
      <c r="I5" s="44">
        <v>43830</v>
      </c>
      <c r="J5" s="28" t="s">
        <v>112</v>
      </c>
      <c r="K5" s="22">
        <v>1074799.5</v>
      </c>
      <c r="L5" s="87">
        <f t="shared" si="0"/>
        <v>19309.800000000003</v>
      </c>
      <c r="M5" s="87">
        <f t="shared" ref="M5:M30" si="1">SUM(Q5:Z5)</f>
        <v>6436.6</v>
      </c>
      <c r="N5" s="406" t="s">
        <v>858</v>
      </c>
      <c r="O5" s="391">
        <v>6436.6</v>
      </c>
      <c r="P5" s="392">
        <v>6436.6</v>
      </c>
      <c r="Q5" s="392">
        <v>6436.6</v>
      </c>
      <c r="R5" s="167"/>
      <c r="S5" s="113" t="s">
        <v>477</v>
      </c>
      <c r="T5" s="167"/>
      <c r="U5" s="161"/>
      <c r="V5" s="167"/>
      <c r="W5" s="161"/>
      <c r="X5" s="161"/>
      <c r="Y5" s="161"/>
      <c r="Z5" s="161"/>
      <c r="AA5" s="167"/>
      <c r="AB5" s="167"/>
      <c r="AC5" s="396"/>
    </row>
    <row r="6" spans="1:29" s="29" customFormat="1" ht="66" x14ac:dyDescent="0.3">
      <c r="A6" s="79"/>
      <c r="B6" s="79" t="s">
        <v>37</v>
      </c>
      <c r="C6" s="186" t="s">
        <v>92</v>
      </c>
      <c r="D6" s="186" t="s">
        <v>93</v>
      </c>
      <c r="E6" s="79" t="s">
        <v>94</v>
      </c>
      <c r="F6" s="79"/>
      <c r="G6" s="86">
        <v>43643</v>
      </c>
      <c r="H6" s="86">
        <v>43643</v>
      </c>
      <c r="I6" s="414" t="s">
        <v>744</v>
      </c>
      <c r="J6" s="79" t="s">
        <v>82</v>
      </c>
      <c r="K6" s="87">
        <v>95000</v>
      </c>
      <c r="L6" s="87">
        <f t="shared" si="0"/>
        <v>22988.94</v>
      </c>
      <c r="M6" s="87"/>
      <c r="N6" s="406" t="s">
        <v>858</v>
      </c>
      <c r="O6" s="380">
        <v>7662.98</v>
      </c>
      <c r="P6" s="128">
        <v>7662.98</v>
      </c>
      <c r="Q6" s="128">
        <v>7662.98</v>
      </c>
      <c r="R6" s="167"/>
      <c r="S6" s="167"/>
      <c r="T6" s="167"/>
      <c r="U6" s="167"/>
      <c r="V6" s="167"/>
      <c r="W6" s="167"/>
      <c r="X6" s="167"/>
      <c r="Y6" s="167"/>
      <c r="Z6" s="167"/>
      <c r="AA6" s="167"/>
      <c r="AB6" s="167"/>
      <c r="AC6" s="395"/>
    </row>
    <row r="7" spans="1:29" s="29" customFormat="1" ht="39.6" x14ac:dyDescent="0.3">
      <c r="A7" s="79"/>
      <c r="B7" s="79" t="s">
        <v>37</v>
      </c>
      <c r="C7" s="186" t="s">
        <v>73</v>
      </c>
      <c r="D7" s="186" t="s">
        <v>128</v>
      </c>
      <c r="E7" s="186" t="s">
        <v>129</v>
      </c>
      <c r="F7" s="79"/>
      <c r="G7" s="86">
        <v>43768</v>
      </c>
      <c r="H7" s="86">
        <v>43768</v>
      </c>
      <c r="I7" s="168" t="s">
        <v>132</v>
      </c>
      <c r="J7" s="79" t="s">
        <v>121</v>
      </c>
      <c r="K7" s="87">
        <v>93300</v>
      </c>
      <c r="L7" s="87">
        <f t="shared" si="0"/>
        <v>40196.800000000003</v>
      </c>
      <c r="M7" s="87">
        <f t="shared" si="1"/>
        <v>18040</v>
      </c>
      <c r="N7" s="406" t="s">
        <v>853</v>
      </c>
      <c r="O7" s="378">
        <f>SUM(9840+657.57+455.37)</f>
        <v>10952.94</v>
      </c>
      <c r="P7" s="179">
        <f>SUM(1363.86+9840)</f>
        <v>11203.86</v>
      </c>
      <c r="Q7" s="128">
        <f>R7+SUM(9840+8200)</f>
        <v>18040</v>
      </c>
      <c r="R7" s="167"/>
      <c r="S7" s="167"/>
      <c r="T7" s="167"/>
      <c r="U7" s="161"/>
      <c r="V7" s="161"/>
      <c r="W7" s="161"/>
      <c r="X7" s="161"/>
      <c r="Y7" s="161"/>
      <c r="Z7" s="167"/>
      <c r="AA7" s="167"/>
      <c r="AB7" s="167"/>
      <c r="AC7" s="395"/>
    </row>
    <row r="8" spans="1:29" s="306" customFormat="1" ht="26.4" x14ac:dyDescent="0.3">
      <c r="A8" s="302"/>
      <c r="B8" s="301" t="s">
        <v>66</v>
      </c>
      <c r="C8" s="301" t="s">
        <v>64</v>
      </c>
      <c r="D8" s="301" t="s">
        <v>65</v>
      </c>
      <c r="E8" s="301" t="s">
        <v>161</v>
      </c>
      <c r="F8" s="302"/>
      <c r="G8" s="303">
        <v>43809</v>
      </c>
      <c r="H8" s="303">
        <v>43831</v>
      </c>
      <c r="I8" s="303">
        <v>44196</v>
      </c>
      <c r="J8" s="302" t="s">
        <v>112</v>
      </c>
      <c r="K8" s="304">
        <v>77239.199999999997</v>
      </c>
      <c r="L8" s="260">
        <f t="shared" si="0"/>
        <v>45746.399999999994</v>
      </c>
      <c r="M8" s="304">
        <f>SUM(O8:Y8)</f>
        <v>45746.399999999994</v>
      </c>
      <c r="N8" s="406" t="s">
        <v>853</v>
      </c>
      <c r="O8" s="397"/>
      <c r="P8" s="268"/>
      <c r="Q8" s="261">
        <v>20000</v>
      </c>
      <c r="R8" s="305">
        <v>6436.6</v>
      </c>
      <c r="S8" s="305">
        <v>6436.6</v>
      </c>
      <c r="T8" s="305">
        <v>6436.6</v>
      </c>
      <c r="U8" s="305">
        <v>6436.6</v>
      </c>
      <c r="V8" s="309"/>
      <c r="W8" s="309"/>
      <c r="X8" s="309"/>
      <c r="Y8" s="309"/>
      <c r="Z8" s="305"/>
      <c r="AA8" s="305"/>
      <c r="AB8" s="309"/>
      <c r="AC8" s="398"/>
    </row>
    <row r="9" spans="1:29" s="306" customFormat="1" ht="66" x14ac:dyDescent="0.3">
      <c r="A9" s="302"/>
      <c r="B9" s="301" t="s">
        <v>66</v>
      </c>
      <c r="C9" s="301" t="s">
        <v>35</v>
      </c>
      <c r="D9" s="301" t="s">
        <v>36</v>
      </c>
      <c r="E9" s="301">
        <v>7431</v>
      </c>
      <c r="F9" s="302"/>
      <c r="G9" s="303">
        <v>43826</v>
      </c>
      <c r="H9" s="303">
        <v>43831</v>
      </c>
      <c r="I9" s="303">
        <v>44196</v>
      </c>
      <c r="J9" s="302" t="s">
        <v>112</v>
      </c>
      <c r="K9" s="304">
        <v>15996.24</v>
      </c>
      <c r="L9" s="260">
        <f t="shared" si="0"/>
        <v>29000</v>
      </c>
      <c r="M9" s="300">
        <v>14663.22</v>
      </c>
      <c r="N9" s="408" t="s">
        <v>856</v>
      </c>
      <c r="O9" s="397"/>
      <c r="P9" s="268"/>
      <c r="Q9" s="261">
        <v>29000</v>
      </c>
      <c r="R9" s="309"/>
      <c r="S9" s="309"/>
      <c r="T9" s="309"/>
      <c r="U9" s="305"/>
      <c r="V9" s="309"/>
      <c r="W9" s="309"/>
      <c r="X9" s="309"/>
      <c r="Y9" s="309"/>
      <c r="Z9" s="305"/>
      <c r="AA9" s="305"/>
      <c r="AB9" s="309"/>
      <c r="AC9" s="398"/>
    </row>
    <row r="10" spans="1:29" s="105" customFormat="1" ht="39.6" x14ac:dyDescent="0.3">
      <c r="A10" s="178"/>
      <c r="B10" s="182" t="s">
        <v>228</v>
      </c>
      <c r="C10" s="181" t="s">
        <v>85</v>
      </c>
      <c r="D10" s="182" t="s">
        <v>86</v>
      </c>
      <c r="E10" s="181" t="s">
        <v>287</v>
      </c>
      <c r="F10" s="181">
        <v>82</v>
      </c>
      <c r="G10" s="183">
        <v>43839</v>
      </c>
      <c r="H10" s="183">
        <v>43839</v>
      </c>
      <c r="I10" s="104">
        <v>44196</v>
      </c>
      <c r="J10" s="92" t="s">
        <v>112</v>
      </c>
      <c r="K10" s="76">
        <v>1074799.5</v>
      </c>
      <c r="L10" s="87">
        <f t="shared" si="0"/>
        <v>21315</v>
      </c>
      <c r="M10" s="87">
        <v>863639.13</v>
      </c>
      <c r="N10" s="406" t="s">
        <v>853</v>
      </c>
      <c r="O10" s="377">
        <v>11165</v>
      </c>
      <c r="P10" s="167">
        <v>10150</v>
      </c>
      <c r="Q10" s="167"/>
      <c r="R10" s="128"/>
      <c r="S10" s="128"/>
      <c r="T10" s="128"/>
      <c r="U10" s="128"/>
      <c r="V10" s="128"/>
      <c r="W10" s="128"/>
      <c r="X10" s="189"/>
      <c r="Y10" s="189"/>
      <c r="Z10" s="189"/>
      <c r="AA10" s="128"/>
      <c r="AB10" s="128"/>
      <c r="AC10" s="335"/>
    </row>
    <row r="11" spans="1:29" s="306" customFormat="1" x14ac:dyDescent="0.3">
      <c r="A11" s="302"/>
      <c r="B11" s="302" t="s">
        <v>66</v>
      </c>
      <c r="C11" s="301" t="s">
        <v>289</v>
      </c>
      <c r="D11" s="301" t="s">
        <v>356</v>
      </c>
      <c r="E11" s="301" t="s">
        <v>290</v>
      </c>
      <c r="F11" s="301">
        <v>80</v>
      </c>
      <c r="G11" s="307">
        <v>43891</v>
      </c>
      <c r="H11" s="307">
        <v>43891</v>
      </c>
      <c r="I11" s="307">
        <v>44196</v>
      </c>
      <c r="J11" s="308" t="s">
        <v>110</v>
      </c>
      <c r="K11" s="300">
        <v>55000</v>
      </c>
      <c r="L11" s="260">
        <f t="shared" si="0"/>
        <v>215000</v>
      </c>
      <c r="M11" s="305">
        <v>50000</v>
      </c>
      <c r="N11" s="406" t="s">
        <v>844</v>
      </c>
      <c r="O11" s="372"/>
      <c r="P11" s="268"/>
      <c r="Q11" s="261">
        <v>215000</v>
      </c>
      <c r="R11" s="309"/>
      <c r="S11" s="309"/>
      <c r="T11" s="309"/>
      <c r="U11" s="305"/>
      <c r="V11" s="305"/>
      <c r="W11" s="305"/>
      <c r="X11" s="305"/>
      <c r="Y11" s="305"/>
      <c r="Z11" s="305"/>
      <c r="AA11" s="305"/>
      <c r="AB11" s="305"/>
      <c r="AC11" s="398"/>
    </row>
    <row r="12" spans="1:29" s="109" customFormat="1" ht="39.75" customHeight="1" x14ac:dyDescent="0.3">
      <c r="A12" s="106"/>
      <c r="B12" s="41" t="s">
        <v>37</v>
      </c>
      <c r="C12" s="41" t="s">
        <v>55</v>
      </c>
      <c r="D12" s="41" t="s">
        <v>88</v>
      </c>
      <c r="E12" s="41">
        <v>21301047</v>
      </c>
      <c r="F12" s="41">
        <v>101</v>
      </c>
      <c r="G12" s="131">
        <v>43970</v>
      </c>
      <c r="H12" s="107">
        <v>43969</v>
      </c>
      <c r="I12" s="107">
        <v>44333</v>
      </c>
      <c r="J12" s="41" t="s">
        <v>25</v>
      </c>
      <c r="K12" s="110">
        <v>76800</v>
      </c>
      <c r="L12" s="87">
        <f t="shared" si="0"/>
        <v>6400</v>
      </c>
      <c r="M12" s="277">
        <f>SUM(S12,T12,U12,V12,W12,X12,Y12)</f>
        <v>0</v>
      </c>
      <c r="N12" s="406" t="s">
        <v>853</v>
      </c>
      <c r="O12" s="381"/>
      <c r="P12" s="361"/>
      <c r="R12" s="148">
        <v>6400</v>
      </c>
      <c r="S12" s="128"/>
      <c r="T12" s="128"/>
      <c r="U12" s="128"/>
      <c r="V12" s="128"/>
      <c r="W12" s="128"/>
      <c r="X12" s="128"/>
      <c r="Y12" s="128"/>
      <c r="Z12" s="179"/>
      <c r="AA12" s="179"/>
      <c r="AB12" s="108"/>
    </row>
    <row r="13" spans="1:29" ht="48" customHeight="1" x14ac:dyDescent="0.3">
      <c r="A13" s="181"/>
      <c r="B13" s="177" t="s">
        <v>37</v>
      </c>
      <c r="C13" s="177" t="s">
        <v>341</v>
      </c>
      <c r="D13" s="177" t="s">
        <v>344</v>
      </c>
      <c r="E13" s="176" t="s">
        <v>342</v>
      </c>
      <c r="F13" s="181">
        <v>125</v>
      </c>
      <c r="G13" s="133">
        <v>44028</v>
      </c>
      <c r="H13" s="133">
        <v>44028</v>
      </c>
      <c r="I13" s="133">
        <v>44393</v>
      </c>
      <c r="J13" s="40" t="s">
        <v>110</v>
      </c>
      <c r="K13" s="114">
        <v>200000</v>
      </c>
      <c r="L13" s="87">
        <f t="shared" si="0"/>
        <v>43313.710000000006</v>
      </c>
      <c r="M13" s="277">
        <v>46720.77</v>
      </c>
      <c r="N13" s="406" t="s">
        <v>853</v>
      </c>
      <c r="O13" s="381">
        <f>SUM(657.57+9840+455.37)</f>
        <v>10952.94</v>
      </c>
      <c r="P13" s="361">
        <f>SUM(1363.86+9840)</f>
        <v>11203.86</v>
      </c>
      <c r="Q13" s="179">
        <f>SUM(9840+1476.91)</f>
        <v>11316.91</v>
      </c>
      <c r="R13" s="179">
        <f>SUM(9840+0)</f>
        <v>9840</v>
      </c>
      <c r="S13" s="128"/>
      <c r="T13" s="128"/>
      <c r="U13" s="128"/>
      <c r="V13" s="128"/>
      <c r="W13" s="128"/>
      <c r="X13" s="128"/>
      <c r="Y13" s="128"/>
      <c r="Z13" s="184"/>
      <c r="AA13" s="184"/>
      <c r="AB13" s="128"/>
      <c r="AC13" s="335"/>
    </row>
    <row r="14" spans="1:29" s="306" customFormat="1" ht="79.2" x14ac:dyDescent="0.3">
      <c r="A14" s="302"/>
      <c r="B14" s="301" t="s">
        <v>66</v>
      </c>
      <c r="C14" s="301" t="s">
        <v>68</v>
      </c>
      <c r="D14" s="301" t="s">
        <v>67</v>
      </c>
      <c r="E14" s="301" t="s">
        <v>339</v>
      </c>
      <c r="F14" s="302">
        <v>52</v>
      </c>
      <c r="G14" s="303">
        <v>44013</v>
      </c>
      <c r="H14" s="303">
        <v>44013</v>
      </c>
      <c r="I14" s="303">
        <v>44196</v>
      </c>
      <c r="J14" s="302" t="s">
        <v>340</v>
      </c>
      <c r="K14" s="304">
        <v>199800</v>
      </c>
      <c r="L14" s="260">
        <f t="shared" si="0"/>
        <v>333300</v>
      </c>
      <c r="M14" s="300">
        <f t="shared" si="1"/>
        <v>333300</v>
      </c>
      <c r="N14" s="407" t="s">
        <v>844</v>
      </c>
      <c r="O14" s="387"/>
      <c r="P14" s="268"/>
      <c r="Q14" s="261">
        <f>SUM(90000+210000)</f>
        <v>300000</v>
      </c>
      <c r="R14" s="309"/>
      <c r="S14" s="309"/>
      <c r="T14" s="309"/>
      <c r="U14" s="305">
        <v>33300</v>
      </c>
      <c r="V14" s="305"/>
      <c r="W14" s="305"/>
      <c r="X14" s="305"/>
      <c r="Y14" s="305"/>
      <c r="Z14" s="305"/>
      <c r="AA14" s="305"/>
      <c r="AB14" s="309"/>
      <c r="AC14" s="398"/>
    </row>
    <row r="15" spans="1:29" s="71" customFormat="1" ht="48" customHeight="1" x14ac:dyDescent="0.3">
      <c r="A15" s="181"/>
      <c r="B15" s="182" t="s">
        <v>37</v>
      </c>
      <c r="C15" s="177" t="s">
        <v>288</v>
      </c>
      <c r="D15" s="177" t="s">
        <v>346</v>
      </c>
      <c r="E15" s="177" t="s">
        <v>138</v>
      </c>
      <c r="F15" s="178">
        <v>49</v>
      </c>
      <c r="G15" s="133">
        <v>44049</v>
      </c>
      <c r="H15" s="133">
        <v>44044</v>
      </c>
      <c r="I15" s="183">
        <v>44196</v>
      </c>
      <c r="J15" s="40" t="s">
        <v>345</v>
      </c>
      <c r="K15" s="187">
        <v>287852.75</v>
      </c>
      <c r="L15" s="129">
        <f t="shared" ref="L15:L17" si="2">SUM(O15,P15,Q15,R15,S15,T15,U15,V15,W15,X15,Y15)</f>
        <v>0</v>
      </c>
      <c r="M15" s="87">
        <f t="shared" si="1"/>
        <v>0</v>
      </c>
      <c r="N15" s="411" t="s">
        <v>857</v>
      </c>
      <c r="O15" s="383" t="s">
        <v>667</v>
      </c>
      <c r="P15" s="113" t="s">
        <v>700</v>
      </c>
      <c r="Q15" s="113" t="s">
        <v>783</v>
      </c>
      <c r="R15" s="184"/>
      <c r="S15" s="184"/>
      <c r="T15" s="184"/>
      <c r="U15" s="181"/>
      <c r="V15" s="181"/>
      <c r="W15" s="181"/>
      <c r="X15" s="181"/>
      <c r="Y15" s="181"/>
      <c r="Z15" s="181"/>
      <c r="AA15" s="184"/>
      <c r="AB15" s="184"/>
      <c r="AC15" s="335" t="s">
        <v>317</v>
      </c>
    </row>
    <row r="16" spans="1:29" s="306" customFormat="1" ht="92.4" x14ac:dyDescent="0.3">
      <c r="A16" s="302"/>
      <c r="B16" s="301" t="s">
        <v>66</v>
      </c>
      <c r="C16" s="301" t="s">
        <v>363</v>
      </c>
      <c r="D16" s="301" t="s">
        <v>364</v>
      </c>
      <c r="E16" s="301" t="s">
        <v>365</v>
      </c>
      <c r="F16" s="302">
        <v>191</v>
      </c>
      <c r="G16" s="303">
        <v>44105</v>
      </c>
      <c r="H16" s="303">
        <v>44105</v>
      </c>
      <c r="I16" s="303">
        <v>44196</v>
      </c>
      <c r="J16" s="302" t="s">
        <v>366</v>
      </c>
      <c r="K16" s="304">
        <v>40089</v>
      </c>
      <c r="L16" s="241">
        <f t="shared" si="2"/>
        <v>2773.68</v>
      </c>
      <c r="M16" s="300">
        <v>26726</v>
      </c>
      <c r="N16" s="407" t="s">
        <v>845</v>
      </c>
      <c r="O16" s="387">
        <v>1386.84</v>
      </c>
      <c r="P16" s="268">
        <v>1386.84</v>
      </c>
      <c r="Q16" s="113" t="s">
        <v>788</v>
      </c>
      <c r="R16" s="309"/>
      <c r="S16" s="309"/>
      <c r="T16" s="309"/>
      <c r="U16" s="305"/>
      <c r="V16" s="305"/>
      <c r="W16" s="305"/>
      <c r="X16" s="305"/>
      <c r="Y16" s="305"/>
      <c r="Z16" s="305"/>
      <c r="AA16" s="305"/>
      <c r="AB16" s="309"/>
      <c r="AC16" s="398"/>
    </row>
    <row r="17" spans="1:29" s="287" customFormat="1" ht="66" x14ac:dyDescent="0.3">
      <c r="A17" s="178"/>
      <c r="B17" s="178" t="s">
        <v>37</v>
      </c>
      <c r="C17" s="92" t="s">
        <v>35</v>
      </c>
      <c r="D17" s="177" t="s">
        <v>666</v>
      </c>
      <c r="E17" s="178">
        <v>7431</v>
      </c>
      <c r="F17" s="188"/>
      <c r="G17" s="188">
        <v>44117</v>
      </c>
      <c r="H17" s="188">
        <v>44197</v>
      </c>
      <c r="I17" s="104">
        <v>44561</v>
      </c>
      <c r="J17" s="92" t="s">
        <v>112</v>
      </c>
      <c r="K17" s="129">
        <v>16642.080000000002</v>
      </c>
      <c r="L17" s="129">
        <f t="shared" si="2"/>
        <v>19309.800000000003</v>
      </c>
      <c r="M17" s="129"/>
      <c r="N17" s="408" t="s">
        <v>856</v>
      </c>
      <c r="O17" s="380">
        <v>6436.6</v>
      </c>
      <c r="P17" s="128">
        <v>6436.6</v>
      </c>
      <c r="Q17" s="128">
        <v>6436.6</v>
      </c>
      <c r="R17" s="128"/>
      <c r="S17" s="128"/>
      <c r="T17" s="128"/>
      <c r="U17" s="128"/>
      <c r="V17" s="128"/>
      <c r="W17" s="128"/>
      <c r="X17" s="128"/>
      <c r="Y17" s="128"/>
      <c r="Z17" s="128"/>
      <c r="AA17" s="128"/>
      <c r="AB17" s="128"/>
      <c r="AC17" s="399"/>
    </row>
    <row r="18" spans="1:29" s="71" customFormat="1" ht="92.4" x14ac:dyDescent="0.3">
      <c r="A18" s="181"/>
      <c r="B18" s="182" t="s">
        <v>37</v>
      </c>
      <c r="C18" s="176" t="s">
        <v>61</v>
      </c>
      <c r="D18" s="176" t="s">
        <v>62</v>
      </c>
      <c r="E18" s="177" t="s">
        <v>60</v>
      </c>
      <c r="F18" s="178">
        <v>237</v>
      </c>
      <c r="G18" s="133">
        <v>44147</v>
      </c>
      <c r="H18" s="143">
        <v>44197</v>
      </c>
      <c r="I18" s="143">
        <v>44561</v>
      </c>
      <c r="J18" s="40" t="s">
        <v>25</v>
      </c>
      <c r="K18" s="130">
        <v>91955.76</v>
      </c>
      <c r="L18" s="129">
        <f>SUM(O18,P18,Q18,R18,S18,T18,U18,V18,W18,X18,Y18)</f>
        <v>30651.919999999998</v>
      </c>
      <c r="M18" s="277">
        <v>0</v>
      </c>
      <c r="N18" s="406" t="s">
        <v>853</v>
      </c>
      <c r="O18" s="384">
        <v>7662.98</v>
      </c>
      <c r="P18" s="189">
        <v>7662.98</v>
      </c>
      <c r="Q18" s="189">
        <v>7662.98</v>
      </c>
      <c r="R18" s="179">
        <v>7662.98</v>
      </c>
      <c r="S18" s="184"/>
      <c r="T18" s="184"/>
      <c r="U18" s="184"/>
      <c r="V18" s="32"/>
      <c r="W18" s="32"/>
      <c r="X18" s="184"/>
      <c r="Y18" s="184"/>
      <c r="Z18" s="184"/>
      <c r="AA18" s="184"/>
      <c r="AB18" s="184"/>
      <c r="AC18" s="335"/>
    </row>
    <row r="19" spans="1:29" s="71" customFormat="1" ht="39.6" x14ac:dyDescent="0.3">
      <c r="A19" s="181" t="s">
        <v>687</v>
      </c>
      <c r="B19" s="182" t="s">
        <v>37</v>
      </c>
      <c r="C19" s="41" t="s">
        <v>64</v>
      </c>
      <c r="D19" s="41" t="s">
        <v>65</v>
      </c>
      <c r="E19" s="132" t="s">
        <v>429</v>
      </c>
      <c r="F19" s="178">
        <v>296</v>
      </c>
      <c r="G19" s="133">
        <v>44160</v>
      </c>
      <c r="H19" s="143">
        <v>44197</v>
      </c>
      <c r="I19" s="143">
        <v>44561</v>
      </c>
      <c r="J19" s="40" t="s">
        <v>25</v>
      </c>
      <c r="K19" s="129">
        <v>77239.199999999997</v>
      </c>
      <c r="L19" s="129">
        <f>SUM(O19,P19,Q19,Q19,R19,S19,T19,U19,V19,W19,X19,Y19)</f>
        <v>12873.2</v>
      </c>
      <c r="M19" s="277"/>
      <c r="N19" s="406" t="s">
        <v>853</v>
      </c>
      <c r="O19" s="385"/>
      <c r="P19" s="167"/>
      <c r="Q19" s="30">
        <v>6436.6</v>
      </c>
      <c r="R19" s="113" t="s">
        <v>861</v>
      </c>
      <c r="S19" s="184"/>
      <c r="T19" s="184"/>
      <c r="U19" s="184"/>
      <c r="V19" s="32"/>
      <c r="W19" s="32"/>
      <c r="X19" s="184"/>
      <c r="Y19" s="184"/>
      <c r="Z19" s="184"/>
      <c r="AA19" s="184"/>
      <c r="AB19" s="184"/>
      <c r="AC19" s="335"/>
    </row>
    <row r="20" spans="1:29" s="126" customFormat="1" ht="56.25" customHeight="1" x14ac:dyDescent="0.3">
      <c r="A20" s="178"/>
      <c r="B20" s="177" t="s">
        <v>37</v>
      </c>
      <c r="C20" s="177" t="s">
        <v>471</v>
      </c>
      <c r="D20" s="177" t="s">
        <v>468</v>
      </c>
      <c r="E20" s="176" t="s">
        <v>472</v>
      </c>
      <c r="F20" s="178">
        <v>344</v>
      </c>
      <c r="G20" s="133">
        <v>44166</v>
      </c>
      <c r="H20" s="133">
        <v>44166</v>
      </c>
      <c r="I20" s="133">
        <v>44561</v>
      </c>
      <c r="J20" s="40" t="s">
        <v>50</v>
      </c>
      <c r="K20" s="130">
        <v>202800</v>
      </c>
      <c r="L20" s="129">
        <f>SUM(O20,P20,Q20,R20,S20,T20,U20,V20,W20,X20,Y20,AA20)</f>
        <v>46800</v>
      </c>
      <c r="M20" s="277"/>
      <c r="N20" s="406" t="s">
        <v>853</v>
      </c>
      <c r="O20" s="386">
        <v>15600</v>
      </c>
      <c r="P20" s="30">
        <v>15600</v>
      </c>
      <c r="Q20" s="30">
        <v>15600</v>
      </c>
      <c r="R20" s="128"/>
      <c r="S20" s="128"/>
      <c r="T20" s="128"/>
      <c r="U20" s="128"/>
      <c r="V20" s="32"/>
      <c r="W20" s="32"/>
      <c r="X20" s="128"/>
      <c r="Y20" s="32"/>
      <c r="Z20" s="128"/>
      <c r="AA20" s="128"/>
      <c r="AB20" s="128"/>
      <c r="AC20" s="399"/>
    </row>
    <row r="21" spans="1:29" ht="39.6" x14ac:dyDescent="0.3">
      <c r="A21" s="181"/>
      <c r="B21" s="177" t="s">
        <v>37</v>
      </c>
      <c r="C21" s="181" t="s">
        <v>265</v>
      </c>
      <c r="D21" s="177" t="s">
        <v>333</v>
      </c>
      <c r="E21" s="145" t="s">
        <v>481</v>
      </c>
      <c r="F21" s="178">
        <v>347</v>
      </c>
      <c r="G21" s="183">
        <v>44183</v>
      </c>
      <c r="H21" s="183">
        <v>44183</v>
      </c>
      <c r="I21" s="410" t="s">
        <v>744</v>
      </c>
      <c r="J21" s="181" t="s">
        <v>336</v>
      </c>
      <c r="K21" s="76">
        <v>332208.2</v>
      </c>
      <c r="L21" s="129">
        <f>SUM(O21,P21,Q21,R21,S21,T21,U21,V21,W21,X21,Y21,AA21)</f>
        <v>0</v>
      </c>
      <c r="M21" s="87">
        <f t="shared" si="1"/>
        <v>0</v>
      </c>
      <c r="N21" s="407" t="s">
        <v>854</v>
      </c>
      <c r="O21" s="184"/>
      <c r="P21" s="184"/>
      <c r="Q21" s="184"/>
      <c r="R21" s="184"/>
      <c r="S21" s="184"/>
      <c r="T21" s="184"/>
      <c r="U21" s="184"/>
      <c r="V21" s="184"/>
      <c r="W21" s="184"/>
      <c r="X21" s="184"/>
      <c r="Y21" s="184"/>
      <c r="Z21" s="179"/>
      <c r="AA21" s="184"/>
      <c r="AB21" s="184"/>
      <c r="AC21" s="335"/>
    </row>
    <row r="22" spans="1:29" s="210" customFormat="1" ht="39.6" x14ac:dyDescent="0.3">
      <c r="A22" s="209"/>
      <c r="B22" s="209" t="s">
        <v>66</v>
      </c>
      <c r="C22" s="209" t="s">
        <v>489</v>
      </c>
      <c r="D22" s="208" t="s">
        <v>488</v>
      </c>
      <c r="E22" s="239" t="s">
        <v>490</v>
      </c>
      <c r="F22" s="209">
        <v>393</v>
      </c>
      <c r="G22" s="240">
        <v>44186</v>
      </c>
      <c r="H22" s="240">
        <v>44186</v>
      </c>
      <c r="I22" s="410" t="s">
        <v>744</v>
      </c>
      <c r="J22" s="209" t="s">
        <v>491</v>
      </c>
      <c r="K22" s="241">
        <v>54000</v>
      </c>
      <c r="L22" s="241">
        <f t="shared" ref="L22:L73" si="3">SUM(O22,P22,Q22,R22,S22,T22,U22,V22,W22,X22,Y22,AA22)</f>
        <v>0</v>
      </c>
      <c r="M22" s="270">
        <f t="shared" si="1"/>
        <v>0</v>
      </c>
      <c r="N22" s="409" t="s">
        <v>849</v>
      </c>
      <c r="O22" s="400"/>
      <c r="P22" s="309"/>
      <c r="Q22" s="309"/>
      <c r="R22" s="268"/>
      <c r="S22" s="268"/>
      <c r="T22" s="268"/>
      <c r="U22" s="268"/>
      <c r="V22" s="268"/>
      <c r="W22" s="268"/>
      <c r="X22" s="268"/>
      <c r="Y22" s="268"/>
      <c r="Z22" s="269"/>
      <c r="AA22" s="268"/>
      <c r="AB22" s="268"/>
      <c r="AC22" s="372"/>
    </row>
    <row r="23" spans="1:29" s="210" customFormat="1" x14ac:dyDescent="0.3">
      <c r="A23" s="209"/>
      <c r="B23" s="209" t="s">
        <v>66</v>
      </c>
      <c r="C23" s="209" t="s">
        <v>448</v>
      </c>
      <c r="D23" s="208" t="s">
        <v>492</v>
      </c>
      <c r="E23" s="239" t="s">
        <v>509</v>
      </c>
      <c r="F23" s="209">
        <v>395</v>
      </c>
      <c r="G23" s="240">
        <v>44188</v>
      </c>
      <c r="H23" s="240">
        <v>44188</v>
      </c>
      <c r="I23" s="410" t="s">
        <v>744</v>
      </c>
      <c r="J23" s="209" t="s">
        <v>493</v>
      </c>
      <c r="K23" s="241">
        <v>313695</v>
      </c>
      <c r="L23" s="241">
        <f t="shared" si="3"/>
        <v>0</v>
      </c>
      <c r="M23" s="270">
        <v>0</v>
      </c>
      <c r="N23" s="409" t="s">
        <v>849</v>
      </c>
      <c r="O23" s="400"/>
      <c r="P23" s="305"/>
      <c r="Q23" s="309"/>
      <c r="R23" s="268"/>
      <c r="S23" s="268"/>
      <c r="T23" s="268"/>
      <c r="U23" s="268"/>
      <c r="V23" s="268"/>
      <c r="W23" s="268"/>
      <c r="X23" s="268"/>
      <c r="Y23" s="268"/>
      <c r="Z23" s="269"/>
      <c r="AA23" s="268"/>
      <c r="AB23" s="268"/>
      <c r="AC23" s="372"/>
    </row>
    <row r="24" spans="1:29" s="210" customFormat="1" ht="39.6" x14ac:dyDescent="0.3">
      <c r="A24" s="209"/>
      <c r="B24" s="209" t="s">
        <v>66</v>
      </c>
      <c r="C24" s="208" t="s">
        <v>507</v>
      </c>
      <c r="D24" s="208" t="s">
        <v>508</v>
      </c>
      <c r="E24" s="208" t="s">
        <v>511</v>
      </c>
      <c r="F24" s="209">
        <v>394</v>
      </c>
      <c r="G24" s="240">
        <v>44194</v>
      </c>
      <c r="H24" s="240">
        <v>44194</v>
      </c>
      <c r="I24" s="410" t="s">
        <v>744</v>
      </c>
      <c r="J24" s="267" t="s">
        <v>50</v>
      </c>
      <c r="K24" s="241">
        <v>105766</v>
      </c>
      <c r="L24" s="241">
        <f t="shared" si="3"/>
        <v>0</v>
      </c>
      <c r="M24" s="270">
        <f t="shared" si="1"/>
        <v>0</v>
      </c>
      <c r="N24" s="409" t="s">
        <v>849</v>
      </c>
      <c r="O24" s="379"/>
      <c r="P24" s="305"/>
      <c r="Q24" s="309"/>
      <c r="R24" s="268"/>
      <c r="S24" s="268"/>
      <c r="T24" s="268"/>
      <c r="U24" s="268"/>
      <c r="V24" s="268"/>
      <c r="W24" s="268"/>
      <c r="X24" s="268"/>
      <c r="Y24" s="268"/>
      <c r="Z24" s="269"/>
      <c r="AA24" s="268"/>
      <c r="AB24" s="268"/>
      <c r="AC24" s="372"/>
    </row>
    <row r="25" spans="1:29" s="126" customFormat="1" ht="92.4" x14ac:dyDescent="0.3">
      <c r="A25" s="178"/>
      <c r="B25" s="181" t="s">
        <v>37</v>
      </c>
      <c r="C25" s="177" t="s">
        <v>520</v>
      </c>
      <c r="D25" s="177" t="s">
        <v>451</v>
      </c>
      <c r="E25" s="177" t="s">
        <v>510</v>
      </c>
      <c r="F25" s="178">
        <v>396</v>
      </c>
      <c r="G25" s="133">
        <v>44189</v>
      </c>
      <c r="H25" s="133">
        <v>44189</v>
      </c>
      <c r="I25" s="410" t="s">
        <v>744</v>
      </c>
      <c r="J25" s="40" t="s">
        <v>336</v>
      </c>
      <c r="K25" s="130">
        <v>162073.5</v>
      </c>
      <c r="L25" s="129">
        <f t="shared" si="3"/>
        <v>0</v>
      </c>
      <c r="M25" s="87">
        <f t="shared" si="1"/>
        <v>0</v>
      </c>
      <c r="N25" s="407" t="s">
        <v>854</v>
      </c>
      <c r="O25" s="382"/>
      <c r="P25" s="184"/>
      <c r="Q25" s="184"/>
      <c r="R25" s="128"/>
      <c r="S25" s="128"/>
      <c r="T25" s="128"/>
      <c r="U25" s="128"/>
      <c r="V25" s="128"/>
      <c r="W25" s="128"/>
      <c r="X25" s="128"/>
      <c r="Y25" s="128"/>
      <c r="Z25" s="128"/>
      <c r="AA25" s="128"/>
      <c r="AB25" s="128"/>
      <c r="AC25" s="399"/>
    </row>
    <row r="26" spans="1:29" ht="52.8" x14ac:dyDescent="0.3">
      <c r="A26" s="181"/>
      <c r="B26" s="181" t="s">
        <v>37</v>
      </c>
      <c r="C26" s="177" t="s">
        <v>331</v>
      </c>
      <c r="D26" s="177" t="s">
        <v>512</v>
      </c>
      <c r="E26" s="176" t="s">
        <v>518</v>
      </c>
      <c r="F26" s="181">
        <v>397</v>
      </c>
      <c r="G26" s="183">
        <v>44193</v>
      </c>
      <c r="H26" s="183">
        <v>44193</v>
      </c>
      <c r="I26" s="177" t="s">
        <v>513</v>
      </c>
      <c r="J26" s="40" t="s">
        <v>49</v>
      </c>
      <c r="K26" s="76">
        <v>369104.39</v>
      </c>
      <c r="L26" s="129">
        <f t="shared" si="3"/>
        <v>13363</v>
      </c>
      <c r="M26" s="87">
        <f t="shared" si="1"/>
        <v>0</v>
      </c>
      <c r="N26" s="406" t="s">
        <v>853</v>
      </c>
      <c r="O26" s="380">
        <v>13363</v>
      </c>
      <c r="P26" s="413"/>
      <c r="Q26" s="413"/>
      <c r="R26" s="184"/>
      <c r="S26" s="184"/>
      <c r="T26" s="184"/>
      <c r="U26" s="184"/>
      <c r="V26" s="184"/>
      <c r="W26" s="184"/>
      <c r="X26" s="184"/>
      <c r="Y26" s="184"/>
      <c r="Z26" s="184"/>
      <c r="AA26" s="184"/>
      <c r="AB26" s="184"/>
      <c r="AC26" s="335"/>
    </row>
    <row r="27" spans="1:29" s="210" customFormat="1" ht="26.4" x14ac:dyDescent="0.3">
      <c r="A27" s="209"/>
      <c r="B27" s="209" t="s">
        <v>66</v>
      </c>
      <c r="C27" s="208" t="s">
        <v>514</v>
      </c>
      <c r="D27" s="208" t="s">
        <v>515</v>
      </c>
      <c r="E27" s="208" t="s">
        <v>516</v>
      </c>
      <c r="F27" s="209">
        <v>380</v>
      </c>
      <c r="G27" s="240">
        <v>44190</v>
      </c>
      <c r="H27" s="298">
        <v>44197</v>
      </c>
      <c r="I27" s="410">
        <v>44227</v>
      </c>
      <c r="J27" s="267" t="s">
        <v>116</v>
      </c>
      <c r="K27" s="241">
        <v>98239.34</v>
      </c>
      <c r="L27" s="241">
        <f t="shared" si="3"/>
        <v>31200</v>
      </c>
      <c r="M27" s="270">
        <f t="shared" si="1"/>
        <v>0</v>
      </c>
      <c r="N27" s="406" t="s">
        <v>853</v>
      </c>
      <c r="O27" s="387">
        <v>15600</v>
      </c>
      <c r="P27" s="328">
        <v>15600</v>
      </c>
      <c r="Q27" s="268"/>
      <c r="R27" s="268"/>
      <c r="S27" s="268"/>
      <c r="T27" s="268"/>
      <c r="U27" s="268"/>
      <c r="V27" s="268"/>
      <c r="W27" s="268"/>
      <c r="X27" s="268"/>
      <c r="Y27" s="268"/>
      <c r="Z27" s="269"/>
      <c r="AA27" s="268"/>
      <c r="AB27" s="268"/>
      <c r="AC27" s="372"/>
    </row>
    <row r="28" spans="1:29" ht="39.6" x14ac:dyDescent="0.3">
      <c r="A28" s="181"/>
      <c r="B28" s="181" t="s">
        <v>37</v>
      </c>
      <c r="C28" s="177" t="s">
        <v>521</v>
      </c>
      <c r="D28" s="177" t="s">
        <v>519</v>
      </c>
      <c r="E28" s="176" t="s">
        <v>531</v>
      </c>
      <c r="F28" s="145"/>
      <c r="G28" s="194">
        <v>44193</v>
      </c>
      <c r="H28" s="183">
        <v>44193</v>
      </c>
      <c r="I28" s="181" t="s">
        <v>532</v>
      </c>
      <c r="J28" s="181" t="s">
        <v>50</v>
      </c>
      <c r="K28" s="76">
        <v>170150</v>
      </c>
      <c r="L28" s="129">
        <f t="shared" si="3"/>
        <v>0</v>
      </c>
      <c r="M28" s="87">
        <f t="shared" si="1"/>
        <v>0</v>
      </c>
      <c r="N28" s="406" t="s">
        <v>860</v>
      </c>
      <c r="O28" s="184"/>
      <c r="P28" s="184"/>
      <c r="Q28" s="184"/>
      <c r="R28" s="184"/>
      <c r="S28" s="184"/>
      <c r="T28" s="184"/>
      <c r="U28" s="184"/>
      <c r="V28" s="184"/>
      <c r="W28" s="184"/>
      <c r="X28" s="184"/>
      <c r="Y28" s="184"/>
      <c r="Z28" s="184"/>
      <c r="AA28" s="184"/>
      <c r="AB28" s="184"/>
      <c r="AC28" s="335"/>
    </row>
    <row r="29" spans="1:29" s="210" customFormat="1" ht="52.8" x14ac:dyDescent="0.3">
      <c r="A29" s="209"/>
      <c r="B29" s="209" t="s">
        <v>66</v>
      </c>
      <c r="C29" s="209"/>
      <c r="D29" s="208" t="s">
        <v>723</v>
      </c>
      <c r="E29" s="208" t="s">
        <v>724</v>
      </c>
      <c r="F29" s="209"/>
      <c r="G29" s="298">
        <v>44194</v>
      </c>
      <c r="H29" s="267" t="s">
        <v>111</v>
      </c>
      <c r="I29" s="267" t="s">
        <v>111</v>
      </c>
      <c r="J29" s="209" t="s">
        <v>336</v>
      </c>
      <c r="K29" s="241">
        <v>9600</v>
      </c>
      <c r="L29" s="241">
        <f t="shared" si="3"/>
        <v>54000</v>
      </c>
      <c r="M29" s="270"/>
      <c r="N29" s="408" t="s">
        <v>850</v>
      </c>
      <c r="O29" s="387">
        <v>54000</v>
      </c>
      <c r="P29" s="268"/>
      <c r="Q29" s="268"/>
      <c r="R29" s="268"/>
      <c r="S29" s="268"/>
      <c r="T29" s="268"/>
      <c r="U29" s="268"/>
      <c r="V29" s="268"/>
      <c r="W29" s="268"/>
      <c r="X29" s="268"/>
      <c r="Y29" s="268"/>
      <c r="Z29" s="268"/>
      <c r="AA29" s="268"/>
      <c r="AB29" s="268"/>
      <c r="AC29" s="372"/>
    </row>
    <row r="30" spans="1:29" s="210" customFormat="1" ht="41.25" customHeight="1" x14ac:dyDescent="0.3">
      <c r="A30" s="209"/>
      <c r="B30" s="209" t="s">
        <v>66</v>
      </c>
      <c r="C30" s="209" t="s">
        <v>628</v>
      </c>
      <c r="D30" s="208" t="s">
        <v>526</v>
      </c>
      <c r="E30" s="208" t="s">
        <v>831</v>
      </c>
      <c r="F30" s="209"/>
      <c r="G30" s="240">
        <v>44208</v>
      </c>
      <c r="H30" s="267" t="s">
        <v>111</v>
      </c>
      <c r="I30" s="267" t="s">
        <v>111</v>
      </c>
      <c r="J30" s="209" t="s">
        <v>348</v>
      </c>
      <c r="K30" s="241">
        <v>15000</v>
      </c>
      <c r="L30" s="241">
        <f t="shared" si="3"/>
        <v>313695</v>
      </c>
      <c r="M30" s="270">
        <f t="shared" si="1"/>
        <v>0</v>
      </c>
      <c r="N30" s="408" t="s">
        <v>855</v>
      </c>
      <c r="O30" s="387">
        <v>313695</v>
      </c>
      <c r="P30" s="268"/>
      <c r="Q30" s="268"/>
      <c r="R30" s="268"/>
      <c r="S30" s="268"/>
      <c r="T30" s="268"/>
      <c r="U30" s="268"/>
      <c r="V30" s="268"/>
      <c r="W30" s="268"/>
      <c r="X30" s="268"/>
      <c r="Y30" s="268"/>
      <c r="Z30" s="268"/>
      <c r="AA30" s="268"/>
      <c r="AB30" s="268"/>
      <c r="AC30" s="372"/>
    </row>
    <row r="31" spans="1:29" s="210" customFormat="1" ht="52.8" x14ac:dyDescent="0.3">
      <c r="A31" s="209"/>
      <c r="B31" s="209" t="s">
        <v>66</v>
      </c>
      <c r="C31" s="209"/>
      <c r="D31" s="281" t="s">
        <v>629</v>
      </c>
      <c r="E31" s="281" t="s">
        <v>630</v>
      </c>
      <c r="F31" s="267"/>
      <c r="G31" s="267" t="s">
        <v>111</v>
      </c>
      <c r="H31" s="267" t="s">
        <v>111</v>
      </c>
      <c r="I31" s="267"/>
      <c r="J31" s="267" t="s">
        <v>631</v>
      </c>
      <c r="K31" s="282">
        <v>10000</v>
      </c>
      <c r="L31" s="241">
        <f t="shared" si="3"/>
        <v>105766</v>
      </c>
      <c r="M31" s="283"/>
      <c r="N31" s="408" t="s">
        <v>850</v>
      </c>
      <c r="O31" s="387">
        <v>105766</v>
      </c>
      <c r="P31" s="268"/>
      <c r="Q31" s="268"/>
      <c r="R31" s="268"/>
      <c r="S31" s="268"/>
      <c r="T31" s="268"/>
      <c r="U31" s="268"/>
      <c r="V31" s="268"/>
      <c r="W31" s="268"/>
      <c r="X31" s="268"/>
      <c r="Y31" s="268"/>
      <c r="Z31" s="268"/>
      <c r="AA31" s="268"/>
      <c r="AB31" s="268"/>
      <c r="AC31" s="372"/>
    </row>
    <row r="32" spans="1:29" s="210" customFormat="1" ht="26.4" x14ac:dyDescent="0.3">
      <c r="A32" s="209"/>
      <c r="B32" s="209" t="s">
        <v>66</v>
      </c>
      <c r="C32" s="209"/>
      <c r="D32" s="281" t="s">
        <v>673</v>
      </c>
      <c r="E32" s="281" t="s">
        <v>674</v>
      </c>
      <c r="F32" s="267"/>
      <c r="G32" s="267" t="s">
        <v>111</v>
      </c>
      <c r="H32" s="267" t="s">
        <v>111</v>
      </c>
      <c r="I32" s="267" t="s">
        <v>111</v>
      </c>
      <c r="J32" s="267" t="s">
        <v>336</v>
      </c>
      <c r="K32" s="282">
        <v>2117</v>
      </c>
      <c r="L32" s="241">
        <f t="shared" si="3"/>
        <v>0</v>
      </c>
      <c r="M32" s="283"/>
      <c r="N32" s="409" t="s">
        <v>849</v>
      </c>
      <c r="O32" s="268"/>
      <c r="P32" s="268"/>
      <c r="Q32" s="268"/>
      <c r="R32" s="268"/>
      <c r="S32" s="268"/>
      <c r="T32" s="268"/>
      <c r="U32" s="268"/>
      <c r="V32" s="268"/>
      <c r="W32" s="268"/>
      <c r="X32" s="268"/>
      <c r="Y32" s="268"/>
      <c r="Z32" s="268"/>
      <c r="AA32" s="268"/>
      <c r="AB32" s="268"/>
      <c r="AC32" s="372"/>
    </row>
    <row r="33" spans="1:29" s="210" customFormat="1" ht="52.8" x14ac:dyDescent="0.3">
      <c r="A33" s="209"/>
      <c r="B33" s="209" t="s">
        <v>66</v>
      </c>
      <c r="C33" s="209"/>
      <c r="D33" s="281" t="s">
        <v>670</v>
      </c>
      <c r="E33" s="281" t="s">
        <v>671</v>
      </c>
      <c r="F33" s="267"/>
      <c r="G33" s="267" t="s">
        <v>111</v>
      </c>
      <c r="H33" s="267" t="s">
        <v>111</v>
      </c>
      <c r="I33" s="267" t="s">
        <v>111</v>
      </c>
      <c r="J33" s="267" t="s">
        <v>336</v>
      </c>
      <c r="K33" s="282">
        <v>1700</v>
      </c>
      <c r="L33" s="241">
        <f t="shared" si="3"/>
        <v>98239.34</v>
      </c>
      <c r="M33" s="283"/>
      <c r="N33" s="408" t="s">
        <v>850</v>
      </c>
      <c r="O33" s="387"/>
      <c r="P33" s="268">
        <v>98239.34</v>
      </c>
      <c r="Q33" s="268"/>
      <c r="R33" s="268"/>
      <c r="S33" s="268"/>
      <c r="T33" s="268"/>
      <c r="U33" s="268"/>
      <c r="V33" s="268"/>
      <c r="W33" s="268"/>
      <c r="X33" s="268"/>
      <c r="Y33" s="268"/>
      <c r="Z33" s="268"/>
      <c r="AA33" s="268"/>
      <c r="AB33" s="268"/>
      <c r="AC33" s="372"/>
    </row>
    <row r="34" spans="1:29" s="210" customFormat="1" ht="52.8" x14ac:dyDescent="0.3">
      <c r="A34" s="209"/>
      <c r="B34" s="209" t="s">
        <v>66</v>
      </c>
      <c r="C34" s="209"/>
      <c r="D34" s="281" t="s">
        <v>676</v>
      </c>
      <c r="E34" s="281" t="s">
        <v>659</v>
      </c>
      <c r="F34" s="267"/>
      <c r="G34" s="267" t="s">
        <v>111</v>
      </c>
      <c r="H34" s="267" t="s">
        <v>111</v>
      </c>
      <c r="I34" s="267" t="s">
        <v>111</v>
      </c>
      <c r="J34" s="267" t="s">
        <v>639</v>
      </c>
      <c r="K34" s="282">
        <v>2850</v>
      </c>
      <c r="L34" s="241">
        <f t="shared" si="3"/>
        <v>0</v>
      </c>
      <c r="M34" s="283"/>
      <c r="N34" s="409" t="s">
        <v>849</v>
      </c>
      <c r="O34" s="383" t="s">
        <v>660</v>
      </c>
      <c r="P34" s="268"/>
      <c r="Q34" s="268"/>
      <c r="R34" s="268"/>
      <c r="S34" s="268"/>
      <c r="T34" s="268"/>
      <c r="U34" s="268"/>
      <c r="V34" s="268"/>
      <c r="W34" s="268"/>
      <c r="X34" s="268"/>
      <c r="Y34" s="268"/>
      <c r="Z34" s="268"/>
      <c r="AA34" s="268"/>
      <c r="AB34" s="268"/>
      <c r="AC34" s="372"/>
    </row>
    <row r="35" spans="1:29" s="210" customFormat="1" ht="52.8" x14ac:dyDescent="0.3">
      <c r="A35" s="209"/>
      <c r="B35" s="209" t="s">
        <v>66</v>
      </c>
      <c r="C35" s="208" t="s">
        <v>675</v>
      </c>
      <c r="D35" s="281" t="s">
        <v>638</v>
      </c>
      <c r="E35" s="281" t="s">
        <v>659</v>
      </c>
      <c r="F35" s="267"/>
      <c r="G35" s="267" t="s">
        <v>111</v>
      </c>
      <c r="H35" s="267" t="s">
        <v>111</v>
      </c>
      <c r="I35" s="267" t="s">
        <v>111</v>
      </c>
      <c r="J35" s="267" t="s">
        <v>639</v>
      </c>
      <c r="K35" s="282">
        <v>14700</v>
      </c>
      <c r="L35" s="241">
        <f t="shared" si="3"/>
        <v>9600</v>
      </c>
      <c r="M35" s="283"/>
      <c r="N35" s="408" t="s">
        <v>852</v>
      </c>
      <c r="O35" s="388"/>
      <c r="P35" s="268">
        <v>9600</v>
      </c>
      <c r="Q35" s="268"/>
      <c r="R35" s="268"/>
      <c r="S35" s="268"/>
      <c r="T35" s="268"/>
      <c r="U35" s="268"/>
      <c r="V35" s="268"/>
      <c r="W35" s="268"/>
      <c r="X35" s="268"/>
      <c r="Y35" s="268"/>
      <c r="Z35" s="268"/>
      <c r="AA35" s="268"/>
      <c r="AB35" s="268"/>
      <c r="AC35" s="372"/>
    </row>
    <row r="36" spans="1:29" s="210" customFormat="1" ht="52.8" x14ac:dyDescent="0.3">
      <c r="A36" s="286"/>
      <c r="B36" s="209" t="s">
        <v>66</v>
      </c>
      <c r="C36" s="209"/>
      <c r="D36" s="281" t="s">
        <v>670</v>
      </c>
      <c r="E36" s="281" t="s">
        <v>672</v>
      </c>
      <c r="F36" s="267"/>
      <c r="G36" s="267" t="s">
        <v>111</v>
      </c>
      <c r="H36" s="267" t="s">
        <v>111</v>
      </c>
      <c r="I36" s="267" t="s">
        <v>111</v>
      </c>
      <c r="J36" s="267" t="s">
        <v>336</v>
      </c>
      <c r="K36" s="282">
        <v>1960</v>
      </c>
      <c r="L36" s="241">
        <f t="shared" si="3"/>
        <v>15000</v>
      </c>
      <c r="M36" s="283"/>
      <c r="N36" s="408" t="s">
        <v>850</v>
      </c>
      <c r="O36" s="388">
        <v>15000</v>
      </c>
      <c r="P36" s="268"/>
      <c r="Q36" s="268"/>
      <c r="R36" s="268"/>
      <c r="S36" s="268"/>
      <c r="T36" s="268"/>
      <c r="U36" s="268"/>
      <c r="V36" s="268"/>
      <c r="W36" s="268"/>
      <c r="X36" s="268"/>
      <c r="Y36" s="268"/>
      <c r="Z36" s="268"/>
      <c r="AA36" s="268"/>
      <c r="AB36" s="268"/>
      <c r="AC36" s="372"/>
    </row>
    <row r="37" spans="1:29" s="210" customFormat="1" ht="66" x14ac:dyDescent="0.3">
      <c r="A37" s="209"/>
      <c r="B37" s="209" t="s">
        <v>66</v>
      </c>
      <c r="C37" s="208" t="s">
        <v>663</v>
      </c>
      <c r="D37" s="281" t="s">
        <v>664</v>
      </c>
      <c r="E37" s="281" t="s">
        <v>665</v>
      </c>
      <c r="F37" s="267"/>
      <c r="G37" s="297">
        <v>44229</v>
      </c>
      <c r="H37" s="297">
        <v>44229</v>
      </c>
      <c r="I37" s="267" t="s">
        <v>111</v>
      </c>
      <c r="J37" s="267" t="s">
        <v>336</v>
      </c>
      <c r="K37" s="282">
        <v>11700</v>
      </c>
      <c r="L37" s="241">
        <f t="shared" si="3"/>
        <v>10000</v>
      </c>
      <c r="M37" s="283"/>
      <c r="N37" s="408" t="s">
        <v>851</v>
      </c>
      <c r="O37" s="388">
        <v>10000</v>
      </c>
      <c r="P37" s="268"/>
      <c r="Q37" s="268"/>
      <c r="R37" s="268"/>
      <c r="S37" s="268"/>
      <c r="T37" s="268"/>
      <c r="U37" s="268"/>
      <c r="V37" s="268"/>
      <c r="W37" s="268"/>
      <c r="X37" s="268"/>
      <c r="Y37" s="268"/>
      <c r="Z37" s="268"/>
      <c r="AA37" s="268"/>
      <c r="AB37" s="268"/>
      <c r="AC37" s="372"/>
    </row>
    <row r="38" spans="1:29" s="210" customFormat="1" ht="66" x14ac:dyDescent="0.3">
      <c r="A38" s="209"/>
      <c r="B38" s="209" t="s">
        <v>66</v>
      </c>
      <c r="C38" s="208" t="s">
        <v>678</v>
      </c>
      <c r="D38" s="281" t="s">
        <v>679</v>
      </c>
      <c r="E38" s="281" t="s">
        <v>680</v>
      </c>
      <c r="F38" s="267"/>
      <c r="G38" s="297">
        <v>44236</v>
      </c>
      <c r="H38" s="297">
        <v>44236</v>
      </c>
      <c r="I38" s="267" t="s">
        <v>111</v>
      </c>
      <c r="J38" s="267" t="s">
        <v>336</v>
      </c>
      <c r="K38" s="282">
        <v>57580</v>
      </c>
      <c r="L38" s="241">
        <f t="shared" si="3"/>
        <v>2117</v>
      </c>
      <c r="M38" s="270"/>
      <c r="N38" s="408" t="s">
        <v>851</v>
      </c>
      <c r="O38" s="388">
        <v>2117</v>
      </c>
      <c r="P38" s="268"/>
      <c r="Q38" s="268"/>
      <c r="R38" s="268"/>
      <c r="S38" s="268"/>
      <c r="T38" s="268"/>
      <c r="U38" s="268"/>
      <c r="V38" s="268"/>
      <c r="W38" s="268"/>
      <c r="X38" s="268"/>
      <c r="Y38" s="268"/>
      <c r="Z38" s="268"/>
      <c r="AA38" s="268"/>
      <c r="AB38" s="268"/>
      <c r="AC38" s="372"/>
    </row>
    <row r="39" spans="1:29" s="210" customFormat="1" ht="66" x14ac:dyDescent="0.3">
      <c r="A39" s="209"/>
      <c r="B39" s="209" t="s">
        <v>66</v>
      </c>
      <c r="C39" s="208" t="s">
        <v>707</v>
      </c>
      <c r="D39" s="281" t="s">
        <v>683</v>
      </c>
      <c r="E39" s="281" t="s">
        <v>684</v>
      </c>
      <c r="F39" s="267"/>
      <c r="G39" s="297">
        <v>44238</v>
      </c>
      <c r="H39" s="297">
        <v>44238</v>
      </c>
      <c r="I39" s="267" t="s">
        <v>111</v>
      </c>
      <c r="J39" s="267" t="s">
        <v>336</v>
      </c>
      <c r="K39" s="283">
        <v>9840</v>
      </c>
      <c r="L39" s="270">
        <f t="shared" si="3"/>
        <v>1700</v>
      </c>
      <c r="M39" s="209"/>
      <c r="N39" s="408" t="s">
        <v>851</v>
      </c>
      <c r="O39" s="388">
        <v>1700</v>
      </c>
      <c r="P39" s="268"/>
      <c r="Q39" s="268"/>
      <c r="R39" s="268"/>
      <c r="S39" s="268"/>
      <c r="T39" s="268"/>
      <c r="U39" s="268"/>
      <c r="V39" s="268"/>
      <c r="W39" s="268"/>
      <c r="X39" s="268"/>
      <c r="Y39" s="268"/>
      <c r="Z39" s="268"/>
      <c r="AA39" s="268"/>
      <c r="AB39" s="268"/>
      <c r="AC39" s="372"/>
    </row>
    <row r="40" spans="1:29" s="210" customFormat="1" ht="79.2" x14ac:dyDescent="0.3">
      <c r="A40" s="209"/>
      <c r="B40" s="209" t="s">
        <v>66</v>
      </c>
      <c r="C40" s="208" t="s">
        <v>68</v>
      </c>
      <c r="D40" s="281" t="s">
        <v>67</v>
      </c>
      <c r="E40" s="281" t="s">
        <v>685</v>
      </c>
      <c r="F40" s="267"/>
      <c r="G40" s="297">
        <v>44227</v>
      </c>
      <c r="H40" s="297">
        <v>44227</v>
      </c>
      <c r="I40" s="267" t="s">
        <v>111</v>
      </c>
      <c r="J40" s="267" t="s">
        <v>694</v>
      </c>
      <c r="K40" s="283" t="s">
        <v>744</v>
      </c>
      <c r="L40" s="270">
        <f t="shared" si="3"/>
        <v>36150</v>
      </c>
      <c r="M40" s="412"/>
      <c r="N40" s="407" t="s">
        <v>844</v>
      </c>
      <c r="O40" s="388">
        <v>2850</v>
      </c>
      <c r="P40" s="268">
        <v>33300</v>
      </c>
      <c r="Q40" s="268"/>
      <c r="R40" s="268"/>
      <c r="S40" s="268"/>
      <c r="T40" s="268"/>
      <c r="U40" s="268"/>
      <c r="V40" s="268"/>
      <c r="W40" s="268"/>
      <c r="X40" s="268"/>
      <c r="Y40" s="268"/>
      <c r="Z40" s="268"/>
      <c r="AA40" s="268"/>
      <c r="AB40" s="268"/>
      <c r="AC40" s="372"/>
    </row>
    <row r="41" spans="1:29" s="210" customFormat="1" ht="26.4" x14ac:dyDescent="0.3">
      <c r="A41" s="209"/>
      <c r="B41" s="209" t="s">
        <v>66</v>
      </c>
      <c r="C41" s="208" t="s">
        <v>663</v>
      </c>
      <c r="D41" s="281" t="s">
        <v>664</v>
      </c>
      <c r="E41" s="281" t="s">
        <v>686</v>
      </c>
      <c r="F41" s="267"/>
      <c r="G41" s="297">
        <v>44239</v>
      </c>
      <c r="H41" s="297">
        <v>44239</v>
      </c>
      <c r="I41" s="267" t="s">
        <v>111</v>
      </c>
      <c r="J41" s="267" t="s">
        <v>336</v>
      </c>
      <c r="K41" s="282">
        <v>14700</v>
      </c>
      <c r="L41" s="241">
        <f t="shared" si="3"/>
        <v>14700</v>
      </c>
      <c r="M41" s="283"/>
      <c r="N41" s="270"/>
      <c r="O41" s="388">
        <v>14700</v>
      </c>
      <c r="P41" s="268"/>
      <c r="Q41" s="268"/>
      <c r="R41" s="268"/>
      <c r="S41" s="268"/>
      <c r="T41" s="268"/>
      <c r="U41" s="268"/>
      <c r="V41" s="268"/>
      <c r="W41" s="268"/>
      <c r="X41" s="268"/>
      <c r="Y41" s="268"/>
      <c r="Z41" s="268"/>
      <c r="AA41" s="268"/>
      <c r="AB41" s="268"/>
      <c r="AC41" s="372"/>
    </row>
    <row r="42" spans="1:29" ht="39.6" x14ac:dyDescent="0.3">
      <c r="A42" s="181"/>
      <c r="B42" s="181" t="s">
        <v>37</v>
      </c>
      <c r="C42" s="177" t="s">
        <v>688</v>
      </c>
      <c r="D42" s="106" t="s">
        <v>689</v>
      </c>
      <c r="E42" s="106" t="s">
        <v>690</v>
      </c>
      <c r="F42" s="106"/>
      <c r="G42" s="178"/>
      <c r="H42" s="178"/>
      <c r="I42" s="311">
        <v>44409</v>
      </c>
      <c r="J42" s="106" t="s">
        <v>639</v>
      </c>
      <c r="K42" s="291">
        <v>61470</v>
      </c>
      <c r="L42" s="129">
        <f t="shared" si="3"/>
        <v>1960</v>
      </c>
      <c r="M42" s="106"/>
      <c r="N42" s="407" t="s">
        <v>844</v>
      </c>
      <c r="O42" s="378">
        <v>1960</v>
      </c>
      <c r="P42" s="128"/>
      <c r="Q42" s="128"/>
      <c r="R42" s="128"/>
      <c r="S42" s="128"/>
      <c r="T42" s="184"/>
      <c r="U42" s="184"/>
      <c r="V42" s="184"/>
      <c r="W42" s="184"/>
      <c r="X42" s="184"/>
      <c r="Y42" s="184"/>
      <c r="Z42" s="184"/>
      <c r="AA42" s="184"/>
      <c r="AB42" s="184"/>
      <c r="AC42" s="335"/>
    </row>
    <row r="43" spans="1:29" ht="39.6" x14ac:dyDescent="0.3">
      <c r="A43" s="181"/>
      <c r="B43" s="181" t="s">
        <v>37</v>
      </c>
      <c r="C43" s="106" t="s">
        <v>74</v>
      </c>
      <c r="D43" s="106" t="s">
        <v>692</v>
      </c>
      <c r="E43" s="106" t="s">
        <v>693</v>
      </c>
      <c r="F43" s="106"/>
      <c r="G43" s="290">
        <v>44259</v>
      </c>
      <c r="H43" s="290">
        <v>44259</v>
      </c>
      <c r="I43" s="336" t="s">
        <v>744</v>
      </c>
      <c r="J43" s="106" t="s">
        <v>694</v>
      </c>
      <c r="K43" s="291">
        <v>98600</v>
      </c>
      <c r="L43" s="129">
        <f t="shared" si="3"/>
        <v>11700</v>
      </c>
      <c r="M43" s="76"/>
      <c r="N43" s="407" t="s">
        <v>844</v>
      </c>
      <c r="O43" s="378"/>
      <c r="P43" s="128">
        <v>11700</v>
      </c>
      <c r="Q43" s="128"/>
      <c r="R43" s="128"/>
      <c r="S43" s="128"/>
      <c r="T43" s="184"/>
      <c r="U43" s="184"/>
      <c r="V43" s="184"/>
      <c r="W43" s="184"/>
      <c r="X43" s="184"/>
      <c r="Y43" s="184"/>
      <c r="Z43" s="184"/>
      <c r="AA43" s="184"/>
      <c r="AB43" s="184"/>
      <c r="AC43" s="335"/>
    </row>
    <row r="44" spans="1:29" s="210" customFormat="1" ht="26.4" x14ac:dyDescent="0.3">
      <c r="A44" s="209"/>
      <c r="B44" s="209" t="s">
        <v>66</v>
      </c>
      <c r="C44" s="209"/>
      <c r="D44" s="281" t="s">
        <v>629</v>
      </c>
      <c r="E44" s="281" t="s">
        <v>630</v>
      </c>
      <c r="F44" s="267"/>
      <c r="G44" s="209" t="s">
        <v>111</v>
      </c>
      <c r="H44" s="209" t="s">
        <v>111</v>
      </c>
      <c r="I44" s="209" t="s">
        <v>111</v>
      </c>
      <c r="J44" s="267" t="s">
        <v>631</v>
      </c>
      <c r="K44" s="282">
        <v>10000</v>
      </c>
      <c r="L44" s="241">
        <f t="shared" si="3"/>
        <v>57580</v>
      </c>
      <c r="M44" s="283"/>
      <c r="N44" s="407" t="s">
        <v>844</v>
      </c>
      <c r="O44" s="363"/>
      <c r="P44" s="268">
        <v>57580</v>
      </c>
      <c r="Q44" s="268"/>
      <c r="R44" s="268"/>
      <c r="S44" s="268"/>
      <c r="T44" s="268"/>
      <c r="U44" s="268"/>
      <c r="V44" s="268"/>
      <c r="W44" s="268"/>
      <c r="X44" s="268"/>
      <c r="Y44" s="268"/>
      <c r="Z44" s="268"/>
      <c r="AA44" s="268"/>
      <c r="AB44" s="268"/>
      <c r="AC44" s="372"/>
    </row>
    <row r="45" spans="1:29" s="210" customFormat="1" x14ac:dyDescent="0.3">
      <c r="A45" s="209"/>
      <c r="B45" s="209" t="s">
        <v>58</v>
      </c>
      <c r="C45" s="209" t="s">
        <v>698</v>
      </c>
      <c r="D45" s="281" t="s">
        <v>708</v>
      </c>
      <c r="E45" s="281" t="s">
        <v>697</v>
      </c>
      <c r="F45" s="267"/>
      <c r="G45" s="297">
        <v>44246</v>
      </c>
      <c r="H45" s="209" t="s">
        <v>111</v>
      </c>
      <c r="I45" s="209" t="s">
        <v>111</v>
      </c>
      <c r="J45" s="267" t="s">
        <v>336</v>
      </c>
      <c r="K45" s="282">
        <v>9840</v>
      </c>
      <c r="L45" s="241">
        <f t="shared" si="3"/>
        <v>9840</v>
      </c>
      <c r="M45" s="283"/>
      <c r="N45" s="270"/>
      <c r="O45" s="388"/>
      <c r="P45" s="268">
        <v>9840</v>
      </c>
      <c r="Q45" s="268"/>
      <c r="R45" s="268"/>
      <c r="S45" s="268"/>
      <c r="T45" s="268"/>
      <c r="U45" s="268"/>
      <c r="V45" s="268"/>
      <c r="W45" s="268"/>
      <c r="X45" s="268"/>
      <c r="Y45" s="268"/>
      <c r="Z45" s="268"/>
      <c r="AA45" s="268"/>
      <c r="AB45" s="268"/>
      <c r="AC45" s="372"/>
    </row>
    <row r="46" spans="1:29" s="372" customFormat="1" ht="39.6" x14ac:dyDescent="0.3">
      <c r="A46" s="209"/>
      <c r="B46" s="209" t="s">
        <v>37</v>
      </c>
      <c r="C46" s="208" t="s">
        <v>703</v>
      </c>
      <c r="D46" s="208" t="s">
        <v>119</v>
      </c>
      <c r="E46" s="209" t="s">
        <v>743</v>
      </c>
      <c r="F46" s="209"/>
      <c r="G46" s="240">
        <v>44274</v>
      </c>
      <c r="H46" s="240">
        <v>44274</v>
      </c>
      <c r="I46" s="298">
        <v>44295</v>
      </c>
      <c r="J46" s="209" t="s">
        <v>704</v>
      </c>
      <c r="K46" s="241">
        <v>12400</v>
      </c>
      <c r="L46" s="241">
        <f t="shared" si="3"/>
        <v>12400</v>
      </c>
      <c r="M46" s="241"/>
      <c r="N46" s="241"/>
      <c r="O46" s="388"/>
      <c r="P46" s="261"/>
      <c r="Q46" s="268"/>
      <c r="R46" s="261">
        <v>12400</v>
      </c>
      <c r="S46" s="268"/>
      <c r="T46" s="268"/>
      <c r="U46" s="268"/>
      <c r="V46" s="268"/>
      <c r="W46" s="268"/>
      <c r="X46" s="268"/>
      <c r="Y46" s="268"/>
      <c r="Z46" s="268"/>
      <c r="AA46" s="268"/>
      <c r="AB46" s="268"/>
    </row>
    <row r="47" spans="1:29" s="335" customFormat="1" ht="105.6" x14ac:dyDescent="0.3">
      <c r="A47" s="181"/>
      <c r="B47" s="181" t="s">
        <v>37</v>
      </c>
      <c r="C47" s="181" t="s">
        <v>705</v>
      </c>
      <c r="D47" s="182" t="s">
        <v>706</v>
      </c>
      <c r="E47" s="181" t="s">
        <v>720</v>
      </c>
      <c r="F47" s="181"/>
      <c r="G47" s="183">
        <v>44259</v>
      </c>
      <c r="H47" s="183">
        <v>44259</v>
      </c>
      <c r="I47" s="181" t="s">
        <v>719</v>
      </c>
      <c r="J47" s="182" t="s">
        <v>336</v>
      </c>
      <c r="K47" s="129">
        <v>248160.83</v>
      </c>
      <c r="L47" s="129">
        <f t="shared" si="3"/>
        <v>255180.83</v>
      </c>
      <c r="M47" s="76"/>
      <c r="N47" s="407" t="s">
        <v>827</v>
      </c>
      <c r="O47" s="378"/>
      <c r="P47" s="375">
        <v>7020</v>
      </c>
      <c r="Q47" s="148">
        <v>248160.83</v>
      </c>
      <c r="R47" s="184"/>
      <c r="S47" s="184"/>
      <c r="T47" s="184"/>
      <c r="U47" s="184"/>
      <c r="V47" s="184"/>
      <c r="W47" s="184"/>
      <c r="X47" s="184"/>
      <c r="Y47" s="184"/>
      <c r="Z47" s="184"/>
      <c r="AA47" s="184"/>
      <c r="AB47" s="184"/>
    </row>
    <row r="48" spans="1:29" s="210" customFormat="1" ht="92.4" x14ac:dyDescent="0.3">
      <c r="A48" s="286"/>
      <c r="B48" s="209" t="s">
        <v>66</v>
      </c>
      <c r="C48" s="209"/>
      <c r="D48" s="281" t="s">
        <v>709</v>
      </c>
      <c r="E48" s="281" t="s">
        <v>710</v>
      </c>
      <c r="F48" s="267"/>
      <c r="G48" s="209" t="s">
        <v>111</v>
      </c>
      <c r="H48" s="209" t="s">
        <v>111</v>
      </c>
      <c r="I48" s="209" t="s">
        <v>111</v>
      </c>
      <c r="J48" s="267" t="s">
        <v>336</v>
      </c>
      <c r="K48" s="282">
        <v>4000</v>
      </c>
      <c r="L48" s="241">
        <f t="shared" si="3"/>
        <v>0</v>
      </c>
      <c r="M48" s="283"/>
      <c r="N48" s="406" t="s">
        <v>828</v>
      </c>
      <c r="O48" s="268"/>
      <c r="P48" s="113" t="s">
        <v>691</v>
      </c>
      <c r="Q48" s="268"/>
      <c r="R48" s="268"/>
      <c r="S48" s="268"/>
      <c r="T48" s="268"/>
      <c r="U48" s="268"/>
      <c r="V48" s="268"/>
      <c r="W48" s="268"/>
      <c r="X48" s="268"/>
      <c r="Y48" s="268"/>
      <c r="Z48" s="268"/>
      <c r="AA48" s="268"/>
      <c r="AB48" s="268"/>
      <c r="AC48" s="372"/>
    </row>
    <row r="49" spans="1:29" s="335" customFormat="1" ht="79.2" x14ac:dyDescent="0.3">
      <c r="A49" s="181"/>
      <c r="B49" s="181" t="s">
        <v>37</v>
      </c>
      <c r="C49" s="181" t="s">
        <v>715</v>
      </c>
      <c r="D49" s="182" t="s">
        <v>714</v>
      </c>
      <c r="E49" s="178" t="s">
        <v>717</v>
      </c>
      <c r="F49" s="181"/>
      <c r="G49" s="183">
        <v>44278</v>
      </c>
      <c r="H49" s="183">
        <v>44278</v>
      </c>
      <c r="I49" s="181" t="s">
        <v>716</v>
      </c>
      <c r="J49" s="181" t="s">
        <v>493</v>
      </c>
      <c r="K49" s="76">
        <v>54500</v>
      </c>
      <c r="L49" s="129">
        <f t="shared" si="3"/>
        <v>10000</v>
      </c>
      <c r="M49" s="76"/>
      <c r="N49" s="407" t="s">
        <v>829</v>
      </c>
      <c r="O49" s="184"/>
      <c r="P49" s="179">
        <v>10000</v>
      </c>
      <c r="Q49" s="184"/>
      <c r="R49" s="113" t="s">
        <v>775</v>
      </c>
      <c r="S49" s="184"/>
      <c r="T49" s="184"/>
      <c r="U49" s="184"/>
      <c r="V49" s="184"/>
      <c r="W49" s="184"/>
      <c r="X49" s="184"/>
      <c r="Y49" s="184"/>
      <c r="Z49" s="184"/>
      <c r="AA49" s="184"/>
      <c r="AB49" s="184"/>
    </row>
    <row r="50" spans="1:29" s="210" customFormat="1" ht="79.2" x14ac:dyDescent="0.3">
      <c r="A50" s="372"/>
      <c r="B50" s="209" t="s">
        <v>66</v>
      </c>
      <c r="C50" s="209" t="s">
        <v>701</v>
      </c>
      <c r="D50" s="281" t="s">
        <v>702</v>
      </c>
      <c r="E50" s="281" t="s">
        <v>718</v>
      </c>
      <c r="F50" s="286">
        <v>230</v>
      </c>
      <c r="G50" s="405">
        <v>44259</v>
      </c>
      <c r="H50" s="405">
        <v>44259</v>
      </c>
      <c r="I50" s="267" t="s">
        <v>721</v>
      </c>
      <c r="J50" s="267" t="s">
        <v>336</v>
      </c>
      <c r="K50" s="282">
        <v>215000</v>
      </c>
      <c r="L50" s="241">
        <f t="shared" si="3"/>
        <v>49600</v>
      </c>
      <c r="M50" s="283">
        <v>0</v>
      </c>
      <c r="N50" s="406" t="s">
        <v>830</v>
      </c>
      <c r="O50" s="286"/>
      <c r="P50" s="261">
        <v>49600</v>
      </c>
      <c r="Q50" s="268"/>
      <c r="R50" s="268"/>
      <c r="S50" s="268"/>
      <c r="T50" s="268"/>
      <c r="U50" s="268"/>
      <c r="V50" s="268"/>
      <c r="W50" s="268"/>
      <c r="X50" s="268"/>
      <c r="Y50" s="268"/>
      <c r="Z50" s="268"/>
      <c r="AA50" s="268"/>
      <c r="AB50" s="268"/>
      <c r="AC50" s="372"/>
    </row>
    <row r="51" spans="1:29" s="335" customFormat="1" ht="39.6" x14ac:dyDescent="0.3">
      <c r="A51" s="181"/>
      <c r="B51" s="181" t="s">
        <v>37</v>
      </c>
      <c r="C51" s="181" t="s">
        <v>727</v>
      </c>
      <c r="D51" s="181" t="s">
        <v>722</v>
      </c>
      <c r="E51" s="181" t="s">
        <v>726</v>
      </c>
      <c r="F51" s="181"/>
      <c r="G51" s="183">
        <v>44259</v>
      </c>
      <c r="H51" s="183">
        <v>44256</v>
      </c>
      <c r="I51" s="183">
        <v>44316</v>
      </c>
      <c r="J51" s="181" t="s">
        <v>336</v>
      </c>
      <c r="K51" s="76">
        <v>600000</v>
      </c>
      <c r="L51" s="129">
        <f t="shared" si="3"/>
        <v>300000</v>
      </c>
      <c r="M51" s="76">
        <v>0</v>
      </c>
      <c r="N51" s="76"/>
      <c r="O51" s="382"/>
      <c r="P51" s="184"/>
      <c r="Q51" s="184">
        <f>SUM(90000+210000)</f>
        <v>300000</v>
      </c>
      <c r="R51" s="113" t="s">
        <v>824</v>
      </c>
      <c r="S51" s="184"/>
      <c r="T51" s="184"/>
      <c r="U51" s="184"/>
      <c r="V51" s="184"/>
      <c r="W51" s="184"/>
      <c r="X51" s="184"/>
      <c r="Y51" s="184"/>
      <c r="Z51" s="184"/>
      <c r="AA51" s="184"/>
      <c r="AB51" s="184"/>
    </row>
    <row r="52" spans="1:29" s="210" customFormat="1" ht="132" x14ac:dyDescent="0.3">
      <c r="A52" s="286"/>
      <c r="B52" s="209" t="s">
        <v>58</v>
      </c>
      <c r="C52" s="209" t="s">
        <v>730</v>
      </c>
      <c r="D52" s="281" t="s">
        <v>729</v>
      </c>
      <c r="E52" s="281" t="s">
        <v>731</v>
      </c>
      <c r="F52" s="267"/>
      <c r="G52" s="405">
        <v>44259</v>
      </c>
      <c r="H52" s="209" t="s">
        <v>111</v>
      </c>
      <c r="I52" s="209" t="s">
        <v>111</v>
      </c>
      <c r="J52" s="267" t="s">
        <v>336</v>
      </c>
      <c r="K52" s="282">
        <v>20000</v>
      </c>
      <c r="L52" s="241">
        <f t="shared" si="3"/>
        <v>0</v>
      </c>
      <c r="M52" s="283"/>
      <c r="N52" s="406" t="s">
        <v>846</v>
      </c>
      <c r="O52" s="362"/>
      <c r="P52" s="184"/>
      <c r="Q52" s="184"/>
      <c r="R52" s="268"/>
      <c r="S52" s="268"/>
      <c r="T52" s="268"/>
      <c r="U52" s="268"/>
      <c r="V52" s="268"/>
      <c r="W52" s="268"/>
      <c r="X52" s="268"/>
      <c r="Y52" s="268"/>
      <c r="Z52" s="268"/>
      <c r="AA52" s="268"/>
      <c r="AB52" s="268"/>
      <c r="AC52" s="372"/>
    </row>
    <row r="53" spans="1:29" s="335" customFormat="1" ht="66" x14ac:dyDescent="0.3">
      <c r="A53" s="181"/>
      <c r="B53" s="339" t="s">
        <v>610</v>
      </c>
      <c r="C53" s="181" t="s">
        <v>732</v>
      </c>
      <c r="D53" s="181" t="s">
        <v>733</v>
      </c>
      <c r="E53" s="156" t="s">
        <v>734</v>
      </c>
      <c r="F53" s="181"/>
      <c r="G53" s="183">
        <v>44257</v>
      </c>
      <c r="H53" s="178" t="s">
        <v>111</v>
      </c>
      <c r="I53" s="178" t="s">
        <v>111</v>
      </c>
      <c r="J53" s="181" t="s">
        <v>493</v>
      </c>
      <c r="K53" s="338">
        <v>490</v>
      </c>
      <c r="L53" s="129">
        <f t="shared" si="3"/>
        <v>0</v>
      </c>
      <c r="M53" s="76"/>
      <c r="N53" s="407" t="s">
        <v>826</v>
      </c>
      <c r="O53" s="382"/>
      <c r="P53" s="184"/>
      <c r="Q53" s="184"/>
      <c r="R53" s="184"/>
      <c r="S53" s="184"/>
      <c r="T53" s="184"/>
      <c r="U53" s="184"/>
      <c r="V53" s="184"/>
      <c r="W53" s="184"/>
      <c r="X53" s="184"/>
      <c r="Y53" s="184"/>
      <c r="Z53" s="184"/>
      <c r="AA53" s="184"/>
      <c r="AB53" s="184"/>
    </row>
    <row r="54" spans="1:29" s="335" customFormat="1" ht="39.6" x14ac:dyDescent="0.3">
      <c r="A54" s="181"/>
      <c r="B54" s="34" t="s">
        <v>228</v>
      </c>
      <c r="C54" s="181" t="s">
        <v>85</v>
      </c>
      <c r="D54" s="41" t="s">
        <v>86</v>
      </c>
      <c r="E54" s="182" t="s">
        <v>750</v>
      </c>
      <c r="F54" s="181"/>
      <c r="G54" s="183">
        <v>44265</v>
      </c>
      <c r="H54" s="183">
        <v>44197</v>
      </c>
      <c r="I54" s="183">
        <v>44561</v>
      </c>
      <c r="J54" s="181" t="s">
        <v>336</v>
      </c>
      <c r="K54" s="76">
        <v>787427.98</v>
      </c>
      <c r="L54" s="129">
        <f t="shared" si="3"/>
        <v>304474.09000000003</v>
      </c>
      <c r="M54" s="76"/>
      <c r="N54" s="76"/>
      <c r="O54" s="384">
        <v>94979.199999999997</v>
      </c>
      <c r="P54" s="189">
        <v>88675.88</v>
      </c>
      <c r="Q54" s="189">
        <v>120819.01</v>
      </c>
      <c r="R54" s="184"/>
      <c r="S54" s="184"/>
      <c r="T54" s="184"/>
      <c r="U54" s="184"/>
      <c r="V54" s="184"/>
      <c r="W54" s="184"/>
      <c r="X54" s="184"/>
      <c r="Y54" s="184"/>
      <c r="Z54" s="184"/>
      <c r="AA54" s="184"/>
      <c r="AB54" s="184"/>
    </row>
    <row r="55" spans="1:29" s="210" customFormat="1" ht="79.2" x14ac:dyDescent="0.3">
      <c r="A55" s="286"/>
      <c r="B55" s="209" t="s">
        <v>66</v>
      </c>
      <c r="C55" s="209" t="s">
        <v>68</v>
      </c>
      <c r="D55" s="281" t="s">
        <v>67</v>
      </c>
      <c r="E55" s="281" t="s">
        <v>735</v>
      </c>
      <c r="F55" s="267"/>
      <c r="G55" s="297">
        <v>44224</v>
      </c>
      <c r="H55" s="209" t="s">
        <v>111</v>
      </c>
      <c r="I55" s="209" t="s">
        <v>111</v>
      </c>
      <c r="J55" s="239" t="s">
        <v>694</v>
      </c>
      <c r="K55" s="282">
        <v>33300</v>
      </c>
      <c r="L55" s="241">
        <f t="shared" si="3"/>
        <v>33300</v>
      </c>
      <c r="M55" s="283"/>
      <c r="N55" s="270"/>
      <c r="O55" s="372"/>
      <c r="P55" s="268">
        <v>33300</v>
      </c>
      <c r="Q55" s="261"/>
      <c r="R55" s="268"/>
      <c r="S55" s="268"/>
      <c r="T55" s="268"/>
      <c r="U55" s="268"/>
      <c r="V55" s="268"/>
      <c r="W55" s="268"/>
      <c r="X55" s="268"/>
      <c r="Y55" s="268"/>
      <c r="Z55" s="268"/>
      <c r="AA55" s="268"/>
      <c r="AB55" s="268"/>
      <c r="AC55" s="372"/>
    </row>
    <row r="56" spans="1:29" s="210" customFormat="1" ht="26.4" x14ac:dyDescent="0.3">
      <c r="A56" s="209"/>
      <c r="B56" s="209" t="s">
        <v>66</v>
      </c>
      <c r="C56" s="208" t="s">
        <v>797</v>
      </c>
      <c r="D56" s="281" t="s">
        <v>736</v>
      </c>
      <c r="E56" s="209" t="s">
        <v>798</v>
      </c>
      <c r="F56" s="209">
        <v>394</v>
      </c>
      <c r="G56" s="240">
        <v>44271</v>
      </c>
      <c r="H56" s="240">
        <v>44271</v>
      </c>
      <c r="I56" s="240">
        <v>44302</v>
      </c>
      <c r="J56" s="209" t="s">
        <v>493</v>
      </c>
      <c r="K56" s="241">
        <v>92000</v>
      </c>
      <c r="L56" s="241">
        <f t="shared" si="3"/>
        <v>92000</v>
      </c>
      <c r="M56" s="241"/>
      <c r="N56" s="241"/>
      <c r="O56" s="387"/>
      <c r="P56" s="268"/>
      <c r="Q56" s="268"/>
      <c r="R56" s="261">
        <v>92000</v>
      </c>
      <c r="S56" s="268"/>
      <c r="T56" s="268"/>
      <c r="U56" s="268"/>
      <c r="V56" s="268"/>
      <c r="W56" s="268"/>
      <c r="X56" s="268"/>
      <c r="Y56" s="268"/>
      <c r="Z56" s="268"/>
      <c r="AA56" s="268"/>
      <c r="AB56" s="268"/>
      <c r="AC56" s="372"/>
    </row>
    <row r="57" spans="1:29" s="210" customFormat="1" ht="39.6" x14ac:dyDescent="0.3">
      <c r="A57" s="286"/>
      <c r="B57" s="209" t="s">
        <v>66</v>
      </c>
      <c r="C57" s="209" t="s">
        <v>730</v>
      </c>
      <c r="D57" s="281" t="s">
        <v>737</v>
      </c>
      <c r="E57" s="281" t="s">
        <v>738</v>
      </c>
      <c r="F57" s="267"/>
      <c r="G57" s="297">
        <v>44266</v>
      </c>
      <c r="H57" s="209" t="s">
        <v>111</v>
      </c>
      <c r="I57" s="209" t="s">
        <v>111</v>
      </c>
      <c r="J57" s="267" t="s">
        <v>336</v>
      </c>
      <c r="K57" s="282">
        <v>20650</v>
      </c>
      <c r="L57" s="241">
        <f t="shared" si="3"/>
        <v>20650</v>
      </c>
      <c r="M57" s="283"/>
      <c r="N57" s="270"/>
      <c r="O57" s="372"/>
      <c r="P57" s="268"/>
      <c r="Q57" s="261">
        <v>20650</v>
      </c>
      <c r="R57" s="268"/>
      <c r="S57" s="268"/>
      <c r="T57" s="268"/>
      <c r="U57" s="268"/>
      <c r="V57" s="268"/>
      <c r="W57" s="268"/>
      <c r="X57" s="268"/>
      <c r="Y57" s="268"/>
      <c r="Z57" s="268"/>
      <c r="AA57" s="268"/>
      <c r="AB57" s="268"/>
      <c r="AC57" s="372"/>
    </row>
    <row r="58" spans="1:29" s="374" customFormat="1" ht="26.4" x14ac:dyDescent="0.3">
      <c r="A58" s="239"/>
      <c r="B58" s="209" t="s">
        <v>66</v>
      </c>
      <c r="C58" s="313" t="s">
        <v>799</v>
      </c>
      <c r="D58" s="373" t="s">
        <v>739</v>
      </c>
      <c r="E58" s="373" t="s">
        <v>740</v>
      </c>
      <c r="F58" s="239"/>
      <c r="G58" s="298">
        <v>44258</v>
      </c>
      <c r="H58" s="298">
        <v>44287</v>
      </c>
      <c r="I58" s="298">
        <v>44315</v>
      </c>
      <c r="J58" s="239" t="s">
        <v>694</v>
      </c>
      <c r="K58" s="270">
        <v>22704</v>
      </c>
      <c r="L58" s="241">
        <f t="shared" si="3"/>
        <v>22704</v>
      </c>
      <c r="M58" s="270"/>
      <c r="N58" s="270"/>
      <c r="O58" s="401"/>
      <c r="P58" s="350"/>
      <c r="Q58" s="350"/>
      <c r="R58" s="261">
        <v>22704</v>
      </c>
      <c r="S58" s="350"/>
      <c r="T58" s="350"/>
      <c r="U58" s="350"/>
      <c r="V58" s="350"/>
      <c r="W58" s="350"/>
      <c r="X58" s="350"/>
      <c r="Y58" s="350"/>
      <c r="Z58" s="350"/>
      <c r="AA58" s="350"/>
      <c r="AB58" s="350"/>
      <c r="AC58" s="402"/>
    </row>
    <row r="59" spans="1:29" ht="52.8" x14ac:dyDescent="0.3">
      <c r="A59" s="181"/>
      <c r="B59" s="181" t="s">
        <v>37</v>
      </c>
      <c r="C59" s="177" t="s">
        <v>68</v>
      </c>
      <c r="D59" s="41" t="s">
        <v>741</v>
      </c>
      <c r="E59" s="41" t="s">
        <v>742</v>
      </c>
      <c r="F59" s="181"/>
      <c r="G59" s="183">
        <v>44264</v>
      </c>
      <c r="H59" s="183">
        <v>44256</v>
      </c>
      <c r="I59" s="183">
        <v>44561</v>
      </c>
      <c r="J59" s="181" t="s">
        <v>694</v>
      </c>
      <c r="K59" s="76">
        <v>333000</v>
      </c>
      <c r="L59" s="129">
        <f t="shared" si="3"/>
        <v>0</v>
      </c>
      <c r="M59" s="76"/>
      <c r="N59" s="76"/>
      <c r="O59" s="382"/>
      <c r="P59" s="184"/>
      <c r="Q59" s="184"/>
      <c r="R59" s="113" t="s">
        <v>847</v>
      </c>
      <c r="S59" s="184"/>
      <c r="T59" s="184"/>
      <c r="U59" s="184"/>
      <c r="V59" s="184"/>
      <c r="W59" s="184"/>
      <c r="X59" s="184"/>
      <c r="Y59" s="184"/>
      <c r="Z59" s="184"/>
      <c r="AA59" s="184"/>
      <c r="AB59" s="184"/>
      <c r="AC59" s="335"/>
    </row>
    <row r="60" spans="1:29" s="210" customFormat="1" ht="26.4" x14ac:dyDescent="0.3">
      <c r="A60" s="209"/>
      <c r="B60" s="209" t="s">
        <v>66</v>
      </c>
      <c r="C60" s="208" t="s">
        <v>663</v>
      </c>
      <c r="D60" s="281" t="s">
        <v>664</v>
      </c>
      <c r="E60" s="281" t="s">
        <v>745</v>
      </c>
      <c r="F60" s="267"/>
      <c r="G60" s="297">
        <v>44271</v>
      </c>
      <c r="H60" s="209" t="s">
        <v>111</v>
      </c>
      <c r="I60" s="209" t="s">
        <v>111</v>
      </c>
      <c r="J60" s="208" t="s">
        <v>336</v>
      </c>
      <c r="K60" s="282">
        <v>5080</v>
      </c>
      <c r="L60" s="241">
        <f t="shared" si="3"/>
        <v>5080</v>
      </c>
      <c r="M60" s="283"/>
      <c r="N60" s="270"/>
      <c r="O60" s="388"/>
      <c r="P60" s="268"/>
      <c r="Q60" s="350">
        <v>5080</v>
      </c>
      <c r="R60" s="268"/>
      <c r="S60" s="268"/>
      <c r="T60" s="268"/>
      <c r="U60" s="268"/>
      <c r="V60" s="268"/>
      <c r="W60" s="268"/>
      <c r="X60" s="268"/>
      <c r="Y60" s="268"/>
      <c r="Z60" s="268"/>
      <c r="AA60" s="268"/>
      <c r="AB60" s="268"/>
      <c r="AC60" s="372"/>
    </row>
    <row r="61" spans="1:29" s="210" customFormat="1" x14ac:dyDescent="0.3">
      <c r="A61" s="209"/>
      <c r="B61" s="209" t="s">
        <v>66</v>
      </c>
      <c r="C61" s="208" t="s">
        <v>707</v>
      </c>
      <c r="D61" s="281" t="s">
        <v>746</v>
      </c>
      <c r="E61" s="281" t="s">
        <v>665</v>
      </c>
      <c r="F61" s="267"/>
      <c r="G61" s="297">
        <v>44266</v>
      </c>
      <c r="H61" s="209" t="s">
        <v>111</v>
      </c>
      <c r="I61" s="209" t="s">
        <v>111</v>
      </c>
      <c r="J61" s="208" t="s">
        <v>336</v>
      </c>
      <c r="K61" s="282">
        <v>18200</v>
      </c>
      <c r="L61" s="241">
        <f t="shared" si="3"/>
        <v>18200</v>
      </c>
      <c r="M61" s="283"/>
      <c r="N61" s="270"/>
      <c r="O61" s="388"/>
      <c r="P61" s="268"/>
      <c r="Q61" s="350">
        <v>18200</v>
      </c>
      <c r="R61" s="268"/>
      <c r="S61" s="268"/>
      <c r="T61" s="268"/>
      <c r="U61" s="268"/>
      <c r="V61" s="268"/>
      <c r="W61" s="268"/>
      <c r="X61" s="268"/>
      <c r="Y61" s="268"/>
      <c r="Z61" s="268"/>
      <c r="AA61" s="268"/>
      <c r="AB61" s="268"/>
      <c r="AC61" s="372"/>
    </row>
    <row r="62" spans="1:29" ht="26.4" x14ac:dyDescent="0.3">
      <c r="A62" s="181"/>
      <c r="B62" s="339" t="s">
        <v>610</v>
      </c>
      <c r="C62" s="340" t="s">
        <v>732</v>
      </c>
      <c r="D62" s="341" t="s">
        <v>748</v>
      </c>
      <c r="E62" s="341" t="s">
        <v>749</v>
      </c>
      <c r="F62" s="340"/>
      <c r="G62" s="340"/>
      <c r="H62" s="340"/>
      <c r="I62" s="342">
        <v>45291</v>
      </c>
      <c r="J62" s="340" t="s">
        <v>493</v>
      </c>
      <c r="K62" s="343">
        <v>200000</v>
      </c>
      <c r="L62" s="129">
        <f t="shared" si="3"/>
        <v>0</v>
      </c>
      <c r="M62" s="76"/>
      <c r="N62" s="76"/>
      <c r="O62" s="382"/>
      <c r="P62" s="184"/>
      <c r="Q62" s="184"/>
      <c r="R62" s="184"/>
      <c r="S62" s="184"/>
      <c r="T62" s="184"/>
      <c r="U62" s="184"/>
      <c r="V62" s="184"/>
      <c r="W62" s="184"/>
      <c r="X62" s="184"/>
      <c r="Y62" s="184"/>
      <c r="Z62" s="184"/>
      <c r="AA62" s="184"/>
      <c r="AB62" s="184"/>
      <c r="AC62" s="335"/>
    </row>
    <row r="63" spans="1:29" s="71" customFormat="1" ht="92.4" x14ac:dyDescent="0.3">
      <c r="A63" s="181"/>
      <c r="B63" s="181" t="s">
        <v>37</v>
      </c>
      <c r="C63" s="181" t="s">
        <v>756</v>
      </c>
      <c r="D63" s="177" t="s">
        <v>757</v>
      </c>
      <c r="E63" s="182" t="s">
        <v>758</v>
      </c>
      <c r="F63" s="177"/>
      <c r="G63" s="183">
        <v>44265</v>
      </c>
      <c r="H63" s="183">
        <v>44265</v>
      </c>
      <c r="I63" s="181" t="s">
        <v>759</v>
      </c>
      <c r="J63" s="177" t="s">
        <v>760</v>
      </c>
      <c r="K63" s="76">
        <v>238855.46</v>
      </c>
      <c r="L63" s="129">
        <f t="shared" si="3"/>
        <v>71656.639999999999</v>
      </c>
      <c r="M63" s="189"/>
      <c r="N63" s="404" t="s">
        <v>849</v>
      </c>
      <c r="O63" s="384"/>
      <c r="P63" s="32"/>
      <c r="Q63" s="30">
        <v>71656.639999999999</v>
      </c>
      <c r="R63" s="184"/>
      <c r="S63" s="184"/>
      <c r="T63" s="184"/>
      <c r="U63" s="184"/>
      <c r="V63" s="184"/>
      <c r="W63" s="184"/>
      <c r="X63" s="184"/>
      <c r="Y63" s="184"/>
      <c r="Z63" s="184"/>
      <c r="AA63" s="184"/>
      <c r="AB63" s="181"/>
      <c r="AC63" s="335"/>
    </row>
    <row r="64" spans="1:29" s="210" customFormat="1" ht="52.8" x14ac:dyDescent="0.3">
      <c r="A64" s="209"/>
      <c r="B64" s="209" t="s">
        <v>66</v>
      </c>
      <c r="C64" s="209" t="s">
        <v>761</v>
      </c>
      <c r="D64" s="208" t="s">
        <v>762</v>
      </c>
      <c r="E64" s="239" t="s">
        <v>763</v>
      </c>
      <c r="F64" s="208"/>
      <c r="G64" s="240">
        <v>44288</v>
      </c>
      <c r="H64" s="240">
        <v>44288</v>
      </c>
      <c r="I64" s="240">
        <v>44309</v>
      </c>
      <c r="J64" s="208" t="s">
        <v>336</v>
      </c>
      <c r="K64" s="241">
        <v>400000</v>
      </c>
      <c r="L64" s="241">
        <f t="shared" si="3"/>
        <v>400000</v>
      </c>
      <c r="M64" s="328"/>
      <c r="N64" s="328"/>
      <c r="O64" s="390"/>
      <c r="P64" s="269"/>
      <c r="Q64" s="269"/>
      <c r="R64" s="261">
        <v>400000</v>
      </c>
      <c r="S64" s="268"/>
      <c r="T64" s="268"/>
      <c r="U64" s="268"/>
      <c r="V64" s="268"/>
      <c r="W64" s="268"/>
      <c r="X64" s="268"/>
      <c r="Y64" s="268"/>
      <c r="Z64" s="268"/>
      <c r="AA64" s="268"/>
      <c r="AB64" s="209"/>
      <c r="AC64" s="372"/>
    </row>
    <row r="65" spans="1:49" s="210" customFormat="1" ht="26.4" x14ac:dyDescent="0.3">
      <c r="A65" s="209"/>
      <c r="B65" s="209" t="s">
        <v>66</v>
      </c>
      <c r="C65" s="208" t="s">
        <v>520</v>
      </c>
      <c r="D65" s="208" t="s">
        <v>764</v>
      </c>
      <c r="E65" s="208" t="s">
        <v>842</v>
      </c>
      <c r="F65" s="208"/>
      <c r="G65" s="240">
        <v>44280</v>
      </c>
      <c r="H65" s="209" t="s">
        <v>111</v>
      </c>
      <c r="I65" s="209" t="s">
        <v>111</v>
      </c>
      <c r="J65" s="208" t="s">
        <v>336</v>
      </c>
      <c r="K65" s="241">
        <v>20115.080000000002</v>
      </c>
      <c r="L65" s="241">
        <f t="shared" si="3"/>
        <v>20115.080000000002</v>
      </c>
      <c r="M65" s="328"/>
      <c r="N65" s="328"/>
      <c r="O65" s="390"/>
      <c r="P65" s="269"/>
      <c r="Q65" s="350">
        <v>20115.080000000002</v>
      </c>
      <c r="R65" s="268"/>
      <c r="S65" s="268"/>
      <c r="T65" s="268"/>
      <c r="U65" s="268"/>
      <c r="V65" s="268"/>
      <c r="W65" s="268"/>
      <c r="X65" s="268"/>
      <c r="Y65" s="268"/>
      <c r="Z65" s="268"/>
      <c r="AA65" s="268"/>
      <c r="AB65" s="209"/>
      <c r="AC65" s="372"/>
    </row>
    <row r="66" spans="1:49" s="210" customFormat="1" ht="26.4" x14ac:dyDescent="0.3">
      <c r="A66" s="209"/>
      <c r="B66" s="209" t="s">
        <v>66</v>
      </c>
      <c r="C66" s="208" t="s">
        <v>663</v>
      </c>
      <c r="D66" s="208" t="s">
        <v>765</v>
      </c>
      <c r="E66" s="208" t="s">
        <v>843</v>
      </c>
      <c r="F66" s="208"/>
      <c r="G66" s="240">
        <v>44283</v>
      </c>
      <c r="H66" s="209" t="s">
        <v>111</v>
      </c>
      <c r="I66" s="209" t="s">
        <v>111</v>
      </c>
      <c r="J66" s="208" t="s">
        <v>336</v>
      </c>
      <c r="K66" s="241">
        <v>5950</v>
      </c>
      <c r="L66" s="241">
        <f t="shared" si="3"/>
        <v>5950</v>
      </c>
      <c r="M66" s="328"/>
      <c r="N66" s="328"/>
      <c r="O66" s="390"/>
      <c r="P66" s="269"/>
      <c r="Q66" s="350">
        <v>5950</v>
      </c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09"/>
      <c r="AC66" s="372"/>
    </row>
    <row r="67" spans="1:49" s="71" customFormat="1" ht="52.8" x14ac:dyDescent="0.3">
      <c r="A67" s="181"/>
      <c r="B67" s="177" t="s">
        <v>37</v>
      </c>
      <c r="C67" s="181" t="s">
        <v>751</v>
      </c>
      <c r="D67" s="177" t="s">
        <v>752</v>
      </c>
      <c r="E67" s="178" t="s">
        <v>776</v>
      </c>
      <c r="F67" s="403" t="s">
        <v>754</v>
      </c>
      <c r="G67" s="183">
        <v>44291</v>
      </c>
      <c r="H67" s="183">
        <v>44291</v>
      </c>
      <c r="I67" s="181" t="s">
        <v>753</v>
      </c>
      <c r="J67" s="177" t="s">
        <v>49</v>
      </c>
      <c r="K67" s="76">
        <v>576017</v>
      </c>
      <c r="L67" s="129">
        <f t="shared" si="3"/>
        <v>172805.1</v>
      </c>
      <c r="M67" s="189"/>
      <c r="N67" s="189"/>
      <c r="O67" s="384"/>
      <c r="P67" s="32"/>
      <c r="Q67" s="184"/>
      <c r="R67" s="30">
        <v>172805.1</v>
      </c>
      <c r="S67" s="184"/>
      <c r="T67" s="184"/>
      <c r="U67" s="184"/>
      <c r="V67" s="184"/>
      <c r="W67" s="184"/>
      <c r="X67" s="184"/>
      <c r="Y67" s="184"/>
      <c r="Z67" s="184"/>
      <c r="AA67" s="184"/>
      <c r="AB67" s="181"/>
      <c r="AC67" s="335"/>
    </row>
    <row r="68" spans="1:49" ht="39.6" x14ac:dyDescent="0.3">
      <c r="A68" s="181"/>
      <c r="B68" s="177" t="s">
        <v>37</v>
      </c>
      <c r="C68" s="181" t="s">
        <v>761</v>
      </c>
      <c r="D68" s="177" t="s">
        <v>777</v>
      </c>
      <c r="E68" s="178" t="s">
        <v>778</v>
      </c>
      <c r="F68" s="403" t="s">
        <v>780</v>
      </c>
      <c r="G68" s="183">
        <v>44302</v>
      </c>
      <c r="H68" s="183">
        <v>44302</v>
      </c>
      <c r="I68" s="181" t="s">
        <v>779</v>
      </c>
      <c r="J68" s="177" t="s">
        <v>49</v>
      </c>
      <c r="K68" s="76">
        <v>440000</v>
      </c>
      <c r="L68" s="129">
        <f t="shared" si="3"/>
        <v>0</v>
      </c>
      <c r="M68" s="76"/>
      <c r="N68" s="76"/>
      <c r="O68" s="382"/>
      <c r="P68" s="184"/>
      <c r="Q68" s="184"/>
      <c r="R68" s="113" t="s">
        <v>802</v>
      </c>
      <c r="S68" s="184"/>
      <c r="T68" s="184"/>
      <c r="U68" s="184"/>
      <c r="V68" s="184"/>
      <c r="W68" s="184"/>
      <c r="X68" s="184"/>
      <c r="Y68" s="184"/>
      <c r="Z68" s="184"/>
      <c r="AA68" s="184"/>
      <c r="AB68" s="184"/>
      <c r="AC68" s="335"/>
    </row>
    <row r="69" spans="1:49" s="210" customFormat="1" ht="39.6" x14ac:dyDescent="0.3">
      <c r="A69" s="209"/>
      <c r="B69" s="209"/>
      <c r="C69" s="208" t="s">
        <v>730</v>
      </c>
      <c r="D69" s="208" t="s">
        <v>786</v>
      </c>
      <c r="E69" s="208" t="s">
        <v>787</v>
      </c>
      <c r="F69" s="208"/>
      <c r="G69" s="240">
        <v>44294</v>
      </c>
      <c r="H69" s="209" t="s">
        <v>111</v>
      </c>
      <c r="I69" s="209" t="s">
        <v>111</v>
      </c>
      <c r="J69" s="208" t="s">
        <v>348</v>
      </c>
      <c r="K69" s="241">
        <v>2540</v>
      </c>
      <c r="L69" s="241">
        <f t="shared" si="3"/>
        <v>2540</v>
      </c>
      <c r="M69" s="328"/>
      <c r="N69" s="328"/>
      <c r="O69" s="390"/>
      <c r="P69" s="269"/>
      <c r="Q69" s="350"/>
      <c r="R69" s="350">
        <v>2540</v>
      </c>
      <c r="S69" s="268"/>
      <c r="T69" s="268"/>
      <c r="U69" s="268"/>
      <c r="V69" s="268"/>
      <c r="W69" s="268"/>
      <c r="X69" s="268"/>
      <c r="Y69" s="268"/>
      <c r="Z69" s="268"/>
      <c r="AA69" s="268"/>
      <c r="AB69" s="209"/>
      <c r="AC69" s="372"/>
    </row>
    <row r="70" spans="1:49" s="109" customFormat="1" ht="39.75" customHeight="1" x14ac:dyDescent="0.3">
      <c r="A70" s="182"/>
      <c r="B70" s="177" t="s">
        <v>37</v>
      </c>
      <c r="C70" s="177" t="s">
        <v>55</v>
      </c>
      <c r="D70" s="177" t="s">
        <v>88</v>
      </c>
      <c r="E70" s="376">
        <v>21301070</v>
      </c>
      <c r="F70" s="177"/>
      <c r="G70" s="131">
        <v>44328</v>
      </c>
      <c r="H70" s="180">
        <v>44335</v>
      </c>
      <c r="I70" s="180">
        <v>44700</v>
      </c>
      <c r="J70" s="177" t="s">
        <v>25</v>
      </c>
      <c r="K70" s="130">
        <v>76800</v>
      </c>
      <c r="L70" s="129">
        <f t="shared" si="3"/>
        <v>0</v>
      </c>
      <c r="M70" s="277"/>
      <c r="N70" s="277"/>
      <c r="O70" s="382"/>
      <c r="P70" s="184"/>
      <c r="Q70" s="179"/>
      <c r="R70" s="32"/>
      <c r="S70" s="189"/>
      <c r="T70" s="184"/>
      <c r="U70" s="184"/>
      <c r="V70" s="184"/>
      <c r="W70" s="184"/>
      <c r="X70" s="184"/>
      <c r="Y70" s="184"/>
      <c r="Z70" s="184"/>
      <c r="AA70" s="184"/>
      <c r="AB70" s="190"/>
    </row>
    <row r="71" spans="1:49" s="210" customFormat="1" ht="39.75" customHeight="1" x14ac:dyDescent="0.3">
      <c r="A71" s="209"/>
      <c r="B71" s="209" t="s">
        <v>66</v>
      </c>
      <c r="C71" s="208" t="s">
        <v>336</v>
      </c>
      <c r="D71" s="364" t="s">
        <v>804</v>
      </c>
      <c r="E71" s="322" t="s">
        <v>803</v>
      </c>
      <c r="F71" s="209"/>
      <c r="G71" s="322">
        <v>44292</v>
      </c>
      <c r="H71" s="209" t="s">
        <v>111</v>
      </c>
      <c r="I71" s="209" t="s">
        <v>111</v>
      </c>
      <c r="J71" s="208" t="s">
        <v>336</v>
      </c>
      <c r="K71" s="241">
        <v>750</v>
      </c>
      <c r="L71" s="241">
        <f t="shared" si="3"/>
        <v>750</v>
      </c>
      <c r="M71" s="322"/>
      <c r="N71" s="322"/>
      <c r="O71" s="397"/>
      <c r="P71" s="209"/>
      <c r="Q71" s="209"/>
      <c r="R71" s="350">
        <v>750</v>
      </c>
      <c r="S71" s="209"/>
      <c r="T71" s="209"/>
      <c r="U71" s="209"/>
      <c r="V71" s="209"/>
      <c r="W71" s="209"/>
      <c r="X71" s="209"/>
      <c r="Y71" s="209"/>
      <c r="Z71" s="209"/>
      <c r="AA71" s="209"/>
      <c r="AB71" s="209"/>
      <c r="AC71" s="209"/>
      <c r="AD71" s="325"/>
      <c r="AE71" s="325"/>
      <c r="AF71" s="325"/>
      <c r="AG71" s="325"/>
      <c r="AH71" s="328">
        <v>750</v>
      </c>
      <c r="AI71" s="325"/>
      <c r="AJ71" s="325"/>
      <c r="AK71" s="325"/>
      <c r="AL71" s="325"/>
      <c r="AM71" s="325"/>
      <c r="AN71" s="325"/>
      <c r="AO71" s="325"/>
      <c r="AP71" s="325"/>
      <c r="AQ71" s="325"/>
      <c r="AR71" s="325"/>
      <c r="AS71" s="325"/>
      <c r="AT71" s="325"/>
      <c r="AU71" s="325"/>
      <c r="AV71" s="325"/>
      <c r="AW71" s="325"/>
    </row>
    <row r="72" spans="1:49" s="210" customFormat="1" ht="39.75" customHeight="1" x14ac:dyDescent="0.3">
      <c r="A72" s="209"/>
      <c r="B72" s="209" t="s">
        <v>66</v>
      </c>
      <c r="C72" s="208" t="s">
        <v>336</v>
      </c>
      <c r="D72" s="364" t="s">
        <v>809</v>
      </c>
      <c r="E72" s="322" t="s">
        <v>810</v>
      </c>
      <c r="F72" s="209"/>
      <c r="G72" s="322">
        <v>44316</v>
      </c>
      <c r="H72" s="209" t="s">
        <v>111</v>
      </c>
      <c r="I72" s="209" t="s">
        <v>111</v>
      </c>
      <c r="J72" s="208" t="s">
        <v>336</v>
      </c>
      <c r="K72" s="241">
        <v>540</v>
      </c>
      <c r="L72" s="241">
        <f t="shared" si="3"/>
        <v>540</v>
      </c>
      <c r="M72" s="322"/>
      <c r="N72" s="322"/>
      <c r="O72" s="397"/>
      <c r="P72" s="209"/>
      <c r="Q72" s="209"/>
      <c r="R72" s="350">
        <v>540</v>
      </c>
      <c r="S72" s="209"/>
      <c r="T72" s="209"/>
      <c r="U72" s="209"/>
      <c r="V72" s="209"/>
      <c r="W72" s="209"/>
      <c r="X72" s="209"/>
      <c r="Y72" s="209"/>
      <c r="Z72" s="209"/>
      <c r="AA72" s="209"/>
      <c r="AB72" s="209"/>
      <c r="AC72" s="209"/>
      <c r="AD72" s="325"/>
      <c r="AE72" s="325"/>
      <c r="AF72" s="325"/>
      <c r="AG72" s="325"/>
      <c r="AH72" s="328">
        <v>750</v>
      </c>
      <c r="AI72" s="325"/>
      <c r="AJ72" s="325"/>
      <c r="AK72" s="325"/>
      <c r="AL72" s="325"/>
      <c r="AM72" s="325"/>
      <c r="AN72" s="325"/>
      <c r="AO72" s="325"/>
      <c r="AP72" s="325"/>
      <c r="AQ72" s="325"/>
      <c r="AR72" s="325"/>
      <c r="AS72" s="325"/>
      <c r="AT72" s="325"/>
      <c r="AU72" s="325"/>
      <c r="AV72" s="325"/>
      <c r="AW72" s="325"/>
    </row>
    <row r="73" spans="1:49" s="393" customFormat="1" ht="26.4" x14ac:dyDescent="0.3">
      <c r="A73" s="181"/>
      <c r="B73" s="181" t="s">
        <v>610</v>
      </c>
      <c r="C73" s="177" t="s">
        <v>797</v>
      </c>
      <c r="D73" s="177" t="s">
        <v>821</v>
      </c>
      <c r="E73" s="339" t="s">
        <v>848</v>
      </c>
      <c r="F73" s="181"/>
      <c r="G73" s="181"/>
      <c r="H73" s="181"/>
      <c r="I73" s="183">
        <v>44515</v>
      </c>
      <c r="J73" s="177" t="s">
        <v>493</v>
      </c>
      <c r="K73" s="129">
        <v>38970</v>
      </c>
      <c r="L73" s="129">
        <f t="shared" si="3"/>
        <v>0</v>
      </c>
      <c r="M73" s="76"/>
      <c r="N73" s="76"/>
      <c r="O73" s="382"/>
      <c r="P73" s="184"/>
      <c r="Q73" s="184"/>
      <c r="R73" s="184"/>
      <c r="S73" s="184"/>
      <c r="T73" s="184"/>
      <c r="U73" s="184"/>
      <c r="V73" s="184"/>
      <c r="W73" s="184"/>
      <c r="X73" s="184"/>
      <c r="Y73" s="184"/>
      <c r="Z73" s="184"/>
      <c r="AA73" s="184"/>
      <c r="AB73" s="184"/>
      <c r="AC73" s="335"/>
    </row>
    <row r="74" spans="1:49" x14ac:dyDescent="0.3">
      <c r="A74" s="72"/>
      <c r="B74" s="294"/>
      <c r="C74" s="177" t="s">
        <v>862</v>
      </c>
      <c r="D74" s="177" t="s">
        <v>864</v>
      </c>
      <c r="E74" s="178" t="s">
        <v>863</v>
      </c>
      <c r="F74" s="294"/>
      <c r="G74" s="294"/>
      <c r="H74" s="183">
        <v>44341</v>
      </c>
      <c r="I74" s="183">
        <v>44340</v>
      </c>
      <c r="J74" s="177" t="s">
        <v>25</v>
      </c>
      <c r="K74" s="129">
        <v>7377.68</v>
      </c>
      <c r="L74" s="292"/>
      <c r="M74" s="292"/>
      <c r="N74" s="292"/>
      <c r="O74" s="389"/>
      <c r="P74" s="295"/>
      <c r="Q74" s="295"/>
      <c r="R74" s="295"/>
      <c r="S74" s="295"/>
      <c r="T74" s="295"/>
      <c r="U74" s="295"/>
      <c r="V74" s="295"/>
      <c r="W74" s="295"/>
      <c r="X74" s="295"/>
      <c r="Y74" s="293"/>
      <c r="Z74" s="295"/>
      <c r="AA74" s="295"/>
      <c r="AB74" s="295"/>
    </row>
    <row r="75" spans="1:49" ht="26.4" x14ac:dyDescent="0.3">
      <c r="A75" s="72"/>
      <c r="B75" s="181" t="s">
        <v>610</v>
      </c>
      <c r="C75" s="177" t="s">
        <v>797</v>
      </c>
      <c r="D75" s="177" t="s">
        <v>865</v>
      </c>
      <c r="E75" s="294"/>
      <c r="F75" s="294"/>
      <c r="G75" s="294"/>
      <c r="H75" s="294"/>
      <c r="I75" s="183">
        <v>44515</v>
      </c>
      <c r="J75" s="177" t="s">
        <v>493</v>
      </c>
      <c r="K75" s="129">
        <v>19980</v>
      </c>
      <c r="L75" s="292"/>
      <c r="M75" s="292"/>
      <c r="N75" s="292"/>
      <c r="O75" s="389"/>
      <c r="P75" s="295"/>
      <c r="Q75" s="295"/>
      <c r="R75" s="295"/>
      <c r="S75" s="295"/>
      <c r="T75" s="295"/>
      <c r="U75" s="295"/>
      <c r="V75" s="295"/>
      <c r="W75" s="295"/>
      <c r="X75" s="295"/>
      <c r="Y75" s="293"/>
      <c r="Z75" s="295"/>
      <c r="AA75" s="295"/>
      <c r="AB75" s="295"/>
    </row>
    <row r="76" spans="1:49" x14ac:dyDescent="0.3">
      <c r="A76" s="72"/>
      <c r="B76" s="294"/>
      <c r="C76" s="72"/>
      <c r="D76" s="72"/>
      <c r="E76" s="294"/>
      <c r="F76" s="294"/>
      <c r="G76" s="294"/>
      <c r="H76" s="294"/>
      <c r="I76" s="294"/>
      <c r="J76" s="294"/>
      <c r="K76" s="349"/>
      <c r="L76" s="292"/>
      <c r="M76" s="292"/>
      <c r="N76" s="292"/>
      <c r="O76" s="389"/>
      <c r="P76" s="295"/>
      <c r="Q76" s="295"/>
      <c r="R76" s="295"/>
      <c r="S76" s="295"/>
      <c r="T76" s="295"/>
      <c r="U76" s="295"/>
      <c r="V76" s="295"/>
      <c r="W76" s="295"/>
      <c r="X76" s="295"/>
      <c r="Y76" s="293"/>
      <c r="Z76" s="295"/>
      <c r="AA76" s="295"/>
      <c r="AB76" s="295"/>
    </row>
    <row r="77" spans="1:49" x14ac:dyDescent="0.3">
      <c r="A77" s="72"/>
      <c r="B77" s="294"/>
      <c r="C77" s="72"/>
      <c r="D77" s="72"/>
      <c r="E77" s="294"/>
      <c r="F77" s="294"/>
      <c r="G77" s="294"/>
      <c r="H77" s="294"/>
      <c r="I77" s="294"/>
      <c r="J77" s="294"/>
      <c r="K77" s="349"/>
      <c r="L77" s="292"/>
      <c r="M77" s="292"/>
      <c r="N77" s="292"/>
      <c r="O77" s="389"/>
      <c r="P77" s="295"/>
      <c r="Q77" s="295"/>
      <c r="R77" s="295"/>
      <c r="S77" s="295"/>
      <c r="T77" s="295"/>
      <c r="U77" s="295"/>
      <c r="V77" s="295"/>
      <c r="W77" s="295"/>
      <c r="X77" s="295"/>
      <c r="Y77" s="293"/>
      <c r="Z77" s="295"/>
      <c r="AA77" s="295"/>
      <c r="AB77" s="295"/>
    </row>
    <row r="78" spans="1:49" x14ac:dyDescent="0.3">
      <c r="A78" s="72"/>
      <c r="B78" s="294"/>
      <c r="C78" s="72"/>
      <c r="D78" s="72"/>
      <c r="E78" s="294"/>
      <c r="F78" s="294"/>
      <c r="G78" s="294"/>
      <c r="H78" s="294"/>
      <c r="I78" s="294"/>
      <c r="J78" s="294"/>
      <c r="K78" s="349"/>
      <c r="L78" s="292"/>
      <c r="M78" s="292"/>
      <c r="N78" s="292"/>
      <c r="O78" s="389"/>
      <c r="P78" s="295"/>
      <c r="Q78" s="295"/>
      <c r="R78" s="295"/>
      <c r="S78" s="295"/>
      <c r="T78" s="295"/>
      <c r="U78" s="295"/>
      <c r="V78" s="295"/>
      <c r="W78" s="295"/>
      <c r="X78" s="295"/>
      <c r="Y78" s="293"/>
      <c r="Z78" s="295"/>
      <c r="AA78" s="295"/>
      <c r="AB78" s="295"/>
    </row>
    <row r="79" spans="1:49" x14ac:dyDescent="0.3">
      <c r="A79" s="72"/>
      <c r="B79" s="294"/>
      <c r="C79" s="72"/>
      <c r="D79" s="72"/>
      <c r="E79" s="294"/>
      <c r="F79" s="294"/>
      <c r="G79" s="294"/>
      <c r="H79" s="294"/>
      <c r="I79" s="294"/>
      <c r="J79" s="294"/>
      <c r="K79" s="349"/>
      <c r="L79" s="292"/>
      <c r="M79" s="292"/>
      <c r="N79" s="292"/>
      <c r="O79" s="389"/>
      <c r="P79" s="295"/>
      <c r="Q79" s="295"/>
      <c r="R79" s="295"/>
      <c r="S79" s="295"/>
      <c r="T79" s="295"/>
      <c r="U79" s="295"/>
      <c r="V79" s="295"/>
      <c r="W79" s="295"/>
      <c r="X79" s="295"/>
      <c r="Y79" s="293"/>
      <c r="Z79" s="295"/>
      <c r="AA79" s="295"/>
      <c r="AB79" s="295"/>
    </row>
    <row r="80" spans="1:49" x14ac:dyDescent="0.3">
      <c r="A80" s="72"/>
      <c r="B80" s="294"/>
      <c r="C80" s="72"/>
      <c r="D80" s="72"/>
      <c r="E80" s="294"/>
      <c r="F80" s="294"/>
      <c r="G80" s="294"/>
      <c r="H80" s="294"/>
      <c r="I80" s="294"/>
      <c r="J80" s="294"/>
      <c r="K80" s="349"/>
      <c r="L80" s="292"/>
      <c r="M80" s="292"/>
      <c r="N80" s="292"/>
      <c r="O80" s="389"/>
      <c r="P80" s="295"/>
      <c r="Q80" s="295"/>
      <c r="R80" s="295"/>
      <c r="S80" s="295"/>
      <c r="T80" s="295"/>
      <c r="U80" s="295"/>
      <c r="V80" s="295"/>
      <c r="W80" s="295"/>
      <c r="X80" s="295"/>
      <c r="Y80" s="293"/>
      <c r="Z80" s="295"/>
      <c r="AA80" s="295"/>
      <c r="AB80" s="295"/>
    </row>
    <row r="81" spans="1:28" x14ac:dyDescent="0.3">
      <c r="A81" s="72"/>
      <c r="B81" s="294"/>
      <c r="C81" s="72"/>
      <c r="D81" s="72"/>
      <c r="E81" s="294"/>
      <c r="F81" s="294"/>
      <c r="G81" s="294"/>
      <c r="H81" s="294"/>
      <c r="I81" s="294"/>
      <c r="J81" s="294"/>
      <c r="K81" s="349"/>
      <c r="L81" s="292"/>
      <c r="M81" s="292"/>
      <c r="N81" s="292"/>
      <c r="O81" s="389"/>
      <c r="P81" s="295"/>
      <c r="Q81" s="295"/>
      <c r="R81" s="295"/>
      <c r="S81" s="295"/>
      <c r="T81" s="295"/>
      <c r="U81" s="295"/>
      <c r="V81" s="295"/>
      <c r="W81" s="295"/>
      <c r="X81" s="295"/>
      <c r="Y81" s="293"/>
      <c r="Z81" s="295"/>
      <c r="AA81" s="295"/>
      <c r="AB81" s="295"/>
    </row>
    <row r="82" spans="1:28" x14ac:dyDescent="0.3">
      <c r="A82" s="72"/>
      <c r="B82" s="294"/>
      <c r="C82" s="72"/>
      <c r="D82" s="72"/>
      <c r="E82" s="294"/>
      <c r="F82" s="294"/>
      <c r="G82" s="294"/>
      <c r="H82" s="294"/>
      <c r="I82" s="294"/>
      <c r="J82" s="294"/>
      <c r="K82" s="349"/>
      <c r="L82" s="292"/>
      <c r="M82" s="292"/>
      <c r="N82" s="292"/>
      <c r="O82" s="389"/>
      <c r="P82" s="295"/>
      <c r="Q82" s="295"/>
      <c r="R82" s="295"/>
      <c r="S82" s="295"/>
      <c r="T82" s="295"/>
      <c r="U82" s="295"/>
      <c r="V82" s="295"/>
      <c r="W82" s="295"/>
      <c r="X82" s="295"/>
      <c r="Y82" s="293"/>
      <c r="Z82" s="295"/>
      <c r="AA82" s="295"/>
      <c r="AB82" s="295"/>
    </row>
    <row r="83" spans="1:28" x14ac:dyDescent="0.3">
      <c r="A83" s="72"/>
      <c r="B83" s="294"/>
      <c r="C83" s="72"/>
      <c r="D83" s="72"/>
      <c r="E83" s="294"/>
      <c r="F83" s="294"/>
      <c r="G83" s="294"/>
      <c r="H83" s="294"/>
      <c r="I83" s="294"/>
      <c r="J83" s="294"/>
      <c r="K83" s="349"/>
      <c r="L83" s="292"/>
      <c r="M83" s="292"/>
      <c r="N83" s="292"/>
      <c r="O83" s="389"/>
      <c r="P83" s="295"/>
      <c r="Q83" s="295"/>
      <c r="R83" s="295"/>
      <c r="S83" s="295"/>
      <c r="T83" s="295"/>
      <c r="U83" s="295"/>
      <c r="V83" s="295"/>
      <c r="W83" s="295"/>
      <c r="X83" s="295"/>
      <c r="Y83" s="293"/>
      <c r="Z83" s="295"/>
      <c r="AA83" s="295"/>
      <c r="AB83" s="295"/>
    </row>
    <row r="84" spans="1:28" x14ac:dyDescent="0.3">
      <c r="A84" s="72"/>
      <c r="B84" s="294"/>
      <c r="C84" s="72"/>
      <c r="D84" s="72"/>
      <c r="E84" s="294"/>
      <c r="F84" s="294"/>
      <c r="G84" s="294"/>
      <c r="H84" s="294"/>
      <c r="I84" s="294"/>
      <c r="J84" s="294"/>
      <c r="K84" s="349"/>
      <c r="L84" s="292"/>
      <c r="M84" s="292"/>
      <c r="N84" s="292"/>
      <c r="O84" s="389"/>
      <c r="P84" s="295"/>
      <c r="Q84" s="295"/>
      <c r="R84" s="295"/>
      <c r="S84" s="295"/>
      <c r="T84" s="295"/>
      <c r="U84" s="295"/>
      <c r="V84" s="295"/>
      <c r="W84" s="295"/>
      <c r="X84" s="295"/>
      <c r="Y84" s="293"/>
      <c r="Z84" s="295"/>
      <c r="AA84" s="295"/>
      <c r="AB84" s="295"/>
    </row>
    <row r="85" spans="1:28" x14ac:dyDescent="0.3">
      <c r="A85" s="72"/>
      <c r="B85" s="294"/>
      <c r="C85" s="72"/>
      <c r="D85" s="72"/>
      <c r="E85" s="294"/>
      <c r="F85" s="294"/>
      <c r="G85" s="294"/>
      <c r="H85" s="294"/>
      <c r="I85" s="294"/>
      <c r="J85" s="294"/>
      <c r="K85" s="349"/>
      <c r="L85" s="292"/>
      <c r="M85" s="292"/>
      <c r="N85" s="292"/>
      <c r="O85" s="389"/>
      <c r="P85" s="295"/>
      <c r="Q85" s="295"/>
      <c r="R85" s="295"/>
      <c r="S85" s="295"/>
      <c r="T85" s="295"/>
      <c r="U85" s="295"/>
      <c r="V85" s="295"/>
      <c r="W85" s="295"/>
      <c r="X85" s="295"/>
      <c r="Y85" s="293"/>
      <c r="Z85" s="295"/>
      <c r="AA85" s="295"/>
      <c r="AB85" s="295"/>
    </row>
    <row r="86" spans="1:28" x14ac:dyDescent="0.3">
      <c r="A86" s="72"/>
      <c r="B86" s="294"/>
      <c r="C86" s="72"/>
      <c r="D86" s="72"/>
      <c r="E86" s="294"/>
      <c r="F86" s="294"/>
      <c r="G86" s="294"/>
      <c r="H86" s="294"/>
      <c r="I86" s="294"/>
      <c r="J86" s="294"/>
      <c r="K86" s="349"/>
      <c r="L86" s="292"/>
      <c r="M86" s="292"/>
      <c r="N86" s="292"/>
      <c r="O86" s="389"/>
      <c r="P86" s="295"/>
      <c r="Q86" s="295"/>
      <c r="R86" s="295"/>
      <c r="S86" s="295"/>
      <c r="T86" s="295"/>
      <c r="U86" s="295"/>
      <c r="V86" s="295"/>
      <c r="W86" s="295"/>
      <c r="X86" s="295"/>
      <c r="Y86" s="293"/>
      <c r="Z86" s="295"/>
      <c r="AA86" s="295"/>
      <c r="AB86" s="295"/>
    </row>
    <row r="87" spans="1:28" x14ac:dyDescent="0.3">
      <c r="A87" s="72"/>
      <c r="B87" s="294"/>
      <c r="C87" s="72"/>
      <c r="D87" s="72"/>
      <c r="E87" s="294"/>
      <c r="F87" s="294"/>
      <c r="G87" s="294"/>
      <c r="H87" s="294"/>
      <c r="I87" s="294"/>
      <c r="J87" s="294"/>
      <c r="K87" s="349"/>
      <c r="L87" s="292"/>
      <c r="M87" s="292"/>
      <c r="N87" s="292"/>
      <c r="O87" s="389"/>
      <c r="P87" s="295"/>
      <c r="Q87" s="295"/>
      <c r="R87" s="295"/>
      <c r="S87" s="295"/>
      <c r="T87" s="295"/>
      <c r="U87" s="295"/>
      <c r="V87" s="295"/>
      <c r="W87" s="295"/>
      <c r="X87" s="295"/>
      <c r="Y87" s="293"/>
      <c r="Z87" s="295"/>
      <c r="AA87" s="295"/>
      <c r="AB87" s="295"/>
    </row>
    <row r="88" spans="1:28" x14ac:dyDescent="0.3">
      <c r="A88" s="72"/>
      <c r="B88" s="294"/>
      <c r="C88" s="72"/>
      <c r="D88" s="72"/>
      <c r="E88" s="294"/>
      <c r="F88" s="294"/>
      <c r="G88" s="294"/>
      <c r="H88" s="294"/>
      <c r="I88" s="294"/>
      <c r="J88" s="294"/>
      <c r="K88" s="349"/>
      <c r="L88" s="292"/>
      <c r="M88" s="292"/>
      <c r="N88" s="292"/>
      <c r="O88" s="389"/>
      <c r="P88" s="295"/>
      <c r="Q88" s="295"/>
      <c r="R88" s="295"/>
      <c r="S88" s="295"/>
      <c r="T88" s="295"/>
      <c r="U88" s="295"/>
      <c r="V88" s="295"/>
      <c r="W88" s="295"/>
      <c r="X88" s="295"/>
      <c r="Y88" s="293"/>
      <c r="Z88" s="295"/>
      <c r="AA88" s="295"/>
      <c r="AB88" s="295"/>
    </row>
    <row r="89" spans="1:28" x14ac:dyDescent="0.3">
      <c r="A89" s="72"/>
      <c r="B89" s="294"/>
      <c r="C89" s="72"/>
      <c r="D89" s="72"/>
      <c r="E89" s="294"/>
      <c r="F89" s="294"/>
      <c r="G89" s="294"/>
      <c r="H89" s="294"/>
      <c r="I89" s="294"/>
      <c r="J89" s="294"/>
      <c r="K89" s="349"/>
      <c r="L89" s="292"/>
      <c r="M89" s="292"/>
      <c r="N89" s="292"/>
      <c r="O89" s="295"/>
      <c r="P89" s="295"/>
      <c r="Q89" s="295"/>
      <c r="R89" s="295"/>
      <c r="S89" s="295"/>
      <c r="T89" s="295"/>
      <c r="U89" s="295"/>
      <c r="V89" s="295"/>
      <c r="W89" s="295"/>
      <c r="X89" s="295"/>
      <c r="Y89" s="293"/>
      <c r="Z89" s="295"/>
      <c r="AA89" s="295"/>
      <c r="AB89" s="295"/>
    </row>
    <row r="90" spans="1:28" x14ac:dyDescent="0.3">
      <c r="A90" s="72"/>
      <c r="B90" s="294"/>
      <c r="C90" s="72"/>
      <c r="D90" s="72"/>
      <c r="E90" s="294"/>
      <c r="F90" s="294"/>
      <c r="G90" s="294"/>
      <c r="H90" s="294"/>
      <c r="I90" s="294"/>
      <c r="J90" s="294"/>
      <c r="K90" s="349"/>
      <c r="L90" s="292"/>
      <c r="M90" s="292"/>
      <c r="N90" s="292"/>
      <c r="O90" s="295"/>
      <c r="P90" s="295"/>
      <c r="Q90" s="295"/>
      <c r="R90" s="295"/>
      <c r="S90" s="295"/>
      <c r="T90" s="295"/>
      <c r="U90" s="295"/>
      <c r="V90" s="295"/>
      <c r="W90" s="295"/>
      <c r="X90" s="295"/>
      <c r="Y90" s="293"/>
      <c r="Z90" s="295"/>
      <c r="AA90" s="295"/>
      <c r="AB90" s="295"/>
    </row>
  </sheetData>
  <autoFilter ref="A1:Z71"/>
  <sortState ref="O2:Q55">
    <sortCondition ref="Q54"/>
  </sortState>
  <phoneticPr fontId="18" type="noConversion"/>
  <pageMargins left="0.7" right="0.7" top="0.75" bottom="0.75" header="0.3" footer="0.3"/>
  <pageSetup paperSize="9" scale="56" fitToHeight="0" orientation="landscape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U93"/>
  <sheetViews>
    <sheetView zoomScaleNormal="100" workbookViewId="0">
      <pane ySplit="1" topLeftCell="A44" activePane="bottomLeft" state="frozen"/>
      <selection pane="bottomLeft" activeCell="A58" sqref="A58"/>
    </sheetView>
  </sheetViews>
  <sheetFormatPr defaultRowHeight="14.4" x14ac:dyDescent="0.3"/>
  <cols>
    <col min="1" max="1" width="3.6640625" customWidth="1"/>
    <col min="2" max="2" width="10" customWidth="1"/>
    <col min="3" max="3" width="6.109375" customWidth="1"/>
    <col min="4" max="4" width="9.109375" customWidth="1"/>
    <col min="5" max="5" width="20.88671875" style="9" customWidth="1"/>
    <col min="6" max="6" width="35.6640625" style="7" customWidth="1"/>
    <col min="7" max="7" width="19.44140625" customWidth="1"/>
    <col min="8" max="8" width="18" customWidth="1"/>
    <col min="9" max="9" width="12.109375" style="24" customWidth="1"/>
    <col min="10" max="10" width="12.109375" style="151" customWidth="1"/>
    <col min="11" max="11" width="11.33203125" style="36" customWidth="1"/>
    <col min="12" max="12" width="15.5546875" customWidth="1"/>
    <col min="13" max="13" width="16" style="33" customWidth="1"/>
    <col min="14" max="14" width="17.109375" style="38" customWidth="1"/>
    <col min="15" max="15" width="15.109375" style="195" customWidth="1"/>
    <col min="16" max="16" width="15.33203125" style="195" customWidth="1"/>
    <col min="17" max="17" width="18.5546875" style="195" customWidth="1"/>
    <col min="18" max="18" width="18.6640625" customWidth="1"/>
    <col min="19" max="19" width="15.5546875" customWidth="1"/>
    <col min="20" max="20" width="12.88671875" style="11" customWidth="1"/>
    <col min="21" max="21" width="12.88671875" style="116" customWidth="1"/>
    <col min="22" max="22" width="12" style="11" customWidth="1"/>
    <col min="23" max="23" width="13.109375" style="11" customWidth="1"/>
    <col min="24" max="24" width="12" style="11" customWidth="1"/>
    <col min="25" max="25" width="11.88671875" style="11" customWidth="1"/>
    <col min="26" max="26" width="11.109375" style="11" customWidth="1"/>
    <col min="27" max="27" width="11.88671875" style="11" customWidth="1"/>
    <col min="28" max="28" width="12" style="11" customWidth="1"/>
    <col min="29" max="33" width="11.88671875" style="11" customWidth="1"/>
    <col min="34" max="34" width="10.5546875" style="11" customWidth="1"/>
    <col min="35" max="35" width="13.44140625" style="11" customWidth="1"/>
    <col min="36" max="36" width="14" style="11" customWidth="1"/>
    <col min="37" max="37" width="11" customWidth="1"/>
    <col min="38" max="38" width="14.6640625" customWidth="1"/>
    <col min="39" max="39" width="13.33203125" style="39" customWidth="1"/>
  </cols>
  <sheetData>
    <row r="1" spans="1:47" s="6" customFormat="1" ht="66" x14ac:dyDescent="0.3">
      <c r="A1" s="170" t="s">
        <v>0</v>
      </c>
      <c r="B1" s="162" t="s">
        <v>1</v>
      </c>
      <c r="C1" s="162" t="s">
        <v>89</v>
      </c>
      <c r="D1" s="162" t="s">
        <v>45</v>
      </c>
      <c r="E1" s="171" t="s">
        <v>29</v>
      </c>
      <c r="F1" s="162" t="s">
        <v>291</v>
      </c>
      <c r="G1" s="162" t="s">
        <v>2</v>
      </c>
      <c r="H1" s="172" t="s">
        <v>51</v>
      </c>
      <c r="I1" s="164" t="s">
        <v>5</v>
      </c>
      <c r="J1" s="150" t="s">
        <v>81</v>
      </c>
      <c r="K1" s="164" t="s">
        <v>6</v>
      </c>
      <c r="L1" s="173" t="s">
        <v>7</v>
      </c>
      <c r="M1" s="173" t="s">
        <v>9</v>
      </c>
      <c r="N1" s="174" t="s">
        <v>46</v>
      </c>
      <c r="O1" s="174" t="s">
        <v>47</v>
      </c>
      <c r="P1" s="174" t="s">
        <v>292</v>
      </c>
      <c r="Q1" s="174" t="s">
        <v>695</v>
      </c>
      <c r="R1" s="175" t="s">
        <v>130</v>
      </c>
      <c r="S1" s="175" t="s">
        <v>131</v>
      </c>
      <c r="T1" s="169" t="s">
        <v>294</v>
      </c>
      <c r="U1" s="169" t="s">
        <v>668</v>
      </c>
      <c r="V1" s="187" t="s">
        <v>537</v>
      </c>
      <c r="W1" s="187" t="s">
        <v>538</v>
      </c>
      <c r="X1" s="187" t="s">
        <v>539</v>
      </c>
      <c r="Y1" s="187" t="s">
        <v>540</v>
      </c>
      <c r="Z1" s="187" t="s">
        <v>541</v>
      </c>
      <c r="AA1" s="187" t="s">
        <v>542</v>
      </c>
      <c r="AB1" s="187" t="s">
        <v>543</v>
      </c>
      <c r="AC1" s="187" t="s">
        <v>544</v>
      </c>
      <c r="AD1" s="187" t="s">
        <v>545</v>
      </c>
      <c r="AE1" s="187" t="s">
        <v>546</v>
      </c>
      <c r="AF1" s="187" t="s">
        <v>547</v>
      </c>
      <c r="AG1" s="187" t="s">
        <v>548</v>
      </c>
      <c r="AH1" s="174" t="s">
        <v>77</v>
      </c>
      <c r="AI1" s="174" t="s">
        <v>75</v>
      </c>
      <c r="AJ1" s="174" t="s">
        <v>76</v>
      </c>
      <c r="AK1" s="165" t="s">
        <v>79</v>
      </c>
      <c r="AL1" s="165" t="s">
        <v>78</v>
      </c>
      <c r="AM1" s="175" t="s">
        <v>80</v>
      </c>
    </row>
    <row r="2" spans="1:47" s="266" customFormat="1" ht="118.8" x14ac:dyDescent="0.3">
      <c r="A2" s="262"/>
      <c r="B2" s="262" t="s">
        <v>66</v>
      </c>
      <c r="C2" s="262" t="s">
        <v>48</v>
      </c>
      <c r="D2" s="262" t="s">
        <v>59</v>
      </c>
      <c r="E2" s="263" t="s">
        <v>536</v>
      </c>
      <c r="F2" s="262" t="s">
        <v>115</v>
      </c>
      <c r="G2" s="262" t="s">
        <v>151</v>
      </c>
      <c r="H2" s="262" t="s">
        <v>148</v>
      </c>
      <c r="I2" s="264">
        <v>43794</v>
      </c>
      <c r="J2" s="264">
        <v>43796</v>
      </c>
      <c r="K2" s="264">
        <v>43831</v>
      </c>
      <c r="L2" s="264">
        <v>44196</v>
      </c>
      <c r="M2" s="272" t="s">
        <v>607</v>
      </c>
      <c r="N2" s="265">
        <v>1154537.44</v>
      </c>
      <c r="O2" s="265">
        <f>N2-P2</f>
        <v>51124.839999999851</v>
      </c>
      <c r="P2" s="265">
        <v>1103412.6000000001</v>
      </c>
      <c r="Q2" s="265"/>
      <c r="R2" s="262" t="s">
        <v>248</v>
      </c>
      <c r="S2" s="262" t="s">
        <v>111</v>
      </c>
      <c r="T2" s="265">
        <v>1011461.55</v>
      </c>
      <c r="U2" s="279">
        <v>91951.05</v>
      </c>
      <c r="V2" s="334">
        <v>91951.05</v>
      </c>
      <c r="W2" s="265"/>
      <c r="X2" s="265"/>
      <c r="Y2" s="265"/>
      <c r="Z2" s="265"/>
      <c r="AA2" s="265"/>
      <c r="AB2" s="265"/>
      <c r="AC2" s="265"/>
      <c r="AD2" s="265"/>
      <c r="AE2" s="265"/>
      <c r="AF2" s="265"/>
      <c r="AG2" s="265"/>
      <c r="AH2" s="271">
        <v>2</v>
      </c>
      <c r="AI2" s="271">
        <v>0</v>
      </c>
      <c r="AJ2" s="271">
        <v>0</v>
      </c>
      <c r="AK2" s="272"/>
      <c r="AL2" s="272"/>
      <c r="AM2" s="272">
        <v>0</v>
      </c>
      <c r="AU2" s="265"/>
    </row>
    <row r="3" spans="1:47" s="266" customFormat="1" ht="26.4" x14ac:dyDescent="0.3">
      <c r="A3" s="262"/>
      <c r="B3" s="262" t="s">
        <v>66</v>
      </c>
      <c r="C3" s="262" t="s">
        <v>48</v>
      </c>
      <c r="D3" s="262" t="s">
        <v>59</v>
      </c>
      <c r="E3" s="263" t="s">
        <v>133</v>
      </c>
      <c r="F3" s="262" t="s">
        <v>114</v>
      </c>
      <c r="G3" s="262" t="s">
        <v>152</v>
      </c>
      <c r="H3" s="262" t="s">
        <v>136</v>
      </c>
      <c r="I3" s="264">
        <v>43795</v>
      </c>
      <c r="J3" s="264">
        <v>43796</v>
      </c>
      <c r="K3" s="264">
        <v>43831</v>
      </c>
      <c r="L3" s="264">
        <v>44196</v>
      </c>
      <c r="M3" s="272" t="s">
        <v>834</v>
      </c>
      <c r="N3" s="265">
        <v>690000</v>
      </c>
      <c r="O3" s="265">
        <v>0</v>
      </c>
      <c r="P3" s="265">
        <v>690000</v>
      </c>
      <c r="Q3" s="265"/>
      <c r="R3" s="262" t="s">
        <v>276</v>
      </c>
      <c r="S3" s="262" t="s">
        <v>111</v>
      </c>
      <c r="T3" s="265">
        <v>632500</v>
      </c>
      <c r="U3" s="279">
        <v>57500</v>
      </c>
      <c r="V3" s="334">
        <v>57500</v>
      </c>
      <c r="W3" s="265"/>
      <c r="X3" s="265"/>
      <c r="Y3" s="265"/>
      <c r="Z3" s="265"/>
      <c r="AA3" s="265"/>
      <c r="AB3" s="265"/>
      <c r="AC3" s="265"/>
      <c r="AD3" s="265"/>
      <c r="AE3" s="265"/>
      <c r="AF3" s="265"/>
      <c r="AG3" s="265"/>
      <c r="AH3" s="271">
        <v>1</v>
      </c>
      <c r="AI3" s="271">
        <v>0</v>
      </c>
      <c r="AJ3" s="271">
        <v>0</v>
      </c>
      <c r="AK3" s="272"/>
      <c r="AL3" s="272"/>
      <c r="AM3" s="272">
        <v>0</v>
      </c>
      <c r="AU3" s="265"/>
    </row>
    <row r="4" spans="1:47" s="266" customFormat="1" ht="26.4" x14ac:dyDescent="0.3">
      <c r="A4" s="262"/>
      <c r="B4" s="262" t="s">
        <v>66</v>
      </c>
      <c r="C4" s="262" t="s">
        <v>48</v>
      </c>
      <c r="D4" s="262" t="s">
        <v>53</v>
      </c>
      <c r="E4" s="263" t="s">
        <v>156</v>
      </c>
      <c r="F4" s="262" t="s">
        <v>155</v>
      </c>
      <c r="G4" s="262" t="s">
        <v>39</v>
      </c>
      <c r="H4" s="262" t="s">
        <v>160</v>
      </c>
      <c r="I4" s="264">
        <v>43812</v>
      </c>
      <c r="J4" s="264">
        <v>43818</v>
      </c>
      <c r="K4" s="264">
        <v>43832</v>
      </c>
      <c r="L4" s="264">
        <v>44196</v>
      </c>
      <c r="M4" s="272" t="s">
        <v>834</v>
      </c>
      <c r="N4" s="265">
        <v>240000</v>
      </c>
      <c r="O4" s="265">
        <f t="shared" ref="O4:O44" si="0">SUM(N4- P4)</f>
        <v>20400</v>
      </c>
      <c r="P4" s="265">
        <v>219600</v>
      </c>
      <c r="Q4" s="265"/>
      <c r="R4" s="262" t="s">
        <v>635</v>
      </c>
      <c r="S4" s="262" t="s">
        <v>111</v>
      </c>
      <c r="T4" s="265">
        <v>201300</v>
      </c>
      <c r="U4" s="279">
        <v>18300</v>
      </c>
      <c r="V4" s="334">
        <v>18300</v>
      </c>
      <c r="W4" s="265"/>
      <c r="X4" s="265"/>
      <c r="Y4" s="265"/>
      <c r="Z4" s="265"/>
      <c r="AA4" s="265"/>
      <c r="AB4" s="265"/>
      <c r="AC4" s="265"/>
      <c r="AD4" s="265"/>
      <c r="AE4" s="265"/>
      <c r="AF4" s="265"/>
      <c r="AG4" s="265"/>
      <c r="AH4" s="271">
        <v>2</v>
      </c>
      <c r="AI4" s="271">
        <v>0</v>
      </c>
      <c r="AJ4" s="271">
        <v>0</v>
      </c>
      <c r="AK4" s="272"/>
      <c r="AL4" s="272"/>
      <c r="AM4" s="272">
        <v>0</v>
      </c>
      <c r="AU4" s="265"/>
    </row>
    <row r="5" spans="1:47" s="266" customFormat="1" ht="26.4" x14ac:dyDescent="0.3">
      <c r="A5" s="262"/>
      <c r="B5" s="262" t="s">
        <v>66</v>
      </c>
      <c r="C5" s="262" t="s">
        <v>48</v>
      </c>
      <c r="D5" s="262" t="s">
        <v>53</v>
      </c>
      <c r="E5" s="263" t="s">
        <v>195</v>
      </c>
      <c r="F5" s="262" t="s">
        <v>196</v>
      </c>
      <c r="G5" s="262" t="s">
        <v>197</v>
      </c>
      <c r="H5" s="262" t="s">
        <v>198</v>
      </c>
      <c r="I5" s="264">
        <v>43829</v>
      </c>
      <c r="J5" s="264">
        <v>43830</v>
      </c>
      <c r="K5" s="264">
        <v>43829</v>
      </c>
      <c r="L5" s="264">
        <v>44197</v>
      </c>
      <c r="M5" s="262" t="s">
        <v>838</v>
      </c>
      <c r="N5" s="265">
        <v>595719.36</v>
      </c>
      <c r="O5" s="265">
        <f t="shared" si="0"/>
        <v>454697.95999999996</v>
      </c>
      <c r="P5" s="265">
        <v>141021.4</v>
      </c>
      <c r="Q5" s="265"/>
      <c r="R5" s="262" t="s">
        <v>235</v>
      </c>
      <c r="S5" s="262" t="s">
        <v>299</v>
      </c>
      <c r="T5" s="265">
        <v>129269.58</v>
      </c>
      <c r="U5" s="279">
        <v>11751.82</v>
      </c>
      <c r="V5" s="334">
        <v>11751.82</v>
      </c>
      <c r="W5" s="265"/>
      <c r="X5" s="265"/>
      <c r="Y5" s="265"/>
      <c r="Z5" s="265"/>
      <c r="AA5" s="265"/>
      <c r="AB5" s="265"/>
      <c r="AC5" s="265"/>
      <c r="AD5" s="265"/>
      <c r="AE5" s="265"/>
      <c r="AF5" s="265"/>
      <c r="AG5" s="265"/>
      <c r="AH5" s="271">
        <v>9</v>
      </c>
      <c r="AI5" s="271">
        <v>0</v>
      </c>
      <c r="AJ5" s="271">
        <v>0</v>
      </c>
      <c r="AK5" s="272"/>
      <c r="AL5" s="272"/>
      <c r="AM5" s="272">
        <v>0</v>
      </c>
      <c r="AU5" s="265"/>
    </row>
    <row r="6" spans="1:47" s="266" customFormat="1" ht="26.4" x14ac:dyDescent="0.3">
      <c r="A6" s="262"/>
      <c r="B6" s="262" t="s">
        <v>66</v>
      </c>
      <c r="C6" s="262" t="s">
        <v>48</v>
      </c>
      <c r="D6" s="262" t="s">
        <v>59</v>
      </c>
      <c r="E6" s="263" t="s">
        <v>202</v>
      </c>
      <c r="F6" s="262" t="s">
        <v>201</v>
      </c>
      <c r="G6" s="262" t="s">
        <v>63</v>
      </c>
      <c r="H6" s="262" t="s">
        <v>199</v>
      </c>
      <c r="I6" s="264">
        <v>43830</v>
      </c>
      <c r="J6" s="264">
        <v>44021</v>
      </c>
      <c r="K6" s="264">
        <v>43830</v>
      </c>
      <c r="L6" s="264">
        <v>44196</v>
      </c>
      <c r="M6" s="272" t="s">
        <v>835</v>
      </c>
      <c r="N6" s="265">
        <v>659995.24</v>
      </c>
      <c r="O6" s="265">
        <f t="shared" si="0"/>
        <v>289595.24</v>
      </c>
      <c r="P6" s="265">
        <v>370400</v>
      </c>
      <c r="Q6" s="265"/>
      <c r="R6" s="262" t="s">
        <v>240</v>
      </c>
      <c r="S6" s="262" t="s">
        <v>111</v>
      </c>
      <c r="T6" s="265">
        <v>256900</v>
      </c>
      <c r="U6" s="279">
        <v>27900</v>
      </c>
      <c r="V6" s="334">
        <v>27900</v>
      </c>
      <c r="W6" s="265"/>
      <c r="X6" s="265"/>
      <c r="Y6" s="265"/>
      <c r="Z6" s="265"/>
      <c r="AA6" s="265"/>
      <c r="AB6" s="265"/>
      <c r="AC6" s="265"/>
      <c r="AD6" s="265"/>
      <c r="AE6" s="265"/>
      <c r="AF6" s="265"/>
      <c r="AG6" s="265"/>
      <c r="AH6" s="271">
        <v>5</v>
      </c>
      <c r="AI6" s="271">
        <v>0</v>
      </c>
      <c r="AJ6" s="271">
        <v>0</v>
      </c>
      <c r="AK6" s="272"/>
      <c r="AL6" s="272"/>
      <c r="AM6" s="272">
        <v>0</v>
      </c>
      <c r="AU6" s="265"/>
    </row>
    <row r="7" spans="1:47" s="266" customFormat="1" ht="39.6" x14ac:dyDescent="0.3">
      <c r="A7" s="262"/>
      <c r="B7" s="262" t="s">
        <v>66</v>
      </c>
      <c r="C7" s="262" t="s">
        <v>48</v>
      </c>
      <c r="D7" s="262" t="s">
        <v>53</v>
      </c>
      <c r="E7" s="263" t="s">
        <v>203</v>
      </c>
      <c r="F7" s="262" t="s">
        <v>117</v>
      </c>
      <c r="G7" s="262" t="s">
        <v>212</v>
      </c>
      <c r="H7" s="262" t="s">
        <v>200</v>
      </c>
      <c r="I7" s="264">
        <v>43830</v>
      </c>
      <c r="J7" s="264">
        <v>43839</v>
      </c>
      <c r="K7" s="264">
        <v>43830</v>
      </c>
      <c r="L7" s="264">
        <v>44196</v>
      </c>
      <c r="M7" s="272" t="s">
        <v>837</v>
      </c>
      <c r="N7" s="265">
        <v>400000</v>
      </c>
      <c r="O7" s="265" t="s">
        <v>261</v>
      </c>
      <c r="P7" s="265">
        <v>400000</v>
      </c>
      <c r="Q7" s="265"/>
      <c r="R7" s="262" t="s">
        <v>271</v>
      </c>
      <c r="S7" s="262" t="s">
        <v>111</v>
      </c>
      <c r="T7" s="265">
        <v>61839.360000000001</v>
      </c>
      <c r="U7" s="279"/>
      <c r="V7" s="334">
        <f>20398.4+13956.8+19968.96+21901.44+22545.6+19324.8</f>
        <v>118095.99999999999</v>
      </c>
      <c r="W7" s="265"/>
      <c r="X7" s="265"/>
      <c r="Y7" s="265"/>
      <c r="Z7" s="265"/>
      <c r="AA7" s="265"/>
      <c r="AB7" s="265"/>
      <c r="AC7" s="265"/>
      <c r="AD7" s="265"/>
      <c r="AE7" s="265"/>
      <c r="AF7" s="265"/>
      <c r="AG7" s="265"/>
      <c r="AH7" s="271">
        <v>5</v>
      </c>
      <c r="AI7" s="271">
        <v>0</v>
      </c>
      <c r="AJ7" s="271">
        <v>0</v>
      </c>
      <c r="AK7" s="272"/>
      <c r="AL7" s="272"/>
      <c r="AM7" s="272">
        <v>0</v>
      </c>
      <c r="AU7" s="265"/>
    </row>
    <row r="8" spans="1:47" s="275" customFormat="1" ht="52.8" x14ac:dyDescent="0.3">
      <c r="A8" s="262"/>
      <c r="B8" s="272" t="s">
        <v>66</v>
      </c>
      <c r="C8" s="262" t="s">
        <v>48</v>
      </c>
      <c r="D8" s="262" t="s">
        <v>59</v>
      </c>
      <c r="E8" s="263" t="s">
        <v>213</v>
      </c>
      <c r="F8" s="262" t="s">
        <v>125</v>
      </c>
      <c r="G8" s="262" t="s">
        <v>225</v>
      </c>
      <c r="H8" s="262" t="s">
        <v>232</v>
      </c>
      <c r="I8" s="273">
        <v>43840</v>
      </c>
      <c r="J8" s="273">
        <v>43844</v>
      </c>
      <c r="K8" s="273">
        <v>43840</v>
      </c>
      <c r="L8" s="264">
        <v>43830</v>
      </c>
      <c r="M8" s="262" t="s">
        <v>838</v>
      </c>
      <c r="N8" s="265">
        <v>1080000</v>
      </c>
      <c r="O8" s="265" t="s">
        <v>261</v>
      </c>
      <c r="P8" s="265">
        <v>1080000</v>
      </c>
      <c r="Q8" s="265"/>
      <c r="R8" s="262" t="s">
        <v>247</v>
      </c>
      <c r="S8" s="262" t="s">
        <v>283</v>
      </c>
      <c r="T8" s="265">
        <v>541686.54</v>
      </c>
      <c r="U8" s="279">
        <v>111139.97</v>
      </c>
      <c r="V8" s="334">
        <f>SUM(10496.05+24116.64+31879+34580.03+10068.25)</f>
        <v>111139.97</v>
      </c>
      <c r="W8" s="265"/>
      <c r="X8" s="265"/>
      <c r="Y8" s="265"/>
      <c r="Z8" s="265"/>
      <c r="AA8" s="265"/>
      <c r="AB8" s="265"/>
      <c r="AC8" s="265"/>
      <c r="AD8" s="265"/>
      <c r="AE8" s="265"/>
      <c r="AF8" s="265"/>
      <c r="AG8" s="265"/>
      <c r="AH8" s="274">
        <v>4</v>
      </c>
      <c r="AI8" s="274">
        <v>0</v>
      </c>
      <c r="AJ8" s="274">
        <v>0</v>
      </c>
      <c r="AK8" s="272"/>
      <c r="AL8" s="272"/>
      <c r="AM8" s="272">
        <v>0</v>
      </c>
    </row>
    <row r="9" spans="1:47" s="275" customFormat="1" ht="52.8" x14ac:dyDescent="0.3">
      <c r="A9" s="262"/>
      <c r="B9" s="272" t="s">
        <v>66</v>
      </c>
      <c r="C9" s="262" t="s">
        <v>48</v>
      </c>
      <c r="D9" s="262" t="s">
        <v>71</v>
      </c>
      <c r="E9" s="263" t="s">
        <v>204</v>
      </c>
      <c r="F9" s="262" t="s">
        <v>118</v>
      </c>
      <c r="G9" s="262" t="s">
        <v>249</v>
      </c>
      <c r="H9" s="262" t="s">
        <v>238</v>
      </c>
      <c r="I9" s="273">
        <v>43844</v>
      </c>
      <c r="J9" s="273">
        <v>43845</v>
      </c>
      <c r="K9" s="273">
        <v>43844</v>
      </c>
      <c r="L9" s="264">
        <v>44196</v>
      </c>
      <c r="M9" s="272" t="s">
        <v>837</v>
      </c>
      <c r="N9" s="265">
        <v>150000</v>
      </c>
      <c r="O9" s="265" t="s">
        <v>261</v>
      </c>
      <c r="P9" s="265">
        <v>150000</v>
      </c>
      <c r="Q9" s="265"/>
      <c r="R9" s="262" t="s">
        <v>248</v>
      </c>
      <c r="S9" s="262" t="s">
        <v>111</v>
      </c>
      <c r="T9" s="265">
        <v>9696.4699999999993</v>
      </c>
      <c r="U9" s="279">
        <v>5908.45</v>
      </c>
      <c r="V9" s="334">
        <v>5908.45</v>
      </c>
      <c r="W9" s="265"/>
      <c r="X9" s="265"/>
      <c r="Y9" s="265"/>
      <c r="Z9" s="265"/>
      <c r="AA9" s="265"/>
      <c r="AB9" s="265"/>
      <c r="AC9" s="265"/>
      <c r="AD9" s="265"/>
      <c r="AE9" s="265"/>
      <c r="AF9" s="265"/>
      <c r="AG9" s="265"/>
      <c r="AH9" s="274">
        <v>6</v>
      </c>
      <c r="AI9" s="274">
        <v>0</v>
      </c>
      <c r="AJ9" s="274">
        <v>0</v>
      </c>
      <c r="AK9" s="272"/>
      <c r="AL9" s="272"/>
      <c r="AM9" s="272">
        <v>0</v>
      </c>
    </row>
    <row r="10" spans="1:47" s="275" customFormat="1" ht="25.5" customHeight="1" x14ac:dyDescent="0.3">
      <c r="A10" s="262"/>
      <c r="B10" s="272" t="s">
        <v>66</v>
      </c>
      <c r="C10" s="262" t="s">
        <v>48</v>
      </c>
      <c r="D10" s="262" t="s">
        <v>59</v>
      </c>
      <c r="E10" s="263" t="s">
        <v>226</v>
      </c>
      <c r="F10" s="262" t="s">
        <v>713</v>
      </c>
      <c r="G10" s="262" t="s">
        <v>256</v>
      </c>
      <c r="H10" s="262" t="s">
        <v>255</v>
      </c>
      <c r="I10" s="273">
        <v>43857</v>
      </c>
      <c r="J10" s="273">
        <v>43859</v>
      </c>
      <c r="K10" s="273">
        <v>43862</v>
      </c>
      <c r="L10" s="264">
        <v>44196</v>
      </c>
      <c r="M10" s="272" t="s">
        <v>834</v>
      </c>
      <c r="N10" s="265">
        <v>559333.32999999996</v>
      </c>
      <c r="O10" s="265">
        <f t="shared" si="0"/>
        <v>322360.33999999997</v>
      </c>
      <c r="P10" s="265">
        <v>236972.99</v>
      </c>
      <c r="Q10" s="265"/>
      <c r="R10" s="262" t="s">
        <v>248</v>
      </c>
      <c r="S10" s="262" t="s">
        <v>111</v>
      </c>
      <c r="T10" s="265">
        <v>215430</v>
      </c>
      <c r="U10" s="279">
        <v>21542.99</v>
      </c>
      <c r="V10" s="334">
        <v>21542.99</v>
      </c>
      <c r="W10" s="265"/>
      <c r="X10" s="265"/>
      <c r="Y10" s="265"/>
      <c r="Z10" s="265"/>
      <c r="AA10" s="265"/>
      <c r="AB10" s="265"/>
      <c r="AC10" s="265"/>
      <c r="AD10" s="265"/>
      <c r="AE10" s="265"/>
      <c r="AF10" s="265"/>
      <c r="AG10" s="265"/>
      <c r="AH10" s="274"/>
      <c r="AI10" s="274"/>
      <c r="AJ10" s="274"/>
      <c r="AK10" s="272"/>
      <c r="AL10" s="272"/>
      <c r="AM10" s="272">
        <v>1</v>
      </c>
    </row>
    <row r="11" spans="1:47" s="275" customFormat="1" ht="39.6" x14ac:dyDescent="0.3">
      <c r="A11" s="262"/>
      <c r="B11" s="272" t="s">
        <v>66</v>
      </c>
      <c r="C11" s="262" t="s">
        <v>48</v>
      </c>
      <c r="D11" s="262" t="s">
        <v>53</v>
      </c>
      <c r="E11" s="263" t="s">
        <v>227</v>
      </c>
      <c r="F11" s="262" t="s">
        <v>119</v>
      </c>
      <c r="G11" s="262" t="s">
        <v>661</v>
      </c>
      <c r="H11" s="262" t="s">
        <v>259</v>
      </c>
      <c r="I11" s="273">
        <v>43857</v>
      </c>
      <c r="J11" s="273">
        <v>43859</v>
      </c>
      <c r="K11" s="273">
        <v>43857</v>
      </c>
      <c r="L11" s="264">
        <v>44196</v>
      </c>
      <c r="M11" s="272" t="s">
        <v>837</v>
      </c>
      <c r="N11" s="265">
        <v>150000</v>
      </c>
      <c r="O11" s="265" t="s">
        <v>261</v>
      </c>
      <c r="P11" s="265">
        <v>150000</v>
      </c>
      <c r="Q11" s="265"/>
      <c r="R11" s="262" t="s">
        <v>269</v>
      </c>
      <c r="S11" s="262" t="s">
        <v>111</v>
      </c>
      <c r="T11" s="265">
        <v>121413.41</v>
      </c>
      <c r="U11" s="279">
        <v>1366.39</v>
      </c>
      <c r="V11" s="334">
        <v>1366.39</v>
      </c>
      <c r="W11" s="265"/>
      <c r="X11" s="265"/>
      <c r="Y11" s="265"/>
      <c r="Z11" s="265"/>
      <c r="AA11" s="265"/>
      <c r="AB11" s="265"/>
      <c r="AC11" s="265"/>
      <c r="AD11" s="265"/>
      <c r="AE11" s="265"/>
      <c r="AF11" s="265"/>
      <c r="AG11" s="265"/>
      <c r="AH11" s="274"/>
      <c r="AI11" s="274"/>
      <c r="AJ11" s="274"/>
      <c r="AK11" s="272"/>
      <c r="AL11" s="272"/>
      <c r="AM11" s="272"/>
    </row>
    <row r="12" spans="1:47" s="275" customFormat="1" ht="26.4" x14ac:dyDescent="0.3">
      <c r="A12" s="262"/>
      <c r="B12" s="272" t="s">
        <v>66</v>
      </c>
      <c r="C12" s="262" t="s">
        <v>48</v>
      </c>
      <c r="D12" s="262" t="s">
        <v>59</v>
      </c>
      <c r="E12" s="263" t="s">
        <v>242</v>
      </c>
      <c r="F12" s="262" t="s">
        <v>223</v>
      </c>
      <c r="G12" s="262" t="s">
        <v>257</v>
      </c>
      <c r="H12" s="262" t="s">
        <v>260</v>
      </c>
      <c r="I12" s="273">
        <v>43857</v>
      </c>
      <c r="J12" s="273">
        <v>43859</v>
      </c>
      <c r="K12" s="273">
        <v>43857</v>
      </c>
      <c r="L12" s="264">
        <v>44196</v>
      </c>
      <c r="M12" s="272" t="s">
        <v>836</v>
      </c>
      <c r="N12" s="265">
        <v>720970.69</v>
      </c>
      <c r="O12" s="265">
        <f t="shared" si="0"/>
        <v>0</v>
      </c>
      <c r="P12" s="265">
        <v>720970.69</v>
      </c>
      <c r="Q12" s="265"/>
      <c r="R12" s="262" t="s">
        <v>248</v>
      </c>
      <c r="S12" s="262" t="s">
        <v>111</v>
      </c>
      <c r="T12" s="265">
        <v>550746.56999999995</v>
      </c>
      <c r="U12" s="279">
        <v>147537.51999999999</v>
      </c>
      <c r="V12" s="334">
        <v>147537.51999999999</v>
      </c>
      <c r="W12" s="265"/>
      <c r="X12" s="265"/>
      <c r="Y12" s="265"/>
      <c r="Z12" s="265"/>
      <c r="AA12" s="265"/>
      <c r="AB12" s="265"/>
      <c r="AC12" s="265"/>
      <c r="AD12" s="265"/>
      <c r="AE12" s="265"/>
      <c r="AF12" s="265"/>
      <c r="AG12" s="265"/>
      <c r="AH12" s="274"/>
      <c r="AI12" s="274"/>
      <c r="AJ12" s="274"/>
      <c r="AK12" s="272"/>
      <c r="AL12" s="272"/>
      <c r="AM12" s="272"/>
    </row>
    <row r="13" spans="1:47" s="275" customFormat="1" ht="26.4" x14ac:dyDescent="0.3">
      <c r="A13" s="262"/>
      <c r="B13" s="272" t="s">
        <v>66</v>
      </c>
      <c r="C13" s="262" t="s">
        <v>48</v>
      </c>
      <c r="D13" s="262" t="s">
        <v>53</v>
      </c>
      <c r="E13" s="263" t="s">
        <v>310</v>
      </c>
      <c r="F13" s="262" t="s">
        <v>52</v>
      </c>
      <c r="G13" s="262" t="s">
        <v>311</v>
      </c>
      <c r="H13" s="262" t="s">
        <v>309</v>
      </c>
      <c r="I13" s="273">
        <v>43938</v>
      </c>
      <c r="J13" s="273">
        <v>43942</v>
      </c>
      <c r="K13" s="273">
        <v>44013</v>
      </c>
      <c r="L13" s="264">
        <v>44196</v>
      </c>
      <c r="M13" s="272" t="s">
        <v>835</v>
      </c>
      <c r="N13" s="265">
        <v>500000</v>
      </c>
      <c r="O13" s="265" t="s">
        <v>261</v>
      </c>
      <c r="P13" s="265">
        <v>500000</v>
      </c>
      <c r="Q13" s="265"/>
      <c r="R13" s="262" t="s">
        <v>634</v>
      </c>
      <c r="S13" s="262" t="s">
        <v>53</v>
      </c>
      <c r="T13" s="265">
        <v>218309.24</v>
      </c>
      <c r="U13" s="279">
        <v>45730.11</v>
      </c>
      <c r="V13" s="334">
        <v>45730.11</v>
      </c>
      <c r="W13" s="265"/>
      <c r="X13" s="265"/>
      <c r="Y13" s="265"/>
      <c r="Z13" s="265"/>
      <c r="AA13" s="265"/>
      <c r="AB13" s="265"/>
      <c r="AC13" s="265"/>
      <c r="AD13" s="265"/>
      <c r="AE13" s="265"/>
      <c r="AF13" s="265"/>
      <c r="AG13" s="265"/>
      <c r="AH13" s="274">
        <v>3</v>
      </c>
      <c r="AI13" s="274">
        <v>2</v>
      </c>
      <c r="AJ13" s="274">
        <v>0</v>
      </c>
      <c r="AK13" s="272">
        <v>1</v>
      </c>
      <c r="AL13" s="272" t="s">
        <v>229</v>
      </c>
      <c r="AM13" s="272">
        <v>2</v>
      </c>
    </row>
    <row r="14" spans="1:47" s="275" customFormat="1" ht="39.6" x14ac:dyDescent="0.3">
      <c r="A14" s="262"/>
      <c r="B14" s="272" t="s">
        <v>66</v>
      </c>
      <c r="C14" s="262" t="s">
        <v>48</v>
      </c>
      <c r="D14" s="262" t="s">
        <v>59</v>
      </c>
      <c r="E14" s="263" t="s">
        <v>313</v>
      </c>
      <c r="F14" s="262" t="s">
        <v>54</v>
      </c>
      <c r="G14" s="262" t="s">
        <v>314</v>
      </c>
      <c r="H14" s="262" t="s">
        <v>312</v>
      </c>
      <c r="I14" s="273">
        <v>43941</v>
      </c>
      <c r="J14" s="273">
        <v>43942</v>
      </c>
      <c r="K14" s="273">
        <v>43941</v>
      </c>
      <c r="L14" s="264">
        <v>44196</v>
      </c>
      <c r="M14" s="272" t="s">
        <v>834</v>
      </c>
      <c r="N14" s="265">
        <v>229563.33</v>
      </c>
      <c r="O14" s="276">
        <f t="shared" si="0"/>
        <v>2298.3299999999872</v>
      </c>
      <c r="P14" s="265">
        <v>227265</v>
      </c>
      <c r="Q14" s="265"/>
      <c r="R14" s="262" t="s">
        <v>633</v>
      </c>
      <c r="S14" s="262" t="s">
        <v>53</v>
      </c>
      <c r="T14" s="276">
        <v>151510</v>
      </c>
      <c r="U14" s="260">
        <v>75755</v>
      </c>
      <c r="V14" s="333">
        <v>75755</v>
      </c>
      <c r="W14" s="276"/>
      <c r="X14" s="276"/>
      <c r="Y14" s="276"/>
      <c r="Z14" s="276"/>
      <c r="AA14" s="276"/>
      <c r="AB14" s="276"/>
      <c r="AC14" s="276"/>
      <c r="AD14" s="276"/>
      <c r="AE14" s="276"/>
      <c r="AF14" s="276"/>
      <c r="AG14" s="276"/>
      <c r="AH14" s="274">
        <v>3</v>
      </c>
      <c r="AI14" s="274">
        <v>2</v>
      </c>
      <c r="AJ14" s="274">
        <v>0</v>
      </c>
      <c r="AK14" s="272">
        <v>1</v>
      </c>
      <c r="AL14" s="272" t="s">
        <v>229</v>
      </c>
      <c r="AM14" s="272">
        <v>2</v>
      </c>
    </row>
    <row r="15" spans="1:47" s="275" customFormat="1" ht="52.8" x14ac:dyDescent="0.3">
      <c r="A15" s="262"/>
      <c r="B15" s="272" t="s">
        <v>37</v>
      </c>
      <c r="C15" s="262" t="s">
        <v>48</v>
      </c>
      <c r="D15" s="262" t="s">
        <v>53</v>
      </c>
      <c r="E15" s="263" t="s">
        <v>354</v>
      </c>
      <c r="F15" s="262" t="s">
        <v>335</v>
      </c>
      <c r="G15" s="262" t="s">
        <v>355</v>
      </c>
      <c r="H15" s="262" t="s">
        <v>353</v>
      </c>
      <c r="I15" s="273">
        <v>44068</v>
      </c>
      <c r="J15" s="273">
        <v>44075</v>
      </c>
      <c r="K15" s="273">
        <v>44105</v>
      </c>
      <c r="L15" s="264">
        <v>44196</v>
      </c>
      <c r="M15" s="272" t="s">
        <v>56</v>
      </c>
      <c r="N15" s="265" t="s">
        <v>361</v>
      </c>
      <c r="O15" s="276">
        <v>0</v>
      </c>
      <c r="P15" s="265" t="s">
        <v>360</v>
      </c>
      <c r="Q15" s="265"/>
      <c r="R15" s="262" t="s">
        <v>362</v>
      </c>
      <c r="S15" s="262"/>
      <c r="T15" s="276">
        <v>104508.25</v>
      </c>
      <c r="U15" s="260">
        <v>345827</v>
      </c>
      <c r="V15" s="333">
        <v>345827.3</v>
      </c>
      <c r="W15" s="276"/>
      <c r="X15" s="276"/>
      <c r="Y15" s="276"/>
      <c r="Z15" s="276"/>
      <c r="AA15" s="276"/>
      <c r="AB15" s="276"/>
      <c r="AC15" s="276"/>
      <c r="AD15" s="276"/>
      <c r="AE15" s="276"/>
      <c r="AF15" s="276"/>
      <c r="AG15" s="276"/>
      <c r="AH15" s="274">
        <v>5</v>
      </c>
      <c r="AI15" s="274">
        <v>0</v>
      </c>
      <c r="AJ15" s="274">
        <v>1</v>
      </c>
      <c r="AK15" s="272"/>
      <c r="AL15" s="272"/>
      <c r="AM15" s="272"/>
    </row>
    <row r="16" spans="1:47" s="275" customFormat="1" ht="37.5" customHeight="1" x14ac:dyDescent="0.3">
      <c r="A16" s="262"/>
      <c r="B16" s="272" t="s">
        <v>66</v>
      </c>
      <c r="C16" s="262" t="s">
        <v>48</v>
      </c>
      <c r="D16" s="262" t="s">
        <v>59</v>
      </c>
      <c r="E16" s="263" t="s">
        <v>357</v>
      </c>
      <c r="F16" s="262" t="s">
        <v>358</v>
      </c>
      <c r="G16" s="262" t="s">
        <v>370</v>
      </c>
      <c r="H16" s="262" t="s">
        <v>359</v>
      </c>
      <c r="I16" s="273">
        <v>44081</v>
      </c>
      <c r="J16" s="273">
        <v>44088</v>
      </c>
      <c r="K16" s="273">
        <v>44081</v>
      </c>
      <c r="L16" s="264">
        <v>44196</v>
      </c>
      <c r="M16" s="272" t="s">
        <v>336</v>
      </c>
      <c r="N16" s="265">
        <v>1260016</v>
      </c>
      <c r="O16" s="265">
        <f t="shared" si="0"/>
        <v>0</v>
      </c>
      <c r="P16" s="265">
        <v>1260016</v>
      </c>
      <c r="Q16" s="265"/>
      <c r="R16" s="262" t="s">
        <v>632</v>
      </c>
      <c r="S16" s="262"/>
      <c r="T16" s="265">
        <v>945012</v>
      </c>
      <c r="U16" s="279">
        <v>315004</v>
      </c>
      <c r="V16" s="334">
        <v>315004</v>
      </c>
      <c r="W16" s="265"/>
      <c r="X16" s="265"/>
      <c r="Y16" s="265"/>
      <c r="Z16" s="265"/>
      <c r="AA16" s="265"/>
      <c r="AB16" s="265"/>
      <c r="AC16" s="265"/>
      <c r="AD16" s="265"/>
      <c r="AE16" s="265"/>
      <c r="AF16" s="265"/>
      <c r="AG16" s="265"/>
      <c r="AH16" s="274">
        <v>4</v>
      </c>
      <c r="AI16" s="274">
        <v>3</v>
      </c>
      <c r="AJ16" s="274">
        <v>0</v>
      </c>
      <c r="AK16" s="272"/>
      <c r="AL16" s="272"/>
      <c r="AM16" s="272"/>
    </row>
    <row r="17" spans="1:39" s="330" customFormat="1" ht="37.5" customHeight="1" x14ac:dyDescent="0.3">
      <c r="A17" s="208"/>
      <c r="B17" s="209" t="s">
        <v>66</v>
      </c>
      <c r="C17" s="208" t="s">
        <v>48</v>
      </c>
      <c r="D17" s="208" t="s">
        <v>59</v>
      </c>
      <c r="E17" s="320" t="s">
        <v>367</v>
      </c>
      <c r="F17" s="208" t="s">
        <v>368</v>
      </c>
      <c r="G17" s="208" t="s">
        <v>424</v>
      </c>
      <c r="H17" s="208" t="s">
        <v>662</v>
      </c>
      <c r="I17" s="240">
        <v>44151</v>
      </c>
      <c r="J17" s="240">
        <v>44153</v>
      </c>
      <c r="K17" s="240">
        <v>44151</v>
      </c>
      <c r="L17" s="322">
        <v>44271</v>
      </c>
      <c r="M17" s="209" t="s">
        <v>50</v>
      </c>
      <c r="N17" s="328">
        <v>14988313.380000001</v>
      </c>
      <c r="O17" s="328">
        <f t="shared" si="0"/>
        <v>0</v>
      </c>
      <c r="P17" s="328">
        <v>14988313.380000001</v>
      </c>
      <c r="Q17" s="328"/>
      <c r="R17" s="208" t="s">
        <v>442</v>
      </c>
      <c r="S17" s="208" t="s">
        <v>669</v>
      </c>
      <c r="T17" s="328"/>
      <c r="U17" s="327">
        <v>14988313.380000001</v>
      </c>
      <c r="V17" s="328"/>
      <c r="W17" s="328">
        <v>14988313.380000001</v>
      </c>
      <c r="X17" s="328"/>
      <c r="Y17" s="328"/>
      <c r="Z17" s="328"/>
      <c r="AA17" s="328"/>
      <c r="AB17" s="328"/>
      <c r="AC17" s="328"/>
      <c r="AD17" s="328"/>
      <c r="AE17" s="328"/>
      <c r="AF17" s="328"/>
      <c r="AG17" s="328"/>
      <c r="AH17" s="329">
        <v>2</v>
      </c>
      <c r="AI17" s="329">
        <v>1</v>
      </c>
      <c r="AJ17" s="329"/>
      <c r="AK17" s="209"/>
      <c r="AL17" s="209"/>
      <c r="AM17" s="209">
        <v>4</v>
      </c>
    </row>
    <row r="18" spans="1:39" s="71" customFormat="1" ht="26.4" x14ac:dyDescent="0.3">
      <c r="A18" s="181"/>
      <c r="B18" s="181" t="s">
        <v>37</v>
      </c>
      <c r="C18" s="176" t="s">
        <v>48</v>
      </c>
      <c r="D18" s="176" t="s">
        <v>59</v>
      </c>
      <c r="E18" s="185" t="s">
        <v>445</v>
      </c>
      <c r="F18" s="182" t="s">
        <v>120</v>
      </c>
      <c r="G18" s="182" t="s">
        <v>446</v>
      </c>
      <c r="H18" s="182" t="s">
        <v>443</v>
      </c>
      <c r="I18" s="163">
        <v>44158</v>
      </c>
      <c r="J18" s="180">
        <v>44160</v>
      </c>
      <c r="K18" s="163">
        <v>44158</v>
      </c>
      <c r="L18" s="163">
        <v>44316</v>
      </c>
      <c r="M18" s="181" t="s">
        <v>336</v>
      </c>
      <c r="N18" s="184">
        <v>2000000</v>
      </c>
      <c r="O18" s="30">
        <f t="shared" si="0"/>
        <v>0</v>
      </c>
      <c r="P18" s="184">
        <v>2000000</v>
      </c>
      <c r="Q18" s="184"/>
      <c r="R18" s="182" t="s">
        <v>248</v>
      </c>
      <c r="S18" s="182"/>
      <c r="T18" s="30"/>
      <c r="U18" s="277">
        <f>SUM(V18,W18,X18,Y18)</f>
        <v>1138921.5699999998</v>
      </c>
      <c r="V18" s="189">
        <f>SUM(3112.43+198582.65)</f>
        <v>201695.08</v>
      </c>
      <c r="W18" s="189">
        <v>785690.87</v>
      </c>
      <c r="X18" s="189">
        <v>151535.62</v>
      </c>
      <c r="Y18" s="179"/>
      <c r="Z18" s="179"/>
      <c r="AA18" s="179"/>
      <c r="AB18" s="179"/>
      <c r="AC18" s="179"/>
      <c r="AD18" s="179"/>
      <c r="AE18" s="179"/>
      <c r="AF18" s="179"/>
      <c r="AG18" s="179"/>
      <c r="AH18" s="149">
        <v>4</v>
      </c>
      <c r="AI18" s="149"/>
      <c r="AJ18" s="149"/>
      <c r="AK18" s="149"/>
      <c r="AL18" s="149"/>
      <c r="AM18" s="149"/>
    </row>
    <row r="19" spans="1:39" s="71" customFormat="1" ht="26.4" x14ac:dyDescent="0.3">
      <c r="A19" s="181"/>
      <c r="B19" s="181" t="s">
        <v>37</v>
      </c>
      <c r="C19" s="176" t="s">
        <v>48</v>
      </c>
      <c r="D19" s="176" t="s">
        <v>53</v>
      </c>
      <c r="E19" s="185" t="s">
        <v>454</v>
      </c>
      <c r="F19" s="182" t="s">
        <v>52</v>
      </c>
      <c r="G19" s="182" t="s">
        <v>482</v>
      </c>
      <c r="H19" s="182" t="s">
        <v>444</v>
      </c>
      <c r="I19" s="163">
        <v>44181</v>
      </c>
      <c r="J19" s="180">
        <v>44189</v>
      </c>
      <c r="K19" s="163">
        <v>44181</v>
      </c>
      <c r="L19" s="163">
        <v>44377</v>
      </c>
      <c r="M19" s="181" t="s">
        <v>336</v>
      </c>
      <c r="N19" s="184">
        <v>622000</v>
      </c>
      <c r="O19" s="30">
        <f t="shared" si="0"/>
        <v>0</v>
      </c>
      <c r="P19" s="184">
        <v>622000</v>
      </c>
      <c r="Q19" s="184"/>
      <c r="R19" s="182" t="s">
        <v>447</v>
      </c>
      <c r="S19" s="181"/>
      <c r="T19" s="30"/>
      <c r="U19" s="277">
        <f>SUM(V19:AF19)</f>
        <v>102306.75</v>
      </c>
      <c r="V19" s="189">
        <v>29680.2</v>
      </c>
      <c r="W19" s="189">
        <v>36425.699999999997</v>
      </c>
      <c r="X19" s="189">
        <v>36200.85</v>
      </c>
      <c r="Y19" s="179"/>
      <c r="Z19" s="179"/>
      <c r="AA19" s="179"/>
      <c r="AB19" s="179"/>
      <c r="AC19" s="179"/>
      <c r="AD19" s="179"/>
      <c r="AE19" s="179"/>
      <c r="AF19" s="179"/>
      <c r="AG19" s="179"/>
      <c r="AH19" s="149">
        <v>5</v>
      </c>
      <c r="AI19" s="149"/>
      <c r="AJ19" s="149"/>
      <c r="AK19" s="149"/>
      <c r="AL19" s="149"/>
      <c r="AM19" s="149"/>
    </row>
    <row r="20" spans="1:39" ht="26.4" x14ac:dyDescent="0.3">
      <c r="A20" s="181"/>
      <c r="B20" s="181" t="s">
        <v>37</v>
      </c>
      <c r="C20" s="176" t="s">
        <v>48</v>
      </c>
      <c r="D20" s="176" t="s">
        <v>59</v>
      </c>
      <c r="E20" s="185" t="s">
        <v>455</v>
      </c>
      <c r="F20" s="182" t="s">
        <v>449</v>
      </c>
      <c r="G20" s="182" t="s">
        <v>450</v>
      </c>
      <c r="H20" s="177" t="s">
        <v>452</v>
      </c>
      <c r="I20" s="163">
        <v>44181</v>
      </c>
      <c r="J20" s="188">
        <v>44190</v>
      </c>
      <c r="K20" s="163">
        <v>44207</v>
      </c>
      <c r="L20" s="163">
        <v>44561</v>
      </c>
      <c r="M20" s="181" t="s">
        <v>336</v>
      </c>
      <c r="N20" s="184">
        <v>200000</v>
      </c>
      <c r="O20" s="30">
        <f t="shared" si="0"/>
        <v>0</v>
      </c>
      <c r="P20" s="184">
        <v>200000</v>
      </c>
      <c r="Q20" s="184"/>
      <c r="R20" s="177" t="s">
        <v>248</v>
      </c>
      <c r="S20" s="181"/>
      <c r="T20" s="30"/>
      <c r="U20" s="277">
        <f>SUM(V20,W20,X20,Y20,Z20,AA20,AB20,AC20,AD20,AE20,AF20,AG20)</f>
        <v>21023.27</v>
      </c>
      <c r="V20" s="179">
        <v>5052.97</v>
      </c>
      <c r="W20" s="179">
        <v>6429.21</v>
      </c>
      <c r="X20" s="179">
        <v>9541.09</v>
      </c>
      <c r="Y20" s="179"/>
      <c r="Z20" s="179"/>
      <c r="AA20" s="179"/>
      <c r="AB20" s="179"/>
      <c r="AC20" s="179"/>
      <c r="AD20" s="179"/>
      <c r="AE20" s="179"/>
      <c r="AF20" s="179"/>
      <c r="AG20" s="179"/>
      <c r="AH20" s="149">
        <v>2</v>
      </c>
      <c r="AI20" s="149"/>
      <c r="AJ20" s="149"/>
      <c r="AK20" s="149"/>
      <c r="AL20" s="149"/>
      <c r="AM20" s="149"/>
    </row>
    <row r="21" spans="1:39" ht="26.4" x14ac:dyDescent="0.3">
      <c r="A21" s="181"/>
      <c r="B21" s="181" t="s">
        <v>37</v>
      </c>
      <c r="C21" s="176" t="s">
        <v>48</v>
      </c>
      <c r="D21" s="176" t="s">
        <v>59</v>
      </c>
      <c r="E21" s="185" t="s">
        <v>456</v>
      </c>
      <c r="F21" s="182" t="s">
        <v>201</v>
      </c>
      <c r="G21" s="182" t="s">
        <v>63</v>
      </c>
      <c r="H21" s="177" t="s">
        <v>453</v>
      </c>
      <c r="I21" s="163">
        <v>44181</v>
      </c>
      <c r="J21" s="188">
        <v>44189</v>
      </c>
      <c r="K21" s="163">
        <v>44197</v>
      </c>
      <c r="L21" s="163">
        <v>44561</v>
      </c>
      <c r="M21" s="181" t="s">
        <v>336</v>
      </c>
      <c r="N21" s="184">
        <v>518625.02</v>
      </c>
      <c r="O21" s="30">
        <f t="shared" si="0"/>
        <v>255545.02000000002</v>
      </c>
      <c r="P21" s="184">
        <v>263080</v>
      </c>
      <c r="Q21" s="184"/>
      <c r="R21" s="182" t="s">
        <v>478</v>
      </c>
      <c r="S21" s="181"/>
      <c r="T21" s="30"/>
      <c r="U21" s="277">
        <f>SUM(V21,W21,X21,Y21)</f>
        <v>67400</v>
      </c>
      <c r="V21" s="179">
        <v>23400</v>
      </c>
      <c r="W21" s="179">
        <v>21080</v>
      </c>
      <c r="X21" s="179">
        <v>22920</v>
      </c>
      <c r="Y21" s="113" t="s">
        <v>822</v>
      </c>
      <c r="Z21" s="179"/>
      <c r="AA21" s="179"/>
      <c r="AB21" s="179"/>
      <c r="AC21" s="179"/>
      <c r="AD21" s="179"/>
      <c r="AE21" s="179"/>
      <c r="AF21" s="179"/>
      <c r="AG21" s="179"/>
      <c r="AH21" s="149">
        <v>11</v>
      </c>
      <c r="AI21" s="149"/>
      <c r="AJ21" s="149"/>
      <c r="AK21" s="149"/>
      <c r="AL21" s="149"/>
      <c r="AM21" s="149">
        <v>1</v>
      </c>
    </row>
    <row r="22" spans="1:39" ht="26.4" x14ac:dyDescent="0.3">
      <c r="A22" s="181"/>
      <c r="B22" s="181" t="s">
        <v>37</v>
      </c>
      <c r="C22" s="176" t="s">
        <v>48</v>
      </c>
      <c r="D22" s="176" t="s">
        <v>59</v>
      </c>
      <c r="E22" s="185" t="s">
        <v>457</v>
      </c>
      <c r="F22" s="182" t="s">
        <v>223</v>
      </c>
      <c r="G22" s="182" t="s">
        <v>484</v>
      </c>
      <c r="H22" s="177" t="s">
        <v>470</v>
      </c>
      <c r="I22" s="163">
        <v>44181</v>
      </c>
      <c r="J22" s="188">
        <v>43842</v>
      </c>
      <c r="K22" s="163">
        <v>44197</v>
      </c>
      <c r="L22" s="163">
        <v>44561</v>
      </c>
      <c r="M22" s="181" t="s">
        <v>366</v>
      </c>
      <c r="N22" s="184">
        <v>519506.27</v>
      </c>
      <c r="O22" s="30">
        <f t="shared" si="0"/>
        <v>101304.06</v>
      </c>
      <c r="P22" s="184">
        <v>418202.21</v>
      </c>
      <c r="Q22" s="184"/>
      <c r="R22" s="182" t="s">
        <v>483</v>
      </c>
      <c r="S22" s="181"/>
      <c r="T22" s="30"/>
      <c r="U22" s="277">
        <f>SUM(V22,W22,X22,Y22,Z22,AA22,AB22,AC22,AD22,AE22,AF22)</f>
        <v>56818.23</v>
      </c>
      <c r="V22" s="179">
        <v>6107.86</v>
      </c>
      <c r="W22" s="179">
        <v>22172.880000000001</v>
      </c>
      <c r="X22" s="179">
        <v>28537.49</v>
      </c>
      <c r="Y22" s="179"/>
      <c r="Z22" s="179"/>
      <c r="AA22" s="179"/>
      <c r="AB22" s="179"/>
      <c r="AC22" s="179"/>
      <c r="AD22" s="179"/>
      <c r="AE22" s="179"/>
      <c r="AF22" s="179"/>
      <c r="AG22" s="179"/>
      <c r="AH22" s="149">
        <v>3</v>
      </c>
      <c r="AI22" s="149"/>
      <c r="AJ22" s="149"/>
      <c r="AK22" s="149"/>
      <c r="AL22" s="149"/>
      <c r="AM22" s="149">
        <v>1</v>
      </c>
    </row>
    <row r="23" spans="1:39" ht="39.6" x14ac:dyDescent="0.3">
      <c r="A23" s="181"/>
      <c r="B23" s="181" t="s">
        <v>37</v>
      </c>
      <c r="C23" s="176" t="s">
        <v>48</v>
      </c>
      <c r="D23" s="176" t="s">
        <v>59</v>
      </c>
      <c r="E23" s="185" t="s">
        <v>460</v>
      </c>
      <c r="F23" s="182" t="s">
        <v>461</v>
      </c>
      <c r="G23" s="182" t="s">
        <v>500</v>
      </c>
      <c r="H23" s="177" t="s">
        <v>473</v>
      </c>
      <c r="I23" s="183">
        <v>44183</v>
      </c>
      <c r="J23" s="188">
        <v>44193</v>
      </c>
      <c r="K23" s="163">
        <v>44207</v>
      </c>
      <c r="L23" s="163">
        <v>44561</v>
      </c>
      <c r="M23" s="181" t="s">
        <v>25</v>
      </c>
      <c r="N23" s="184">
        <v>923000</v>
      </c>
      <c r="O23" s="160" t="s">
        <v>261</v>
      </c>
      <c r="P23" s="184">
        <v>923000</v>
      </c>
      <c r="Q23" s="184"/>
      <c r="R23" s="182" t="s">
        <v>248</v>
      </c>
      <c r="S23" s="181"/>
      <c r="T23" s="30"/>
      <c r="U23" s="277">
        <f>SUM(V23,W23,X23,Y23,Z23,AA23,AB23,AC23,AD23,AE23,AF23)</f>
        <v>146298.45000000001</v>
      </c>
      <c r="V23" s="30"/>
      <c r="W23" s="179">
        <f>SUM(78654.37+48951.73+4036.75)</f>
        <v>131642.85</v>
      </c>
      <c r="X23" s="179">
        <v>14655.6</v>
      </c>
      <c r="Y23" s="113" t="s">
        <v>811</v>
      </c>
      <c r="Z23" s="179"/>
      <c r="AA23" s="179"/>
      <c r="AB23" s="179"/>
      <c r="AC23" s="179"/>
      <c r="AD23" s="179"/>
      <c r="AE23" s="179"/>
      <c r="AF23" s="179"/>
      <c r="AG23" s="179"/>
      <c r="AH23" s="149">
        <v>2</v>
      </c>
      <c r="AI23" s="149"/>
      <c r="AJ23" s="149"/>
      <c r="AK23" s="149"/>
      <c r="AL23" s="149"/>
      <c r="AM23" s="149">
        <v>1</v>
      </c>
    </row>
    <row r="24" spans="1:39" s="330" customFormat="1" ht="52.8" x14ac:dyDescent="0.3">
      <c r="A24" s="208"/>
      <c r="B24" s="209" t="s">
        <v>66</v>
      </c>
      <c r="C24" s="208" t="s">
        <v>48</v>
      </c>
      <c r="D24" s="208" t="s">
        <v>59</v>
      </c>
      <c r="E24" s="320" t="s">
        <v>462</v>
      </c>
      <c r="F24" s="208" t="s">
        <v>463</v>
      </c>
      <c r="G24" s="208" t="s">
        <v>487</v>
      </c>
      <c r="H24" s="208" t="s">
        <v>469</v>
      </c>
      <c r="I24" s="240">
        <v>44181</v>
      </c>
      <c r="J24" s="240">
        <v>44193</v>
      </c>
      <c r="K24" s="240">
        <v>44181</v>
      </c>
      <c r="L24" s="322" t="s">
        <v>486</v>
      </c>
      <c r="M24" s="209" t="s">
        <v>50</v>
      </c>
      <c r="N24" s="328">
        <v>8195148.6900000004</v>
      </c>
      <c r="O24" s="328">
        <f t="shared" si="0"/>
        <v>0</v>
      </c>
      <c r="P24" s="328">
        <v>8195148.6900000004</v>
      </c>
      <c r="Q24" s="328" t="s">
        <v>696</v>
      </c>
      <c r="R24" s="208" t="s">
        <v>485</v>
      </c>
      <c r="S24" s="208" t="s">
        <v>317</v>
      </c>
      <c r="T24" s="328"/>
      <c r="U24" s="327"/>
      <c r="V24" s="328"/>
      <c r="W24" s="328">
        <v>8195148.6900000004</v>
      </c>
      <c r="X24" s="328"/>
      <c r="Y24" s="328"/>
      <c r="Z24" s="328"/>
      <c r="AA24" s="328"/>
      <c r="AB24" s="328"/>
      <c r="AC24" s="328"/>
      <c r="AD24" s="328"/>
      <c r="AE24" s="328"/>
      <c r="AF24" s="328"/>
      <c r="AG24" s="328"/>
      <c r="AH24" s="329">
        <v>1</v>
      </c>
      <c r="AI24" s="329"/>
      <c r="AJ24" s="329"/>
      <c r="AK24" s="209"/>
      <c r="AL24" s="209"/>
      <c r="AM24" s="209">
        <v>2</v>
      </c>
    </row>
    <row r="25" spans="1:39" ht="43.5" customHeight="1" x14ac:dyDescent="0.3">
      <c r="A25" s="181"/>
      <c r="B25" s="181" t="s">
        <v>37</v>
      </c>
      <c r="C25" s="176" t="s">
        <v>48</v>
      </c>
      <c r="D25" s="176" t="s">
        <v>59</v>
      </c>
      <c r="E25" s="185" t="s">
        <v>464</v>
      </c>
      <c r="F25" s="182" t="s">
        <v>114</v>
      </c>
      <c r="G25" s="182" t="s">
        <v>501</v>
      </c>
      <c r="H25" s="177" t="s">
        <v>479</v>
      </c>
      <c r="I25" s="163">
        <v>44187</v>
      </c>
      <c r="J25" s="188">
        <v>44189</v>
      </c>
      <c r="K25" s="163">
        <v>44197</v>
      </c>
      <c r="L25" s="163">
        <v>44561</v>
      </c>
      <c r="M25" s="181" t="s">
        <v>50</v>
      </c>
      <c r="N25" s="184">
        <v>950400</v>
      </c>
      <c r="O25" s="30">
        <f t="shared" si="0"/>
        <v>0</v>
      </c>
      <c r="P25" s="184">
        <v>950400</v>
      </c>
      <c r="Q25" s="184"/>
      <c r="R25" s="182" t="s">
        <v>642</v>
      </c>
      <c r="S25" s="181"/>
      <c r="T25" s="30"/>
      <c r="U25" s="277">
        <f>SUM(V25:AG25)</f>
        <v>237600</v>
      </c>
      <c r="V25" s="189">
        <v>79200</v>
      </c>
      <c r="W25" s="189">
        <v>79200</v>
      </c>
      <c r="X25" s="189">
        <v>79200</v>
      </c>
      <c r="Y25" s="179"/>
      <c r="Z25" s="179"/>
      <c r="AA25" s="179"/>
      <c r="AB25" s="179"/>
      <c r="AC25" s="179"/>
      <c r="AD25" s="179"/>
      <c r="AE25" s="179"/>
      <c r="AF25" s="179"/>
      <c r="AG25" s="179"/>
      <c r="AH25" s="149">
        <v>1</v>
      </c>
      <c r="AI25" s="149"/>
      <c r="AJ25" s="149"/>
      <c r="AK25" s="149"/>
      <c r="AL25" s="149"/>
      <c r="AM25" s="149"/>
    </row>
    <row r="26" spans="1:39" ht="39" customHeight="1" x14ac:dyDescent="0.3">
      <c r="A26" s="181"/>
      <c r="B26" s="181" t="s">
        <v>37</v>
      </c>
      <c r="C26" s="176" t="s">
        <v>48</v>
      </c>
      <c r="D26" s="176" t="s">
        <v>59</v>
      </c>
      <c r="E26" s="185" t="s">
        <v>465</v>
      </c>
      <c r="F26" s="182" t="s">
        <v>466</v>
      </c>
      <c r="G26" s="182" t="s">
        <v>503</v>
      </c>
      <c r="H26" s="177" t="s">
        <v>480</v>
      </c>
      <c r="I26" s="163">
        <v>44187</v>
      </c>
      <c r="J26" s="188">
        <v>44188</v>
      </c>
      <c r="K26" s="163">
        <v>44197</v>
      </c>
      <c r="L26" s="163">
        <v>44561</v>
      </c>
      <c r="M26" s="181" t="s">
        <v>50</v>
      </c>
      <c r="N26" s="184">
        <v>384000</v>
      </c>
      <c r="O26" s="30">
        <f t="shared" si="0"/>
        <v>0</v>
      </c>
      <c r="P26" s="184">
        <v>384000</v>
      </c>
      <c r="Q26" s="184"/>
      <c r="R26" s="182" t="s">
        <v>502</v>
      </c>
      <c r="S26" s="181"/>
      <c r="T26" s="30"/>
      <c r="U26" s="277"/>
      <c r="V26" s="189">
        <v>32000</v>
      </c>
      <c r="W26" s="189">
        <v>32000</v>
      </c>
      <c r="X26" s="189">
        <v>32000</v>
      </c>
      <c r="Y26" s="179"/>
      <c r="Z26" s="179"/>
      <c r="AA26" s="179"/>
      <c r="AB26" s="179"/>
      <c r="AC26" s="179"/>
      <c r="AD26" s="179"/>
      <c r="AE26" s="179"/>
      <c r="AF26" s="179"/>
      <c r="AG26" s="179"/>
      <c r="AH26" s="149">
        <v>1</v>
      </c>
      <c r="AI26" s="149"/>
      <c r="AJ26" s="149"/>
      <c r="AK26" s="149"/>
      <c r="AL26" s="149"/>
      <c r="AM26" s="149"/>
    </row>
    <row r="27" spans="1:39" ht="66" x14ac:dyDescent="0.3">
      <c r="A27" s="181"/>
      <c r="B27" s="181" t="s">
        <v>37</v>
      </c>
      <c r="C27" s="176" t="s">
        <v>48</v>
      </c>
      <c r="D27" s="176" t="s">
        <v>59</v>
      </c>
      <c r="E27" s="185" t="s">
        <v>647</v>
      </c>
      <c r="F27" s="182" t="s">
        <v>113</v>
      </c>
      <c r="G27" s="182" t="s">
        <v>582</v>
      </c>
      <c r="H27" s="177" t="s">
        <v>517</v>
      </c>
      <c r="I27" s="166">
        <v>44207</v>
      </c>
      <c r="J27" s="166">
        <v>44208</v>
      </c>
      <c r="K27" s="163">
        <v>44207</v>
      </c>
      <c r="L27" s="183">
        <v>44561</v>
      </c>
      <c r="M27" s="181" t="s">
        <v>50</v>
      </c>
      <c r="N27" s="184">
        <v>570999.96</v>
      </c>
      <c r="O27" s="30">
        <f>SUM(N27- P27)</f>
        <v>0</v>
      </c>
      <c r="P27" s="184">
        <v>570999.96</v>
      </c>
      <c r="Q27" s="184"/>
      <c r="R27" s="182" t="s">
        <v>649</v>
      </c>
      <c r="S27" s="181"/>
      <c r="T27" s="30"/>
      <c r="U27" s="277">
        <f>SUM(V27,W27,X27,Y27,Z27,AA27,AB27,AC27,AD27,AE27,AF27,AG27)</f>
        <v>142749.99</v>
      </c>
      <c r="V27" s="189">
        <v>47583.33</v>
      </c>
      <c r="W27" s="189">
        <v>47583.33</v>
      </c>
      <c r="X27" s="189">
        <v>47583.33</v>
      </c>
      <c r="Y27" s="179"/>
      <c r="Z27" s="179"/>
      <c r="AA27" s="179"/>
      <c r="AB27" s="179"/>
      <c r="AC27" s="179"/>
      <c r="AD27" s="179"/>
      <c r="AE27" s="179"/>
      <c r="AF27" s="179"/>
      <c r="AG27" s="179"/>
      <c r="AH27" s="149">
        <v>1</v>
      </c>
      <c r="AI27" s="149"/>
      <c r="AJ27" s="149"/>
      <c r="AK27" s="149"/>
      <c r="AL27" s="149"/>
      <c r="AM27" s="149"/>
    </row>
    <row r="28" spans="1:39" ht="26.4" x14ac:dyDescent="0.3">
      <c r="A28" s="181"/>
      <c r="B28" s="181" t="s">
        <v>37</v>
      </c>
      <c r="C28" s="176" t="s">
        <v>48</v>
      </c>
      <c r="D28" s="176" t="s">
        <v>53</v>
      </c>
      <c r="E28" s="185" t="s">
        <v>648</v>
      </c>
      <c r="F28" s="182" t="s">
        <v>494</v>
      </c>
      <c r="G28" s="182" t="s">
        <v>608</v>
      </c>
      <c r="H28" s="177" t="s">
        <v>522</v>
      </c>
      <c r="I28" s="183">
        <v>44214</v>
      </c>
      <c r="J28" s="188">
        <v>44216</v>
      </c>
      <c r="K28" s="163">
        <v>44214</v>
      </c>
      <c r="L28" s="183">
        <v>44561</v>
      </c>
      <c r="M28" s="181" t="s">
        <v>336</v>
      </c>
      <c r="N28" s="184">
        <v>686669.64</v>
      </c>
      <c r="O28" s="30">
        <f t="shared" si="0"/>
        <v>545909.64</v>
      </c>
      <c r="P28" s="184">
        <v>140760</v>
      </c>
      <c r="Q28" s="184"/>
      <c r="R28" s="182" t="s">
        <v>617</v>
      </c>
      <c r="S28" s="181"/>
      <c r="T28" s="30"/>
      <c r="U28" s="277">
        <f>SUM(V28,W28,W28:AF28)</f>
        <v>46920</v>
      </c>
      <c r="V28" s="189">
        <v>11730</v>
      </c>
      <c r="W28" s="189">
        <v>11730</v>
      </c>
      <c r="X28" s="189">
        <v>11730</v>
      </c>
      <c r="Y28" s="113" t="s">
        <v>823</v>
      </c>
      <c r="Z28" s="179"/>
      <c r="AA28" s="179"/>
      <c r="AB28" s="179"/>
      <c r="AC28" s="179"/>
      <c r="AD28" s="179"/>
      <c r="AE28" s="179"/>
      <c r="AF28" s="179"/>
      <c r="AG28" s="179"/>
      <c r="AH28" s="149">
        <v>15</v>
      </c>
      <c r="AI28" s="149"/>
      <c r="AJ28" s="149"/>
      <c r="AK28" s="149"/>
      <c r="AL28" s="149"/>
      <c r="AM28" s="149"/>
    </row>
    <row r="29" spans="1:39" ht="39.6" x14ac:dyDescent="0.3">
      <c r="A29" s="181"/>
      <c r="B29" s="181" t="s">
        <v>37</v>
      </c>
      <c r="C29" s="176" t="s">
        <v>48</v>
      </c>
      <c r="D29" s="176" t="s">
        <v>59</v>
      </c>
      <c r="E29" s="185" t="s">
        <v>650</v>
      </c>
      <c r="F29" s="182" t="s">
        <v>54</v>
      </c>
      <c r="G29" s="182" t="s">
        <v>613</v>
      </c>
      <c r="H29" s="177" t="s">
        <v>523</v>
      </c>
      <c r="I29" s="183">
        <v>44211</v>
      </c>
      <c r="J29" s="188">
        <v>44214</v>
      </c>
      <c r="K29" s="163">
        <v>44211</v>
      </c>
      <c r="L29" s="183">
        <v>44561</v>
      </c>
      <c r="M29" s="181" t="s">
        <v>50</v>
      </c>
      <c r="N29" s="190">
        <v>396000</v>
      </c>
      <c r="O29" s="30">
        <f>SUM(N29- P29)</f>
        <v>0</v>
      </c>
      <c r="P29" s="184">
        <v>396000</v>
      </c>
      <c r="Q29" s="184"/>
      <c r="R29" s="182" t="s">
        <v>580</v>
      </c>
      <c r="S29" s="181"/>
      <c r="T29" s="30"/>
      <c r="U29" s="277">
        <f>SUM(X29,AA29,AD29,AG29)</f>
        <v>99000</v>
      </c>
      <c r="V29" s="30"/>
      <c r="W29" s="179"/>
      <c r="X29" s="189">
        <v>99000</v>
      </c>
      <c r="Y29" s="179"/>
      <c r="Z29" s="179"/>
      <c r="AA29" s="179"/>
      <c r="AB29" s="179"/>
      <c r="AC29" s="179"/>
      <c r="AD29" s="179"/>
      <c r="AE29" s="179"/>
      <c r="AF29" s="179"/>
      <c r="AG29" s="179"/>
      <c r="AH29" s="149">
        <v>1</v>
      </c>
      <c r="AI29" s="149"/>
      <c r="AJ29" s="149"/>
      <c r="AK29" s="149"/>
      <c r="AL29" s="149"/>
      <c r="AM29" s="149"/>
    </row>
    <row r="30" spans="1:39" ht="66" x14ac:dyDescent="0.3">
      <c r="A30" s="181"/>
      <c r="B30" s="181" t="s">
        <v>37</v>
      </c>
      <c r="C30" s="176" t="s">
        <v>48</v>
      </c>
      <c r="D30" s="176" t="s">
        <v>53</v>
      </c>
      <c r="E30" s="185" t="s">
        <v>651</v>
      </c>
      <c r="F30" s="182" t="s">
        <v>495</v>
      </c>
      <c r="G30" s="182" t="s">
        <v>609</v>
      </c>
      <c r="H30" s="181" t="s">
        <v>524</v>
      </c>
      <c r="I30" s="183">
        <v>44218</v>
      </c>
      <c r="J30" s="188">
        <v>44221</v>
      </c>
      <c r="K30" s="163">
        <v>44220</v>
      </c>
      <c r="L30" s="183">
        <v>44561</v>
      </c>
      <c r="M30" s="181" t="s">
        <v>347</v>
      </c>
      <c r="N30" s="184">
        <v>166000</v>
      </c>
      <c r="O30" s="189" t="s">
        <v>261</v>
      </c>
      <c r="P30" s="184">
        <v>166000</v>
      </c>
      <c r="Q30" s="184"/>
      <c r="R30" s="182" t="s">
        <v>652</v>
      </c>
      <c r="S30" s="181"/>
      <c r="T30" s="30"/>
      <c r="U30" s="277"/>
      <c r="V30" s="30"/>
      <c r="W30" s="179"/>
      <c r="X30" s="179"/>
      <c r="Y30" s="179"/>
      <c r="Z30" s="179"/>
      <c r="AA30" s="179"/>
      <c r="AB30" s="179"/>
      <c r="AC30" s="179"/>
      <c r="AD30" s="179"/>
      <c r="AE30" s="179"/>
      <c r="AF30" s="179"/>
      <c r="AG30" s="179"/>
      <c r="AH30" s="149">
        <v>2</v>
      </c>
      <c r="AI30" s="149"/>
      <c r="AJ30" s="149"/>
      <c r="AK30" s="149"/>
      <c r="AL30" s="149"/>
      <c r="AM30" s="149"/>
    </row>
    <row r="31" spans="1:39" ht="66" x14ac:dyDescent="0.3">
      <c r="A31" s="181"/>
      <c r="B31" s="181" t="s">
        <v>37</v>
      </c>
      <c r="C31" s="176" t="s">
        <v>48</v>
      </c>
      <c r="D31" s="176" t="s">
        <v>53</v>
      </c>
      <c r="E31" s="185" t="s">
        <v>653</v>
      </c>
      <c r="F31" s="182" t="s">
        <v>496</v>
      </c>
      <c r="G31" s="182" t="s">
        <v>611</v>
      </c>
      <c r="H31" s="181" t="s">
        <v>525</v>
      </c>
      <c r="I31" s="183">
        <v>44221</v>
      </c>
      <c r="J31" s="188">
        <v>44222</v>
      </c>
      <c r="K31" s="163">
        <v>44221</v>
      </c>
      <c r="L31" s="183">
        <v>44593</v>
      </c>
      <c r="M31" s="181" t="s">
        <v>347</v>
      </c>
      <c r="N31" s="190">
        <v>862500</v>
      </c>
      <c r="O31" s="189" t="s">
        <v>261</v>
      </c>
      <c r="P31" s="184">
        <v>862500</v>
      </c>
      <c r="Q31" s="184"/>
      <c r="R31" s="182" t="s">
        <v>654</v>
      </c>
      <c r="S31" s="181"/>
      <c r="T31" s="30"/>
      <c r="U31" s="277">
        <f>SUM(V31,W31,X31,Y31,Z31,AA31,AB31,AC31,AD31,AE31,AF31,AG31)</f>
        <v>219000</v>
      </c>
      <c r="V31" s="189"/>
      <c r="W31" s="189">
        <f>SUM(31500+39000)</f>
        <v>70500</v>
      </c>
      <c r="X31" s="189">
        <f>SUM(37500+42000)</f>
        <v>79500</v>
      </c>
      <c r="Y31" s="179">
        <f>SUM(31500+37500)</f>
        <v>69000</v>
      </c>
      <c r="Z31" s="179"/>
      <c r="AA31" s="179"/>
      <c r="AB31" s="179"/>
      <c r="AC31" s="179"/>
      <c r="AD31" s="179"/>
      <c r="AE31" s="179"/>
      <c r="AF31" s="179"/>
      <c r="AG31" s="179"/>
      <c r="AH31" s="149">
        <v>3</v>
      </c>
      <c r="AI31" s="149"/>
      <c r="AJ31" s="149"/>
      <c r="AK31" s="149"/>
      <c r="AL31" s="149"/>
      <c r="AM31" s="149"/>
    </row>
    <row r="32" spans="1:39" s="330" customFormat="1" ht="66" x14ac:dyDescent="0.3">
      <c r="A32" s="208"/>
      <c r="B32" s="209" t="s">
        <v>682</v>
      </c>
      <c r="C32" s="208" t="s">
        <v>48</v>
      </c>
      <c r="D32" s="208" t="s">
        <v>59</v>
      </c>
      <c r="E32" s="320" t="s">
        <v>655</v>
      </c>
      <c r="F32" s="208" t="s">
        <v>497</v>
      </c>
      <c r="G32" s="208" t="s">
        <v>612</v>
      </c>
      <c r="H32" s="208" t="s">
        <v>796</v>
      </c>
      <c r="I32" s="240">
        <v>44221</v>
      </c>
      <c r="J32" s="240">
        <v>44222</v>
      </c>
      <c r="K32" s="240">
        <v>44221</v>
      </c>
      <c r="L32" s="322">
        <v>44561</v>
      </c>
      <c r="M32" s="209" t="s">
        <v>336</v>
      </c>
      <c r="N32" s="328">
        <v>2116666.7000000002</v>
      </c>
      <c r="O32" s="328">
        <f t="shared" si="0"/>
        <v>1780243.7700000003</v>
      </c>
      <c r="P32" s="328">
        <v>336422.93</v>
      </c>
      <c r="Q32" s="328"/>
      <c r="R32" s="208" t="s">
        <v>656</v>
      </c>
      <c r="S32" s="208"/>
      <c r="T32" s="328"/>
      <c r="U32" s="327"/>
      <c r="V32" s="328"/>
      <c r="W32" s="328"/>
      <c r="X32" s="328"/>
      <c r="Y32" s="328"/>
      <c r="Z32" s="328"/>
      <c r="AA32" s="328"/>
      <c r="AB32" s="328"/>
      <c r="AC32" s="328"/>
      <c r="AD32" s="328"/>
      <c r="AE32" s="328"/>
      <c r="AF32" s="328"/>
      <c r="AG32" s="328"/>
      <c r="AH32" s="329">
        <v>13</v>
      </c>
      <c r="AI32" s="329"/>
      <c r="AJ32" s="329"/>
      <c r="AK32" s="209"/>
      <c r="AL32" s="209"/>
      <c r="AM32" s="209"/>
    </row>
    <row r="33" spans="1:41" s="95" customFormat="1" ht="39.6" x14ac:dyDescent="0.3">
      <c r="A33" s="89"/>
      <c r="B33" s="89" t="s">
        <v>725</v>
      </c>
      <c r="C33" s="93" t="s">
        <v>48</v>
      </c>
      <c r="D33" s="93" t="s">
        <v>53</v>
      </c>
      <c r="E33" s="100" t="s">
        <v>615</v>
      </c>
      <c r="F33" s="90" t="s">
        <v>498</v>
      </c>
      <c r="G33" s="89"/>
      <c r="H33" s="89" t="s">
        <v>527</v>
      </c>
      <c r="I33" s="97"/>
      <c r="J33" s="89"/>
      <c r="K33" s="97"/>
      <c r="L33" s="89"/>
      <c r="M33" s="89" t="s">
        <v>336</v>
      </c>
      <c r="N33" s="344">
        <v>41097092.57</v>
      </c>
      <c r="O33" s="345">
        <v>0</v>
      </c>
      <c r="P33" s="344"/>
      <c r="Q33" s="344"/>
      <c r="R33" s="89"/>
      <c r="S33" s="89"/>
      <c r="T33" s="345"/>
      <c r="U33" s="346"/>
      <c r="V33" s="345"/>
      <c r="W33" s="96"/>
      <c r="X33" s="96"/>
      <c r="Y33" s="96"/>
      <c r="Z33" s="96"/>
      <c r="AA33" s="96"/>
      <c r="AB33" s="96"/>
      <c r="AC33" s="96"/>
      <c r="AD33" s="96"/>
      <c r="AE33" s="96"/>
      <c r="AF33" s="96"/>
      <c r="AG33" s="96"/>
      <c r="AH33" s="347"/>
      <c r="AI33" s="347"/>
      <c r="AJ33" s="347"/>
      <c r="AK33" s="347">
        <v>1</v>
      </c>
      <c r="AL33" s="347" t="s">
        <v>646</v>
      </c>
      <c r="AM33" s="347"/>
    </row>
    <row r="34" spans="1:41" s="330" customFormat="1" ht="52.8" x14ac:dyDescent="0.3">
      <c r="A34" s="208"/>
      <c r="B34" s="209" t="s">
        <v>58</v>
      </c>
      <c r="C34" s="208" t="s">
        <v>48</v>
      </c>
      <c r="D34" s="208" t="s">
        <v>59</v>
      </c>
      <c r="E34" s="320" t="s">
        <v>529</v>
      </c>
      <c r="F34" s="208" t="s">
        <v>530</v>
      </c>
      <c r="G34" s="208" t="s">
        <v>334</v>
      </c>
      <c r="H34" s="208" t="s">
        <v>528</v>
      </c>
      <c r="I34" s="240">
        <v>44221</v>
      </c>
      <c r="J34" s="240">
        <v>44225</v>
      </c>
      <c r="K34" s="240">
        <v>44221</v>
      </c>
      <c r="L34" s="322">
        <v>44314</v>
      </c>
      <c r="M34" s="209" t="s">
        <v>50</v>
      </c>
      <c r="N34" s="328">
        <v>710733.34</v>
      </c>
      <c r="O34" s="328">
        <f t="shared" si="0"/>
        <v>0</v>
      </c>
      <c r="P34" s="328">
        <v>710733.34</v>
      </c>
      <c r="Q34" s="328"/>
      <c r="R34" s="208" t="s">
        <v>248</v>
      </c>
      <c r="S34" s="208" t="s">
        <v>248</v>
      </c>
      <c r="T34" s="328"/>
      <c r="U34" s="327"/>
      <c r="V34" s="328"/>
      <c r="W34" s="328"/>
      <c r="X34" s="328">
        <v>710733.34</v>
      </c>
      <c r="Y34" s="328"/>
      <c r="Z34" s="328"/>
      <c r="AA34" s="328"/>
      <c r="AB34" s="328"/>
      <c r="AC34" s="328"/>
      <c r="AD34" s="328"/>
      <c r="AE34" s="328"/>
      <c r="AF34" s="328"/>
      <c r="AG34" s="328"/>
      <c r="AH34" s="329">
        <v>1</v>
      </c>
      <c r="AI34" s="329"/>
      <c r="AJ34" s="329"/>
      <c r="AK34" s="209"/>
      <c r="AL34" s="209"/>
      <c r="AM34" s="209"/>
    </row>
    <row r="35" spans="1:41" ht="52.8" x14ac:dyDescent="0.3">
      <c r="A35" s="181"/>
      <c r="B35" s="181" t="s">
        <v>37</v>
      </c>
      <c r="C35" s="176" t="s">
        <v>48</v>
      </c>
      <c r="D35" s="176" t="s">
        <v>53</v>
      </c>
      <c r="E35" s="185" t="s">
        <v>533</v>
      </c>
      <c r="F35" s="182" t="s">
        <v>534</v>
      </c>
      <c r="G35" s="34" t="s">
        <v>249</v>
      </c>
      <c r="H35" s="181" t="s">
        <v>535</v>
      </c>
      <c r="I35" s="163">
        <v>44222</v>
      </c>
      <c r="J35" s="188">
        <v>44223</v>
      </c>
      <c r="K35" s="163">
        <v>44222</v>
      </c>
      <c r="L35" s="183">
        <v>44561</v>
      </c>
      <c r="M35" s="181" t="s">
        <v>347</v>
      </c>
      <c r="N35" s="184">
        <v>417800</v>
      </c>
      <c r="O35" s="30" t="s">
        <v>261</v>
      </c>
      <c r="P35" s="184">
        <v>417800</v>
      </c>
      <c r="Q35" s="184"/>
      <c r="R35" s="182" t="s">
        <v>627</v>
      </c>
      <c r="S35" s="181"/>
      <c r="T35" s="30"/>
      <c r="U35" s="277"/>
      <c r="V35" s="30"/>
      <c r="W35" s="179"/>
      <c r="X35" s="189">
        <v>61248.959999999999</v>
      </c>
      <c r="Y35" s="179"/>
      <c r="Z35" s="179"/>
      <c r="AA35" s="179"/>
      <c r="AB35" s="179"/>
      <c r="AC35" s="179"/>
      <c r="AD35" s="179"/>
      <c r="AE35" s="179"/>
      <c r="AF35" s="179"/>
      <c r="AG35" s="179"/>
      <c r="AH35" s="149">
        <v>1</v>
      </c>
      <c r="AI35" s="149"/>
      <c r="AJ35" s="149"/>
      <c r="AK35" s="149"/>
      <c r="AL35" s="149"/>
      <c r="AM35" s="149"/>
    </row>
    <row r="36" spans="1:41" ht="118.8" x14ac:dyDescent="0.3">
      <c r="A36" s="192"/>
      <c r="B36" s="182" t="s">
        <v>37</v>
      </c>
      <c r="C36" s="177" t="s">
        <v>48</v>
      </c>
      <c r="D36" s="177" t="s">
        <v>59</v>
      </c>
      <c r="E36" s="185" t="s">
        <v>605</v>
      </c>
      <c r="F36" s="182" t="s">
        <v>115</v>
      </c>
      <c r="G36" s="182" t="s">
        <v>606</v>
      </c>
      <c r="H36" s="181" t="s">
        <v>614</v>
      </c>
      <c r="I36" s="163">
        <v>44222</v>
      </c>
      <c r="J36" s="163">
        <v>44224</v>
      </c>
      <c r="K36" s="163">
        <v>44228</v>
      </c>
      <c r="L36" s="183">
        <v>44592</v>
      </c>
      <c r="M36" s="181" t="s">
        <v>607</v>
      </c>
      <c r="N36" s="184">
        <v>1216370.04</v>
      </c>
      <c r="O36" s="30">
        <f>SUM(N36- P36)</f>
        <v>60491.040000000037</v>
      </c>
      <c r="P36" s="184">
        <v>1155879</v>
      </c>
      <c r="Q36" s="184"/>
      <c r="R36" s="177" t="s">
        <v>248</v>
      </c>
      <c r="S36" s="192"/>
      <c r="T36" s="191"/>
      <c r="U36" s="193"/>
      <c r="V36" s="193"/>
      <c r="W36" s="189">
        <v>96323.25</v>
      </c>
      <c r="X36" s="189">
        <v>96323.25</v>
      </c>
      <c r="Y36" s="179"/>
      <c r="Z36" s="179"/>
      <c r="AA36" s="179"/>
      <c r="AB36" s="179"/>
      <c r="AC36" s="179"/>
      <c r="AD36" s="179"/>
      <c r="AE36" s="179"/>
      <c r="AF36" s="179"/>
      <c r="AG36" s="179"/>
      <c r="AH36" s="149">
        <v>2</v>
      </c>
      <c r="AI36" s="149"/>
      <c r="AJ36" s="149"/>
      <c r="AK36" s="149"/>
      <c r="AL36" s="149"/>
      <c r="AM36" s="149"/>
      <c r="AN36" s="157"/>
      <c r="AO36" s="157"/>
    </row>
    <row r="37" spans="1:41" s="330" customFormat="1" ht="52.8" x14ac:dyDescent="0.3">
      <c r="A37" s="208"/>
      <c r="B37" s="209" t="s">
        <v>66</v>
      </c>
      <c r="C37" s="208" t="s">
        <v>48</v>
      </c>
      <c r="D37" s="208" t="s">
        <v>59</v>
      </c>
      <c r="E37" s="320" t="s">
        <v>588</v>
      </c>
      <c r="F37" s="208" t="s">
        <v>589</v>
      </c>
      <c r="G37" s="208" t="s">
        <v>590</v>
      </c>
      <c r="H37" s="208" t="s">
        <v>616</v>
      </c>
      <c r="I37" s="240">
        <v>44225</v>
      </c>
      <c r="J37" s="240">
        <v>44229</v>
      </c>
      <c r="K37" s="240">
        <v>44225</v>
      </c>
      <c r="L37" s="322">
        <v>44286</v>
      </c>
      <c r="M37" s="209" t="s">
        <v>336</v>
      </c>
      <c r="N37" s="328">
        <v>2200000.0299999998</v>
      </c>
      <c r="O37" s="328">
        <f>SUM(N37- P37)</f>
        <v>250000.0299999998</v>
      </c>
      <c r="P37" s="328">
        <v>1950000</v>
      </c>
      <c r="Q37" s="328" t="s">
        <v>782</v>
      </c>
      <c r="R37" s="208" t="s">
        <v>641</v>
      </c>
      <c r="S37" s="208"/>
      <c r="T37" s="328"/>
      <c r="U37" s="327"/>
      <c r="V37" s="328"/>
      <c r="W37" s="328"/>
      <c r="X37" s="328">
        <v>1950000</v>
      </c>
      <c r="Y37" s="328"/>
      <c r="Z37" s="328"/>
      <c r="AA37" s="328"/>
      <c r="AB37" s="328"/>
      <c r="AC37" s="328"/>
      <c r="AD37" s="328"/>
      <c r="AE37" s="328"/>
      <c r="AF37" s="328"/>
      <c r="AG37" s="328"/>
      <c r="AH37" s="329">
        <v>5</v>
      </c>
      <c r="AI37" s="329">
        <v>1</v>
      </c>
      <c r="AJ37" s="329"/>
      <c r="AK37" s="209"/>
      <c r="AL37" s="209"/>
      <c r="AM37" s="209"/>
    </row>
    <row r="38" spans="1:41" s="330" customFormat="1" ht="39.6" x14ac:dyDescent="0.3">
      <c r="A38" s="208"/>
      <c r="B38" s="209" t="s">
        <v>37</v>
      </c>
      <c r="C38" s="208" t="s">
        <v>48</v>
      </c>
      <c r="D38" s="208" t="s">
        <v>59</v>
      </c>
      <c r="E38" s="320" t="s">
        <v>593</v>
      </c>
      <c r="F38" s="208" t="s">
        <v>594</v>
      </c>
      <c r="G38" s="208" t="s">
        <v>582</v>
      </c>
      <c r="H38" s="208" t="s">
        <v>618</v>
      </c>
      <c r="I38" s="240">
        <v>44225</v>
      </c>
      <c r="J38" s="240">
        <v>44229</v>
      </c>
      <c r="K38" s="240">
        <v>44225</v>
      </c>
      <c r="L38" s="322">
        <v>44286</v>
      </c>
      <c r="M38" s="209" t="s">
        <v>50</v>
      </c>
      <c r="N38" s="328">
        <v>2202082.34</v>
      </c>
      <c r="O38" s="328">
        <f>SUM(N38- P38)</f>
        <v>0</v>
      </c>
      <c r="P38" s="328">
        <v>2202082.34</v>
      </c>
      <c r="Q38" s="328" t="s">
        <v>747</v>
      </c>
      <c r="R38" s="208" t="s">
        <v>640</v>
      </c>
      <c r="S38" s="208" t="s">
        <v>755</v>
      </c>
      <c r="T38" s="328"/>
      <c r="U38" s="327"/>
      <c r="V38" s="328"/>
      <c r="W38" s="328"/>
      <c r="X38" s="328">
        <v>2202082.34</v>
      </c>
      <c r="Y38" s="328"/>
      <c r="Z38" s="328"/>
      <c r="AA38" s="328"/>
      <c r="AB38" s="328"/>
      <c r="AC38" s="328"/>
      <c r="AD38" s="328"/>
      <c r="AE38" s="328"/>
      <c r="AF38" s="328"/>
      <c r="AG38" s="328"/>
      <c r="AH38" s="329">
        <v>1</v>
      </c>
      <c r="AI38" s="329"/>
      <c r="AJ38" s="329"/>
      <c r="AK38" s="209"/>
      <c r="AL38" s="209"/>
      <c r="AM38" s="209"/>
    </row>
    <row r="39" spans="1:41" ht="26.4" x14ac:dyDescent="0.3">
      <c r="A39" s="192"/>
      <c r="B39" s="182" t="s">
        <v>37</v>
      </c>
      <c r="C39" s="177" t="s">
        <v>48</v>
      </c>
      <c r="D39" s="177" t="s">
        <v>53</v>
      </c>
      <c r="E39" s="185" t="s">
        <v>583</v>
      </c>
      <c r="F39" s="182" t="s">
        <v>584</v>
      </c>
      <c r="G39" s="182" t="s">
        <v>585</v>
      </c>
      <c r="H39" s="145" t="s">
        <v>619</v>
      </c>
      <c r="I39" s="163">
        <v>44225</v>
      </c>
      <c r="J39" s="163">
        <v>44229</v>
      </c>
      <c r="K39" s="163">
        <v>44312</v>
      </c>
      <c r="L39" s="183">
        <v>44427</v>
      </c>
      <c r="M39" s="181" t="s">
        <v>833</v>
      </c>
      <c r="N39" s="184">
        <v>6505531.0800000001</v>
      </c>
      <c r="O39" s="30">
        <f t="shared" si="0"/>
        <v>888058.74000000022</v>
      </c>
      <c r="P39" s="184">
        <v>5617472.3399999999</v>
      </c>
      <c r="Q39" s="184"/>
      <c r="R39" s="177" t="s">
        <v>643</v>
      </c>
      <c r="S39" s="192"/>
      <c r="T39" s="189"/>
      <c r="U39" s="130"/>
      <c r="V39" s="187"/>
      <c r="W39" s="179"/>
      <c r="X39" s="179"/>
      <c r="Y39" s="179"/>
      <c r="Z39" s="179"/>
      <c r="AA39" s="179"/>
      <c r="AB39" s="179"/>
      <c r="AC39" s="179"/>
      <c r="AD39" s="179"/>
      <c r="AE39" s="179"/>
      <c r="AF39" s="179"/>
      <c r="AG39" s="179"/>
      <c r="AH39" s="149">
        <v>3</v>
      </c>
      <c r="AI39" s="149"/>
      <c r="AJ39" s="149"/>
      <c r="AK39" s="149"/>
      <c r="AL39" s="149"/>
      <c r="AM39" s="149"/>
      <c r="AN39" s="158"/>
      <c r="AO39" s="159"/>
    </row>
    <row r="40" spans="1:41" s="330" customFormat="1" ht="39.6" x14ac:dyDescent="0.3">
      <c r="A40" s="208"/>
      <c r="B40" s="209" t="s">
        <v>66</v>
      </c>
      <c r="C40" s="208" t="s">
        <v>48</v>
      </c>
      <c r="D40" s="208" t="s">
        <v>59</v>
      </c>
      <c r="E40" s="320" t="s">
        <v>586</v>
      </c>
      <c r="F40" s="208" t="s">
        <v>587</v>
      </c>
      <c r="G40" s="208" t="s">
        <v>334</v>
      </c>
      <c r="H40" s="208" t="s">
        <v>620</v>
      </c>
      <c r="I40" s="240">
        <v>44225</v>
      </c>
      <c r="J40" s="240">
        <v>44229</v>
      </c>
      <c r="K40" s="240">
        <v>44225</v>
      </c>
      <c r="L40" s="322">
        <v>44321</v>
      </c>
      <c r="M40" s="209" t="s">
        <v>50</v>
      </c>
      <c r="N40" s="328">
        <v>919890.01</v>
      </c>
      <c r="O40" s="328">
        <f t="shared" si="0"/>
        <v>0</v>
      </c>
      <c r="P40" s="328">
        <v>919890.01</v>
      </c>
      <c r="Q40" s="328"/>
      <c r="R40" s="208" t="s">
        <v>248</v>
      </c>
      <c r="S40" s="208"/>
      <c r="T40" s="328"/>
      <c r="U40" s="327"/>
      <c r="V40" s="328"/>
      <c r="W40" s="328"/>
      <c r="X40" s="328">
        <v>919890.01</v>
      </c>
      <c r="Y40" s="328"/>
      <c r="Z40" s="328"/>
      <c r="AA40" s="328"/>
      <c r="AB40" s="328"/>
      <c r="AC40" s="328"/>
      <c r="AD40" s="328"/>
      <c r="AE40" s="328"/>
      <c r="AF40" s="328"/>
      <c r="AG40" s="328"/>
      <c r="AH40" s="329"/>
      <c r="AI40" s="329"/>
      <c r="AJ40" s="329"/>
      <c r="AK40" s="209"/>
      <c r="AL40" s="209"/>
      <c r="AM40" s="209"/>
    </row>
    <row r="41" spans="1:41" s="330" customFormat="1" ht="66" x14ac:dyDescent="0.3">
      <c r="A41" s="208"/>
      <c r="B41" s="209" t="s">
        <v>66</v>
      </c>
      <c r="C41" s="208" t="s">
        <v>48</v>
      </c>
      <c r="D41" s="208" t="s">
        <v>59</v>
      </c>
      <c r="E41" s="320" t="s">
        <v>595</v>
      </c>
      <c r="F41" s="208" t="s">
        <v>596</v>
      </c>
      <c r="G41" s="208" t="s">
        <v>597</v>
      </c>
      <c r="H41" s="208" t="s">
        <v>621</v>
      </c>
      <c r="I41" s="240">
        <v>44228</v>
      </c>
      <c r="J41" s="240">
        <v>44232</v>
      </c>
      <c r="K41" s="240">
        <v>44228</v>
      </c>
      <c r="L41" s="322">
        <v>44316</v>
      </c>
      <c r="M41" s="209" t="s">
        <v>50</v>
      </c>
      <c r="N41" s="328">
        <v>3195966.83</v>
      </c>
      <c r="O41" s="328">
        <f t="shared" si="0"/>
        <v>0</v>
      </c>
      <c r="P41" s="328">
        <v>3195966.83</v>
      </c>
      <c r="Q41" s="328" t="s">
        <v>790</v>
      </c>
      <c r="R41" s="208" t="s">
        <v>644</v>
      </c>
      <c r="S41" s="208"/>
      <c r="T41" s="328" t="s">
        <v>317</v>
      </c>
      <c r="U41" s="327"/>
      <c r="V41" s="328"/>
      <c r="W41" s="328"/>
      <c r="X41" s="328"/>
      <c r="Y41" s="328">
        <v>3195966.83</v>
      </c>
      <c r="Z41" s="328"/>
      <c r="AA41" s="328"/>
      <c r="AB41" s="328"/>
      <c r="AC41" s="328"/>
      <c r="AD41" s="328"/>
      <c r="AE41" s="328"/>
      <c r="AF41" s="328"/>
      <c r="AG41" s="328"/>
      <c r="AH41" s="329">
        <v>4</v>
      </c>
      <c r="AI41" s="329">
        <v>3</v>
      </c>
      <c r="AJ41" s="329"/>
      <c r="AK41" s="209"/>
      <c r="AL41" s="209"/>
      <c r="AM41" s="209"/>
    </row>
    <row r="42" spans="1:41" ht="52.8" x14ac:dyDescent="0.3">
      <c r="A42" s="192"/>
      <c r="B42" s="182" t="s">
        <v>37</v>
      </c>
      <c r="C42" s="177" t="s">
        <v>48</v>
      </c>
      <c r="D42" s="177" t="s">
        <v>71</v>
      </c>
      <c r="E42" s="185" t="s">
        <v>598</v>
      </c>
      <c r="F42" s="182" t="s">
        <v>599</v>
      </c>
      <c r="G42" s="182" t="s">
        <v>600</v>
      </c>
      <c r="H42" s="181" t="s">
        <v>622</v>
      </c>
      <c r="I42" s="163">
        <v>44264</v>
      </c>
      <c r="J42" s="163">
        <v>44265</v>
      </c>
      <c r="K42" s="163">
        <v>44264</v>
      </c>
      <c r="L42" s="183">
        <v>44377</v>
      </c>
      <c r="M42" s="181" t="s">
        <v>336</v>
      </c>
      <c r="N42" s="184">
        <v>1865378.88</v>
      </c>
      <c r="O42" s="30">
        <f t="shared" si="0"/>
        <v>93268.939999999944</v>
      </c>
      <c r="P42" s="184">
        <v>1772109.94</v>
      </c>
      <c r="Q42" s="184"/>
      <c r="R42" s="177" t="s">
        <v>728</v>
      </c>
      <c r="S42" s="192"/>
      <c r="T42" s="191"/>
      <c r="U42" s="193"/>
      <c r="V42" s="193"/>
      <c r="W42" s="179"/>
      <c r="X42" s="179"/>
      <c r="Y42" s="179"/>
      <c r="Z42" s="179"/>
      <c r="AA42" s="179"/>
      <c r="AB42" s="179"/>
      <c r="AC42" s="179"/>
      <c r="AD42" s="179"/>
      <c r="AE42" s="179"/>
      <c r="AF42" s="179"/>
      <c r="AG42" s="179"/>
      <c r="AH42" s="149"/>
      <c r="AI42" s="149"/>
      <c r="AJ42" s="149"/>
      <c r="AK42" s="149">
        <v>1</v>
      </c>
      <c r="AL42" s="149" t="s">
        <v>646</v>
      </c>
      <c r="AM42" s="149"/>
      <c r="AN42" s="157"/>
      <c r="AO42" s="157"/>
    </row>
    <row r="43" spans="1:41" s="330" customFormat="1" ht="26.4" x14ac:dyDescent="0.3">
      <c r="A43" s="208"/>
      <c r="B43" s="209" t="s">
        <v>66</v>
      </c>
      <c r="C43" s="208" t="s">
        <v>48</v>
      </c>
      <c r="D43" s="208" t="s">
        <v>59</v>
      </c>
      <c r="E43" s="320" t="s">
        <v>601</v>
      </c>
      <c r="F43" s="208" t="s">
        <v>602</v>
      </c>
      <c r="G43" s="208" t="s">
        <v>109</v>
      </c>
      <c r="H43" s="208" t="s">
        <v>623</v>
      </c>
      <c r="I43" s="240">
        <v>44228</v>
      </c>
      <c r="J43" s="240">
        <v>44230</v>
      </c>
      <c r="K43" s="240">
        <v>44228</v>
      </c>
      <c r="L43" s="322">
        <v>44271</v>
      </c>
      <c r="M43" s="209" t="s">
        <v>50</v>
      </c>
      <c r="N43" s="328">
        <v>792207.65</v>
      </c>
      <c r="O43" s="328">
        <f t="shared" si="0"/>
        <v>0</v>
      </c>
      <c r="P43" s="328">
        <v>792207.65</v>
      </c>
      <c r="Q43" s="328"/>
      <c r="R43" s="208" t="s">
        <v>248</v>
      </c>
      <c r="S43" s="208"/>
      <c r="T43" s="328"/>
      <c r="U43" s="327">
        <v>792207.65</v>
      </c>
      <c r="V43" s="328"/>
      <c r="W43" s="328">
        <v>792207.65</v>
      </c>
      <c r="X43" s="328"/>
      <c r="Y43" s="328"/>
      <c r="Z43" s="328"/>
      <c r="AA43" s="328"/>
      <c r="AB43" s="328"/>
      <c r="AC43" s="328"/>
      <c r="AD43" s="328"/>
      <c r="AE43" s="328"/>
      <c r="AF43" s="328"/>
      <c r="AG43" s="328"/>
      <c r="AH43" s="329">
        <v>4</v>
      </c>
      <c r="AI43" s="329">
        <v>3</v>
      </c>
      <c r="AJ43" s="329"/>
      <c r="AK43" s="209"/>
      <c r="AL43" s="209"/>
      <c r="AM43" s="209">
        <v>1</v>
      </c>
    </row>
    <row r="44" spans="1:41" ht="52.8" x14ac:dyDescent="0.3">
      <c r="A44" s="192"/>
      <c r="B44" s="182" t="s">
        <v>37</v>
      </c>
      <c r="C44" s="177" t="s">
        <v>48</v>
      </c>
      <c r="D44" s="177" t="s">
        <v>59</v>
      </c>
      <c r="E44" s="185" t="s">
        <v>603</v>
      </c>
      <c r="F44" s="182" t="s">
        <v>604</v>
      </c>
      <c r="G44" s="182" t="s">
        <v>626</v>
      </c>
      <c r="H44" s="181" t="s">
        <v>624</v>
      </c>
      <c r="I44" s="163">
        <v>44228</v>
      </c>
      <c r="J44" s="163">
        <v>44230</v>
      </c>
      <c r="K44" s="163">
        <v>44228</v>
      </c>
      <c r="L44" s="194">
        <v>44330</v>
      </c>
      <c r="M44" s="181" t="s">
        <v>336</v>
      </c>
      <c r="N44" s="184">
        <v>2100000</v>
      </c>
      <c r="O44" s="30">
        <f t="shared" si="0"/>
        <v>0</v>
      </c>
      <c r="P44" s="184">
        <v>2100000</v>
      </c>
      <c r="Q44" s="184"/>
      <c r="R44" s="177" t="s">
        <v>645</v>
      </c>
      <c r="S44" s="192"/>
      <c r="T44" s="191"/>
      <c r="U44" s="193"/>
      <c r="V44" s="193"/>
      <c r="W44" s="179"/>
      <c r="X44" s="179"/>
      <c r="Y44" s="179"/>
      <c r="Z44" s="179"/>
      <c r="AA44" s="179"/>
      <c r="AB44" s="179"/>
      <c r="AC44" s="179"/>
      <c r="AD44" s="179"/>
      <c r="AE44" s="179"/>
      <c r="AF44" s="179"/>
      <c r="AG44" s="179"/>
      <c r="AH44" s="149">
        <v>3</v>
      </c>
      <c r="AI44" s="149"/>
      <c r="AJ44" s="149">
        <v>2</v>
      </c>
      <c r="AK44" s="149"/>
      <c r="AL44" s="149"/>
      <c r="AM44" s="149"/>
      <c r="AN44" s="157"/>
      <c r="AO44" s="157"/>
    </row>
    <row r="45" spans="1:41" ht="118.8" x14ac:dyDescent="0.3">
      <c r="A45" s="192"/>
      <c r="B45" s="182" t="s">
        <v>37</v>
      </c>
      <c r="C45" s="177" t="s">
        <v>48</v>
      </c>
      <c r="D45" s="177" t="s">
        <v>53</v>
      </c>
      <c r="E45" s="185" t="s">
        <v>591</v>
      </c>
      <c r="F45" s="182" t="s">
        <v>592</v>
      </c>
      <c r="G45" s="182" t="s">
        <v>657</v>
      </c>
      <c r="H45" s="145" t="s">
        <v>625</v>
      </c>
      <c r="I45" s="163">
        <v>44229</v>
      </c>
      <c r="J45" s="163">
        <v>44230</v>
      </c>
      <c r="K45" s="163">
        <v>44229</v>
      </c>
      <c r="L45" s="183">
        <v>44408</v>
      </c>
      <c r="M45" s="181" t="s">
        <v>833</v>
      </c>
      <c r="N45" s="184">
        <v>4984586.21</v>
      </c>
      <c r="O45" s="30">
        <f>SUM(N45- P45)</f>
        <v>99691.759999999776</v>
      </c>
      <c r="P45" s="184">
        <v>4884894.45</v>
      </c>
      <c r="Q45" s="184"/>
      <c r="R45" s="177" t="s">
        <v>658</v>
      </c>
      <c r="S45" s="182" t="s">
        <v>808</v>
      </c>
      <c r="T45" s="191"/>
      <c r="U45" s="193"/>
      <c r="V45" s="193"/>
      <c r="W45" s="179"/>
      <c r="X45" s="179"/>
      <c r="Y45" s="179"/>
      <c r="Z45" s="179"/>
      <c r="AA45" s="179"/>
      <c r="AB45" s="179"/>
      <c r="AC45" s="179"/>
      <c r="AD45" s="179"/>
      <c r="AE45" s="179"/>
      <c r="AF45" s="179"/>
      <c r="AG45" s="179"/>
      <c r="AH45" s="149">
        <v>3</v>
      </c>
      <c r="AI45" s="149"/>
      <c r="AJ45" s="149">
        <v>2</v>
      </c>
      <c r="AK45" s="149"/>
      <c r="AL45" s="149"/>
      <c r="AM45" s="149">
        <v>3</v>
      </c>
      <c r="AN45" s="157"/>
      <c r="AO45" s="157"/>
    </row>
    <row r="46" spans="1:41" s="71" customFormat="1" ht="105.6" x14ac:dyDescent="0.3">
      <c r="A46" s="192"/>
      <c r="B46" s="182" t="s">
        <v>37</v>
      </c>
      <c r="C46" s="177" t="s">
        <v>48</v>
      </c>
      <c r="D46" s="177" t="s">
        <v>59</v>
      </c>
      <c r="E46" s="185" t="s">
        <v>771</v>
      </c>
      <c r="F46" s="182" t="s">
        <v>770</v>
      </c>
      <c r="G46" s="182" t="s">
        <v>773</v>
      </c>
      <c r="H46" s="145" t="s">
        <v>772</v>
      </c>
      <c r="I46" s="163">
        <v>44285</v>
      </c>
      <c r="J46" s="163">
        <v>44286</v>
      </c>
      <c r="K46" s="163">
        <v>44285</v>
      </c>
      <c r="L46" s="183">
        <v>44517</v>
      </c>
      <c r="M46" s="181" t="s">
        <v>50</v>
      </c>
      <c r="N46" s="184">
        <v>758333.33</v>
      </c>
      <c r="O46" s="30">
        <f>SUM(N46-P46)</f>
        <v>0</v>
      </c>
      <c r="P46" s="184">
        <v>758333.33</v>
      </c>
      <c r="Q46" s="184"/>
      <c r="R46" s="177" t="s">
        <v>248</v>
      </c>
      <c r="S46" s="192"/>
      <c r="T46" s="191"/>
      <c r="U46" s="193"/>
      <c r="V46" s="193"/>
      <c r="W46" s="179"/>
      <c r="X46" s="179"/>
      <c r="Y46" s="179"/>
      <c r="Z46" s="179"/>
      <c r="AA46" s="179"/>
      <c r="AB46" s="179"/>
      <c r="AC46" s="179"/>
      <c r="AD46" s="179"/>
      <c r="AE46" s="179"/>
      <c r="AF46" s="179"/>
      <c r="AG46" s="179"/>
      <c r="AH46" s="149">
        <v>1</v>
      </c>
      <c r="AI46" s="149"/>
      <c r="AJ46" s="149"/>
      <c r="AK46" s="149"/>
      <c r="AL46" s="149"/>
      <c r="AM46" s="149"/>
      <c r="AN46" s="192"/>
      <c r="AO46" s="192"/>
    </row>
    <row r="47" spans="1:41" s="71" customFormat="1" ht="39.6" x14ac:dyDescent="0.3">
      <c r="A47" s="192"/>
      <c r="B47" s="182" t="s">
        <v>37</v>
      </c>
      <c r="C47" s="177" t="s">
        <v>48</v>
      </c>
      <c r="D47" s="177" t="s">
        <v>53</v>
      </c>
      <c r="E47" s="185" t="s">
        <v>769</v>
      </c>
      <c r="F47" s="182" t="s">
        <v>119</v>
      </c>
      <c r="G47" s="182" t="s">
        <v>661</v>
      </c>
      <c r="H47" s="145" t="s">
        <v>774</v>
      </c>
      <c r="I47" s="163">
        <v>44299</v>
      </c>
      <c r="J47" s="163">
        <v>44300</v>
      </c>
      <c r="K47" s="163">
        <v>44299</v>
      </c>
      <c r="L47" s="183">
        <v>44561</v>
      </c>
      <c r="M47" s="181" t="s">
        <v>56</v>
      </c>
      <c r="N47" s="184">
        <v>272938.17</v>
      </c>
      <c r="O47" s="30" t="s">
        <v>261</v>
      </c>
      <c r="P47" s="184">
        <v>272938.17</v>
      </c>
      <c r="Q47" s="184"/>
      <c r="R47" s="177" t="s">
        <v>841</v>
      </c>
      <c r="S47" s="192"/>
      <c r="T47" s="191"/>
      <c r="U47" s="193"/>
      <c r="V47" s="193"/>
      <c r="W47" s="179"/>
      <c r="X47" s="179"/>
      <c r="Y47" s="179"/>
      <c r="Z47" s="179"/>
      <c r="AA47" s="179"/>
      <c r="AB47" s="179"/>
      <c r="AC47" s="179"/>
      <c r="AD47" s="179"/>
      <c r="AE47" s="179"/>
      <c r="AF47" s="179"/>
      <c r="AG47" s="179"/>
      <c r="AH47" s="149">
        <v>9</v>
      </c>
      <c r="AI47" s="149"/>
      <c r="AJ47" s="149">
        <v>3</v>
      </c>
      <c r="AK47" s="149"/>
      <c r="AL47" s="149"/>
      <c r="AM47" s="149">
        <v>1</v>
      </c>
    </row>
    <row r="48" spans="1:41" s="71" customFormat="1" ht="26.4" x14ac:dyDescent="0.3">
      <c r="A48" s="192"/>
      <c r="B48" s="182" t="s">
        <v>37</v>
      </c>
      <c r="C48" s="177" t="s">
        <v>48</v>
      </c>
      <c r="D48" s="177" t="s">
        <v>53</v>
      </c>
      <c r="E48" s="185" t="s">
        <v>768</v>
      </c>
      <c r="F48" s="182" t="s">
        <v>358</v>
      </c>
      <c r="G48" s="182" t="s">
        <v>785</v>
      </c>
      <c r="H48" s="145" t="s">
        <v>784</v>
      </c>
      <c r="I48" s="163">
        <v>44312</v>
      </c>
      <c r="J48" s="163">
        <v>44314</v>
      </c>
      <c r="K48" s="163">
        <v>44317</v>
      </c>
      <c r="L48" s="183">
        <v>44561</v>
      </c>
      <c r="M48" s="181" t="s">
        <v>336</v>
      </c>
      <c r="N48" s="184">
        <v>3000000</v>
      </c>
      <c r="O48" s="30">
        <f>SUM(N48-P48)</f>
        <v>949999.12000000011</v>
      </c>
      <c r="P48" s="184">
        <v>2050000.88</v>
      </c>
      <c r="Q48" s="184"/>
      <c r="R48" s="177" t="s">
        <v>839</v>
      </c>
      <c r="S48" s="192"/>
      <c r="T48" s="191"/>
      <c r="U48" s="193"/>
      <c r="V48" s="193"/>
      <c r="W48" s="179"/>
      <c r="X48" s="179"/>
      <c r="Y48" s="179"/>
      <c r="Z48" s="179"/>
      <c r="AA48" s="179"/>
      <c r="AB48" s="179"/>
      <c r="AC48" s="179"/>
      <c r="AD48" s="179"/>
      <c r="AE48" s="179"/>
      <c r="AF48" s="179"/>
      <c r="AG48" s="179"/>
      <c r="AH48" s="149"/>
      <c r="AI48" s="149"/>
      <c r="AJ48" s="149"/>
      <c r="AK48" s="149"/>
      <c r="AL48" s="149"/>
      <c r="AM48" s="149"/>
    </row>
    <row r="49" spans="1:41" s="71" customFormat="1" ht="26.4" x14ac:dyDescent="0.3">
      <c r="A49" s="192"/>
      <c r="B49" s="182" t="s">
        <v>37</v>
      </c>
      <c r="C49" s="177" t="s">
        <v>48</v>
      </c>
      <c r="D49" s="177" t="s">
        <v>53</v>
      </c>
      <c r="E49" s="185" t="s">
        <v>767</v>
      </c>
      <c r="F49" s="182" t="s">
        <v>766</v>
      </c>
      <c r="G49" s="182" t="s">
        <v>832</v>
      </c>
      <c r="H49" s="145" t="s">
        <v>789</v>
      </c>
      <c r="I49" s="163">
        <v>44312</v>
      </c>
      <c r="J49" s="163">
        <v>44313</v>
      </c>
      <c r="K49" s="163">
        <v>44312</v>
      </c>
      <c r="L49" s="183">
        <v>44408</v>
      </c>
      <c r="M49" s="181" t="s">
        <v>56</v>
      </c>
      <c r="N49" s="184">
        <v>51500</v>
      </c>
      <c r="O49" s="30">
        <f>SUM(N49-P49)</f>
        <v>35535</v>
      </c>
      <c r="P49" s="184">
        <v>15965</v>
      </c>
      <c r="Q49" s="184"/>
      <c r="R49" s="177" t="s">
        <v>840</v>
      </c>
      <c r="S49" s="192"/>
      <c r="T49" s="191"/>
      <c r="U49" s="193"/>
      <c r="V49" s="193"/>
      <c r="W49" s="179"/>
      <c r="X49" s="179"/>
      <c r="Y49" s="179"/>
      <c r="Z49" s="179"/>
      <c r="AA49" s="179"/>
      <c r="AB49" s="179"/>
      <c r="AC49" s="179"/>
      <c r="AD49" s="179"/>
      <c r="AE49" s="179"/>
      <c r="AF49" s="179"/>
      <c r="AG49" s="179"/>
      <c r="AH49" s="149"/>
      <c r="AI49" s="149"/>
      <c r="AJ49" s="149"/>
      <c r="AK49" s="149"/>
      <c r="AL49" s="149"/>
      <c r="AM49" s="149"/>
    </row>
    <row r="50" spans="1:41" ht="39.6" x14ac:dyDescent="0.3">
      <c r="A50" s="72"/>
      <c r="B50" s="181" t="s">
        <v>610</v>
      </c>
      <c r="C50" s="177" t="s">
        <v>48</v>
      </c>
      <c r="D50" s="177" t="s">
        <v>59</v>
      </c>
      <c r="E50" s="185" t="s">
        <v>806</v>
      </c>
      <c r="F50" s="182" t="s">
        <v>800</v>
      </c>
      <c r="G50" s="181" t="s">
        <v>807</v>
      </c>
      <c r="H50" s="145" t="s">
        <v>801</v>
      </c>
      <c r="I50" s="366"/>
      <c r="J50" s="367"/>
      <c r="K50" s="368"/>
      <c r="L50" s="72"/>
      <c r="M50" s="181" t="s">
        <v>50</v>
      </c>
      <c r="N50" s="184">
        <v>3500000</v>
      </c>
      <c r="O50" s="30">
        <f>SUM(N50-P50)</f>
        <v>0</v>
      </c>
      <c r="P50" s="184">
        <v>3500000</v>
      </c>
      <c r="Q50" s="370"/>
      <c r="R50" s="182" t="s">
        <v>805</v>
      </c>
      <c r="S50" s="72"/>
      <c r="T50" s="371"/>
      <c r="U50" s="349"/>
      <c r="V50" s="371"/>
      <c r="W50" s="371"/>
      <c r="X50" s="371"/>
      <c r="Y50" s="371"/>
      <c r="Z50" s="371"/>
      <c r="AA50" s="371"/>
      <c r="AB50" s="371"/>
      <c r="AC50" s="371"/>
      <c r="AD50" s="371"/>
      <c r="AE50" s="371"/>
      <c r="AF50" s="371"/>
      <c r="AG50" s="371"/>
      <c r="AH50" s="371"/>
      <c r="AI50" s="371"/>
      <c r="AJ50" s="371"/>
      <c r="AK50" s="72"/>
      <c r="AL50" s="72"/>
      <c r="AM50" s="348"/>
      <c r="AN50" s="71"/>
      <c r="AO50" s="71"/>
    </row>
    <row r="51" spans="1:41" x14ac:dyDescent="0.3">
      <c r="A51" s="72"/>
      <c r="B51" s="72"/>
      <c r="C51" s="72"/>
      <c r="D51" s="72"/>
      <c r="E51" s="365"/>
      <c r="F51" s="182"/>
      <c r="G51" s="72"/>
      <c r="H51" s="72"/>
      <c r="I51" s="366"/>
      <c r="J51" s="367"/>
      <c r="K51" s="368"/>
      <c r="L51" s="72"/>
      <c r="M51" s="369"/>
      <c r="N51" s="184"/>
      <c r="O51" s="370"/>
      <c r="P51" s="370"/>
      <c r="Q51" s="370"/>
      <c r="R51" s="72"/>
      <c r="S51" s="72"/>
      <c r="T51" s="371"/>
      <c r="U51" s="349"/>
      <c r="V51" s="371"/>
      <c r="W51" s="371"/>
      <c r="X51" s="371"/>
      <c r="Y51" s="371"/>
      <c r="Z51" s="371"/>
      <c r="AA51" s="371"/>
      <c r="AB51" s="371"/>
      <c r="AC51" s="371"/>
      <c r="AD51" s="371"/>
      <c r="AE51" s="371"/>
      <c r="AF51" s="371"/>
      <c r="AG51" s="371"/>
      <c r="AH51" s="371"/>
      <c r="AI51" s="371"/>
      <c r="AJ51" s="371"/>
      <c r="AK51" s="72"/>
      <c r="AL51" s="72"/>
      <c r="AM51" s="348"/>
    </row>
    <row r="52" spans="1:41" x14ac:dyDescent="0.3">
      <c r="A52" s="72"/>
      <c r="B52" s="72"/>
      <c r="C52" s="72"/>
      <c r="D52" s="72"/>
      <c r="E52" s="365"/>
      <c r="F52" s="182"/>
      <c r="G52" s="72"/>
      <c r="H52" s="72"/>
      <c r="I52" s="366"/>
      <c r="J52" s="367"/>
      <c r="K52" s="368"/>
      <c r="L52" s="72"/>
      <c r="M52" s="369"/>
      <c r="N52" s="184"/>
      <c r="O52" s="370"/>
      <c r="P52" s="370"/>
      <c r="Q52" s="370"/>
      <c r="R52" s="72"/>
      <c r="S52" s="72"/>
      <c r="T52" s="371"/>
      <c r="U52" s="349"/>
      <c r="V52" s="371"/>
      <c r="W52" s="371"/>
      <c r="X52" s="371"/>
      <c r="Y52" s="371"/>
      <c r="Z52" s="371"/>
      <c r="AA52" s="371"/>
      <c r="AB52" s="371"/>
      <c r="AC52" s="371"/>
      <c r="AD52" s="371"/>
      <c r="AE52" s="371"/>
      <c r="AF52" s="371"/>
      <c r="AG52" s="371"/>
      <c r="AH52" s="371"/>
      <c r="AI52" s="371"/>
      <c r="AJ52" s="371"/>
      <c r="AK52" s="72"/>
      <c r="AL52" s="72"/>
      <c r="AM52" s="348"/>
    </row>
    <row r="53" spans="1:41" x14ac:dyDescent="0.3">
      <c r="A53" s="72"/>
      <c r="B53" s="72"/>
      <c r="C53" s="72"/>
      <c r="D53" s="72"/>
      <c r="E53" s="365"/>
      <c r="F53" s="182"/>
      <c r="G53" s="72"/>
      <c r="H53" s="72"/>
      <c r="I53" s="366"/>
      <c r="J53" s="367"/>
      <c r="K53" s="368"/>
      <c r="L53" s="72"/>
      <c r="M53" s="369"/>
      <c r="N53" s="184"/>
      <c r="O53" s="370"/>
      <c r="P53" s="370"/>
      <c r="Q53" s="370"/>
      <c r="R53" s="72"/>
      <c r="S53" s="72"/>
      <c r="T53" s="371"/>
      <c r="U53" s="349"/>
      <c r="V53" s="371"/>
      <c r="W53" s="371"/>
      <c r="X53" s="371"/>
      <c r="Y53" s="371"/>
      <c r="Z53" s="371"/>
      <c r="AA53" s="371"/>
      <c r="AB53" s="371"/>
      <c r="AC53" s="371"/>
      <c r="AD53" s="371"/>
      <c r="AE53" s="371"/>
      <c r="AF53" s="371"/>
      <c r="AG53" s="371"/>
      <c r="AH53" s="371"/>
      <c r="AI53" s="371"/>
      <c r="AJ53" s="371"/>
      <c r="AK53" s="72"/>
      <c r="AL53" s="72"/>
      <c r="AM53" s="348"/>
    </row>
    <row r="54" spans="1:41" x14ac:dyDescent="0.3">
      <c r="A54" s="72"/>
      <c r="B54" s="72"/>
      <c r="C54" s="72"/>
      <c r="D54" s="72"/>
      <c r="E54" s="365"/>
      <c r="F54" s="182"/>
      <c r="G54" s="72"/>
      <c r="H54" s="72"/>
      <c r="I54" s="366"/>
      <c r="J54" s="367"/>
      <c r="K54" s="368"/>
      <c r="L54" s="72"/>
      <c r="M54" s="369"/>
      <c r="N54" s="184"/>
      <c r="O54" s="370"/>
      <c r="P54" s="370"/>
      <c r="Q54" s="370"/>
      <c r="R54" s="72"/>
      <c r="S54" s="72"/>
      <c r="T54" s="371"/>
      <c r="U54" s="349"/>
      <c r="V54" s="371"/>
      <c r="W54" s="371"/>
      <c r="X54" s="371"/>
      <c r="Y54" s="371"/>
      <c r="Z54" s="371"/>
      <c r="AA54" s="371"/>
      <c r="AB54" s="371"/>
      <c r="AC54" s="371"/>
      <c r="AD54" s="371"/>
      <c r="AE54" s="371"/>
      <c r="AF54" s="371"/>
      <c r="AG54" s="371"/>
      <c r="AH54" s="371"/>
      <c r="AI54" s="371"/>
      <c r="AJ54" s="371"/>
      <c r="AK54" s="72"/>
      <c r="AL54" s="72"/>
      <c r="AM54" s="348"/>
    </row>
    <row r="55" spans="1:41" x14ac:dyDescent="0.3">
      <c r="A55" s="72"/>
      <c r="B55" s="72"/>
      <c r="C55" s="72"/>
      <c r="D55" s="72"/>
      <c r="E55" s="365"/>
      <c r="F55" s="182"/>
      <c r="G55" s="72"/>
      <c r="H55" s="72"/>
      <c r="I55" s="366"/>
      <c r="J55" s="367"/>
      <c r="K55" s="368"/>
      <c r="L55" s="72"/>
      <c r="M55" s="369"/>
      <c r="N55" s="184"/>
      <c r="O55" s="370"/>
      <c r="P55" s="370"/>
      <c r="Q55" s="370"/>
      <c r="R55" s="72"/>
      <c r="S55" s="72"/>
      <c r="T55" s="371"/>
      <c r="U55" s="349"/>
      <c r="V55" s="371"/>
      <c r="W55" s="371"/>
      <c r="X55" s="371"/>
      <c r="Y55" s="371"/>
      <c r="Z55" s="371"/>
      <c r="AA55" s="371"/>
      <c r="AB55" s="371"/>
      <c r="AC55" s="371"/>
      <c r="AD55" s="371"/>
      <c r="AE55" s="371"/>
      <c r="AF55" s="371"/>
      <c r="AG55" s="371"/>
      <c r="AH55" s="371"/>
      <c r="AI55" s="371"/>
      <c r="AJ55" s="371"/>
      <c r="AK55" s="72"/>
      <c r="AL55" s="72"/>
      <c r="AM55" s="348"/>
    </row>
    <row r="56" spans="1:41" x14ac:dyDescent="0.3">
      <c r="J56" s="331"/>
    </row>
    <row r="57" spans="1:41" x14ac:dyDescent="0.3">
      <c r="J57" s="332"/>
    </row>
    <row r="58" spans="1:41" x14ac:dyDescent="0.3">
      <c r="J58" s="332"/>
    </row>
    <row r="59" spans="1:41" x14ac:dyDescent="0.3">
      <c r="J59" s="332"/>
    </row>
    <row r="60" spans="1:41" x14ac:dyDescent="0.3">
      <c r="J60" s="332"/>
    </row>
    <row r="61" spans="1:41" x14ac:dyDescent="0.3">
      <c r="J61" s="332"/>
    </row>
    <row r="62" spans="1:41" x14ac:dyDescent="0.3">
      <c r="J62" s="332"/>
    </row>
    <row r="63" spans="1:41" x14ac:dyDescent="0.3">
      <c r="J63" s="332"/>
    </row>
    <row r="64" spans="1:41" x14ac:dyDescent="0.3">
      <c r="J64" s="332"/>
    </row>
    <row r="65" spans="10:10" x14ac:dyDescent="0.3">
      <c r="J65" s="332"/>
    </row>
    <row r="66" spans="10:10" x14ac:dyDescent="0.3">
      <c r="J66" s="332"/>
    </row>
    <row r="67" spans="10:10" x14ac:dyDescent="0.3">
      <c r="J67" s="332"/>
    </row>
    <row r="68" spans="10:10" x14ac:dyDescent="0.3">
      <c r="J68" s="332"/>
    </row>
    <row r="69" spans="10:10" x14ac:dyDescent="0.3">
      <c r="J69" s="332"/>
    </row>
    <row r="70" spans="10:10" x14ac:dyDescent="0.3">
      <c r="J70" s="332"/>
    </row>
    <row r="71" spans="10:10" x14ac:dyDescent="0.3">
      <c r="J71" s="332"/>
    </row>
    <row r="72" spans="10:10" x14ac:dyDescent="0.3">
      <c r="J72" s="332"/>
    </row>
    <row r="73" spans="10:10" x14ac:dyDescent="0.3">
      <c r="J73" s="332"/>
    </row>
    <row r="74" spans="10:10" x14ac:dyDescent="0.3">
      <c r="J74" s="332"/>
    </row>
    <row r="75" spans="10:10" x14ac:dyDescent="0.3">
      <c r="J75" s="332"/>
    </row>
    <row r="76" spans="10:10" x14ac:dyDescent="0.3">
      <c r="J76" s="332"/>
    </row>
    <row r="77" spans="10:10" x14ac:dyDescent="0.3">
      <c r="J77" s="332"/>
    </row>
    <row r="78" spans="10:10" x14ac:dyDescent="0.3">
      <c r="J78" s="332"/>
    </row>
    <row r="79" spans="10:10" x14ac:dyDescent="0.3">
      <c r="J79" s="331"/>
    </row>
    <row r="80" spans="10:10" x14ac:dyDescent="0.3">
      <c r="J80" s="332"/>
    </row>
    <row r="81" spans="10:10" x14ac:dyDescent="0.3">
      <c r="J81" s="332"/>
    </row>
    <row r="82" spans="10:10" x14ac:dyDescent="0.3">
      <c r="J82" s="332"/>
    </row>
    <row r="83" spans="10:10" x14ac:dyDescent="0.3">
      <c r="J83" s="332"/>
    </row>
    <row r="84" spans="10:10" x14ac:dyDescent="0.3">
      <c r="J84" s="332"/>
    </row>
    <row r="85" spans="10:10" x14ac:dyDescent="0.3">
      <c r="J85" s="332"/>
    </row>
    <row r="86" spans="10:10" x14ac:dyDescent="0.3">
      <c r="J86" s="332"/>
    </row>
    <row r="87" spans="10:10" x14ac:dyDescent="0.3">
      <c r="J87" s="332"/>
    </row>
    <row r="88" spans="10:10" x14ac:dyDescent="0.3">
      <c r="J88" s="332"/>
    </row>
    <row r="89" spans="10:10" x14ac:dyDescent="0.3">
      <c r="J89" s="332"/>
    </row>
    <row r="90" spans="10:10" x14ac:dyDescent="0.3">
      <c r="J90" s="332"/>
    </row>
    <row r="91" spans="10:10" x14ac:dyDescent="0.3">
      <c r="J91" s="332"/>
    </row>
    <row r="92" spans="10:10" x14ac:dyDescent="0.3">
      <c r="J92" s="331"/>
    </row>
    <row r="93" spans="10:10" x14ac:dyDescent="0.3">
      <c r="J93" s="331"/>
    </row>
  </sheetData>
  <autoFilter ref="A1:S49"/>
  <phoneticPr fontId="18" type="noConversion"/>
  <pageMargins left="0.7" right="0.7" top="0.75" bottom="0.75" header="0.3" footer="0.3"/>
  <pageSetup paperSize="9" scale="37" fitToHeight="0" orientation="landscape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9"/>
  <sheetViews>
    <sheetView topLeftCell="A19" zoomScale="86" zoomScaleNormal="86" workbookViewId="0">
      <selection activeCell="D37" sqref="D37"/>
    </sheetView>
  </sheetViews>
  <sheetFormatPr defaultRowHeight="14.4" x14ac:dyDescent="0.3"/>
  <cols>
    <col min="1" max="1" width="7.109375" customWidth="1"/>
    <col min="2" max="2" width="11.33203125" customWidth="1"/>
    <col min="3" max="3" width="25.88671875" customWidth="1"/>
    <col min="4" max="4" width="29" customWidth="1"/>
    <col min="5" max="5" width="19.109375" customWidth="1"/>
    <col min="6" max="6" width="20" customWidth="1"/>
    <col min="7" max="7" width="14" customWidth="1"/>
    <col min="8" max="8" width="13.5546875" customWidth="1"/>
    <col min="9" max="9" width="14.88671875" customWidth="1"/>
    <col min="10" max="10" width="21.44140625" customWidth="1"/>
    <col min="11" max="11" width="28.6640625" customWidth="1"/>
    <col min="12" max="12" width="28.6640625" style="71" customWidth="1"/>
    <col min="13" max="13" width="41" customWidth="1"/>
    <col min="14" max="14" width="15" customWidth="1"/>
  </cols>
  <sheetData>
    <row r="1" spans="1:25" s="6" customFormat="1" ht="39.6" x14ac:dyDescent="0.3">
      <c r="A1" s="15" t="s">
        <v>0</v>
      </c>
      <c r="B1" s="16" t="s">
        <v>1</v>
      </c>
      <c r="C1" s="17" t="s">
        <v>29</v>
      </c>
      <c r="D1" s="23" t="s">
        <v>3</v>
      </c>
      <c r="E1" s="16" t="s">
        <v>2</v>
      </c>
      <c r="F1" s="18" t="s">
        <v>51</v>
      </c>
      <c r="G1" s="19" t="s">
        <v>5</v>
      </c>
      <c r="H1" s="35" t="s">
        <v>7</v>
      </c>
      <c r="I1" s="20" t="s">
        <v>8</v>
      </c>
      <c r="J1" s="21" t="s">
        <v>130</v>
      </c>
      <c r="K1" s="21" t="s">
        <v>131</v>
      </c>
      <c r="L1" s="81" t="s">
        <v>321</v>
      </c>
      <c r="M1" s="21" t="s">
        <v>90</v>
      </c>
    </row>
    <row r="2" spans="1:25" s="321" customFormat="1" ht="39.6" x14ac:dyDescent="0.25">
      <c r="A2" s="208">
        <v>1</v>
      </c>
      <c r="B2" s="313" t="s">
        <v>66</v>
      </c>
      <c r="C2" s="314" t="s">
        <v>134</v>
      </c>
      <c r="D2" s="313" t="s">
        <v>122</v>
      </c>
      <c r="E2" s="313" t="s">
        <v>153</v>
      </c>
      <c r="F2" s="313" t="s">
        <v>137</v>
      </c>
      <c r="G2" s="315">
        <v>43794</v>
      </c>
      <c r="H2" s="316" t="s">
        <v>123</v>
      </c>
      <c r="I2" s="261">
        <v>410766.67</v>
      </c>
      <c r="J2" s="313" t="s">
        <v>182</v>
      </c>
      <c r="K2" s="313" t="s">
        <v>277</v>
      </c>
      <c r="L2" s="124">
        <v>44178</v>
      </c>
      <c r="M2" s="313" t="s">
        <v>233</v>
      </c>
    </row>
    <row r="3" spans="1:25" s="321" customFormat="1" ht="26.4" x14ac:dyDescent="0.25">
      <c r="A3" s="208">
        <v>2</v>
      </c>
      <c r="B3" s="313" t="s">
        <v>66</v>
      </c>
      <c r="C3" s="314" t="s">
        <v>157</v>
      </c>
      <c r="D3" s="313" t="s">
        <v>158</v>
      </c>
      <c r="E3" s="313" t="s">
        <v>107</v>
      </c>
      <c r="F3" s="313" t="s">
        <v>159</v>
      </c>
      <c r="G3" s="315">
        <v>43809</v>
      </c>
      <c r="H3" s="316">
        <v>43830</v>
      </c>
      <c r="I3" s="261">
        <v>158258.41</v>
      </c>
      <c r="J3" s="313" t="s">
        <v>248</v>
      </c>
      <c r="K3" s="313" t="s">
        <v>278</v>
      </c>
      <c r="L3" s="124">
        <v>44178</v>
      </c>
      <c r="M3" s="313" t="s">
        <v>217</v>
      </c>
    </row>
    <row r="4" spans="1:25" s="321" customFormat="1" ht="39.6" x14ac:dyDescent="0.25">
      <c r="A4" s="208">
        <v>3</v>
      </c>
      <c r="B4" s="313" t="s">
        <v>66</v>
      </c>
      <c r="C4" s="314" t="s">
        <v>100</v>
      </c>
      <c r="D4" s="313" t="s">
        <v>99</v>
      </c>
      <c r="E4" s="313" t="s">
        <v>108</v>
      </c>
      <c r="F4" s="313" t="s">
        <v>105</v>
      </c>
      <c r="G4" s="315">
        <v>43763</v>
      </c>
      <c r="H4" s="316">
        <v>43799</v>
      </c>
      <c r="I4" s="261">
        <v>144196.85999999999</v>
      </c>
      <c r="J4" s="313" t="s">
        <v>274</v>
      </c>
      <c r="K4" s="313" t="s">
        <v>275</v>
      </c>
      <c r="L4" s="312" t="s">
        <v>441</v>
      </c>
      <c r="M4" s="313" t="s">
        <v>135</v>
      </c>
    </row>
    <row r="5" spans="1:25" s="321" customFormat="1" ht="39.6" x14ac:dyDescent="0.25">
      <c r="A5" s="208">
        <v>4</v>
      </c>
      <c r="B5" s="313" t="s">
        <v>66</v>
      </c>
      <c r="C5" s="314" t="s">
        <v>102</v>
      </c>
      <c r="D5" s="313" t="s">
        <v>101</v>
      </c>
      <c r="E5" s="313" t="s">
        <v>107</v>
      </c>
      <c r="F5" s="313" t="s">
        <v>104</v>
      </c>
      <c r="G5" s="315">
        <v>43759</v>
      </c>
      <c r="H5" s="316">
        <v>43799</v>
      </c>
      <c r="I5" s="261">
        <v>1150000.01</v>
      </c>
      <c r="J5" s="313" t="s">
        <v>329</v>
      </c>
      <c r="K5" s="313" t="s">
        <v>273</v>
      </c>
      <c r="L5" s="124">
        <v>44887</v>
      </c>
      <c r="M5" s="313" t="s">
        <v>154</v>
      </c>
    </row>
    <row r="6" spans="1:25" s="321" customFormat="1" ht="26.4" x14ac:dyDescent="0.25">
      <c r="A6" s="208">
        <v>5</v>
      </c>
      <c r="B6" s="313" t="s">
        <v>66</v>
      </c>
      <c r="C6" s="314" t="s">
        <v>169</v>
      </c>
      <c r="D6" s="313" t="s">
        <v>167</v>
      </c>
      <c r="E6" s="313" t="s">
        <v>168</v>
      </c>
      <c r="F6" s="313" t="s">
        <v>180</v>
      </c>
      <c r="G6" s="315">
        <v>43818</v>
      </c>
      <c r="H6" s="316">
        <v>43830</v>
      </c>
      <c r="I6" s="261">
        <v>148738.95000000001</v>
      </c>
      <c r="J6" s="313" t="s">
        <v>230</v>
      </c>
      <c r="K6" s="313" t="s">
        <v>231</v>
      </c>
      <c r="L6" s="124">
        <v>43823</v>
      </c>
      <c r="M6" s="313" t="s">
        <v>298</v>
      </c>
    </row>
    <row r="7" spans="1:25" s="321" customFormat="1" ht="26.4" x14ac:dyDescent="0.25">
      <c r="A7" s="208">
        <v>6</v>
      </c>
      <c r="B7" s="313" t="s">
        <v>66</v>
      </c>
      <c r="C7" s="314" t="s">
        <v>171</v>
      </c>
      <c r="D7" s="313" t="s">
        <v>170</v>
      </c>
      <c r="E7" s="313" t="s">
        <v>190</v>
      </c>
      <c r="F7" s="313" t="s">
        <v>181</v>
      </c>
      <c r="G7" s="315">
        <v>43823</v>
      </c>
      <c r="H7" s="316">
        <v>43830</v>
      </c>
      <c r="I7" s="261">
        <v>327000</v>
      </c>
      <c r="J7" s="313" t="s">
        <v>215</v>
      </c>
      <c r="K7" s="313" t="s">
        <v>281</v>
      </c>
      <c r="L7" s="124">
        <v>43840</v>
      </c>
      <c r="M7" s="313" t="s">
        <v>295</v>
      </c>
    </row>
    <row r="8" spans="1:25" s="321" customFormat="1" ht="39.6" x14ac:dyDescent="0.25">
      <c r="A8" s="208">
        <v>7</v>
      </c>
      <c r="B8" s="313" t="s">
        <v>66</v>
      </c>
      <c r="C8" s="314" t="s">
        <v>173</v>
      </c>
      <c r="D8" s="313" t="s">
        <v>172</v>
      </c>
      <c r="E8" s="313" t="s">
        <v>190</v>
      </c>
      <c r="F8" s="313" t="s">
        <v>179</v>
      </c>
      <c r="G8" s="315">
        <v>43823</v>
      </c>
      <c r="H8" s="316">
        <v>43830</v>
      </c>
      <c r="I8" s="261">
        <v>537733.69999999995</v>
      </c>
      <c r="J8" s="313" t="s">
        <v>214</v>
      </c>
      <c r="K8" s="313" t="s">
        <v>282</v>
      </c>
      <c r="L8" s="124">
        <v>43840</v>
      </c>
      <c r="M8" s="313" t="s">
        <v>267</v>
      </c>
    </row>
    <row r="9" spans="1:25" s="321" customFormat="1" ht="26.4" x14ac:dyDescent="0.25">
      <c r="A9" s="208">
        <v>8</v>
      </c>
      <c r="B9" s="313" t="s">
        <v>66</v>
      </c>
      <c r="C9" s="314" t="s">
        <v>184</v>
      </c>
      <c r="D9" s="313" t="s">
        <v>185</v>
      </c>
      <c r="E9" s="313" t="s">
        <v>191</v>
      </c>
      <c r="F9" s="313" t="s">
        <v>186</v>
      </c>
      <c r="G9" s="315">
        <v>43829</v>
      </c>
      <c r="H9" s="316">
        <v>43868</v>
      </c>
      <c r="I9" s="261">
        <v>497850.22</v>
      </c>
      <c r="J9" s="313" t="s">
        <v>237</v>
      </c>
      <c r="K9" s="313" t="s">
        <v>279</v>
      </c>
      <c r="L9" s="312" t="s">
        <v>792</v>
      </c>
      <c r="M9" s="313" t="s">
        <v>285</v>
      </c>
    </row>
    <row r="10" spans="1:25" s="321" customFormat="1" ht="39.6" x14ac:dyDescent="0.25">
      <c r="A10" s="208">
        <v>9</v>
      </c>
      <c r="B10" s="313" t="s">
        <v>66</v>
      </c>
      <c r="C10" s="314" t="s">
        <v>187</v>
      </c>
      <c r="D10" s="313" t="s">
        <v>188</v>
      </c>
      <c r="E10" s="313" t="s">
        <v>191</v>
      </c>
      <c r="F10" s="313" t="s">
        <v>189</v>
      </c>
      <c r="G10" s="315">
        <v>43823</v>
      </c>
      <c r="H10" s="316">
        <v>43859</v>
      </c>
      <c r="I10" s="261">
        <v>3564601.32</v>
      </c>
      <c r="J10" s="313" t="s">
        <v>216</v>
      </c>
      <c r="K10" s="313" t="s">
        <v>284</v>
      </c>
      <c r="L10" s="312" t="s">
        <v>791</v>
      </c>
      <c r="M10" s="313" t="s">
        <v>286</v>
      </c>
    </row>
    <row r="11" spans="1:25" s="210" customFormat="1" ht="52.8" x14ac:dyDescent="0.3">
      <c r="A11" s="208">
        <v>10</v>
      </c>
      <c r="B11" s="313" t="s">
        <v>37</v>
      </c>
      <c r="C11" s="317" t="s">
        <v>208</v>
      </c>
      <c r="D11" s="208" t="s">
        <v>207</v>
      </c>
      <c r="E11" s="318" t="s">
        <v>254</v>
      </c>
      <c r="F11" s="208" t="s">
        <v>245</v>
      </c>
      <c r="G11" s="240">
        <v>43857</v>
      </c>
      <c r="H11" s="319">
        <v>43923</v>
      </c>
      <c r="I11" s="268">
        <v>11551597.15</v>
      </c>
      <c r="J11" s="208" t="s">
        <v>272</v>
      </c>
      <c r="K11" s="313" t="s">
        <v>430</v>
      </c>
      <c r="L11" s="315">
        <v>45002</v>
      </c>
      <c r="M11" s="208" t="s">
        <v>302</v>
      </c>
    </row>
    <row r="12" spans="1:25" s="321" customFormat="1" ht="66" x14ac:dyDescent="0.25">
      <c r="A12" s="208">
        <v>11</v>
      </c>
      <c r="B12" s="313" t="s">
        <v>66</v>
      </c>
      <c r="C12" s="314" t="s">
        <v>241</v>
      </c>
      <c r="D12" s="313" t="s">
        <v>221</v>
      </c>
      <c r="E12" s="313" t="s">
        <v>263</v>
      </c>
      <c r="F12" s="313" t="s">
        <v>262</v>
      </c>
      <c r="G12" s="315">
        <v>43858</v>
      </c>
      <c r="H12" s="316">
        <v>43901</v>
      </c>
      <c r="I12" s="261">
        <v>963209.38</v>
      </c>
      <c r="J12" s="313" t="s">
        <v>280</v>
      </c>
      <c r="K12" s="313" t="s">
        <v>431</v>
      </c>
      <c r="L12" s="312" t="s">
        <v>794</v>
      </c>
      <c r="M12" s="313" t="s">
        <v>308</v>
      </c>
    </row>
    <row r="13" spans="1:25" ht="39.6" x14ac:dyDescent="0.3">
      <c r="A13" s="83">
        <v>12</v>
      </c>
      <c r="B13" s="82" t="s">
        <v>37</v>
      </c>
      <c r="C13" s="63" t="s">
        <v>195</v>
      </c>
      <c r="D13" s="59" t="s">
        <v>196</v>
      </c>
      <c r="E13" s="59" t="s">
        <v>197</v>
      </c>
      <c r="F13" s="60" t="s">
        <v>198</v>
      </c>
      <c r="G13" s="64">
        <v>43829</v>
      </c>
      <c r="H13" s="62">
        <v>595719.36</v>
      </c>
      <c r="I13" s="62">
        <v>141021.4</v>
      </c>
      <c r="J13" s="59" t="s">
        <v>235</v>
      </c>
      <c r="K13" s="82" t="s">
        <v>432</v>
      </c>
      <c r="L13" s="180">
        <v>44560</v>
      </c>
      <c r="M13" s="61"/>
      <c r="N13" s="65"/>
      <c r="O13" s="65"/>
      <c r="P13" s="65"/>
      <c r="Q13" s="65"/>
      <c r="R13" s="65"/>
      <c r="S13" s="65"/>
      <c r="T13" s="65"/>
      <c r="U13" s="65"/>
      <c r="V13" s="65"/>
      <c r="W13" s="65"/>
      <c r="X13" s="65"/>
      <c r="Y13" s="65"/>
    </row>
    <row r="14" spans="1:25" ht="52.8" x14ac:dyDescent="0.3">
      <c r="A14" s="83">
        <v>13</v>
      </c>
      <c r="B14" s="82" t="s">
        <v>37</v>
      </c>
      <c r="C14" s="66" t="s">
        <v>213</v>
      </c>
      <c r="D14" s="67" t="s">
        <v>125</v>
      </c>
      <c r="E14" s="68" t="s">
        <v>225</v>
      </c>
      <c r="F14" s="68" t="s">
        <v>232</v>
      </c>
      <c r="G14" s="69">
        <v>43840</v>
      </c>
      <c r="H14" s="70">
        <v>43830</v>
      </c>
      <c r="I14" s="88">
        <v>1080000</v>
      </c>
      <c r="J14" s="82" t="s">
        <v>247</v>
      </c>
      <c r="K14" s="82" t="s">
        <v>283</v>
      </c>
      <c r="L14" s="144" t="s">
        <v>433</v>
      </c>
      <c r="M14" s="72"/>
    </row>
    <row r="15" spans="1:25" s="321" customFormat="1" ht="26.4" x14ac:dyDescent="0.25">
      <c r="A15" s="208">
        <v>14</v>
      </c>
      <c r="B15" s="313" t="s">
        <v>66</v>
      </c>
      <c r="C15" s="314" t="s">
        <v>244</v>
      </c>
      <c r="D15" s="313" t="s">
        <v>224</v>
      </c>
      <c r="E15" s="313" t="s">
        <v>258</v>
      </c>
      <c r="F15" s="313" t="s">
        <v>264</v>
      </c>
      <c r="G15" s="315">
        <v>43858</v>
      </c>
      <c r="H15" s="316">
        <v>43901</v>
      </c>
      <c r="I15" s="261">
        <v>845999.96</v>
      </c>
      <c r="J15" s="313" t="s">
        <v>270</v>
      </c>
      <c r="K15" s="313" t="s">
        <v>434</v>
      </c>
      <c r="L15" s="312" t="s">
        <v>793</v>
      </c>
      <c r="M15" s="313" t="s">
        <v>307</v>
      </c>
    </row>
    <row r="16" spans="1:25" ht="66" x14ac:dyDescent="0.3">
      <c r="A16" s="83">
        <v>15</v>
      </c>
      <c r="B16" s="82" t="s">
        <v>37</v>
      </c>
      <c r="C16" s="84" t="s">
        <v>243</v>
      </c>
      <c r="D16" s="83" t="s">
        <v>222</v>
      </c>
      <c r="E16" s="74" t="s">
        <v>126</v>
      </c>
      <c r="F16" s="74" t="s">
        <v>251</v>
      </c>
      <c r="G16" s="75">
        <v>43857</v>
      </c>
      <c r="H16" s="75">
        <v>44111</v>
      </c>
      <c r="I16" s="77">
        <v>13109337.01</v>
      </c>
      <c r="J16" s="74" t="s">
        <v>268</v>
      </c>
      <c r="K16" s="127" t="s">
        <v>435</v>
      </c>
      <c r="L16" s="82"/>
      <c r="M16" s="72"/>
    </row>
    <row r="17" spans="1:53" s="210" customFormat="1" ht="79.2" x14ac:dyDescent="0.3">
      <c r="A17" s="208">
        <v>16</v>
      </c>
      <c r="B17" s="209" t="s">
        <v>66</v>
      </c>
      <c r="C17" s="320" t="s">
        <v>712</v>
      </c>
      <c r="D17" s="208" t="s">
        <v>177</v>
      </c>
      <c r="E17" s="208" t="s">
        <v>126</v>
      </c>
      <c r="F17" s="208" t="s">
        <v>246</v>
      </c>
      <c r="G17" s="240">
        <v>43886</v>
      </c>
      <c r="H17" s="240" t="s">
        <v>176</v>
      </c>
      <c r="I17" s="268">
        <v>17196584.52</v>
      </c>
      <c r="J17" s="208" t="s">
        <v>436</v>
      </c>
      <c r="K17" s="208" t="s">
        <v>328</v>
      </c>
      <c r="L17" s="322">
        <v>44342</v>
      </c>
      <c r="M17" s="208" t="s">
        <v>327</v>
      </c>
    </row>
    <row r="18" spans="1:53" s="323" customFormat="1" ht="26.4" x14ac:dyDescent="0.25">
      <c r="A18" s="208">
        <v>17</v>
      </c>
      <c r="B18" s="313" t="s">
        <v>37</v>
      </c>
      <c r="C18" s="317" t="s">
        <v>205</v>
      </c>
      <c r="D18" s="313" t="s">
        <v>206</v>
      </c>
      <c r="E18" s="313" t="s">
        <v>109</v>
      </c>
      <c r="F18" s="208" t="s">
        <v>234</v>
      </c>
      <c r="G18" s="315">
        <v>43840</v>
      </c>
      <c r="H18" s="316">
        <v>43908</v>
      </c>
      <c r="I18" s="261">
        <v>949864</v>
      </c>
      <c r="J18" s="313" t="s">
        <v>248</v>
      </c>
      <c r="K18" s="313" t="s">
        <v>324</v>
      </c>
      <c r="L18" s="313"/>
      <c r="M18" s="313" t="s">
        <v>300</v>
      </c>
    </row>
    <row r="19" spans="1:53" s="210" customFormat="1" ht="26.4" x14ac:dyDescent="0.3">
      <c r="A19" s="208">
        <v>18</v>
      </c>
      <c r="B19" s="313" t="s">
        <v>37</v>
      </c>
      <c r="C19" s="317" t="s">
        <v>209</v>
      </c>
      <c r="D19" s="208" t="s">
        <v>210</v>
      </c>
      <c r="E19" s="313" t="s">
        <v>109</v>
      </c>
      <c r="F19" s="313" t="s">
        <v>239</v>
      </c>
      <c r="G19" s="315">
        <v>43840</v>
      </c>
      <c r="H19" s="316">
        <v>43882</v>
      </c>
      <c r="I19" s="261">
        <v>4250229.05</v>
      </c>
      <c r="J19" s="313" t="s">
        <v>248</v>
      </c>
      <c r="K19" s="313" t="s">
        <v>325</v>
      </c>
      <c r="L19" s="313"/>
      <c r="M19" s="208" t="s">
        <v>301</v>
      </c>
    </row>
    <row r="20" spans="1:53" s="321" customFormat="1" ht="26.4" x14ac:dyDescent="0.25">
      <c r="A20" s="208">
        <v>19</v>
      </c>
      <c r="B20" s="313" t="s">
        <v>66</v>
      </c>
      <c r="C20" s="314" t="s">
        <v>174</v>
      </c>
      <c r="D20" s="313" t="s">
        <v>162</v>
      </c>
      <c r="E20" s="313" t="s">
        <v>109</v>
      </c>
      <c r="F20" s="313" t="s">
        <v>163</v>
      </c>
      <c r="G20" s="315">
        <v>43822</v>
      </c>
      <c r="H20" s="316">
        <v>43830</v>
      </c>
      <c r="I20" s="261">
        <v>5121703.12</v>
      </c>
      <c r="J20" s="313" t="s">
        <v>248</v>
      </c>
      <c r="K20" s="313" t="s">
        <v>326</v>
      </c>
      <c r="L20" s="313"/>
      <c r="M20" s="313" t="s">
        <v>297</v>
      </c>
    </row>
    <row r="21" spans="1:53" s="99" customFormat="1" ht="26.4" x14ac:dyDescent="0.25">
      <c r="A21" s="83">
        <v>20</v>
      </c>
      <c r="B21" s="93" t="s">
        <v>58</v>
      </c>
      <c r="C21" s="94" t="s">
        <v>98</v>
      </c>
      <c r="D21" s="93" t="s">
        <v>97</v>
      </c>
      <c r="E21" s="93" t="s">
        <v>109</v>
      </c>
      <c r="F21" s="93" t="s">
        <v>106</v>
      </c>
      <c r="G21" s="97">
        <v>43763</v>
      </c>
      <c r="H21" s="98">
        <v>43799</v>
      </c>
      <c r="I21" s="96">
        <v>856373.23</v>
      </c>
      <c r="J21" s="93" t="s">
        <v>323</v>
      </c>
      <c r="K21" s="93" t="s">
        <v>322</v>
      </c>
      <c r="L21" s="93"/>
      <c r="M21" s="93" t="s">
        <v>149</v>
      </c>
    </row>
    <row r="22" spans="1:53" s="99" customFormat="1" ht="39.6" x14ac:dyDescent="0.25">
      <c r="A22" s="83">
        <v>21</v>
      </c>
      <c r="B22" s="93" t="s">
        <v>66</v>
      </c>
      <c r="C22" s="94" t="s">
        <v>95</v>
      </c>
      <c r="D22" s="93" t="s">
        <v>96</v>
      </c>
      <c r="E22" s="93" t="s">
        <v>107</v>
      </c>
      <c r="F22" s="93" t="s">
        <v>103</v>
      </c>
      <c r="G22" s="97">
        <v>43756</v>
      </c>
      <c r="H22" s="98">
        <v>43830</v>
      </c>
      <c r="I22" s="96">
        <v>2929999.95</v>
      </c>
      <c r="J22" s="93" t="s">
        <v>330</v>
      </c>
      <c r="K22" s="93" t="s">
        <v>183</v>
      </c>
      <c r="L22" s="93"/>
      <c r="M22" s="93" t="s">
        <v>218</v>
      </c>
    </row>
    <row r="23" spans="1:53" s="95" customFormat="1" ht="79.2" x14ac:dyDescent="0.3">
      <c r="A23" s="83">
        <v>22</v>
      </c>
      <c r="B23" s="93" t="s">
        <v>37</v>
      </c>
      <c r="C23" s="100" t="s">
        <v>219</v>
      </c>
      <c r="D23" s="90" t="s">
        <v>178</v>
      </c>
      <c r="E23" s="90" t="s">
        <v>126</v>
      </c>
      <c r="F23" s="90" t="s">
        <v>250</v>
      </c>
      <c r="G23" s="101">
        <v>43851</v>
      </c>
      <c r="H23" s="102">
        <v>44105</v>
      </c>
      <c r="I23" s="96">
        <v>20164276.170000002</v>
      </c>
      <c r="J23" s="90" t="s">
        <v>266</v>
      </c>
      <c r="K23" s="93" t="s">
        <v>296</v>
      </c>
      <c r="L23" s="93"/>
      <c r="M23" s="89"/>
    </row>
    <row r="24" spans="1:53" s="95" customFormat="1" ht="26.4" x14ac:dyDescent="0.3">
      <c r="A24" s="83">
        <v>23</v>
      </c>
      <c r="B24" s="89" t="s">
        <v>66</v>
      </c>
      <c r="C24" s="100" t="s">
        <v>220</v>
      </c>
      <c r="D24" s="90" t="s">
        <v>124</v>
      </c>
      <c r="E24" s="103" t="s">
        <v>303</v>
      </c>
      <c r="F24" s="90" t="s">
        <v>252</v>
      </c>
      <c r="G24" s="101">
        <v>43879</v>
      </c>
      <c r="H24" s="101">
        <v>43921</v>
      </c>
      <c r="I24" s="91">
        <v>816563</v>
      </c>
      <c r="J24" s="103" t="s">
        <v>305</v>
      </c>
      <c r="K24" s="103" t="s">
        <v>304</v>
      </c>
      <c r="L24" s="103"/>
      <c r="M24" s="90" t="s">
        <v>306</v>
      </c>
    </row>
    <row r="25" spans="1:53" s="210" customFormat="1" ht="26.4" x14ac:dyDescent="0.3">
      <c r="A25" s="208">
        <v>24</v>
      </c>
      <c r="B25" s="313" t="s">
        <v>66</v>
      </c>
      <c r="C25" s="320" t="s">
        <v>343</v>
      </c>
      <c r="D25" s="208" t="s">
        <v>338</v>
      </c>
      <c r="E25" s="208" t="s">
        <v>334</v>
      </c>
      <c r="F25" s="208" t="s">
        <v>337</v>
      </c>
      <c r="G25" s="240">
        <v>44032</v>
      </c>
      <c r="H25" s="240">
        <v>44104</v>
      </c>
      <c r="I25" s="261">
        <v>2823644.04</v>
      </c>
      <c r="J25" s="209" t="s">
        <v>248</v>
      </c>
      <c r="K25" s="208" t="s">
        <v>397</v>
      </c>
      <c r="L25" s="315">
        <v>44404</v>
      </c>
      <c r="M25" s="208" t="s">
        <v>352</v>
      </c>
      <c r="N25" s="261"/>
      <c r="O25" s="324"/>
      <c r="P25" s="209"/>
      <c r="Q25" s="208"/>
      <c r="R25" s="325"/>
      <c r="S25" s="325"/>
      <c r="T25" s="326"/>
      <c r="U25" s="208"/>
      <c r="V25" s="327"/>
    </row>
    <row r="26" spans="1:53" s="210" customFormat="1" ht="26.4" x14ac:dyDescent="0.3">
      <c r="A26" s="208">
        <v>25</v>
      </c>
      <c r="B26" s="320" t="s">
        <v>66</v>
      </c>
      <c r="C26" s="320" t="s">
        <v>351</v>
      </c>
      <c r="D26" s="208" t="s">
        <v>349</v>
      </c>
      <c r="E26" s="208" t="s">
        <v>334</v>
      </c>
      <c r="F26" s="208" t="s">
        <v>350</v>
      </c>
      <c r="G26" s="240">
        <v>44067</v>
      </c>
      <c r="H26" s="240">
        <v>44069</v>
      </c>
      <c r="I26" s="268">
        <v>1716150.04</v>
      </c>
      <c r="J26" s="209" t="s">
        <v>248</v>
      </c>
      <c r="K26" s="209" t="s">
        <v>398</v>
      </c>
      <c r="L26" s="315">
        <v>44461</v>
      </c>
      <c r="M26" s="208" t="s">
        <v>396</v>
      </c>
      <c r="N26" s="261"/>
      <c r="O26" s="324"/>
      <c r="P26" s="209"/>
      <c r="Q26" s="208"/>
      <c r="R26" s="325"/>
      <c r="S26" s="325"/>
      <c r="T26" s="326"/>
      <c r="U26" s="208"/>
    </row>
    <row r="27" spans="1:53" s="48" customFormat="1" ht="52.8" x14ac:dyDescent="0.3">
      <c r="A27" s="208">
        <v>26</v>
      </c>
      <c r="B27" s="85" t="s">
        <v>37</v>
      </c>
      <c r="C27" s="47" t="s">
        <v>192</v>
      </c>
      <c r="D27" s="85" t="s">
        <v>193</v>
      </c>
      <c r="E27" s="85" t="s">
        <v>194</v>
      </c>
      <c r="F27" s="85" t="s">
        <v>211</v>
      </c>
      <c r="G27" s="46">
        <v>43829</v>
      </c>
      <c r="H27" s="46">
        <v>44063</v>
      </c>
      <c r="I27" s="14">
        <v>4024607.74</v>
      </c>
      <c r="J27" s="85" t="s">
        <v>236</v>
      </c>
      <c r="K27" s="46" t="s">
        <v>437</v>
      </c>
      <c r="L27" s="85"/>
      <c r="M27" s="14" t="s">
        <v>438</v>
      </c>
      <c r="N27" s="42"/>
      <c r="O27" s="14"/>
      <c r="P27" s="80"/>
      <c r="Q27" s="85"/>
      <c r="R27" s="50"/>
      <c r="S27" s="79"/>
      <c r="T27" s="79"/>
      <c r="U27" s="79"/>
      <c r="V27" s="79"/>
      <c r="W27" s="80"/>
      <c r="X27" s="12"/>
      <c r="Y27" s="80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55"/>
      <c r="AM27" s="42"/>
      <c r="AN27" s="42"/>
      <c r="AO27" s="42"/>
      <c r="AP27" s="42"/>
      <c r="AQ27" s="42"/>
      <c r="AR27" s="42"/>
      <c r="AS27" s="42"/>
      <c r="AT27" s="115"/>
      <c r="AU27" s="42"/>
      <c r="AV27" s="42"/>
      <c r="AW27" s="42"/>
      <c r="AX27" s="42"/>
      <c r="AY27" s="49">
        <v>7</v>
      </c>
      <c r="AZ27" s="49">
        <v>1</v>
      </c>
      <c r="BA27" s="49">
        <v>0</v>
      </c>
    </row>
    <row r="28" spans="1:53" s="210" customFormat="1" ht="39.6" x14ac:dyDescent="0.3">
      <c r="A28" s="208">
        <v>27</v>
      </c>
      <c r="B28" s="209" t="s">
        <v>66</v>
      </c>
      <c r="C28" s="320" t="s">
        <v>458</v>
      </c>
      <c r="D28" s="208" t="s">
        <v>459</v>
      </c>
      <c r="E28" s="208" t="s">
        <v>334</v>
      </c>
      <c r="F28" s="208" t="s">
        <v>467</v>
      </c>
      <c r="G28" s="315">
        <v>44181</v>
      </c>
      <c r="H28" s="315" t="s">
        <v>486</v>
      </c>
      <c r="I28" s="261">
        <v>689091.66</v>
      </c>
      <c r="J28" s="208" t="s">
        <v>248</v>
      </c>
      <c r="K28" s="208" t="s">
        <v>499</v>
      </c>
      <c r="L28" s="268"/>
      <c r="M28" s="208" t="s">
        <v>711</v>
      </c>
      <c r="N28" s="261"/>
      <c r="O28" s="208"/>
      <c r="P28" s="208"/>
      <c r="AR28" s="210">
        <v>1</v>
      </c>
    </row>
    <row r="29" spans="1:53" s="321" customFormat="1" ht="39.6" x14ac:dyDescent="0.25">
      <c r="A29" s="208">
        <v>28</v>
      </c>
      <c r="B29" s="313" t="s">
        <v>66</v>
      </c>
      <c r="C29" s="314" t="s">
        <v>367</v>
      </c>
      <c r="D29" s="313" t="s">
        <v>368</v>
      </c>
      <c r="E29" s="313" t="s">
        <v>424</v>
      </c>
      <c r="F29" s="313" t="s">
        <v>662</v>
      </c>
      <c r="G29" s="315">
        <v>44151</v>
      </c>
      <c r="H29" s="316">
        <v>44271</v>
      </c>
      <c r="I29" s="261">
        <v>14988313.380000001</v>
      </c>
      <c r="J29" s="313" t="s">
        <v>442</v>
      </c>
      <c r="K29" s="313" t="s">
        <v>669</v>
      </c>
      <c r="L29" s="312" t="s">
        <v>795</v>
      </c>
      <c r="M29" s="313" t="s">
        <v>699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H4" sqref="H4"/>
    </sheetView>
  </sheetViews>
  <sheetFormatPr defaultRowHeight="14.4" x14ac:dyDescent="0.3"/>
  <cols>
    <col min="1" max="1" width="19.88671875" style="117" customWidth="1"/>
    <col min="2" max="2" width="33" style="117" customWidth="1"/>
    <col min="3" max="3" width="16.44140625" style="117" customWidth="1"/>
    <col min="4" max="4" width="21.88671875" style="117" customWidth="1"/>
    <col min="5" max="6" width="35.88671875" style="117" customWidth="1"/>
    <col min="7" max="7" width="61.88671875" style="117" customWidth="1"/>
    <col min="8" max="8" width="18" style="117" customWidth="1"/>
    <col min="9" max="9" width="46.33203125" style="117" customWidth="1"/>
  </cols>
  <sheetData>
    <row r="1" spans="1:9" x14ac:dyDescent="0.3">
      <c r="A1" s="18" t="s">
        <v>371</v>
      </c>
      <c r="B1" s="19" t="s">
        <v>372</v>
      </c>
      <c r="C1" s="35" t="s">
        <v>373</v>
      </c>
      <c r="D1" s="20" t="s">
        <v>374</v>
      </c>
      <c r="E1" s="81" t="s">
        <v>375</v>
      </c>
      <c r="F1" s="81" t="s">
        <v>386</v>
      </c>
      <c r="G1" s="81" t="s">
        <v>376</v>
      </c>
      <c r="H1" s="81"/>
      <c r="I1" s="81"/>
    </row>
    <row r="2" spans="1:9" s="120" customFormat="1" ht="105.6" x14ac:dyDescent="0.3">
      <c r="A2" s="84" t="s">
        <v>357</v>
      </c>
      <c r="B2" s="73" t="s">
        <v>358</v>
      </c>
      <c r="C2" s="74" t="s">
        <v>377</v>
      </c>
      <c r="D2" s="73" t="s">
        <v>378</v>
      </c>
      <c r="E2" s="74" t="s">
        <v>379</v>
      </c>
      <c r="F2" s="123" t="s">
        <v>388</v>
      </c>
      <c r="G2" s="121" t="s">
        <v>390</v>
      </c>
      <c r="H2" s="119"/>
      <c r="I2" s="119"/>
    </row>
    <row r="3" spans="1:9" s="120" customFormat="1" ht="92.4" x14ac:dyDescent="0.3">
      <c r="A3" s="84" t="s">
        <v>357</v>
      </c>
      <c r="B3" s="73" t="s">
        <v>358</v>
      </c>
      <c r="C3" s="74" t="s">
        <v>381</v>
      </c>
      <c r="D3" s="73" t="s">
        <v>382</v>
      </c>
      <c r="E3" s="74" t="s">
        <v>380</v>
      </c>
      <c r="F3" s="74" t="s">
        <v>388</v>
      </c>
      <c r="G3" s="121" t="s">
        <v>389</v>
      </c>
      <c r="H3" s="119"/>
      <c r="I3" s="119"/>
    </row>
    <row r="4" spans="1:9" ht="330" x14ac:dyDescent="0.3">
      <c r="A4" s="84" t="s">
        <v>383</v>
      </c>
      <c r="B4" s="74" t="s">
        <v>368</v>
      </c>
      <c r="C4" s="74" t="s">
        <v>384</v>
      </c>
      <c r="D4" s="73" t="s">
        <v>385</v>
      </c>
      <c r="E4" s="74" t="s">
        <v>379</v>
      </c>
      <c r="F4" s="123" t="s">
        <v>387</v>
      </c>
      <c r="G4" s="122" t="s">
        <v>391</v>
      </c>
      <c r="H4" s="118"/>
      <c r="I4" s="118"/>
    </row>
    <row r="5" spans="1:9" x14ac:dyDescent="0.3">
      <c r="A5" s="118"/>
      <c r="B5" s="118"/>
      <c r="C5" s="118"/>
      <c r="D5" s="118"/>
      <c r="E5" s="118"/>
      <c r="F5" s="118"/>
      <c r="G5" s="118"/>
      <c r="H5" s="118"/>
      <c r="I5" s="118"/>
    </row>
    <row r="6" spans="1:9" x14ac:dyDescent="0.3">
      <c r="A6" s="118"/>
      <c r="B6" s="118"/>
      <c r="C6" s="118"/>
      <c r="D6" s="118"/>
      <c r="E6" s="118"/>
      <c r="F6" s="118"/>
      <c r="G6" s="118"/>
      <c r="H6" s="118"/>
      <c r="I6" s="118"/>
    </row>
    <row r="7" spans="1:9" x14ac:dyDescent="0.3">
      <c r="A7" s="118"/>
      <c r="B7" s="118"/>
      <c r="C7" s="118"/>
      <c r="D7" s="118"/>
      <c r="E7" s="118"/>
      <c r="F7" s="118"/>
      <c r="G7" s="118"/>
      <c r="H7" s="118"/>
      <c r="I7" s="118"/>
    </row>
    <row r="8" spans="1:9" x14ac:dyDescent="0.3">
      <c r="A8" s="118"/>
      <c r="B8" s="118"/>
      <c r="C8" s="118"/>
      <c r="D8" s="118"/>
      <c r="E8" s="118"/>
      <c r="F8" s="118"/>
      <c r="G8" s="118"/>
      <c r="H8" s="118"/>
      <c r="I8" s="118"/>
    </row>
    <row r="9" spans="1:9" x14ac:dyDescent="0.3">
      <c r="A9" s="118"/>
      <c r="B9" s="118"/>
      <c r="C9" s="118"/>
      <c r="D9" s="118"/>
      <c r="E9" s="118"/>
      <c r="F9" s="118"/>
      <c r="G9" s="118"/>
      <c r="H9" s="118"/>
      <c r="I9" s="118"/>
    </row>
    <row r="10" spans="1:9" x14ac:dyDescent="0.3">
      <c r="A10" s="118"/>
      <c r="B10" s="118"/>
      <c r="C10" s="118"/>
      <c r="D10" s="118"/>
      <c r="E10" s="118"/>
      <c r="F10" s="118"/>
      <c r="G10" s="118"/>
      <c r="H10" s="118"/>
      <c r="I10" s="118"/>
    </row>
    <row r="11" spans="1:9" x14ac:dyDescent="0.3">
      <c r="A11" s="118"/>
      <c r="B11" s="118"/>
      <c r="C11" s="118"/>
      <c r="D11" s="118"/>
      <c r="E11" s="118"/>
      <c r="F11" s="118"/>
      <c r="G11" s="118"/>
      <c r="H11" s="118"/>
      <c r="I11" s="118"/>
    </row>
    <row r="12" spans="1:9" x14ac:dyDescent="0.3">
      <c r="A12" s="118"/>
      <c r="B12" s="118"/>
      <c r="C12" s="118"/>
      <c r="D12" s="118"/>
      <c r="E12" s="118"/>
      <c r="F12" s="118"/>
      <c r="G12" s="118"/>
      <c r="H12" s="118"/>
      <c r="I12" s="118"/>
    </row>
    <row r="13" spans="1:9" x14ac:dyDescent="0.3">
      <c r="A13" s="118"/>
      <c r="B13" s="118"/>
      <c r="C13" s="118"/>
      <c r="D13" s="118"/>
      <c r="E13" s="118"/>
      <c r="F13" s="118"/>
      <c r="G13" s="118"/>
      <c r="H13" s="118"/>
      <c r="I13" s="118"/>
    </row>
    <row r="14" spans="1:9" x14ac:dyDescent="0.3">
      <c r="A14" s="118"/>
      <c r="B14" s="118"/>
      <c r="C14" s="118"/>
      <c r="D14" s="118"/>
      <c r="E14" s="118"/>
      <c r="F14" s="118"/>
      <c r="G14" s="118"/>
      <c r="H14" s="118"/>
      <c r="I14" s="118"/>
    </row>
    <row r="15" spans="1:9" x14ac:dyDescent="0.3">
      <c r="A15" s="118"/>
      <c r="B15" s="118"/>
      <c r="C15" s="118"/>
      <c r="D15" s="118"/>
      <c r="E15" s="118"/>
      <c r="F15" s="118"/>
      <c r="G15" s="118"/>
      <c r="H15" s="118"/>
      <c r="I15" s="11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D2" sqref="D2"/>
    </sheetView>
  </sheetViews>
  <sheetFormatPr defaultRowHeight="14.4" x14ac:dyDescent="0.3"/>
  <sheetData>
    <row r="1" spans="1:8" s="71" customFormat="1" ht="52.8" x14ac:dyDescent="0.3">
      <c r="B1" s="51" t="s">
        <v>371</v>
      </c>
      <c r="C1" s="37" t="s">
        <v>372</v>
      </c>
      <c r="D1" s="52" t="s">
        <v>373</v>
      </c>
      <c r="E1" s="53" t="s">
        <v>374</v>
      </c>
      <c r="F1" s="54" t="s">
        <v>375</v>
      </c>
      <c r="G1" s="54" t="s">
        <v>386</v>
      </c>
      <c r="H1" s="54" t="s">
        <v>376</v>
      </c>
    </row>
    <row r="2" spans="1:8" s="71" customFormat="1" ht="180" x14ac:dyDescent="0.3">
      <c r="A2" s="153">
        <v>1</v>
      </c>
      <c r="B2" s="154" t="s">
        <v>563</v>
      </c>
      <c r="C2" s="155" t="s">
        <v>498</v>
      </c>
      <c r="D2" s="153" t="s">
        <v>564</v>
      </c>
      <c r="E2" s="155" t="s">
        <v>565</v>
      </c>
      <c r="F2" s="153" t="s">
        <v>566</v>
      </c>
      <c r="G2" s="153"/>
      <c r="H2" s="153"/>
    </row>
    <row r="3" spans="1:8" s="71" customFormat="1" x14ac:dyDescent="0.3">
      <c r="A3" s="153"/>
      <c r="B3" s="153"/>
      <c r="C3" s="153"/>
      <c r="D3" s="153"/>
      <c r="E3" s="153"/>
      <c r="F3" s="153"/>
      <c r="G3" s="153"/>
      <c r="H3" s="153"/>
    </row>
    <row r="4" spans="1:8" s="71" customFormat="1" x14ac:dyDescent="0.3">
      <c r="A4" s="153"/>
      <c r="B4" s="153"/>
      <c r="C4" s="153"/>
      <c r="D4" s="153"/>
      <c r="E4" s="153"/>
      <c r="F4" s="153"/>
      <c r="G4" s="153"/>
      <c r="H4" s="153"/>
    </row>
    <row r="5" spans="1:8" s="71" customFormat="1" x14ac:dyDescent="0.3">
      <c r="A5" s="153"/>
      <c r="B5" s="153"/>
      <c r="C5" s="153"/>
      <c r="D5" s="153"/>
      <c r="E5" s="153"/>
      <c r="F5" s="153"/>
      <c r="G5" s="153"/>
      <c r="H5" s="153"/>
    </row>
    <row r="6" spans="1:8" s="71" customFormat="1" x14ac:dyDescent="0.3">
      <c r="A6" s="153"/>
      <c r="B6" s="153"/>
      <c r="C6" s="153"/>
      <c r="D6" s="153"/>
      <c r="E6" s="153"/>
      <c r="F6" s="153"/>
      <c r="G6" s="153"/>
      <c r="H6" s="153"/>
    </row>
    <row r="7" spans="1:8" s="71" customFormat="1" x14ac:dyDescent="0.3">
      <c r="A7" s="153"/>
      <c r="B7" s="153"/>
      <c r="C7" s="153"/>
      <c r="D7" s="153"/>
      <c r="E7" s="153"/>
      <c r="F7" s="153"/>
      <c r="G7" s="153"/>
      <c r="H7" s="153"/>
    </row>
    <row r="8" spans="1:8" s="71" customFormat="1" x14ac:dyDescent="0.3">
      <c r="A8" s="153"/>
      <c r="B8" s="153"/>
      <c r="C8" s="153"/>
      <c r="D8" s="153"/>
      <c r="E8" s="153"/>
      <c r="F8" s="153"/>
      <c r="G8" s="153"/>
      <c r="H8" s="153"/>
    </row>
    <row r="9" spans="1:8" s="71" customFormat="1" x14ac:dyDescent="0.3">
      <c r="A9" s="153"/>
      <c r="B9" s="153"/>
      <c r="C9" s="153"/>
      <c r="D9" s="153"/>
      <c r="E9" s="153"/>
      <c r="F9" s="153"/>
      <c r="G9" s="153"/>
      <c r="H9" s="153"/>
    </row>
    <row r="10" spans="1:8" s="71" customFormat="1" x14ac:dyDescent="0.3">
      <c r="A10" s="153"/>
      <c r="B10" s="153"/>
      <c r="C10" s="153"/>
      <c r="D10" s="153"/>
      <c r="E10" s="153"/>
      <c r="F10" s="153"/>
      <c r="G10" s="153"/>
      <c r="H10" s="153"/>
    </row>
    <row r="11" spans="1:8" s="71" customFormat="1" x14ac:dyDescent="0.3">
      <c r="A11" s="153"/>
      <c r="B11" s="153"/>
      <c r="C11" s="153"/>
      <c r="D11" s="153"/>
      <c r="E11" s="153"/>
      <c r="F11" s="153"/>
      <c r="G11" s="153"/>
      <c r="H11" s="15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2</vt:i4>
      </vt:variant>
    </vt:vector>
  </HeadingPairs>
  <TitlesOfParts>
    <vt:vector size="8" baseType="lpstr">
      <vt:lpstr>ЕП с размещением</vt:lpstr>
      <vt:lpstr> ЕП до 600 т.р (п.4)</vt:lpstr>
      <vt:lpstr>ТОРГИ</vt:lpstr>
      <vt:lpstr>Гарантийные обязательства</vt:lpstr>
      <vt:lpstr>ФАС</vt:lpstr>
      <vt:lpstr>Лист1</vt:lpstr>
      <vt:lpstr>' ЕП до 600 т.р (п.4)'!Область_печати</vt:lpstr>
      <vt:lpstr>ТОРГИ!Область_печати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2021-05-14T07:56:52Z</dcterms:modified>
</cp:coreProperties>
</file>