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 DATA P\Penelitian\Laporan Akhir\"/>
    </mc:Choice>
  </mc:AlternateContent>
  <xr:revisionPtr revIDLastSave="0" documentId="13_ncr:1_{C22EFDBE-CFA3-4DD9-912E-A3C95AC06C0E}" xr6:coauthVersionLast="47" xr6:coauthVersionMax="47" xr10:uidLastSave="{00000000-0000-0000-0000-000000000000}"/>
  <bookViews>
    <workbookView xWindow="3036" yWindow="3036" windowWidth="17280" windowHeight="8880" xr2:uid="{955C97E2-14F7-4243-B166-7AE7261A6323}"/>
  </bookViews>
  <sheets>
    <sheet name="Kon" sheetId="4" r:id="rId1"/>
    <sheet name="Yang" sheetId="3" r:id="rId2"/>
    <sheet name="Brandao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4" l="1"/>
  <c r="J35" i="4" s="1"/>
  <c r="C69" i="4"/>
  <c r="O68" i="4"/>
  <c r="C68" i="4"/>
  <c r="O67" i="4"/>
  <c r="O65" i="4"/>
  <c r="N65" i="4"/>
  <c r="C49" i="4"/>
  <c r="O48" i="4"/>
  <c r="C48" i="4"/>
  <c r="O47" i="4"/>
  <c r="O45" i="4"/>
  <c r="B45" i="4"/>
  <c r="N45" i="4" s="1"/>
  <c r="B44" i="4"/>
  <c r="N44" i="4" s="1"/>
  <c r="I36" i="4"/>
  <c r="J36" i="4" s="1"/>
  <c r="L36" i="4" s="1"/>
  <c r="C65" i="4" s="1"/>
  <c r="O64" i="4" s="1"/>
  <c r="H36" i="4"/>
  <c r="H35" i="4"/>
  <c r="D27" i="4"/>
  <c r="D26" i="4"/>
  <c r="D18" i="4"/>
  <c r="D17" i="4"/>
  <c r="D9" i="4"/>
  <c r="C69" i="3"/>
  <c r="C68" i="3"/>
  <c r="C49" i="3"/>
  <c r="C48" i="3"/>
  <c r="B65" i="3"/>
  <c r="M64" i="3" s="1"/>
  <c r="B64" i="3"/>
  <c r="M44" i="3"/>
  <c r="M45" i="3"/>
  <c r="G36" i="3"/>
  <c r="G35" i="3"/>
  <c r="N68" i="3"/>
  <c r="N67" i="3"/>
  <c r="M65" i="3"/>
  <c r="N48" i="3"/>
  <c r="N47" i="3"/>
  <c r="B45" i="3"/>
  <c r="B44" i="3"/>
  <c r="D27" i="3"/>
  <c r="D26" i="3"/>
  <c r="D18" i="3"/>
  <c r="H36" i="3" s="1"/>
  <c r="I36" i="3" s="1"/>
  <c r="D17" i="3"/>
  <c r="D9" i="3"/>
  <c r="H35" i="3" s="1"/>
  <c r="I35" i="3" s="1"/>
  <c r="K35" i="4" l="1"/>
  <c r="C44" i="4" s="1"/>
  <c r="L35" i="4"/>
  <c r="C64" i="4" s="1"/>
  <c r="B64" i="4"/>
  <c r="K36" i="4"/>
  <c r="C45" i="4" s="1"/>
  <c r="O44" i="4" s="1"/>
  <c r="B65" i="4"/>
  <c r="N64" i="4" s="1"/>
  <c r="K35" i="3"/>
  <c r="C64" i="3" s="1"/>
  <c r="J35" i="3"/>
  <c r="C44" i="3" s="1"/>
  <c r="N65" i="3"/>
  <c r="N45" i="3"/>
  <c r="K36" i="3"/>
  <c r="C65" i="3" s="1"/>
  <c r="N64" i="3" s="1"/>
  <c r="J36" i="3"/>
  <c r="J36" i="1"/>
  <c r="D9" i="1"/>
  <c r="D35" i="1" s="1"/>
  <c r="H35" i="1" s="1"/>
  <c r="I35" i="1" s="1"/>
  <c r="N71" i="1"/>
  <c r="N70" i="1"/>
  <c r="N51" i="1"/>
  <c r="N50" i="1"/>
  <c r="F14" i="2"/>
  <c r="F15" i="2"/>
  <c r="F16" i="2"/>
  <c r="D7" i="2"/>
  <c r="D8" i="2"/>
  <c r="D9" i="2"/>
  <c r="D10" i="2"/>
  <c r="D6" i="2"/>
  <c r="B69" i="1"/>
  <c r="M68" i="1" s="1"/>
  <c r="B68" i="1"/>
  <c r="M67" i="1" s="1"/>
  <c r="B67" i="1"/>
  <c r="C52" i="1"/>
  <c r="B49" i="1"/>
  <c r="M48" i="1" s="1"/>
  <c r="B48" i="1"/>
  <c r="M47" i="1" s="1"/>
  <c r="B47" i="1"/>
  <c r="C51" i="1"/>
  <c r="C71" i="1"/>
  <c r="C72" i="1"/>
  <c r="D27" i="1"/>
  <c r="D39" i="1" s="1"/>
  <c r="H39" i="1" s="1"/>
  <c r="I39" i="1" s="1"/>
  <c r="D26" i="1"/>
  <c r="D38" i="1" s="1"/>
  <c r="H38" i="1" s="1"/>
  <c r="I38" i="1" s="1"/>
  <c r="D18" i="1"/>
  <c r="D37" i="1" s="1"/>
  <c r="H37" i="1" s="1"/>
  <c r="I37" i="1" s="1"/>
  <c r="D17" i="1"/>
  <c r="D36" i="1" s="1"/>
  <c r="H36" i="1" s="1"/>
  <c r="I36" i="1" s="1"/>
  <c r="C45" i="3" l="1"/>
  <c r="N44" i="3" s="1"/>
  <c r="K39" i="1"/>
  <c r="C69" i="1" s="1"/>
  <c r="N68" i="1" s="1"/>
  <c r="J39" i="1"/>
  <c r="C49" i="1" s="1"/>
  <c r="N48" i="1" s="1"/>
  <c r="K37" i="1"/>
  <c r="C68" i="1" s="1"/>
  <c r="N67" i="1" s="1"/>
  <c r="J37" i="1"/>
  <c r="C48" i="1" s="1"/>
  <c r="N47" i="1" s="1"/>
  <c r="K38" i="1"/>
  <c r="J38" i="1"/>
  <c r="K35" i="1"/>
  <c r="C67" i="1" s="1"/>
  <c r="J35" i="1"/>
  <c r="C47" i="1" s="1"/>
  <c r="K36" i="1"/>
</calcChain>
</file>

<file path=xl/sharedStrings.xml><?xml version="1.0" encoding="utf-8"?>
<sst xmlns="http://schemas.openxmlformats.org/spreadsheetml/2006/main" count="193" uniqueCount="52">
  <si>
    <t>X</t>
  </si>
  <si>
    <t>Acidity index</t>
  </si>
  <si>
    <t>X1</t>
  </si>
  <si>
    <t>X2</t>
  </si>
  <si>
    <t>yield HDO</t>
  </si>
  <si>
    <t>yield DCO</t>
  </si>
  <si>
    <t>yield cracking &amp; other</t>
  </si>
  <si>
    <t>Ca/Cao</t>
  </si>
  <si>
    <t>K (h-1)</t>
  </si>
  <si>
    <t>lnk</t>
  </si>
  <si>
    <t>Penentuan Ea dan A HDO</t>
  </si>
  <si>
    <t>Penentuan Ea dan A DCO</t>
  </si>
  <si>
    <t>1/T*10^3</t>
  </si>
  <si>
    <t>kDCO h-1</t>
  </si>
  <si>
    <t>indeks keasaman akhir 2</t>
  </si>
  <si>
    <t>indeks keasaman akhir 1</t>
  </si>
  <si>
    <t>indeks keasaman asam laurat</t>
  </si>
  <si>
    <t>Indeks keasaman asam laurat</t>
  </si>
  <si>
    <t>Indeks keasaman akhir</t>
  </si>
  <si>
    <t>T (C)</t>
  </si>
  <si>
    <t>t (jam)</t>
  </si>
  <si>
    <t>t1 (jam)</t>
  </si>
  <si>
    <t>t2 (jam)</t>
  </si>
  <si>
    <t>A. Perhitungan konversi asam laurat</t>
  </si>
  <si>
    <t>Untuk T = 400 C</t>
  </si>
  <si>
    <t>Untuk T = 340 C</t>
  </si>
  <si>
    <t>Untuk T = 280 C</t>
  </si>
  <si>
    <t>B. Perhitungan konstanta laju reaksi</t>
  </si>
  <si>
    <t>waktu (jam)</t>
  </si>
  <si>
    <t>C. Perhitungan energi aktivasi dan konstanta arrhenius pada reaksi HDO dan DCO</t>
  </si>
  <si>
    <t>Ea J/mol K</t>
  </si>
  <si>
    <t>A s-1</t>
  </si>
  <si>
    <t>kHDO h-1</t>
  </si>
  <si>
    <t>A. Konversi</t>
  </si>
  <si>
    <t>HDO 400 °C, 1 h</t>
  </si>
  <si>
    <t>HDO 340 °C, 1 h</t>
  </si>
  <si>
    <t>HDO 340 °C, 3 h</t>
  </si>
  <si>
    <t>HDO 280 °C, 3 h</t>
  </si>
  <si>
    <t>HDO 280 °C, 6 h</t>
  </si>
  <si>
    <t>Proses</t>
  </si>
  <si>
    <t>Umpan (LA)</t>
  </si>
  <si>
    <t>Konversi</t>
  </si>
  <si>
    <t>Yield</t>
  </si>
  <si>
    <t>&lt; C-11</t>
  </si>
  <si>
    <t>C - 11</t>
  </si>
  <si>
    <t>C -12</t>
  </si>
  <si>
    <t>Penentuan Ea dan A DCO2</t>
  </si>
  <si>
    <t>Katalis</t>
  </si>
  <si>
    <t>Nb2O5</t>
  </si>
  <si>
    <t>yield DCO2</t>
  </si>
  <si>
    <t>yield ester</t>
  </si>
  <si>
    <t>yield alkohol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</si>
</sst>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00"/>
    <numFmt numFmtId="167" formatCode="0.0%"/>
    <numFmt numFmtId="168" formatCode="0.00.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6" fontId="0" fillId="3" borderId="0" xfId="0" applyNumberFormat="1" applyFill="1"/>
    <xf numFmtId="2" fontId="0" fillId="3" borderId="0" xfId="0" applyNumberFormat="1" applyFill="1"/>
    <xf numFmtId="0" fontId="0" fillId="0" borderId="5" xfId="0" applyBorder="1"/>
    <xf numFmtId="0" fontId="0" fillId="0" borderId="9" xfId="0" applyBorder="1"/>
    <xf numFmtId="167" fontId="0" fillId="0" borderId="9" xfId="1" applyNumberFormat="1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67" fontId="0" fillId="0" borderId="13" xfId="1" applyNumberFormat="1" applyFont="1" applyBorder="1"/>
    <xf numFmtId="0" fontId="0" fillId="0" borderId="15" xfId="0" applyBorder="1"/>
    <xf numFmtId="0" fontId="0" fillId="0" borderId="16" xfId="0" applyBorder="1"/>
    <xf numFmtId="167" fontId="0" fillId="0" borderId="16" xfId="1" applyNumberFormat="1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164" fontId="0" fillId="4" borderId="8" xfId="0" applyNumberFormat="1" applyFill="1" applyBorder="1"/>
    <xf numFmtId="164" fontId="0" fillId="4" borderId="5" xfId="0" applyNumberFormat="1" applyFill="1" applyBorder="1"/>
    <xf numFmtId="165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64" fontId="0" fillId="0" borderId="16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165" fontId="0" fillId="0" borderId="16" xfId="0" applyNumberFormat="1" applyBorder="1"/>
    <xf numFmtId="165" fontId="0" fillId="0" borderId="9" xfId="0" applyNumberFormat="1" applyBorder="1"/>
    <xf numFmtId="165" fontId="0" fillId="0" borderId="13" xfId="0" applyNumberFormat="1" applyBorder="1"/>
    <xf numFmtId="165" fontId="0" fillId="0" borderId="17" xfId="0" applyNumberFormat="1" applyBorder="1"/>
    <xf numFmtId="165" fontId="0" fillId="0" borderId="11" xfId="0" applyNumberFormat="1" applyBorder="1"/>
    <xf numFmtId="165" fontId="0" fillId="0" borderId="14" xfId="0" applyNumberFormat="1" applyBorder="1"/>
    <xf numFmtId="0" fontId="0" fillId="0" borderId="0" xfId="0" applyFill="1" applyAlignment="1"/>
    <xf numFmtId="0" fontId="0" fillId="0" borderId="0" xfId="0" applyFill="1"/>
    <xf numFmtId="165" fontId="0" fillId="6" borderId="9" xfId="0" applyNumberFormat="1" applyFill="1" applyBorder="1"/>
    <xf numFmtId="165" fontId="0" fillId="6" borderId="13" xfId="0" applyNumberFormat="1" applyFill="1" applyBorder="1"/>
    <xf numFmtId="164" fontId="0" fillId="0" borderId="0" xfId="0" applyNumberFormat="1" applyAlignment="1">
      <alignment horizontal="center"/>
    </xf>
    <xf numFmtId="164" fontId="0" fillId="3" borderId="0" xfId="0" applyNumberFormat="1" applyFill="1"/>
    <xf numFmtId="168" fontId="0" fillId="2" borderId="0" xfId="0" applyNumberFormat="1" applyFill="1"/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hubungan lnkHDO</a:t>
            </a:r>
            <a:r>
              <a:rPr lang="en-ID" baseline="0"/>
              <a:t> terhadap 1/T</a:t>
            </a:r>
            <a:endParaRPr lang="en-ID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Kon!$B$44:$B$45</c:f>
              <c:numCache>
                <c:formatCode>0.0000000</c:formatCode>
                <c:ptCount val="2"/>
                <c:pt idx="0">
                  <c:v>1.8083182640144665E-3</c:v>
                </c:pt>
                <c:pt idx="1">
                  <c:v>1.6863406408094434E-3</c:v>
                </c:pt>
              </c:numCache>
            </c:numRef>
          </c:xVal>
          <c:yVal>
            <c:numRef>
              <c:f>Kon!$C$44:$C$45</c:f>
              <c:numCache>
                <c:formatCode>0.00</c:formatCode>
                <c:ptCount val="2"/>
                <c:pt idx="0">
                  <c:v>-8.949205979136595</c:v>
                </c:pt>
                <c:pt idx="1">
                  <c:v>-8.7856730882635325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C-4D2B-A972-7BEB7472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97999"/>
        <c:axId val="843100495"/>
      </c:scatterChart>
      <c:valAx>
        <c:axId val="84309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00495"/>
        <c:crosses val="autoZero"/>
        <c:crossBetween val="midCat"/>
      </c:valAx>
      <c:valAx>
        <c:axId val="8431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lnkHDO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0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Hubungan lnkDCO2 terhadap 1/T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Kon!$B$64:$B$65</c:f>
              <c:numCache>
                <c:formatCode>0.0000000</c:formatCode>
                <c:ptCount val="2"/>
                <c:pt idx="0">
                  <c:v>1.8083182640144665E-3</c:v>
                </c:pt>
                <c:pt idx="1">
                  <c:v>1.6863406408094434E-3</c:v>
                </c:pt>
              </c:numCache>
            </c:numRef>
          </c:xVal>
          <c:yVal>
            <c:numRef>
              <c:f>Kon!$C$64:$C$65</c:f>
              <c:numCache>
                <c:formatCode>0.00</c:formatCode>
                <c:ptCount val="2"/>
                <c:pt idx="0">
                  <c:v>-8.5771573618016141</c:v>
                </c:pt>
                <c:pt idx="1">
                  <c:v>-8.2427264261836779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7-40F4-A4C3-1FD29FF8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6735"/>
        <c:axId val="843095503"/>
      </c:scatterChart>
      <c:valAx>
        <c:axId val="8431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095503"/>
        <c:crosses val="autoZero"/>
        <c:crossBetween val="midCat"/>
      </c:valAx>
      <c:valAx>
        <c:axId val="8430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lnkDCO2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hubungan lnkHDO</a:t>
            </a:r>
            <a:r>
              <a:rPr lang="en-ID" baseline="0"/>
              <a:t> terhadap 1/T</a:t>
            </a:r>
            <a:endParaRPr lang="en-ID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Yang!$B$44:$B$45</c:f>
              <c:numCache>
                <c:formatCode>0.0000000</c:formatCode>
                <c:ptCount val="2"/>
                <c:pt idx="0">
                  <c:v>1.8083182640144665E-3</c:v>
                </c:pt>
                <c:pt idx="1">
                  <c:v>1.6863406408094434E-3</c:v>
                </c:pt>
              </c:numCache>
            </c:numRef>
          </c:xVal>
          <c:yVal>
            <c:numRef>
              <c:f>Yang!$C$44:$C$45</c:f>
              <c:numCache>
                <c:formatCode>0.00</c:formatCode>
                <c:ptCount val="2"/>
                <c:pt idx="0">
                  <c:v>-8.9369309482609829</c:v>
                </c:pt>
                <c:pt idx="1">
                  <c:v>-8.7856730882635325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A-4AC7-B3B7-6994B5E3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97999"/>
        <c:axId val="843100495"/>
      </c:scatterChart>
      <c:valAx>
        <c:axId val="84309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00495"/>
        <c:crosses val="autoZero"/>
        <c:crossBetween val="midCat"/>
      </c:valAx>
      <c:valAx>
        <c:axId val="8431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lnkHDO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0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Hubungan lnkDCO2 terhadap 1/T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Yang!$B$64:$B$65</c:f>
              <c:numCache>
                <c:formatCode>0.0000000</c:formatCode>
                <c:ptCount val="2"/>
                <c:pt idx="0">
                  <c:v>1.8083182640144665E-3</c:v>
                </c:pt>
                <c:pt idx="1">
                  <c:v>1.6863406408094434E-3</c:v>
                </c:pt>
              </c:numCache>
            </c:numRef>
          </c:xVal>
          <c:yVal>
            <c:numRef>
              <c:f>Yang!$C$64:$C$65</c:f>
              <c:numCache>
                <c:formatCode>0.00</c:formatCode>
                <c:ptCount val="2"/>
                <c:pt idx="0">
                  <c:v>-8.5771573618016141</c:v>
                </c:pt>
                <c:pt idx="1">
                  <c:v>-8.2427264261836779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184-91A9-A410E059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6735"/>
        <c:axId val="843095503"/>
      </c:scatterChart>
      <c:valAx>
        <c:axId val="8431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095503"/>
        <c:crosses val="autoZero"/>
        <c:crossBetween val="midCat"/>
      </c:valAx>
      <c:valAx>
        <c:axId val="8430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lnkDCO2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grafik hubungan lnkDCO terhadap 1/T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Brandao!$C$66</c:f>
              <c:strCache>
                <c:ptCount val="1"/>
                <c:pt idx="0">
                  <c:v>lnk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Brandao!$B$67:$B$69</c:f>
              <c:numCache>
                <c:formatCode>0.00</c:formatCode>
                <c:ptCount val="3"/>
                <c:pt idx="0">
                  <c:v>1.4858841010401188E-3</c:v>
                </c:pt>
                <c:pt idx="1">
                  <c:v>1.6313213703099511E-3</c:v>
                </c:pt>
                <c:pt idx="2">
                  <c:v>1.8083182640144665E-3</c:v>
                </c:pt>
              </c:numCache>
            </c:numRef>
          </c:xVal>
          <c:yVal>
            <c:numRef>
              <c:f>Brandao!$C$67:$C$69</c:f>
              <c:numCache>
                <c:formatCode>0.00</c:formatCode>
                <c:ptCount val="3"/>
                <c:pt idx="0">
                  <c:v>-6.672373356272213</c:v>
                </c:pt>
                <c:pt idx="1">
                  <c:v>-7.8168537562393379</c:v>
                </c:pt>
                <c:pt idx="2">
                  <c:v>-8.62748991296227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3-46AF-8C9C-DC4428C4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84895"/>
        <c:axId val="1727865759"/>
      </c:scatterChart>
      <c:valAx>
        <c:axId val="1774084895"/>
        <c:scaling>
          <c:orientation val="minMax"/>
          <c:min val="1.400000000000000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baseline="0">
                    <a:effectLst/>
                  </a:rPr>
                  <a:t>1/T  (K^-1)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27865759"/>
        <c:crosses val="autoZero"/>
        <c:crossBetween val="midCat"/>
      </c:valAx>
      <c:valAx>
        <c:axId val="1727865759"/>
        <c:scaling>
          <c:orientation val="minMax"/>
          <c:max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740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grafik hubungan lnkHDO terhadap 1/T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Brandao!$B$47:$B$49</c:f>
              <c:numCache>
                <c:formatCode>0.0000000</c:formatCode>
                <c:ptCount val="3"/>
                <c:pt idx="0">
                  <c:v>1.4858841010401188E-3</c:v>
                </c:pt>
                <c:pt idx="1">
                  <c:v>1.6313213703099511E-3</c:v>
                </c:pt>
                <c:pt idx="2">
                  <c:v>1.8083182640144665E-3</c:v>
                </c:pt>
              </c:numCache>
            </c:numRef>
          </c:xVal>
          <c:yVal>
            <c:numRef>
              <c:f>Brandao!$C$47:$C$49</c:f>
              <c:numCache>
                <c:formatCode>0.00</c:formatCode>
                <c:ptCount val="3"/>
                <c:pt idx="0">
                  <c:v>-7.3617961377411758</c:v>
                </c:pt>
                <c:pt idx="1">
                  <c:v>-8.3748448484477596</c:v>
                </c:pt>
                <c:pt idx="2">
                  <c:v>-8.8909577272934577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8-4E11-9529-3ECA33B1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60639"/>
        <c:axId val="1801356479"/>
      </c:scatterChart>
      <c:valAx>
        <c:axId val="1801360639"/>
        <c:scaling>
          <c:orientation val="minMax"/>
          <c:min val="1.400000000000000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100" b="0" i="0" baseline="0">
                    <a:effectLst/>
                  </a:rPr>
                  <a:t>1/T  (K^-1)</a:t>
                </a:r>
                <a:endParaRPr lang="en-ID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56479"/>
        <c:crosses val="autoZero"/>
        <c:crossBetween val="midCat"/>
      </c:valAx>
      <c:valAx>
        <c:axId val="1801356479"/>
        <c:scaling>
          <c:orientation val="minMax"/>
          <c:max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100" b="0" i="0" baseline="0">
                    <a:effectLst/>
                  </a:rPr>
                  <a:t>ln K</a:t>
                </a:r>
                <a:endParaRPr lang="en-ID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5521981627296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0136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hub lnk thd 1/T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Brandao!$M$47:$M$48</c:f>
              <c:numCache>
                <c:formatCode>0.0000000</c:formatCode>
                <c:ptCount val="2"/>
                <c:pt idx="0">
                  <c:v>1.6313213703099511E-3</c:v>
                </c:pt>
                <c:pt idx="1">
                  <c:v>1.8083182640144665E-3</c:v>
                </c:pt>
              </c:numCache>
            </c:numRef>
          </c:xVal>
          <c:yVal>
            <c:numRef>
              <c:f>Brandao!$N$47:$N$48</c:f>
              <c:numCache>
                <c:formatCode>0.0000000</c:formatCode>
                <c:ptCount val="2"/>
                <c:pt idx="0">
                  <c:v>-8.3748448484477596</c:v>
                </c:pt>
                <c:pt idx="1">
                  <c:v>-8.8909577272934577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B9-45A8-BBDE-F50A97A3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63504"/>
        <c:axId val="301962672"/>
      </c:scatterChart>
      <c:valAx>
        <c:axId val="3019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300" b="0" i="0" baseline="0">
                    <a:effectLst/>
                  </a:rPr>
                  <a:t>1/T  (K^-1)</a:t>
                </a:r>
                <a:endParaRPr lang="en-ID" sz="1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1962672"/>
        <c:crosses val="autoZero"/>
        <c:crossBetween val="midCat"/>
      </c:valAx>
      <c:valAx>
        <c:axId val="3019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="0" i="0" baseline="0">
                    <a:effectLst/>
                  </a:rPr>
                  <a:t>ln K</a:t>
                </a:r>
                <a:endParaRPr lang="en-ID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19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hub lnk2 thd 1/T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Brandao!$M$67:$M$68</c:f>
              <c:numCache>
                <c:formatCode>0.0000</c:formatCode>
                <c:ptCount val="2"/>
                <c:pt idx="0">
                  <c:v>1.6313213703099511E-3</c:v>
                </c:pt>
                <c:pt idx="1">
                  <c:v>1.8083182640144665E-3</c:v>
                </c:pt>
              </c:numCache>
            </c:numRef>
          </c:xVal>
          <c:yVal>
            <c:numRef>
              <c:f>Brandao!$N$67:$N$68</c:f>
              <c:numCache>
                <c:formatCode>0.00</c:formatCode>
                <c:ptCount val="2"/>
                <c:pt idx="0">
                  <c:v>-7.8168537562393379</c:v>
                </c:pt>
                <c:pt idx="1">
                  <c:v>-8.62748991296227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7-4AE0-BD9F-D89B98A8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17120"/>
        <c:axId val="654407504"/>
      </c:scatterChart>
      <c:valAx>
        <c:axId val="6956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300" b="0" i="0" baseline="0">
                    <a:effectLst/>
                  </a:rPr>
                  <a:t>1/T  (K^-1)</a:t>
                </a:r>
                <a:endParaRPr lang="en-ID" sz="1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54407504"/>
        <c:crosses val="autoZero"/>
        <c:crossBetween val="midCat"/>
      </c:valAx>
      <c:valAx>
        <c:axId val="6544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56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41</xdr:row>
      <xdr:rowOff>3810</xdr:rowOff>
    </xdr:from>
    <xdr:to>
      <xdr:col>10</xdr:col>
      <xdr:colOff>563880</xdr:colOff>
      <xdr:row>56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C7C03-BCF9-426E-96F4-90A76E551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59</xdr:row>
      <xdr:rowOff>34290</xdr:rowOff>
    </xdr:from>
    <xdr:to>
      <xdr:col>10</xdr:col>
      <xdr:colOff>533400</xdr:colOff>
      <xdr:row>74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3F652-DC43-430D-BC2E-F775B5E1E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41</xdr:row>
      <xdr:rowOff>3810</xdr:rowOff>
    </xdr:from>
    <xdr:to>
      <xdr:col>9</xdr:col>
      <xdr:colOff>563880</xdr:colOff>
      <xdr:row>56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1B0E38-C738-467C-A8FA-202115A1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59</xdr:row>
      <xdr:rowOff>34290</xdr:rowOff>
    </xdr:from>
    <xdr:to>
      <xdr:col>9</xdr:col>
      <xdr:colOff>533400</xdr:colOff>
      <xdr:row>74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0ADB30-72DA-4DA5-97A9-2C42551CC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667870</xdr:colOff>
      <xdr:row>60</xdr:row>
      <xdr:rowOff>152401</xdr:rowOff>
    </xdr:from>
    <xdr:to>
      <xdr:col>11</xdr:col>
      <xdr:colOff>8965</xdr:colOff>
      <xdr:row>76</xdr:row>
      <xdr:rowOff>71716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BACC45-3A20-4BBA-AB62-8D6696B3C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58270</xdr:colOff>
      <xdr:row>44</xdr:row>
      <xdr:rowOff>8966</xdr:rowOff>
    </xdr:from>
    <xdr:to>
      <xdr:col>11</xdr:col>
      <xdr:colOff>259975</xdr:colOff>
      <xdr:row>59</xdr:row>
      <xdr:rowOff>89648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CB712-D85F-4BBB-83F4-003DB616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443756</xdr:colOff>
      <xdr:row>71</xdr:row>
      <xdr:rowOff>71719</xdr:rowOff>
    </xdr:from>
    <xdr:to>
      <xdr:col>18</xdr:col>
      <xdr:colOff>4485</xdr:colOff>
      <xdr:row>86</xdr:row>
      <xdr:rowOff>125507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D63AF5-7ABD-48B8-ADEB-97A05C0E0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51</xdr:row>
      <xdr:rowOff>44824</xdr:rowOff>
    </xdr:from>
    <xdr:to>
      <xdr:col>18</xdr:col>
      <xdr:colOff>94129</xdr:colOff>
      <xdr:row>66</xdr:row>
      <xdr:rowOff>98612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1C19C-0841-472D-ABCA-57528119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F049-F6B8-43D3-9E46-AC5ABC3DEB03}">
  <dimension ref="A2:O69"/>
  <sheetViews>
    <sheetView tabSelected="1" topLeftCell="A16" zoomScale="70" zoomScaleNormal="70" workbookViewId="0">
      <selection activeCell="L39" sqref="L39"/>
    </sheetView>
  </sheetViews>
  <sheetFormatPr defaultRowHeight="14.4" x14ac:dyDescent="0.3"/>
  <cols>
    <col min="2" max="2" width="11.44140625" customWidth="1"/>
    <col min="3" max="3" width="14.88671875" customWidth="1"/>
    <col min="4" max="4" width="12.33203125" customWidth="1"/>
    <col min="5" max="5" width="9.6640625" bestFit="1" customWidth="1"/>
    <col min="6" max="6" width="10.5546875" customWidth="1"/>
    <col min="7" max="7" width="11.88671875" bestFit="1" customWidth="1"/>
    <col min="8" max="8" width="10.21875" bestFit="1" customWidth="1"/>
    <col min="10" max="10" width="9.33203125" customWidth="1"/>
    <col min="11" max="11" width="10" customWidth="1"/>
    <col min="12" max="12" width="10.33203125" customWidth="1"/>
    <col min="14" max="14" width="15.77734375" customWidth="1"/>
    <col min="15" max="15" width="12.77734375" customWidth="1"/>
  </cols>
  <sheetData>
    <row r="2" spans="2:4" x14ac:dyDescent="0.3">
      <c r="B2" t="s">
        <v>23</v>
      </c>
    </row>
    <row r="3" spans="2:4" ht="15" thickBot="1" x14ac:dyDescent="0.35"/>
    <row r="4" spans="2:4" x14ac:dyDescent="0.3">
      <c r="B4" s="47" t="s">
        <v>24</v>
      </c>
      <c r="C4" s="48"/>
      <c r="D4" s="49"/>
    </row>
    <row r="5" spans="2:4" x14ac:dyDescent="0.3">
      <c r="B5" s="41" t="s">
        <v>19</v>
      </c>
      <c r="C5" s="42"/>
      <c r="D5" s="6">
        <v>400</v>
      </c>
    </row>
    <row r="6" spans="2:4" x14ac:dyDescent="0.3">
      <c r="B6" s="41" t="s">
        <v>17</v>
      </c>
      <c r="C6" s="42"/>
      <c r="D6" s="6">
        <v>280.8</v>
      </c>
    </row>
    <row r="7" spans="2:4" x14ac:dyDescent="0.3">
      <c r="B7" s="41" t="s">
        <v>18</v>
      </c>
      <c r="C7" s="42"/>
      <c r="D7" s="6">
        <v>0.3</v>
      </c>
    </row>
    <row r="8" spans="2:4" x14ac:dyDescent="0.3">
      <c r="B8" s="41" t="s">
        <v>20</v>
      </c>
      <c r="C8" s="42"/>
      <c r="D8" s="6">
        <v>1</v>
      </c>
    </row>
    <row r="9" spans="2:4" ht="15" thickBot="1" x14ac:dyDescent="0.35">
      <c r="B9" s="45" t="s">
        <v>0</v>
      </c>
      <c r="C9" s="46"/>
      <c r="D9" s="19">
        <f>(D6-D7)/D6</f>
        <v>0.99893162393162394</v>
      </c>
    </row>
    <row r="10" spans="2:4" x14ac:dyDescent="0.3">
      <c r="B10" s="47" t="s">
        <v>25</v>
      </c>
      <c r="C10" s="48"/>
      <c r="D10" s="49"/>
    </row>
    <row r="11" spans="2:4" x14ac:dyDescent="0.3">
      <c r="B11" s="41" t="s">
        <v>19</v>
      </c>
      <c r="C11" s="42"/>
      <c r="D11" s="6">
        <v>340</v>
      </c>
    </row>
    <row r="12" spans="2:4" x14ac:dyDescent="0.3">
      <c r="B12" s="41" t="s">
        <v>16</v>
      </c>
      <c r="C12" s="42"/>
      <c r="D12" s="6">
        <v>280.8</v>
      </c>
    </row>
    <row r="13" spans="2:4" x14ac:dyDescent="0.3">
      <c r="B13" s="41" t="s">
        <v>15</v>
      </c>
      <c r="C13" s="42"/>
      <c r="D13" s="6">
        <v>17.8</v>
      </c>
    </row>
    <row r="14" spans="2:4" x14ac:dyDescent="0.3">
      <c r="B14" s="41" t="s">
        <v>14</v>
      </c>
      <c r="C14" s="42"/>
      <c r="D14" s="6">
        <v>0.3</v>
      </c>
    </row>
    <row r="15" spans="2:4" x14ac:dyDescent="0.3">
      <c r="B15" s="41" t="s">
        <v>21</v>
      </c>
      <c r="C15" s="42"/>
      <c r="D15" s="6">
        <v>1</v>
      </c>
    </row>
    <row r="16" spans="2:4" x14ac:dyDescent="0.3">
      <c r="B16" s="41" t="s">
        <v>22</v>
      </c>
      <c r="C16" s="42"/>
      <c r="D16" s="6">
        <v>3</v>
      </c>
    </row>
    <row r="17" spans="2:4" x14ac:dyDescent="0.3">
      <c r="B17" s="43" t="s">
        <v>2</v>
      </c>
      <c r="C17" s="44"/>
      <c r="D17" s="20">
        <f>(D12-D13)/D12</f>
        <v>0.93660968660968658</v>
      </c>
    </row>
    <row r="18" spans="2:4" ht="15" thickBot="1" x14ac:dyDescent="0.35">
      <c r="B18" s="45" t="s">
        <v>3</v>
      </c>
      <c r="C18" s="46"/>
      <c r="D18" s="19">
        <f>(D12-D14)/D12</f>
        <v>0.99893162393162394</v>
      </c>
    </row>
    <row r="19" spans="2:4" x14ac:dyDescent="0.3">
      <c r="B19" s="47" t="s">
        <v>26</v>
      </c>
      <c r="C19" s="48"/>
      <c r="D19" s="49"/>
    </row>
    <row r="20" spans="2:4" x14ac:dyDescent="0.3">
      <c r="B20" s="41" t="s">
        <v>19</v>
      </c>
      <c r="C20" s="42"/>
      <c r="D20" s="6">
        <v>280</v>
      </c>
    </row>
    <row r="21" spans="2:4" x14ac:dyDescent="0.3">
      <c r="B21" s="41" t="s">
        <v>16</v>
      </c>
      <c r="C21" s="42"/>
      <c r="D21" s="6">
        <v>280.8</v>
      </c>
    </row>
    <row r="22" spans="2:4" x14ac:dyDescent="0.3">
      <c r="B22" s="41" t="s">
        <v>15</v>
      </c>
      <c r="C22" s="42"/>
      <c r="D22" s="6">
        <v>19</v>
      </c>
    </row>
    <row r="23" spans="2:4" x14ac:dyDescent="0.3">
      <c r="B23" s="41" t="s">
        <v>14</v>
      </c>
      <c r="C23" s="42"/>
      <c r="D23" s="6">
        <v>0.3</v>
      </c>
    </row>
    <row r="24" spans="2:4" x14ac:dyDescent="0.3">
      <c r="B24" s="41" t="s">
        <v>21</v>
      </c>
      <c r="C24" s="42"/>
      <c r="D24" s="6">
        <v>3</v>
      </c>
    </row>
    <row r="25" spans="2:4" x14ac:dyDescent="0.3">
      <c r="B25" s="41" t="s">
        <v>22</v>
      </c>
      <c r="C25" s="42"/>
      <c r="D25" s="6">
        <v>6</v>
      </c>
    </row>
    <row r="26" spans="2:4" x14ac:dyDescent="0.3">
      <c r="B26" s="43" t="s">
        <v>2</v>
      </c>
      <c r="C26" s="44"/>
      <c r="D26" s="20">
        <f>(D21-D22)/D21</f>
        <v>0.93233618233618232</v>
      </c>
    </row>
    <row r="27" spans="2:4" ht="15" thickBot="1" x14ac:dyDescent="0.35">
      <c r="B27" s="45" t="s">
        <v>3</v>
      </c>
      <c r="C27" s="46"/>
      <c r="D27" s="19">
        <f>(D21-D23)/D21</f>
        <v>0.99893162393162394</v>
      </c>
    </row>
    <row r="32" spans="2:4" x14ac:dyDescent="0.3">
      <c r="B32" t="s">
        <v>27</v>
      </c>
    </row>
    <row r="33" spans="1:15" ht="15" thickBot="1" x14ac:dyDescent="0.35"/>
    <row r="34" spans="1:15" ht="15" thickBot="1" x14ac:dyDescent="0.35">
      <c r="A34" t="s">
        <v>47</v>
      </c>
      <c r="B34" s="50" t="s">
        <v>19</v>
      </c>
      <c r="C34" s="51" t="s">
        <v>28</v>
      </c>
      <c r="D34" s="51" t="s">
        <v>0</v>
      </c>
      <c r="E34" s="51" t="s">
        <v>4</v>
      </c>
      <c r="F34" s="51" t="s">
        <v>49</v>
      </c>
      <c r="G34" s="51" t="s">
        <v>51</v>
      </c>
      <c r="H34" s="51" t="s">
        <v>50</v>
      </c>
      <c r="I34" s="51" t="s">
        <v>7</v>
      </c>
      <c r="J34" s="51" t="s">
        <v>8</v>
      </c>
      <c r="K34" s="51" t="s">
        <v>32</v>
      </c>
      <c r="L34" s="52" t="s">
        <v>13</v>
      </c>
    </row>
    <row r="35" spans="1:15" x14ac:dyDescent="0.3">
      <c r="A35" t="s">
        <v>48</v>
      </c>
      <c r="B35" s="13">
        <v>280</v>
      </c>
      <c r="C35" s="14">
        <v>2</v>
      </c>
      <c r="D35" s="24">
        <v>0.9</v>
      </c>
      <c r="E35" s="15">
        <v>0.40600000000000003</v>
      </c>
      <c r="F35" s="15">
        <v>0.58179999999999998</v>
      </c>
      <c r="G35" s="15"/>
      <c r="H35" s="15">
        <f>1-E35-F35</f>
        <v>1.2199999999999989E-2</v>
      </c>
      <c r="I35" s="24">
        <f>1-D35</f>
        <v>9.9999999999999978E-2</v>
      </c>
      <c r="J35" s="27">
        <f>-LN(I35)/C35</f>
        <v>1.151292546497023</v>
      </c>
      <c r="K35" s="27">
        <f>E35*J35/SUM(E35:H35)</f>
        <v>0.46742477387779136</v>
      </c>
      <c r="L35" s="30">
        <f>F35*J35/(E35+F35)</f>
        <v>0.67809475961932375</v>
      </c>
    </row>
    <row r="36" spans="1:15" x14ac:dyDescent="0.3">
      <c r="B36" s="9">
        <v>320</v>
      </c>
      <c r="C36" s="7">
        <v>2</v>
      </c>
      <c r="D36" s="25">
        <v>0.95</v>
      </c>
      <c r="E36" s="8">
        <v>0.34739999999999999</v>
      </c>
      <c r="F36" s="8">
        <v>0.59789999999999999</v>
      </c>
      <c r="G36" s="15"/>
      <c r="H36" s="15">
        <f>1-E36-F36</f>
        <v>5.4700000000000082E-2</v>
      </c>
      <c r="I36" s="7">
        <f t="shared" ref="I36" si="0">1-D36</f>
        <v>5.0000000000000044E-2</v>
      </c>
      <c r="J36" s="35">
        <f t="shared" ref="J36" si="1">-LN(I36)/C36</f>
        <v>1.497866136776995</v>
      </c>
      <c r="K36" s="28">
        <f t="shared" ref="K36" si="2">E36*J36/(E36+F36)</f>
        <v>0.55046937048167566</v>
      </c>
      <c r="L36" s="31">
        <f t="shared" ref="L36" si="3">F36*J36/(E36+F36)</f>
        <v>0.94739676629531921</v>
      </c>
    </row>
    <row r="40" spans="1:15" x14ac:dyDescent="0.3">
      <c r="B40" t="s">
        <v>29</v>
      </c>
    </row>
    <row r="42" spans="1:15" x14ac:dyDescent="0.3">
      <c r="B42" s="40" t="s">
        <v>10</v>
      </c>
      <c r="C42" s="40"/>
      <c r="D42" s="33"/>
      <c r="N42" s="40" t="s">
        <v>10</v>
      </c>
      <c r="O42" s="40"/>
    </row>
    <row r="43" spans="1:15" x14ac:dyDescent="0.3">
      <c r="B43" s="3" t="s">
        <v>12</v>
      </c>
      <c r="C43" s="3" t="s">
        <v>9</v>
      </c>
      <c r="D43" s="34"/>
      <c r="N43" s="3" t="s">
        <v>12</v>
      </c>
      <c r="O43" s="3" t="s">
        <v>9</v>
      </c>
    </row>
    <row r="44" spans="1:15" x14ac:dyDescent="0.3">
      <c r="B44" s="4">
        <f>1/(273+B35)</f>
        <v>1.8083182640144665E-3</v>
      </c>
      <c r="C44" s="5">
        <f>LN(K35/3600)</f>
        <v>-8.949205979136595</v>
      </c>
      <c r="D44" s="34"/>
      <c r="N44" s="4">
        <f>B44</f>
        <v>1.8083182640144665E-3</v>
      </c>
      <c r="O44" s="4">
        <f>C45</f>
        <v>-8.7856730882635325</v>
      </c>
    </row>
    <row r="45" spans="1:15" x14ac:dyDescent="0.3">
      <c r="B45" s="4">
        <f>1/(273+B36)</f>
        <v>1.6863406408094434E-3</v>
      </c>
      <c r="C45" s="5">
        <f>LN(K36/3600)</f>
        <v>-8.7856730882635325</v>
      </c>
      <c r="D45" s="34"/>
      <c r="N45" s="4">
        <f>B45</f>
        <v>1.6863406408094434E-3</v>
      </c>
      <c r="O45" s="4">
        <f>C46</f>
        <v>0</v>
      </c>
    </row>
    <row r="46" spans="1:15" x14ac:dyDescent="0.3">
      <c r="B46" s="4"/>
      <c r="C46" s="5"/>
      <c r="D46" s="34"/>
      <c r="N46" s="3"/>
      <c r="O46" s="3"/>
    </row>
    <row r="47" spans="1:15" x14ac:dyDescent="0.3">
      <c r="B47" s="3"/>
      <c r="C47" s="3"/>
      <c r="D47" s="34"/>
      <c r="N47" s="2" t="s">
        <v>30</v>
      </c>
      <c r="O47" s="23">
        <f>2915.8*8.314</f>
        <v>24241.961200000002</v>
      </c>
    </row>
    <row r="48" spans="1:15" x14ac:dyDescent="0.3">
      <c r="B48" s="2" t="s">
        <v>30</v>
      </c>
      <c r="C48" s="23">
        <f>(1240*8.314)</f>
        <v>10309.36</v>
      </c>
      <c r="D48" s="34"/>
      <c r="N48" s="2" t="s">
        <v>31</v>
      </c>
      <c r="O48" s="22">
        <f>EXP(-3.618)</f>
        <v>2.6836295446704541E-2</v>
      </c>
    </row>
    <row r="49" spans="2:15" x14ac:dyDescent="0.3">
      <c r="B49" s="2" t="s">
        <v>31</v>
      </c>
      <c r="C49" s="39">
        <f>EXP(-6.6945)</f>
        <v>1.2377005698598583E-3</v>
      </c>
      <c r="D49" s="34"/>
    </row>
    <row r="50" spans="2:15" x14ac:dyDescent="0.3">
      <c r="D50" s="34"/>
    </row>
    <row r="51" spans="2:15" x14ac:dyDescent="0.3">
      <c r="D51" s="34"/>
    </row>
    <row r="52" spans="2:15" x14ac:dyDescent="0.3">
      <c r="D52" s="34"/>
    </row>
    <row r="53" spans="2:15" x14ac:dyDescent="0.3">
      <c r="D53" s="34"/>
    </row>
    <row r="54" spans="2:15" x14ac:dyDescent="0.3">
      <c r="D54" s="34"/>
    </row>
    <row r="55" spans="2:15" x14ac:dyDescent="0.3">
      <c r="D55" s="34"/>
    </row>
    <row r="56" spans="2:15" x14ac:dyDescent="0.3">
      <c r="D56" s="34"/>
    </row>
    <row r="57" spans="2:15" x14ac:dyDescent="0.3">
      <c r="D57" s="34"/>
    </row>
    <row r="58" spans="2:15" x14ac:dyDescent="0.3">
      <c r="D58" s="34"/>
    </row>
    <row r="59" spans="2:15" x14ac:dyDescent="0.3">
      <c r="D59" s="34"/>
    </row>
    <row r="60" spans="2:15" x14ac:dyDescent="0.3">
      <c r="D60" s="34"/>
    </row>
    <row r="61" spans="2:15" x14ac:dyDescent="0.3">
      <c r="D61" s="34"/>
    </row>
    <row r="62" spans="2:15" x14ac:dyDescent="0.3">
      <c r="B62" s="40" t="s">
        <v>46</v>
      </c>
      <c r="C62" s="40"/>
      <c r="D62" s="33"/>
      <c r="N62" s="40" t="s">
        <v>11</v>
      </c>
      <c r="O62" s="40"/>
    </row>
    <row r="63" spans="2:15" x14ac:dyDescent="0.3">
      <c r="B63" s="3" t="s">
        <v>12</v>
      </c>
      <c r="C63" s="3" t="s">
        <v>9</v>
      </c>
      <c r="D63" s="34"/>
      <c r="N63" s="3" t="s">
        <v>12</v>
      </c>
      <c r="O63" s="3" t="s">
        <v>9</v>
      </c>
    </row>
    <row r="64" spans="2:15" x14ac:dyDescent="0.3">
      <c r="B64" s="4">
        <f>B44</f>
        <v>1.8083182640144665E-3</v>
      </c>
      <c r="C64" s="5">
        <f>LN(L35/3600)</f>
        <v>-8.5771573618016141</v>
      </c>
      <c r="D64" s="34"/>
      <c r="N64" s="38">
        <f>B65</f>
        <v>1.6863406408094434E-3</v>
      </c>
      <c r="O64" s="5">
        <f>C65</f>
        <v>-8.2427264261836779</v>
      </c>
    </row>
    <row r="65" spans="2:15" x14ac:dyDescent="0.3">
      <c r="B65" s="4">
        <f>B45</f>
        <v>1.6863406408094434E-3</v>
      </c>
      <c r="C65" s="5">
        <f>LN(L36/3600)</f>
        <v>-8.2427264261836779</v>
      </c>
      <c r="D65" s="34"/>
      <c r="N65" s="38">
        <f>B66</f>
        <v>0</v>
      </c>
      <c r="O65" s="5">
        <f>C66</f>
        <v>0</v>
      </c>
    </row>
    <row r="66" spans="2:15" x14ac:dyDescent="0.3">
      <c r="B66" s="5"/>
      <c r="C66" s="5"/>
      <c r="D66" s="34"/>
      <c r="N66" s="3"/>
      <c r="O66" s="3"/>
    </row>
    <row r="67" spans="2:15" x14ac:dyDescent="0.3">
      <c r="B67" s="3"/>
      <c r="C67" s="3"/>
      <c r="D67" s="34"/>
      <c r="N67" s="2" t="s">
        <v>30</v>
      </c>
      <c r="O67" s="23">
        <f>4579.9*8.314</f>
        <v>38077.2886</v>
      </c>
    </row>
    <row r="68" spans="2:15" x14ac:dyDescent="0.3">
      <c r="B68" s="2" t="s">
        <v>30</v>
      </c>
      <c r="C68" s="23">
        <f>(8.314*2741.7)</f>
        <v>22794.4938</v>
      </c>
      <c r="D68" s="34"/>
      <c r="N68" s="2" t="s">
        <v>31</v>
      </c>
      <c r="O68" s="21">
        <f>EXP(-0.3455)</f>
        <v>0.7078663318038575</v>
      </c>
    </row>
    <row r="69" spans="2:15" x14ac:dyDescent="0.3">
      <c r="B69" s="2" t="s">
        <v>31</v>
      </c>
      <c r="C69" s="39">
        <f>EXP(-3.6192)</f>
        <v>2.6804111206574673E-2</v>
      </c>
      <c r="D69" s="34"/>
    </row>
  </sheetData>
  <mergeCells count="28">
    <mergeCell ref="B42:C42"/>
    <mergeCell ref="N42:O42"/>
    <mergeCell ref="B62:C62"/>
    <mergeCell ref="N62:O62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D19"/>
    <mergeCell ref="B20:C20"/>
    <mergeCell ref="B21:C21"/>
    <mergeCell ref="B10:D10"/>
    <mergeCell ref="B11:C11"/>
    <mergeCell ref="B12:C12"/>
    <mergeCell ref="B13:C13"/>
    <mergeCell ref="B14:C14"/>
    <mergeCell ref="B15:C15"/>
    <mergeCell ref="B4:D4"/>
    <mergeCell ref="B5:C5"/>
    <mergeCell ref="B6:C6"/>
    <mergeCell ref="B7:C7"/>
    <mergeCell ref="B8:C8"/>
    <mergeCell ref="B9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771A-82D3-49BE-ABC5-F5F5C501BFA8}">
  <dimension ref="B2:N69"/>
  <sheetViews>
    <sheetView topLeftCell="A34" zoomScale="70" zoomScaleNormal="70" workbookViewId="0">
      <selection activeCell="B55" sqref="B55"/>
    </sheetView>
  </sheetViews>
  <sheetFormatPr defaultRowHeight="14.4" x14ac:dyDescent="0.3"/>
  <cols>
    <col min="2" max="2" width="11.44140625" customWidth="1"/>
    <col min="3" max="3" width="14.88671875" customWidth="1"/>
    <col min="4" max="4" width="12.33203125" customWidth="1"/>
    <col min="5" max="5" width="10" customWidth="1"/>
    <col min="6" max="6" width="9.5546875" customWidth="1"/>
    <col min="7" max="7" width="20.88671875" bestFit="1" customWidth="1"/>
    <col min="9" max="9" width="9.33203125" customWidth="1"/>
    <col min="10" max="10" width="10" customWidth="1"/>
    <col min="11" max="11" width="10.33203125" customWidth="1"/>
    <col min="13" max="13" width="15.77734375" customWidth="1"/>
    <col min="14" max="14" width="12.77734375" customWidth="1"/>
  </cols>
  <sheetData>
    <row r="2" spans="2:4" x14ac:dyDescent="0.3">
      <c r="B2" t="s">
        <v>23</v>
      </c>
    </row>
    <row r="3" spans="2:4" ht="15" thickBot="1" x14ac:dyDescent="0.35"/>
    <row r="4" spans="2:4" x14ac:dyDescent="0.3">
      <c r="B4" s="47" t="s">
        <v>24</v>
      </c>
      <c r="C4" s="48"/>
      <c r="D4" s="49"/>
    </row>
    <row r="5" spans="2:4" x14ac:dyDescent="0.3">
      <c r="B5" s="41" t="s">
        <v>19</v>
      </c>
      <c r="C5" s="42"/>
      <c r="D5" s="6">
        <v>400</v>
      </c>
    </row>
    <row r="6" spans="2:4" x14ac:dyDescent="0.3">
      <c r="B6" s="41" t="s">
        <v>17</v>
      </c>
      <c r="C6" s="42"/>
      <c r="D6" s="6">
        <v>280.8</v>
      </c>
    </row>
    <row r="7" spans="2:4" x14ac:dyDescent="0.3">
      <c r="B7" s="41" t="s">
        <v>18</v>
      </c>
      <c r="C7" s="42"/>
      <c r="D7" s="6">
        <v>0.3</v>
      </c>
    </row>
    <row r="8" spans="2:4" x14ac:dyDescent="0.3">
      <c r="B8" s="41" t="s">
        <v>20</v>
      </c>
      <c r="C8" s="42"/>
      <c r="D8" s="6">
        <v>1</v>
      </c>
    </row>
    <row r="9" spans="2:4" ht="15" thickBot="1" x14ac:dyDescent="0.35">
      <c r="B9" s="45" t="s">
        <v>0</v>
      </c>
      <c r="C9" s="46"/>
      <c r="D9" s="19">
        <f>(D6-D7)/D6</f>
        <v>0.99893162393162394</v>
      </c>
    </row>
    <row r="10" spans="2:4" x14ac:dyDescent="0.3">
      <c r="B10" s="47" t="s">
        <v>25</v>
      </c>
      <c r="C10" s="48"/>
      <c r="D10" s="49"/>
    </row>
    <row r="11" spans="2:4" x14ac:dyDescent="0.3">
      <c r="B11" s="41" t="s">
        <v>19</v>
      </c>
      <c r="C11" s="42"/>
      <c r="D11" s="6">
        <v>340</v>
      </c>
    </row>
    <row r="12" spans="2:4" x14ac:dyDescent="0.3">
      <c r="B12" s="41" t="s">
        <v>16</v>
      </c>
      <c r="C12" s="42"/>
      <c r="D12" s="6">
        <v>280.8</v>
      </c>
    </row>
    <row r="13" spans="2:4" x14ac:dyDescent="0.3">
      <c r="B13" s="41" t="s">
        <v>15</v>
      </c>
      <c r="C13" s="42"/>
      <c r="D13" s="6">
        <v>17.8</v>
      </c>
    </row>
    <row r="14" spans="2:4" x14ac:dyDescent="0.3">
      <c r="B14" s="41" t="s">
        <v>14</v>
      </c>
      <c r="C14" s="42"/>
      <c r="D14" s="6">
        <v>0.3</v>
      </c>
    </row>
    <row r="15" spans="2:4" x14ac:dyDescent="0.3">
      <c r="B15" s="41" t="s">
        <v>21</v>
      </c>
      <c r="C15" s="42"/>
      <c r="D15" s="6">
        <v>1</v>
      </c>
    </row>
    <row r="16" spans="2:4" x14ac:dyDescent="0.3">
      <c r="B16" s="41" t="s">
        <v>22</v>
      </c>
      <c r="C16" s="42"/>
      <c r="D16" s="6">
        <v>3</v>
      </c>
    </row>
    <row r="17" spans="2:4" x14ac:dyDescent="0.3">
      <c r="B17" s="43" t="s">
        <v>2</v>
      </c>
      <c r="C17" s="44"/>
      <c r="D17" s="20">
        <f>(D12-D13)/D12</f>
        <v>0.93660968660968658</v>
      </c>
    </row>
    <row r="18" spans="2:4" ht="15" thickBot="1" x14ac:dyDescent="0.35">
      <c r="B18" s="45" t="s">
        <v>3</v>
      </c>
      <c r="C18" s="46"/>
      <c r="D18" s="19">
        <f>(D12-D14)/D12</f>
        <v>0.99893162393162394</v>
      </c>
    </row>
    <row r="19" spans="2:4" x14ac:dyDescent="0.3">
      <c r="B19" s="47" t="s">
        <v>26</v>
      </c>
      <c r="C19" s="48"/>
      <c r="D19" s="49"/>
    </row>
    <row r="20" spans="2:4" x14ac:dyDescent="0.3">
      <c r="B20" s="41" t="s">
        <v>19</v>
      </c>
      <c r="C20" s="42"/>
      <c r="D20" s="6">
        <v>280</v>
      </c>
    </row>
    <row r="21" spans="2:4" x14ac:dyDescent="0.3">
      <c r="B21" s="41" t="s">
        <v>16</v>
      </c>
      <c r="C21" s="42"/>
      <c r="D21" s="6">
        <v>280.8</v>
      </c>
    </row>
    <row r="22" spans="2:4" x14ac:dyDescent="0.3">
      <c r="B22" s="41" t="s">
        <v>15</v>
      </c>
      <c r="C22" s="42"/>
      <c r="D22" s="6">
        <v>19</v>
      </c>
    </row>
    <row r="23" spans="2:4" x14ac:dyDescent="0.3">
      <c r="B23" s="41" t="s">
        <v>14</v>
      </c>
      <c r="C23" s="42"/>
      <c r="D23" s="6">
        <v>0.3</v>
      </c>
    </row>
    <row r="24" spans="2:4" x14ac:dyDescent="0.3">
      <c r="B24" s="41" t="s">
        <v>21</v>
      </c>
      <c r="C24" s="42"/>
      <c r="D24" s="6">
        <v>3</v>
      </c>
    </row>
    <row r="25" spans="2:4" x14ac:dyDescent="0.3">
      <c r="B25" s="41" t="s">
        <v>22</v>
      </c>
      <c r="C25" s="42"/>
      <c r="D25" s="6">
        <v>6</v>
      </c>
    </row>
    <row r="26" spans="2:4" x14ac:dyDescent="0.3">
      <c r="B26" s="43" t="s">
        <v>2</v>
      </c>
      <c r="C26" s="44"/>
      <c r="D26" s="20">
        <f>(D21-D22)/D21</f>
        <v>0.93233618233618232</v>
      </c>
    </row>
    <row r="27" spans="2:4" ht="15" thickBot="1" x14ac:dyDescent="0.35">
      <c r="B27" s="45" t="s">
        <v>3</v>
      </c>
      <c r="C27" s="46"/>
      <c r="D27" s="19">
        <f>(D21-D23)/D21</f>
        <v>0.99893162393162394</v>
      </c>
    </row>
    <row r="32" spans="2:4" x14ac:dyDescent="0.3">
      <c r="B32" t="s">
        <v>27</v>
      </c>
    </row>
    <row r="33" spans="2:14" ht="15" thickBot="1" x14ac:dyDescent="0.35"/>
    <row r="34" spans="2:14" ht="15" thickBot="1" x14ac:dyDescent="0.35">
      <c r="B34" s="16" t="s">
        <v>19</v>
      </c>
      <c r="C34" s="17" t="s">
        <v>28</v>
      </c>
      <c r="D34" s="17" t="s">
        <v>0</v>
      </c>
      <c r="E34" s="17" t="s">
        <v>4</v>
      </c>
      <c r="F34" s="17" t="s">
        <v>5</v>
      </c>
      <c r="G34" s="17" t="s">
        <v>6</v>
      </c>
      <c r="H34" s="17" t="s">
        <v>7</v>
      </c>
      <c r="I34" s="17" t="s">
        <v>8</v>
      </c>
      <c r="J34" s="17" t="s">
        <v>32</v>
      </c>
      <c r="K34" s="18" t="s">
        <v>13</v>
      </c>
    </row>
    <row r="35" spans="2:14" x14ac:dyDescent="0.3">
      <c r="B35" s="13">
        <v>280</v>
      </c>
      <c r="C35" s="14">
        <v>2</v>
      </c>
      <c r="D35" s="24">
        <v>0.9</v>
      </c>
      <c r="E35" s="15">
        <v>0.40600000000000003</v>
      </c>
      <c r="F35" s="15">
        <v>0.58179999999999998</v>
      </c>
      <c r="G35" s="15">
        <f>1-E35-F35</f>
        <v>1.2199999999999989E-2</v>
      </c>
      <c r="H35" s="14">
        <f>1-D35</f>
        <v>9.9999999999999978E-2</v>
      </c>
      <c r="I35" s="27">
        <f>-LN(H35)/C35</f>
        <v>1.151292546497023</v>
      </c>
      <c r="J35" s="27">
        <f>E35*I35/(E35+F35)</f>
        <v>0.47319778687769926</v>
      </c>
      <c r="K35" s="30">
        <f>F35*I35/(E35+F35)</f>
        <v>0.67809475961932375</v>
      </c>
    </row>
    <row r="36" spans="2:14" x14ac:dyDescent="0.3">
      <c r="B36" s="9">
        <v>320</v>
      </c>
      <c r="C36" s="7">
        <v>2</v>
      </c>
      <c r="D36" s="25">
        <v>0.95</v>
      </c>
      <c r="E36" s="8">
        <v>0.34739999999999999</v>
      </c>
      <c r="F36" s="8">
        <v>0.59789999999999999</v>
      </c>
      <c r="G36" s="15">
        <f>1-E36-F36</f>
        <v>5.4700000000000082E-2</v>
      </c>
      <c r="H36" s="7">
        <f t="shared" ref="H36" si="0">1-D36</f>
        <v>5.0000000000000044E-2</v>
      </c>
      <c r="I36" s="35">
        <f t="shared" ref="I36" si="1">-LN(H36)/C36</f>
        <v>1.497866136776995</v>
      </c>
      <c r="J36" s="28">
        <f t="shared" ref="J36" si="2">E36*I36/(E36+F36)</f>
        <v>0.55046937048167566</v>
      </c>
      <c r="K36" s="31">
        <f t="shared" ref="K36" si="3">F36*I36/(E36+F36)</f>
        <v>0.94739676629531921</v>
      </c>
    </row>
    <row r="40" spans="2:14" x14ac:dyDescent="0.3">
      <c r="B40" t="s">
        <v>29</v>
      </c>
    </row>
    <row r="42" spans="2:14" x14ac:dyDescent="0.3">
      <c r="B42" s="40" t="s">
        <v>10</v>
      </c>
      <c r="C42" s="40"/>
      <c r="D42" s="33"/>
      <c r="M42" s="40" t="s">
        <v>10</v>
      </c>
      <c r="N42" s="40"/>
    </row>
    <row r="43" spans="2:14" x14ac:dyDescent="0.3">
      <c r="B43" s="3" t="s">
        <v>12</v>
      </c>
      <c r="C43" s="3" t="s">
        <v>9</v>
      </c>
      <c r="D43" s="34"/>
      <c r="M43" s="3" t="s">
        <v>12</v>
      </c>
      <c r="N43" s="3" t="s">
        <v>9</v>
      </c>
    </row>
    <row r="44" spans="2:14" x14ac:dyDescent="0.3">
      <c r="B44" s="4">
        <f>1/(273+B35)</f>
        <v>1.8083182640144665E-3</v>
      </c>
      <c r="C44" s="5">
        <f>LN(J35/3600)</f>
        <v>-8.9369309482609829</v>
      </c>
      <c r="D44" s="34"/>
      <c r="M44" s="4">
        <f>B44</f>
        <v>1.8083182640144665E-3</v>
      </c>
      <c r="N44" s="4">
        <f>C45</f>
        <v>-8.7856730882635325</v>
      </c>
    </row>
    <row r="45" spans="2:14" x14ac:dyDescent="0.3">
      <c r="B45" s="4">
        <f>1/(273+B36)</f>
        <v>1.6863406408094434E-3</v>
      </c>
      <c r="C45" s="5">
        <f>LN(J36/3600)</f>
        <v>-8.7856730882635325</v>
      </c>
      <c r="D45" s="34"/>
      <c r="M45" s="4">
        <f>B45</f>
        <v>1.6863406408094434E-3</v>
      </c>
      <c r="N45" s="4">
        <f>C46</f>
        <v>0</v>
      </c>
    </row>
    <row r="46" spans="2:14" x14ac:dyDescent="0.3">
      <c r="B46" s="4"/>
      <c r="C46" s="5"/>
      <c r="D46" s="34"/>
      <c r="M46" s="3"/>
      <c r="N46" s="3"/>
    </row>
    <row r="47" spans="2:14" x14ac:dyDescent="0.3">
      <c r="B47" s="3"/>
      <c r="C47" s="3"/>
      <c r="D47" s="34"/>
      <c r="M47" s="2" t="s">
        <v>30</v>
      </c>
      <c r="N47" s="23">
        <f>2915.8*8.314</f>
        <v>24241.961200000002</v>
      </c>
    </row>
    <row r="48" spans="2:14" x14ac:dyDescent="0.3">
      <c r="B48" s="2" t="s">
        <v>30</v>
      </c>
      <c r="C48" s="23">
        <f>(1240*8.314)</f>
        <v>10309.36</v>
      </c>
      <c r="D48" s="34"/>
      <c r="M48" s="2" t="s">
        <v>31</v>
      </c>
      <c r="N48" s="22">
        <f>EXP(-3.618)</f>
        <v>2.6836295446704541E-2</v>
      </c>
    </row>
    <row r="49" spans="2:14" x14ac:dyDescent="0.3">
      <c r="B49" s="2" t="s">
        <v>31</v>
      </c>
      <c r="C49" s="39">
        <f>EXP(-6.6945)</f>
        <v>1.2377005698598583E-3</v>
      </c>
      <c r="D49" s="34"/>
    </row>
    <row r="50" spans="2:14" x14ac:dyDescent="0.3">
      <c r="D50" s="34"/>
    </row>
    <row r="51" spans="2:14" x14ac:dyDescent="0.3">
      <c r="D51" s="34"/>
    </row>
    <row r="52" spans="2:14" x14ac:dyDescent="0.3">
      <c r="D52" s="34"/>
    </row>
    <row r="53" spans="2:14" x14ac:dyDescent="0.3">
      <c r="D53" s="34"/>
    </row>
    <row r="54" spans="2:14" x14ac:dyDescent="0.3">
      <c r="D54" s="34"/>
    </row>
    <row r="55" spans="2:14" x14ac:dyDescent="0.3">
      <c r="D55" s="34"/>
    </row>
    <row r="56" spans="2:14" x14ac:dyDescent="0.3">
      <c r="D56" s="34"/>
    </row>
    <row r="57" spans="2:14" x14ac:dyDescent="0.3">
      <c r="D57" s="34"/>
    </row>
    <row r="58" spans="2:14" x14ac:dyDescent="0.3">
      <c r="D58" s="34"/>
    </row>
    <row r="59" spans="2:14" x14ac:dyDescent="0.3">
      <c r="D59" s="34"/>
    </row>
    <row r="60" spans="2:14" x14ac:dyDescent="0.3">
      <c r="D60" s="34"/>
    </row>
    <row r="61" spans="2:14" x14ac:dyDescent="0.3">
      <c r="D61" s="34"/>
    </row>
    <row r="62" spans="2:14" x14ac:dyDescent="0.3">
      <c r="B62" s="40" t="s">
        <v>46</v>
      </c>
      <c r="C62" s="40"/>
      <c r="D62" s="33"/>
      <c r="M62" s="40" t="s">
        <v>11</v>
      </c>
      <c r="N62" s="40"/>
    </row>
    <row r="63" spans="2:14" x14ac:dyDescent="0.3">
      <c r="B63" s="3" t="s">
        <v>12</v>
      </c>
      <c r="C63" s="3" t="s">
        <v>9</v>
      </c>
      <c r="D63" s="34"/>
      <c r="M63" s="3" t="s">
        <v>12</v>
      </c>
      <c r="N63" s="3" t="s">
        <v>9</v>
      </c>
    </row>
    <row r="64" spans="2:14" x14ac:dyDescent="0.3">
      <c r="B64" s="4">
        <f>B44</f>
        <v>1.8083182640144665E-3</v>
      </c>
      <c r="C64" s="5">
        <f>LN(K35/3600)</f>
        <v>-8.5771573618016141</v>
      </c>
      <c r="D64" s="34"/>
      <c r="M64" s="38">
        <f>B65</f>
        <v>1.6863406408094434E-3</v>
      </c>
      <c r="N64" s="5">
        <f>C65</f>
        <v>-8.2427264261836779</v>
      </c>
    </row>
    <row r="65" spans="2:14" x14ac:dyDescent="0.3">
      <c r="B65" s="4">
        <f>B45</f>
        <v>1.6863406408094434E-3</v>
      </c>
      <c r="C65" s="5">
        <f>LN(K36/3600)</f>
        <v>-8.2427264261836779</v>
      </c>
      <c r="D65" s="34"/>
      <c r="M65" s="38">
        <f>B66</f>
        <v>0</v>
      </c>
      <c r="N65" s="5">
        <f>C66</f>
        <v>0</v>
      </c>
    </row>
    <row r="66" spans="2:14" x14ac:dyDescent="0.3">
      <c r="B66" s="5"/>
      <c r="C66" s="5"/>
      <c r="D66" s="34"/>
      <c r="M66" s="3"/>
      <c r="N66" s="3"/>
    </row>
    <row r="67" spans="2:14" x14ac:dyDescent="0.3">
      <c r="B67" s="3"/>
      <c r="C67" s="3"/>
      <c r="D67" s="34"/>
      <c r="M67" s="2" t="s">
        <v>30</v>
      </c>
      <c r="N67" s="23">
        <f>4579.9*8.314</f>
        <v>38077.2886</v>
      </c>
    </row>
    <row r="68" spans="2:14" x14ac:dyDescent="0.3">
      <c r="B68" s="2" t="s">
        <v>30</v>
      </c>
      <c r="C68" s="23">
        <f>(8.314*2741.7)</f>
        <v>22794.4938</v>
      </c>
      <c r="D68" s="34"/>
      <c r="M68" s="2" t="s">
        <v>31</v>
      </c>
      <c r="N68" s="21">
        <f>EXP(-0.3455)</f>
        <v>0.7078663318038575</v>
      </c>
    </row>
    <row r="69" spans="2:14" x14ac:dyDescent="0.3">
      <c r="B69" s="2" t="s">
        <v>31</v>
      </c>
      <c r="C69" s="39">
        <f>EXP(-3.6192)</f>
        <v>2.6804111206574673E-2</v>
      </c>
      <c r="D69" s="34"/>
    </row>
  </sheetData>
  <mergeCells count="28">
    <mergeCell ref="B9:C9"/>
    <mergeCell ref="B4:D4"/>
    <mergeCell ref="B5:C5"/>
    <mergeCell ref="B6:C6"/>
    <mergeCell ref="B7:C7"/>
    <mergeCell ref="B8:C8"/>
    <mergeCell ref="B21:C21"/>
    <mergeCell ref="B10:D10"/>
    <mergeCell ref="B11:C11"/>
    <mergeCell ref="B12:C12"/>
    <mergeCell ref="B13:C13"/>
    <mergeCell ref="B14:C14"/>
    <mergeCell ref="B15:C15"/>
    <mergeCell ref="B16:C16"/>
    <mergeCell ref="B17:C17"/>
    <mergeCell ref="B18:C18"/>
    <mergeCell ref="B19:D19"/>
    <mergeCell ref="B20:C20"/>
    <mergeCell ref="B42:C42"/>
    <mergeCell ref="M42:N42"/>
    <mergeCell ref="B62:C62"/>
    <mergeCell ref="M62:N62"/>
    <mergeCell ref="B22:C22"/>
    <mergeCell ref="B23:C23"/>
    <mergeCell ref="B24:C24"/>
    <mergeCell ref="B25:C25"/>
    <mergeCell ref="B26:C26"/>
    <mergeCell ref="B27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FF8A-1EB7-40E1-B369-5B1204477F4F}">
  <dimension ref="B2:N72"/>
  <sheetViews>
    <sheetView topLeftCell="A29" zoomScale="85" zoomScaleNormal="85" workbookViewId="0">
      <selection activeCell="B61" sqref="B61"/>
    </sheetView>
  </sheetViews>
  <sheetFormatPr defaultRowHeight="14.4" x14ac:dyDescent="0.3"/>
  <cols>
    <col min="2" max="2" width="11.44140625" customWidth="1"/>
    <col min="3" max="3" width="14.88671875" customWidth="1"/>
    <col min="4" max="4" width="12.33203125" customWidth="1"/>
    <col min="5" max="5" width="10" customWidth="1"/>
    <col min="6" max="6" width="9.5546875" customWidth="1"/>
    <col min="7" max="7" width="20.88671875" bestFit="1" customWidth="1"/>
    <col min="9" max="9" width="9.33203125" customWidth="1"/>
    <col min="10" max="10" width="10" customWidth="1"/>
    <col min="11" max="11" width="10.33203125" customWidth="1"/>
    <col min="13" max="13" width="15.77734375" customWidth="1"/>
    <col min="14" max="14" width="12.77734375" customWidth="1"/>
  </cols>
  <sheetData>
    <row r="2" spans="2:4" x14ac:dyDescent="0.3">
      <c r="B2" t="s">
        <v>23</v>
      </c>
    </row>
    <row r="3" spans="2:4" ht="15" thickBot="1" x14ac:dyDescent="0.35"/>
    <row r="4" spans="2:4" x14ac:dyDescent="0.3">
      <c r="B4" s="47" t="s">
        <v>24</v>
      </c>
      <c r="C4" s="48"/>
      <c r="D4" s="49"/>
    </row>
    <row r="5" spans="2:4" x14ac:dyDescent="0.3">
      <c r="B5" s="41" t="s">
        <v>19</v>
      </c>
      <c r="C5" s="42"/>
      <c r="D5" s="6">
        <v>400</v>
      </c>
    </row>
    <row r="6" spans="2:4" x14ac:dyDescent="0.3">
      <c r="B6" s="41" t="s">
        <v>17</v>
      </c>
      <c r="C6" s="42"/>
      <c r="D6" s="6">
        <v>280.8</v>
      </c>
    </row>
    <row r="7" spans="2:4" x14ac:dyDescent="0.3">
      <c r="B7" s="41" t="s">
        <v>18</v>
      </c>
      <c r="C7" s="42"/>
      <c r="D7" s="6">
        <v>0.3</v>
      </c>
    </row>
    <row r="8" spans="2:4" x14ac:dyDescent="0.3">
      <c r="B8" s="41" t="s">
        <v>20</v>
      </c>
      <c r="C8" s="42"/>
      <c r="D8" s="6">
        <v>1</v>
      </c>
    </row>
    <row r="9" spans="2:4" ht="15" thickBot="1" x14ac:dyDescent="0.35">
      <c r="B9" s="45" t="s">
        <v>0</v>
      </c>
      <c r="C9" s="46"/>
      <c r="D9" s="19">
        <f>(D6-D7)/D6</f>
        <v>0.99893162393162394</v>
      </c>
    </row>
    <row r="10" spans="2:4" x14ac:dyDescent="0.3">
      <c r="B10" s="47" t="s">
        <v>25</v>
      </c>
      <c r="C10" s="48"/>
      <c r="D10" s="49"/>
    </row>
    <row r="11" spans="2:4" x14ac:dyDescent="0.3">
      <c r="B11" s="41" t="s">
        <v>19</v>
      </c>
      <c r="C11" s="42"/>
      <c r="D11" s="6">
        <v>340</v>
      </c>
    </row>
    <row r="12" spans="2:4" x14ac:dyDescent="0.3">
      <c r="B12" s="41" t="s">
        <v>16</v>
      </c>
      <c r="C12" s="42"/>
      <c r="D12" s="6">
        <v>280.8</v>
      </c>
    </row>
    <row r="13" spans="2:4" x14ac:dyDescent="0.3">
      <c r="B13" s="41" t="s">
        <v>15</v>
      </c>
      <c r="C13" s="42"/>
      <c r="D13" s="6">
        <v>17.8</v>
      </c>
    </row>
    <row r="14" spans="2:4" x14ac:dyDescent="0.3">
      <c r="B14" s="41" t="s">
        <v>14</v>
      </c>
      <c r="C14" s="42"/>
      <c r="D14" s="6">
        <v>0.3</v>
      </c>
    </row>
    <row r="15" spans="2:4" x14ac:dyDescent="0.3">
      <c r="B15" s="41" t="s">
        <v>21</v>
      </c>
      <c r="C15" s="42"/>
      <c r="D15" s="6">
        <v>1</v>
      </c>
    </row>
    <row r="16" spans="2:4" x14ac:dyDescent="0.3">
      <c r="B16" s="41" t="s">
        <v>22</v>
      </c>
      <c r="C16" s="42"/>
      <c r="D16" s="6">
        <v>3</v>
      </c>
    </row>
    <row r="17" spans="2:4" x14ac:dyDescent="0.3">
      <c r="B17" s="43" t="s">
        <v>2</v>
      </c>
      <c r="C17" s="44"/>
      <c r="D17" s="20">
        <f>(D12-D13)/D12</f>
        <v>0.93660968660968658</v>
      </c>
    </row>
    <row r="18" spans="2:4" ht="15" thickBot="1" x14ac:dyDescent="0.35">
      <c r="B18" s="45" t="s">
        <v>3</v>
      </c>
      <c r="C18" s="46"/>
      <c r="D18" s="19">
        <f>(D12-D14)/D12</f>
        <v>0.99893162393162394</v>
      </c>
    </row>
    <row r="19" spans="2:4" x14ac:dyDescent="0.3">
      <c r="B19" s="47" t="s">
        <v>26</v>
      </c>
      <c r="C19" s="48"/>
      <c r="D19" s="49"/>
    </row>
    <row r="20" spans="2:4" x14ac:dyDescent="0.3">
      <c r="B20" s="41" t="s">
        <v>19</v>
      </c>
      <c r="C20" s="42"/>
      <c r="D20" s="6">
        <v>280</v>
      </c>
    </row>
    <row r="21" spans="2:4" x14ac:dyDescent="0.3">
      <c r="B21" s="41" t="s">
        <v>16</v>
      </c>
      <c r="C21" s="42"/>
      <c r="D21" s="6">
        <v>280.8</v>
      </c>
    </row>
    <row r="22" spans="2:4" x14ac:dyDescent="0.3">
      <c r="B22" s="41" t="s">
        <v>15</v>
      </c>
      <c r="C22" s="42"/>
      <c r="D22" s="6">
        <v>19</v>
      </c>
    </row>
    <row r="23" spans="2:4" x14ac:dyDescent="0.3">
      <c r="B23" s="41" t="s">
        <v>14</v>
      </c>
      <c r="C23" s="42"/>
      <c r="D23" s="6">
        <v>0.3</v>
      </c>
    </row>
    <row r="24" spans="2:4" x14ac:dyDescent="0.3">
      <c r="B24" s="41" t="s">
        <v>21</v>
      </c>
      <c r="C24" s="42"/>
      <c r="D24" s="6">
        <v>3</v>
      </c>
    </row>
    <row r="25" spans="2:4" x14ac:dyDescent="0.3">
      <c r="B25" s="41" t="s">
        <v>22</v>
      </c>
      <c r="C25" s="42"/>
      <c r="D25" s="6">
        <v>6</v>
      </c>
    </row>
    <row r="26" spans="2:4" x14ac:dyDescent="0.3">
      <c r="B26" s="43" t="s">
        <v>2</v>
      </c>
      <c r="C26" s="44"/>
      <c r="D26" s="20">
        <f>(D21-D22)/D21</f>
        <v>0.93233618233618232</v>
      </c>
    </row>
    <row r="27" spans="2:4" ht="15" thickBot="1" x14ac:dyDescent="0.35">
      <c r="B27" s="45" t="s">
        <v>3</v>
      </c>
      <c r="C27" s="46"/>
      <c r="D27" s="19">
        <f>(D21-D23)/D21</f>
        <v>0.99893162393162394</v>
      </c>
    </row>
    <row r="32" spans="2:4" x14ac:dyDescent="0.3">
      <c r="B32" t="s">
        <v>27</v>
      </c>
    </row>
    <row r="33" spans="2:14" ht="15" thickBot="1" x14ac:dyDescent="0.35"/>
    <row r="34" spans="2:14" ht="15" thickBot="1" x14ac:dyDescent="0.35">
      <c r="B34" s="16" t="s">
        <v>19</v>
      </c>
      <c r="C34" s="17" t="s">
        <v>28</v>
      </c>
      <c r="D34" s="17" t="s">
        <v>0</v>
      </c>
      <c r="E34" s="17" t="s">
        <v>4</v>
      </c>
      <c r="F34" s="17" t="s">
        <v>5</v>
      </c>
      <c r="G34" s="17" t="s">
        <v>6</v>
      </c>
      <c r="H34" s="17" t="s">
        <v>7</v>
      </c>
      <c r="I34" s="17" t="s">
        <v>8</v>
      </c>
      <c r="J34" s="17" t="s">
        <v>32</v>
      </c>
      <c r="K34" s="18" t="s">
        <v>13</v>
      </c>
    </row>
    <row r="35" spans="2:14" x14ac:dyDescent="0.3">
      <c r="B35" s="13">
        <v>400</v>
      </c>
      <c r="C35" s="14">
        <v>1</v>
      </c>
      <c r="D35" s="24">
        <f>D9</f>
        <v>0.99893162393162394</v>
      </c>
      <c r="E35" s="15">
        <v>0.26900000000000002</v>
      </c>
      <c r="F35" s="15">
        <v>0.53600000000000003</v>
      </c>
      <c r="G35" s="15">
        <v>0.17799999999999999</v>
      </c>
      <c r="H35" s="14">
        <f>1-D35</f>
        <v>1.0683760683760646E-3</v>
      </c>
      <c r="I35" s="27">
        <f>-LN(H35)/C35</f>
        <v>6.8416154764775952</v>
      </c>
      <c r="J35" s="27">
        <f>E35*I35/(E35+F35)</f>
        <v>2.2862044263012087</v>
      </c>
      <c r="K35" s="30">
        <f>F35*I35/(E35+F35)</f>
        <v>4.555411050176386</v>
      </c>
    </row>
    <row r="36" spans="2:14" x14ac:dyDescent="0.3">
      <c r="B36" s="9">
        <v>340</v>
      </c>
      <c r="C36" s="7">
        <v>1</v>
      </c>
      <c r="D36" s="25">
        <f>D17</f>
        <v>0.93660968660968658</v>
      </c>
      <c r="E36" s="8"/>
      <c r="F36" s="8"/>
      <c r="G36" s="8"/>
      <c r="H36" s="7">
        <f t="shared" ref="H36:H39" si="0">1-D36</f>
        <v>6.3390313390313424E-2</v>
      </c>
      <c r="I36" s="35">
        <f t="shared" ref="I36:I39" si="1">-LN(H36)/C36</f>
        <v>2.7584442148536161</v>
      </c>
      <c r="J36" s="28" t="e">
        <f>E36*I36/(E36+F36)</f>
        <v>#DIV/0!</v>
      </c>
      <c r="K36" s="31" t="e">
        <f t="shared" ref="K36:K39" si="2">F36*I36/(E36+F36)</f>
        <v>#DIV/0!</v>
      </c>
    </row>
    <row r="37" spans="2:14" x14ac:dyDescent="0.3">
      <c r="B37" s="9">
        <v>340</v>
      </c>
      <c r="C37" s="7">
        <v>3</v>
      </c>
      <c r="D37" s="25">
        <f>D18</f>
        <v>0.99893162393162394</v>
      </c>
      <c r="E37" s="8">
        <v>0.35199999999999998</v>
      </c>
      <c r="F37" s="8">
        <v>0.61499999999999999</v>
      </c>
      <c r="G37" s="8">
        <v>2.4E-2</v>
      </c>
      <c r="H37" s="7">
        <f t="shared" si="0"/>
        <v>1.0683760683760646E-3</v>
      </c>
      <c r="I37" s="35">
        <f t="shared" si="1"/>
        <v>2.2805384921591982</v>
      </c>
      <c r="J37" s="28">
        <f t="shared" ref="J37:J39" si="3">E37*I37/(E37+F37)</f>
        <v>0.83014431152020451</v>
      </c>
      <c r="K37" s="31">
        <f t="shared" si="2"/>
        <v>1.4503941806389937</v>
      </c>
    </row>
    <row r="38" spans="2:14" x14ac:dyDescent="0.3">
      <c r="B38" s="9">
        <v>280</v>
      </c>
      <c r="C38" s="7">
        <v>3</v>
      </c>
      <c r="D38" s="25">
        <f>D26</f>
        <v>0.93233618233618232</v>
      </c>
      <c r="E38" s="8"/>
      <c r="F38" s="8"/>
      <c r="G38" s="8"/>
      <c r="H38" s="7">
        <f t="shared" si="0"/>
        <v>6.7663817663817682E-2</v>
      </c>
      <c r="I38" s="35">
        <f t="shared" si="1"/>
        <v>0.89773456432840515</v>
      </c>
      <c r="J38" s="28" t="e">
        <f t="shared" si="3"/>
        <v>#DIV/0!</v>
      </c>
      <c r="K38" s="31" t="e">
        <f t="shared" si="2"/>
        <v>#DIV/0!</v>
      </c>
    </row>
    <row r="39" spans="2:14" ht="15" thickBot="1" x14ac:dyDescent="0.35">
      <c r="B39" s="10">
        <v>280</v>
      </c>
      <c r="C39" s="11">
        <v>6</v>
      </c>
      <c r="D39" s="26">
        <f>D27</f>
        <v>0.99893162393162394</v>
      </c>
      <c r="E39" s="12">
        <v>0.41799999999999998</v>
      </c>
      <c r="F39" s="12">
        <v>0.54400000000000004</v>
      </c>
      <c r="G39" s="12">
        <v>2.7E-2</v>
      </c>
      <c r="H39" s="11">
        <f t="shared" si="0"/>
        <v>1.0683760683760646E-3</v>
      </c>
      <c r="I39" s="36">
        <f t="shared" si="1"/>
        <v>1.1402692460795991</v>
      </c>
      <c r="J39" s="29">
        <f t="shared" si="3"/>
        <v>0.49546002584331855</v>
      </c>
      <c r="K39" s="32">
        <f t="shared" si="2"/>
        <v>0.64480922023628062</v>
      </c>
    </row>
    <row r="43" spans="2:14" x14ac:dyDescent="0.3">
      <c r="B43" t="s">
        <v>29</v>
      </c>
    </row>
    <row r="45" spans="2:14" x14ac:dyDescent="0.3">
      <c r="B45" s="40" t="s">
        <v>10</v>
      </c>
      <c r="C45" s="40"/>
      <c r="D45" s="33"/>
      <c r="M45" s="40" t="s">
        <v>10</v>
      </c>
      <c r="N45" s="40"/>
    </row>
    <row r="46" spans="2:14" x14ac:dyDescent="0.3">
      <c r="B46" s="3" t="s">
        <v>12</v>
      </c>
      <c r="C46" s="3" t="s">
        <v>9</v>
      </c>
      <c r="D46" s="34"/>
      <c r="M46" s="3" t="s">
        <v>12</v>
      </c>
      <c r="N46" s="3" t="s">
        <v>9</v>
      </c>
    </row>
    <row r="47" spans="2:14" x14ac:dyDescent="0.3">
      <c r="B47" s="4">
        <f>1/(273+B35)</f>
        <v>1.4858841010401188E-3</v>
      </c>
      <c r="C47" s="5">
        <f>LN(J35/3600)</f>
        <v>-7.3617961377411758</v>
      </c>
      <c r="D47" s="34"/>
      <c r="M47" s="4">
        <f>B48</f>
        <v>1.6313213703099511E-3</v>
      </c>
      <c r="N47" s="4">
        <f>C48</f>
        <v>-8.3748448484477596</v>
      </c>
    </row>
    <row r="48" spans="2:14" x14ac:dyDescent="0.3">
      <c r="B48" s="4">
        <f>1/(273+B37)</f>
        <v>1.6313213703099511E-3</v>
      </c>
      <c r="C48" s="5">
        <f>LN(J37/3600)</f>
        <v>-8.3748448484477596</v>
      </c>
      <c r="D48" s="34"/>
      <c r="M48" s="4">
        <f>B49</f>
        <v>1.8083182640144665E-3</v>
      </c>
      <c r="N48" s="4">
        <f>C49</f>
        <v>-8.8909577272934577</v>
      </c>
    </row>
    <row r="49" spans="2:14" x14ac:dyDescent="0.3">
      <c r="B49" s="4">
        <f>1/(273+B39)</f>
        <v>1.8083182640144665E-3</v>
      </c>
      <c r="C49" s="5">
        <f>LN(J39/3600)</f>
        <v>-8.8909577272934577</v>
      </c>
      <c r="D49" s="34"/>
      <c r="M49" s="3"/>
      <c r="N49" s="3"/>
    </row>
    <row r="50" spans="2:14" x14ac:dyDescent="0.3">
      <c r="B50" s="3"/>
      <c r="C50" s="3"/>
      <c r="D50" s="34"/>
      <c r="M50" s="2" t="s">
        <v>30</v>
      </c>
      <c r="N50" s="23">
        <f>2915.8*8.314</f>
        <v>24241.961200000002</v>
      </c>
    </row>
    <row r="51" spans="2:14" x14ac:dyDescent="0.3">
      <c r="B51" s="2" t="s">
        <v>30</v>
      </c>
      <c r="C51" s="23">
        <f>(4677.3*8.314)</f>
        <v>38887.072200000002</v>
      </c>
      <c r="D51" s="34"/>
      <c r="M51" s="2" t="s">
        <v>31</v>
      </c>
      <c r="N51" s="22">
        <f>EXP(-3.618)</f>
        <v>2.6836295446704541E-2</v>
      </c>
    </row>
    <row r="52" spans="2:14" x14ac:dyDescent="0.3">
      <c r="B52" s="2" t="s">
        <v>31</v>
      </c>
      <c r="C52" s="22">
        <f>EXP(-0.5298)</f>
        <v>0.58872270244517511</v>
      </c>
      <c r="D52" s="34"/>
    </row>
    <row r="53" spans="2:14" x14ac:dyDescent="0.3">
      <c r="D53" s="34"/>
    </row>
    <row r="54" spans="2:14" x14ac:dyDescent="0.3">
      <c r="D54" s="34"/>
    </row>
    <row r="55" spans="2:14" x14ac:dyDescent="0.3">
      <c r="D55" s="34"/>
    </row>
    <row r="56" spans="2:14" x14ac:dyDescent="0.3">
      <c r="D56" s="34"/>
    </row>
    <row r="57" spans="2:14" x14ac:dyDescent="0.3">
      <c r="D57" s="34"/>
    </row>
    <row r="58" spans="2:14" x14ac:dyDescent="0.3">
      <c r="D58" s="34"/>
    </row>
    <row r="59" spans="2:14" x14ac:dyDescent="0.3">
      <c r="D59" s="34"/>
    </row>
    <row r="60" spans="2:14" x14ac:dyDescent="0.3">
      <c r="D60" s="34"/>
    </row>
    <row r="61" spans="2:14" x14ac:dyDescent="0.3">
      <c r="D61" s="34"/>
    </row>
    <row r="62" spans="2:14" x14ac:dyDescent="0.3">
      <c r="D62" s="34"/>
    </row>
    <row r="63" spans="2:14" x14ac:dyDescent="0.3">
      <c r="D63" s="34"/>
    </row>
    <row r="64" spans="2:14" x14ac:dyDescent="0.3">
      <c r="D64" s="34"/>
    </row>
    <row r="65" spans="2:14" x14ac:dyDescent="0.3">
      <c r="B65" s="40" t="s">
        <v>11</v>
      </c>
      <c r="C65" s="40"/>
      <c r="D65" s="33"/>
      <c r="M65" s="40" t="s">
        <v>11</v>
      </c>
      <c r="N65" s="40"/>
    </row>
    <row r="66" spans="2:14" x14ac:dyDescent="0.3">
      <c r="B66" s="3" t="s">
        <v>12</v>
      </c>
      <c r="C66" s="3" t="s">
        <v>9</v>
      </c>
      <c r="D66" s="34"/>
      <c r="M66" s="3" t="s">
        <v>12</v>
      </c>
      <c r="N66" s="3" t="s">
        <v>9</v>
      </c>
    </row>
    <row r="67" spans="2:14" x14ac:dyDescent="0.3">
      <c r="B67" s="5">
        <f>1/(273+B35)</f>
        <v>1.4858841010401188E-3</v>
      </c>
      <c r="C67" s="5">
        <f>LN(K35/3600)</f>
        <v>-6.672373356272213</v>
      </c>
      <c r="D67" s="34"/>
      <c r="M67" s="38">
        <f>B68</f>
        <v>1.6313213703099511E-3</v>
      </c>
      <c r="N67" s="5">
        <f>C68</f>
        <v>-7.8168537562393379</v>
      </c>
    </row>
    <row r="68" spans="2:14" x14ac:dyDescent="0.3">
      <c r="B68" s="5">
        <f>1/(273+B37)</f>
        <v>1.6313213703099511E-3</v>
      </c>
      <c r="C68" s="5">
        <f>LN(K37/3600)</f>
        <v>-7.8168537562393379</v>
      </c>
      <c r="D68" s="34"/>
      <c r="M68" s="38">
        <f>B69</f>
        <v>1.8083182640144665E-3</v>
      </c>
      <c r="N68" s="5">
        <f>C69</f>
        <v>-8.62748991296227</v>
      </c>
    </row>
    <row r="69" spans="2:14" x14ac:dyDescent="0.3">
      <c r="B69" s="5">
        <f>1/(273+B39)</f>
        <v>1.8083182640144665E-3</v>
      </c>
      <c r="C69" s="5">
        <f>LN(K39/3600)</f>
        <v>-8.62748991296227</v>
      </c>
      <c r="D69" s="34"/>
      <c r="M69" s="3"/>
      <c r="N69" s="3"/>
    </row>
    <row r="70" spans="2:14" x14ac:dyDescent="0.3">
      <c r="B70" s="3"/>
      <c r="C70" s="3"/>
      <c r="D70" s="34"/>
      <c r="M70" s="2" t="s">
        <v>30</v>
      </c>
      <c r="N70" s="23">
        <f>4579.9*8.314</f>
        <v>38077.2886</v>
      </c>
    </row>
    <row r="71" spans="2:14" x14ac:dyDescent="0.3">
      <c r="B71" s="2" t="s">
        <v>30</v>
      </c>
      <c r="C71" s="23">
        <f>(8.314*6010.6)</f>
        <v>49972.128400000001</v>
      </c>
      <c r="D71" s="34"/>
      <c r="M71" s="2" t="s">
        <v>31</v>
      </c>
      <c r="N71" s="21">
        <f>EXP(-0.3455)</f>
        <v>0.7078663318038575</v>
      </c>
    </row>
    <row r="72" spans="2:14" x14ac:dyDescent="0.3">
      <c r="B72" s="2" t="s">
        <v>31</v>
      </c>
      <c r="C72" s="21">
        <f>EXP(2.1629)</f>
        <v>8.6963204550791513</v>
      </c>
      <c r="D72" s="34"/>
    </row>
  </sheetData>
  <mergeCells count="28">
    <mergeCell ref="B4:D4"/>
    <mergeCell ref="B10:D10"/>
    <mergeCell ref="B19:D19"/>
    <mergeCell ref="B20:C20"/>
    <mergeCell ref="B21:C21"/>
    <mergeCell ref="B13:C13"/>
    <mergeCell ref="B14:C14"/>
    <mergeCell ref="B15:C15"/>
    <mergeCell ref="B11:C11"/>
    <mergeCell ref="B12:C12"/>
    <mergeCell ref="B5:C5"/>
    <mergeCell ref="B6:C6"/>
    <mergeCell ref="B7:C7"/>
    <mergeCell ref="B8:C8"/>
    <mergeCell ref="B9:C9"/>
    <mergeCell ref="M45:N45"/>
    <mergeCell ref="M65:N65"/>
    <mergeCell ref="B16:C16"/>
    <mergeCell ref="B17:C17"/>
    <mergeCell ref="B18:C18"/>
    <mergeCell ref="B65:C65"/>
    <mergeCell ref="B45:C45"/>
    <mergeCell ref="B26:C26"/>
    <mergeCell ref="B27:C27"/>
    <mergeCell ref="B22:C22"/>
    <mergeCell ref="B23:C23"/>
    <mergeCell ref="B24:C24"/>
    <mergeCell ref="B25:C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78D3-4665-42E5-AC37-304E5D68713E}">
  <dimension ref="B2:F16"/>
  <sheetViews>
    <sheetView workbookViewId="0">
      <selection activeCell="B12" sqref="B12:E16"/>
    </sheetView>
  </sheetViews>
  <sheetFormatPr defaultRowHeight="14.4" x14ac:dyDescent="0.3"/>
  <cols>
    <col min="2" max="2" width="13.88671875" bestFit="1" customWidth="1"/>
    <col min="3" max="3" width="11.21875" bestFit="1" customWidth="1"/>
  </cols>
  <sheetData>
    <row r="2" spans="2:6" x14ac:dyDescent="0.3">
      <c r="B2" t="s">
        <v>33</v>
      </c>
    </row>
    <row r="4" spans="2:6" x14ac:dyDescent="0.3">
      <c r="B4" t="s">
        <v>40</v>
      </c>
      <c r="C4">
        <v>280.8</v>
      </c>
    </row>
    <row r="5" spans="2:6" x14ac:dyDescent="0.3">
      <c r="B5" t="s">
        <v>39</v>
      </c>
      <c r="C5" t="s">
        <v>1</v>
      </c>
      <c r="D5" t="s">
        <v>41</v>
      </c>
    </row>
    <row r="6" spans="2:6" x14ac:dyDescent="0.3">
      <c r="B6" t="s">
        <v>34</v>
      </c>
      <c r="C6" s="1">
        <v>0.3</v>
      </c>
      <c r="D6" s="37">
        <f>($C$4-C6)/$C$4</f>
        <v>0.99893162393162394</v>
      </c>
    </row>
    <row r="7" spans="2:6" x14ac:dyDescent="0.3">
      <c r="B7" t="s">
        <v>35</v>
      </c>
      <c r="C7" s="1">
        <v>17.8</v>
      </c>
      <c r="D7" s="37">
        <f>($C$4-C7)/$C$4</f>
        <v>0.93660968660968658</v>
      </c>
    </row>
    <row r="8" spans="2:6" x14ac:dyDescent="0.3">
      <c r="B8" t="s">
        <v>36</v>
      </c>
      <c r="C8" s="1">
        <v>0.3</v>
      </c>
      <c r="D8" s="37">
        <f>($C$4-C8)/$C$4</f>
        <v>0.99893162393162394</v>
      </c>
    </row>
    <row r="9" spans="2:6" x14ac:dyDescent="0.3">
      <c r="B9" t="s">
        <v>37</v>
      </c>
      <c r="C9" s="1">
        <v>19</v>
      </c>
      <c r="D9" s="37">
        <f>($C$4-C9)/$C$4</f>
        <v>0.93233618233618232</v>
      </c>
    </row>
    <row r="10" spans="2:6" x14ac:dyDescent="0.3">
      <c r="B10" t="s">
        <v>38</v>
      </c>
      <c r="C10" s="1">
        <v>0.3</v>
      </c>
      <c r="D10" s="37">
        <f>($C$4-C10)/$C$4</f>
        <v>0.99893162393162394</v>
      </c>
    </row>
    <row r="12" spans="2:6" x14ac:dyDescent="0.3">
      <c r="B12" t="s">
        <v>39</v>
      </c>
      <c r="C12" t="s">
        <v>42</v>
      </c>
    </row>
    <row r="13" spans="2:6" x14ac:dyDescent="0.3">
      <c r="C13" s="1" t="s">
        <v>43</v>
      </c>
      <c r="D13" s="1" t="s">
        <v>44</v>
      </c>
      <c r="E13" s="1" t="s">
        <v>45</v>
      </c>
      <c r="F13" s="1" t="s">
        <v>42</v>
      </c>
    </row>
    <row r="14" spans="2:6" x14ac:dyDescent="0.3">
      <c r="B14" t="s">
        <v>34</v>
      </c>
      <c r="C14" s="1">
        <v>17.8</v>
      </c>
      <c r="D14" s="1">
        <v>53.6</v>
      </c>
      <c r="E14" s="1">
        <v>26.9</v>
      </c>
      <c r="F14" s="1">
        <f>SUM(C14:E14)</f>
        <v>98.300000000000011</v>
      </c>
    </row>
    <row r="15" spans="2:6" x14ac:dyDescent="0.3">
      <c r="B15" t="s">
        <v>36</v>
      </c>
      <c r="C15" s="1">
        <v>2.4</v>
      </c>
      <c r="D15" s="1">
        <v>61.5</v>
      </c>
      <c r="E15" s="1">
        <v>35.200000000000003</v>
      </c>
      <c r="F15" s="1">
        <f>SUM(C15:E15)</f>
        <v>99.1</v>
      </c>
    </row>
    <row r="16" spans="2:6" x14ac:dyDescent="0.3">
      <c r="B16" t="s">
        <v>38</v>
      </c>
      <c r="C16" s="1">
        <v>2.7</v>
      </c>
      <c r="D16" s="1">
        <v>54.4</v>
      </c>
      <c r="E16" s="1">
        <v>41.8</v>
      </c>
      <c r="F16" s="1">
        <f>SUM(C16:E16)</f>
        <v>98.9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7EC4AFCC39E149AA1ABBAEEC458E2F" ma:contentTypeVersion="5" ma:contentTypeDescription="Create a new document." ma:contentTypeScope="" ma:versionID="4a6c5362b690132bee29faf0730ed3da">
  <xsd:schema xmlns:xsd="http://www.w3.org/2001/XMLSchema" xmlns:xs="http://www.w3.org/2001/XMLSchema" xmlns:p="http://schemas.microsoft.com/office/2006/metadata/properties" xmlns:ns3="81eb2423-cff3-4869-9df2-2c7b9f016c9b" xmlns:ns4="916f8b08-8ec7-411b-865e-383565933381" targetNamespace="http://schemas.microsoft.com/office/2006/metadata/properties" ma:root="true" ma:fieldsID="ba08c075559a6485d22f66b8063b403d" ns3:_="" ns4:_="">
    <xsd:import namespace="81eb2423-cff3-4869-9df2-2c7b9f016c9b"/>
    <xsd:import namespace="916f8b08-8ec7-411b-865e-3835659333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b2423-cff3-4869-9df2-2c7b9f016c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f8b08-8ec7-411b-865e-3835659333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098D1D-34F7-49BC-9E8A-B9C2A68134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0D002F-A05D-43BB-87F7-745D84884420}">
  <ds:schemaRefs>
    <ds:schemaRef ds:uri="http://www.w3.org/XML/1998/namespace"/>
    <ds:schemaRef ds:uri="916f8b08-8ec7-411b-865e-383565933381"/>
    <ds:schemaRef ds:uri="http://purl.org/dc/dcmitype/"/>
    <ds:schemaRef ds:uri="http://purl.org/dc/terms/"/>
    <ds:schemaRef ds:uri="http://purl.org/dc/elements/1.1/"/>
    <ds:schemaRef ds:uri="81eb2423-cff3-4869-9df2-2c7b9f016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7BA6B88-9094-49BD-94F5-B7E3C577D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eb2423-cff3-4869-9df2-2c7b9f016c9b"/>
    <ds:schemaRef ds:uri="916f8b08-8ec7-411b-865e-383565933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Kon</vt:lpstr>
      <vt:lpstr>Yang</vt:lpstr>
      <vt:lpstr>Brandao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andrisirama</cp:lastModifiedBy>
  <dcterms:created xsi:type="dcterms:W3CDTF">2021-03-31T13:33:56Z</dcterms:created>
  <dcterms:modified xsi:type="dcterms:W3CDTF">2022-06-23T07:04:16Z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0x010100997EC4AFCC39E149AA1ABBAEEC458E2F</vt:lpwstr>
  </property>
</Properties>
</file>