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5.xml" ContentType="application/vnd.openxmlformats-officedocument.spreadsheetml.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ma Hamad\Downloads\Lab 2 Solution\"/>
    </mc:Choice>
  </mc:AlternateContent>
  <xr:revisionPtr revIDLastSave="0" documentId="13_ncr:1_{A2AF9AFA-96EE-483F-A758-88BF8D5B8286}" xr6:coauthVersionLast="47" xr6:coauthVersionMax="47" xr10:uidLastSave="{00000000-0000-0000-0000-000000000000}"/>
  <bookViews>
    <workbookView xWindow="-120" yWindow="-120" windowWidth="24240" windowHeight="13020" xr2:uid="{5BBF3846-4C6D-4871-B649-C959D40EA238}"/>
  </bookViews>
  <sheets>
    <sheet name="50ml Shampoo 2024" sheetId="12" r:id="rId1"/>
    <sheet name="Brands per Supplier" sheetId="3" r:id="rId2"/>
    <sheet name="HealthMax Growth" sheetId="4" r:id="rId3"/>
    <sheet name="MAT Value Total Category" sheetId="6" r:id="rId4"/>
    <sheet name="Market Share" sheetId="7" r:id="rId5"/>
    <sheet name="Organic Shampoo Launch" sheetId="11" r:id="rId6"/>
    <sheet name="New Category Opportunity" sheetId="10" r:id="rId7"/>
    <sheet name="Promotion Analysis" sheetId="14" r:id="rId8"/>
    <sheet name="Promotion Graph" sheetId="13" r:id="rId9"/>
    <sheet name="Forecast 2024" sheetId="16" r:id="rId10"/>
    <sheet name="Waterfall" sheetId="17" r:id="rId11"/>
    <sheet name="Sales until 2022" sheetId="15" r:id="rId12"/>
    <sheet name="External Data" sheetId="2" r:id="rId13"/>
    <sheet name="Profitability Matrix" sheetId="9" r:id="rId14"/>
    <sheet name="Internal Sales Data" sheetId="8" r:id="rId15"/>
  </sheets>
  <definedNames>
    <definedName name="_xlchart.v1.0" hidden="1">Waterfall!$A$1:$E$1</definedName>
    <definedName name="_xlchart.v1.1" hidden="1">Waterfall!$A$2:$E$2</definedName>
    <definedName name="_xlchart.v5.2" hidden="1">Waterfall!$A$1:$E$1</definedName>
    <definedName name="_xlchart.v5.3" hidden="1">Waterfall!$A$2:$E$2</definedName>
    <definedName name="ExternalData_1" localSheetId="7" hidden="1">'Promotion Analysis'!$A$1:$J$4</definedName>
    <definedName name="Slicer_Region">#N/A</definedName>
  </definedNames>
  <calcPr calcId="191029"/>
  <pivotCaches>
    <pivotCache cacheId="0" r:id="rId16"/>
    <pivotCache cacheId="3"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7" l="1"/>
  <c r="D2" i="17"/>
  <c r="C2" i="17"/>
  <c r="B2" i="17"/>
  <c r="A2" i="17"/>
  <c r="F8" i="16"/>
  <c r="F7" i="16"/>
  <c r="G6" i="16"/>
  <c r="F6" i="16"/>
  <c r="J3" i="14"/>
  <c r="J4" i="14"/>
  <c r="J2" i="14"/>
  <c r="H3" i="14"/>
  <c r="H4" i="14"/>
  <c r="F3" i="14"/>
  <c r="F4" i="14"/>
  <c r="F2" i="14"/>
  <c r="E12" i="12"/>
  <c r="M12" i="12" s="1"/>
  <c r="H12" i="12"/>
  <c r="I12" i="12" s="1"/>
  <c r="J12" i="12"/>
  <c r="M2" i="12"/>
  <c r="M3" i="12"/>
  <c r="M4" i="12"/>
  <c r="M5" i="12"/>
  <c r="M6" i="12"/>
  <c r="M7" i="12"/>
  <c r="M8" i="12"/>
  <c r="M9" i="12"/>
  <c r="M10" i="12"/>
  <c r="M11" i="12"/>
  <c r="J11" i="12"/>
  <c r="L11" i="12" s="1"/>
  <c r="I11" i="12"/>
  <c r="J10" i="12"/>
  <c r="L10" i="12" s="1"/>
  <c r="I10" i="12"/>
  <c r="J9" i="12"/>
  <c r="K9" i="12" s="1"/>
  <c r="I9" i="12"/>
  <c r="J8" i="12"/>
  <c r="L8" i="12" s="1"/>
  <c r="I8" i="12"/>
  <c r="J7" i="12"/>
  <c r="L7" i="12" s="1"/>
  <c r="I7" i="12"/>
  <c r="J6" i="12"/>
  <c r="K6" i="12" s="1"/>
  <c r="I6" i="12"/>
  <c r="J5" i="12"/>
  <c r="K5" i="12" s="1"/>
  <c r="I5" i="12"/>
  <c r="J4" i="12"/>
  <c r="L4" i="12" s="1"/>
  <c r="I4" i="12"/>
  <c r="J3" i="12"/>
  <c r="L3" i="12" s="1"/>
  <c r="I3" i="12"/>
  <c r="J2" i="12"/>
  <c r="L2" i="12" s="1"/>
  <c r="I2" i="12"/>
  <c r="I3" i="11"/>
  <c r="I2" i="11"/>
  <c r="H3" i="11"/>
  <c r="H2" i="11"/>
  <c r="G3" i="11"/>
  <c r="G2" i="11"/>
  <c r="E3" i="11"/>
  <c r="E2" i="11"/>
  <c r="C3" i="11"/>
  <c r="C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6"/>
  <c r="C8" i="16"/>
  <c r="G3" i="14"/>
  <c r="G4" i="14"/>
  <c r="G2" i="14"/>
  <c r="H2" i="14" l="1"/>
  <c r="K12" i="12"/>
  <c r="L12" i="12"/>
  <c r="K2" i="12"/>
  <c r="K4" i="12"/>
  <c r="K3" i="12"/>
  <c r="L6" i="12"/>
  <c r="K10" i="12"/>
  <c r="L5" i="12"/>
  <c r="K11" i="12"/>
  <c r="L9" i="12"/>
  <c r="K8" i="12"/>
  <c r="K7" i="12"/>
  <c r="K11" i="8"/>
  <c r="L9" i="8"/>
  <c r="K8" i="8"/>
  <c r="K7" i="8"/>
  <c r="L6" i="8"/>
  <c r="K3" i="8"/>
  <c r="L5" i="8"/>
  <c r="L2" i="8"/>
  <c r="L10" i="8"/>
  <c r="K12" i="8"/>
  <c r="L12" i="8" s="1"/>
  <c r="I12" i="8"/>
  <c r="E7" i="16"/>
  <c r="E8" i="16"/>
  <c r="D8" i="16"/>
  <c r="D7"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C7ABD3-0B0C-4821-B493-481108440AE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<sst xmlns="http://schemas.openxmlformats.org/spreadsheetml/2006/main" count="22435" uniqueCount="128">
  <si>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</si>
  <si>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</si>
  <si>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</si>
  <si>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</si>
  <si>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</si>
  <si>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</si>
  <si>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</si>
  <si>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</si>
  <si>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</si>
  <si>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</si>
  <si>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</si>
  <si>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</si>
  <si>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</si>
  <si>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</si>
  <si>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</si>
  <si>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</si>
  <si>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</si>
  <si>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</si>
  <si>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</si>
  <si>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</si>
  <si>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</si>
  <si>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</si>
  <si>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</si>
  <si>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</si>
  <si>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</si>
  <si>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</si>
  <si>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</si>
  <si>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</si>
  <si>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</si>
  <si>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</si>
  <si>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</si>
  <si>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</si>
  <si>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</si>
  <si>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</si>
  <si>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</si>
  <si>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</si>
  <si>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</si>
  <si>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</si>
  <si>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</si>
  <si>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</si>
  <si>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</si>
  <si>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</si>
  <si>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</si>
  <si>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</si>
  <si>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</si>
  <si>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</si>
  <si>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</si>
  <si>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</si>
  <si>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</si>
  <si>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</si>
  <si>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</si>
  <si>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</si>
  <si>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</si>
  <si>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</si>
  <si>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</si>
  <si>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</si>
  <si>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</si>
  <si>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</si>
  <si>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</si>
  <si>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</si>
  <si>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</si>
  <si>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</si>
  <si>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</si>
  <si>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</si>
  <si>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</si>
  <si>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</si>
  <si>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</si>
  <si>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</si>
  <si>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</si>
  <si>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</si>
  <si>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</si>
  <si>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</si>
  <si>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</si>
  <si>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</si>
  <si>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</si>
  <si>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</si>
  <si>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</si>
  <si>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</si>
  <si>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</si>
  <si>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</si>
  <si>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</si>
  <si>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</si>
  <si>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</si>
  <si>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</si>
  <si>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</si>
  <si>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</si>
  <si>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</si>
  <si>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</si>
  <si>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</si>
  <si>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</si>
  <si>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</si>
  <si>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</si>
  <si>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</si>
  <si>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</si>
  <si>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</si>
  <si>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</si>
  <si>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</si>
  <si>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</si>
  <si>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</si>
  <si>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</si>
  <si>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</si>
  <si>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</si>
  <si>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Net Sales 2022</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</si>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</sst>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3" formatCode="&quot;$&quot;#,##0.00"/>
    <numFmt numFmtId="175" formatCode="&quot;$&quot;#,##0"/>
    <numFmt numFmtId="178" formatCode="&quot;$&quot;#,##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3" fontId="0" fillId="0" borderId="0" xfId="1" applyNumberFormat="1" applyFont="1"/>
    <xf numFmtId="175" fontId="0" fillId="0" borderId="0" xfId="2" applyNumberFormat="1" applyFont="1"/>
    <xf numFmtId="175" fontId="0" fillId="0" borderId="0" xfId="1" applyNumberFormat="1" applyFont="1"/>
    <xf numFmtId="173" fontId="0" fillId="0" borderId="0" xfId="0" applyNumberFormat="1"/>
    <xf numFmtId="178" fontId="0" fillId="0" borderId="0" xfId="0" applyNumberFormat="1"/>
    <xf numFmtId="0" fontId="0" fillId="0" borderId="0" xfId="0" applyNumberFormat="1"/>
    <xf numFmtId="175" fontId="0" fillId="0" borderId="0" xfId="0" applyNumberFormat="1"/>
  </cellXfs>
  <cellStyles count="4">
    <cellStyle name="Comma" xfId="2" builtinId="3"/>
    <cellStyle name="Currency" xfId="1" builtinId="4"/>
    <cellStyle name="Normal" xfId="0" builtinId="0"/>
    <cellStyle name="Percent" xfId="3" builtinId="5"/>
  </cellStyles>
  <dxfs count="69">
    <dxf>
      <font>
        <b val="0"/>
        <i val="0"/>
        <strike val="0"/>
        <condense val="0"/>
        <extend val="0"/>
        <outline val="0"/>
        <shadow val="0"/>
        <u val="none"/>
        <vertAlign val="baseline"/>
        <sz val="11"/>
        <color theme="1"/>
        <name val="Calibri"/>
        <family val="2"/>
        <scheme val="minor"/>
      </font>
      <numFmt numFmtId="175" formatCode="&quot;$&quot;#,##0"/>
    </dxf>
    <dxf>
      <numFmt numFmtId="175" formatCode="&quot;$&quot;#,##0"/>
    </dxf>
    <dxf>
      <font>
        <b val="0"/>
        <i val="0"/>
        <strike val="0"/>
        <condense val="0"/>
        <extend val="0"/>
        <outline val="0"/>
        <shadow val="0"/>
        <u val="none"/>
        <vertAlign val="baseline"/>
        <sz val="11"/>
        <color theme="1"/>
        <name val="Calibri"/>
        <family val="2"/>
        <scheme val="minor"/>
      </font>
      <numFmt numFmtId="173" formatCode="&quot;$&quot;#,##0.00"/>
    </dxf>
    <dxf>
      <font>
        <b val="0"/>
        <i val="0"/>
        <strike val="0"/>
        <condense val="0"/>
        <extend val="0"/>
        <outline val="0"/>
        <shadow val="0"/>
        <u val="none"/>
        <vertAlign val="baseline"/>
        <sz val="11"/>
        <color theme="1"/>
        <name val="Calibri"/>
        <family val="2"/>
        <scheme val="minor"/>
      </font>
      <numFmt numFmtId="175" formatCode="&quot;$&quot;#,##0"/>
    </dxf>
    <dxf>
      <font>
        <b val="0"/>
        <i val="0"/>
        <strike val="0"/>
        <condense val="0"/>
        <extend val="0"/>
        <outline val="0"/>
        <shadow val="0"/>
        <u val="none"/>
        <vertAlign val="baseline"/>
        <sz val="11"/>
        <color theme="1"/>
        <name val="Calibri"/>
        <family val="2"/>
        <scheme val="minor"/>
      </font>
      <numFmt numFmtId="175" formatCode="&quot;$&quot;#,##0"/>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73" formatCode="&quot;$&quot;#,##0.00"/>
    </dxf>
    <dxf>
      <font>
        <b val="0"/>
        <i val="0"/>
        <strike val="0"/>
        <condense val="0"/>
        <extend val="0"/>
        <outline val="0"/>
        <shadow val="0"/>
        <u val="none"/>
        <vertAlign val="baseline"/>
        <sz val="11"/>
        <color theme="1"/>
        <name val="Calibri"/>
        <family val="2"/>
        <scheme val="minor"/>
      </font>
      <numFmt numFmtId="173" formatCode="&quot;$&quot;#,##0.00"/>
    </dxf>
    <dxf>
      <font>
        <b val="0"/>
        <i val="0"/>
        <strike val="0"/>
        <condense val="0"/>
        <extend val="0"/>
        <outline val="0"/>
        <shadow val="0"/>
        <u val="none"/>
        <vertAlign val="baseline"/>
        <sz val="11"/>
        <color theme="1"/>
        <name val="Calibri"/>
        <family val="2"/>
        <scheme val="minor"/>
      </font>
      <numFmt numFmtId="173" formatCode="&quot;$&quot;#,##0.00"/>
    </dxf>
    <dxf>
      <numFmt numFmtId="0" formatCode="General"/>
    </dxf>
    <dxf>
      <numFmt numFmtId="175" formatCode="&quot;$&quot;#,##0"/>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8" formatCode="&quot;$&quot;#,##0.000"/>
    </dxf>
    <dxf>
      <font>
        <b val="0"/>
        <i val="0"/>
        <strike val="0"/>
        <condense val="0"/>
        <extend val="0"/>
        <outline val="0"/>
        <shadow val="0"/>
        <u val="none"/>
        <vertAlign val="baseline"/>
        <sz val="11"/>
        <color theme="1"/>
        <name val="Calibri"/>
        <family val="2"/>
        <scheme val="minor"/>
      </font>
      <numFmt numFmtId="175" formatCode="&quot;$&quot;#,##0"/>
    </dxf>
    <dxf>
      <font>
        <b val="0"/>
        <i val="0"/>
        <strike val="0"/>
        <condense val="0"/>
        <extend val="0"/>
        <outline val="0"/>
        <shadow val="0"/>
        <u val="none"/>
        <vertAlign val="baseline"/>
        <sz val="11"/>
        <color theme="1"/>
        <name val="Calibri"/>
        <family val="2"/>
        <scheme val="minor"/>
      </font>
      <numFmt numFmtId="173" formatCode="&quot;$&quot;#,##0.00"/>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75" formatCode="&quot;$&quot;#,##0"/>
    </dxf>
    <dxf>
      <font>
        <b val="0"/>
        <i val="0"/>
        <strike val="0"/>
        <condense val="0"/>
        <extend val="0"/>
        <outline val="0"/>
        <shadow val="0"/>
        <u val="none"/>
        <vertAlign val="baseline"/>
        <sz val="11"/>
        <color theme="1"/>
        <name val="Calibri"/>
        <family val="2"/>
        <scheme val="minor"/>
      </font>
      <numFmt numFmtId="173" formatCode="&quot;$&quot;#,##0.00"/>
    </dxf>
    <dxf>
      <font>
        <b val="0"/>
        <i val="0"/>
        <strike val="0"/>
        <condense val="0"/>
        <extend val="0"/>
        <outline val="0"/>
        <shadow val="0"/>
        <u val="none"/>
        <vertAlign val="baseline"/>
        <sz val="11"/>
        <color theme="1"/>
        <name val="Calibri"/>
        <family val="2"/>
        <scheme val="minor"/>
      </font>
      <numFmt numFmtId="173" formatCode="&quot;$&quot;#,##0.00"/>
    </dxf>
    <dxf>
      <font>
        <b val="0"/>
        <i val="0"/>
        <strike val="0"/>
        <condense val="0"/>
        <extend val="0"/>
        <outline val="0"/>
        <shadow val="0"/>
        <u val="none"/>
        <vertAlign val="baseline"/>
        <sz val="11"/>
        <color theme="1"/>
        <name val="Calibri"/>
        <family val="2"/>
        <scheme val="minor"/>
      </font>
      <numFmt numFmtId="173" formatCode="&quot;$&quot;#,##0.00"/>
    </dxf>
    <dxf>
      <numFmt numFmtId="0" formatCode="General"/>
    </dxf>
    <dxf>
      <numFmt numFmtId="167" formatCode="_ * #,##0_ ;_ * \-#,##0_ ;_ * &quot;-&quot;??_ ;_ @_ "/>
    </dxf>
    <dxf>
      <numFmt numFmtId="166" formatCode="_-[$$-409]* #,##0_ ;_-[$$-409]* \-#,##0\ ;_-[$$-409]* &quot;-&quot;??_ ;_-@_ "/>
    </dxf>
    <dxf>
      <numFmt numFmtId="169" formatCode="_-[$$-409]* #,##0.00_ ;_-[$$-409]* \-#,##0.00\ ;_-[$$-409]* &quot;-&quot;??_ ;_-@_ "/>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70" formatCode="0.0%"/>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3" formatCode="0%"/>
    </dxf>
    <dxf>
      <font>
        <b val="0"/>
        <i val="0"/>
        <strike val="0"/>
        <condense val="0"/>
        <extend val="0"/>
        <outline val="0"/>
        <shadow val="0"/>
        <u val="none"/>
        <vertAlign val="baseline"/>
        <sz val="11"/>
        <color theme="1"/>
        <name val="Calibri"/>
        <family val="2"/>
        <scheme val="minor"/>
      </font>
      <numFmt numFmtId="170" formatCode="0.0%"/>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2 Solution - Copy.xlsx]Market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Harmonix</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Ocean Breeze</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Orchid Oasis</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Nourish</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Lavender Bloom</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Mango Tango</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Oceanic</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Charisma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Wild Flower</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Golden Aura</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Wave</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2 Solution - Copy.xlsx]Promotion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F8D-4D20-8512-77054398EE47}"/>
            </c:ext>
          </c:extLst>
        </c:ser>
        <c:dLbls>
          <c:showLegendKey val="0"/>
          <c:showVal val="0"/>
          <c:showCatName val="0"/>
          <c:showSerName val="0"/>
          <c:showPercent val="0"/>
          <c:showBubbleSize val="0"/>
        </c:dLbls>
        <c:marker val="1"/>
        <c:smooth val="0"/>
        <c:axId val="854374072"/>
        <c:axId val="854371192"/>
      </c:lineChart>
      <c:catAx>
        <c:axId val="854374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371192"/>
        <c:crosses val="autoZero"/>
        <c:auto val="1"/>
        <c:lblAlgn val="ctr"/>
        <c:lblOffset val="100"/>
        <c:noMultiLvlLbl val="0"/>
      </c:catAx>
      <c:valAx>
        <c:axId val="854371192"/>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3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4FD0-491F-9E31-ECF2B2CE1470}"/>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31442892</c:v>
                </c:pt>
                <c:pt idx="5" formatCode="&quot;$&quot;#,##0">
                  <c:v>31635324.071610071</c:v>
                </c:pt>
                <c:pt idx="6" formatCode="&quot;$&quot;#,##0">
                  <c:v>31946447.752088487</c:v>
                </c:pt>
              </c:numCache>
            </c:numRef>
          </c:val>
          <c:smooth val="0"/>
          <c:extLst>
            <c:ext xmlns:c16="http://schemas.microsoft.com/office/drawing/2014/chart" uri="{C3380CC4-5D6E-409C-BE32-E72D297353CC}">
              <c16:uniqueId val="{00000001-4FD0-491F-9E31-ECF2B2CE1470}"/>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31442892</c:v>
                </c:pt>
                <c:pt idx="5" formatCode="&quot;$&quot;#,##0">
                  <c:v>30014004.36554271</c:v>
                </c:pt>
                <c:pt idx="6" formatCode="&quot;$&quot;#,##0">
                  <c:v>30274835.684028216</c:v>
                </c:pt>
              </c:numCache>
            </c:numRef>
          </c:val>
          <c:smooth val="0"/>
          <c:extLst>
            <c:ext xmlns:c16="http://schemas.microsoft.com/office/drawing/2014/chart" uri="{C3380CC4-5D6E-409C-BE32-E72D297353CC}">
              <c16:uniqueId val="{00000002-4FD0-491F-9E31-ECF2B2CE1470}"/>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31442892</c:v>
                </c:pt>
                <c:pt idx="5" formatCode="&quot;$&quot;#,##0">
                  <c:v>33256643.777677432</c:v>
                </c:pt>
                <c:pt idx="6" formatCode="&quot;$&quot;#,##0">
                  <c:v>33618059.820148759</c:v>
                </c:pt>
              </c:numCache>
            </c:numRef>
          </c:val>
          <c:smooth val="0"/>
          <c:extLst>
            <c:ext xmlns:c16="http://schemas.microsoft.com/office/drawing/2014/chart" uri="{C3380CC4-5D6E-409C-BE32-E72D297353CC}">
              <c16:uniqueId val="{00000003-4FD0-491F-9E31-ECF2B2CE1470}"/>
            </c:ext>
          </c:extLst>
        </c:ser>
        <c:dLbls>
          <c:showLegendKey val="0"/>
          <c:showVal val="0"/>
          <c:showCatName val="0"/>
          <c:showSerName val="0"/>
          <c:showPercent val="0"/>
          <c:showBubbleSize val="0"/>
        </c:dLbls>
        <c:smooth val="0"/>
        <c:axId val="865595936"/>
        <c:axId val="865604576"/>
      </c:lineChart>
      <c:catAx>
        <c:axId val="86559593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604576"/>
        <c:crosses val="autoZero"/>
        <c:auto val="1"/>
        <c:lblAlgn val="ctr"/>
        <c:lblOffset val="100"/>
        <c:noMultiLvlLbl val="0"/>
      </c:catAx>
      <c:valAx>
        <c:axId val="8656045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595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strDim>
      <cx:numDim type="val">
        <cx:f dir="row">_xlchart.v5.3</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2B316C91-9AEF-4233-86F2-652E54C3B1A0}">
          <cx:dataPt idx="4">
            <cx:spPr>
              <a:solidFill>
                <a:srgbClr val="FFC000"/>
              </a:solidFill>
            </cx:spPr>
          </cx:dataPt>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fmtOvrs>
    <cx:fmtOvr idx="2">
      <cx:spPr>
        <a:solidFill>
          <a:schemeClr val="accent4"/>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464344</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561975</xdr:colOff>
      <xdr:row>2</xdr:row>
      <xdr:rowOff>185737</xdr:rowOff>
    </xdr:from>
    <xdr:to>
      <xdr:col>11</xdr:col>
      <xdr:colOff>257175</xdr:colOff>
      <xdr:row>17</xdr:row>
      <xdr:rowOff>71437</xdr:rowOff>
    </xdr:to>
    <xdr:graphicFrame macro="">
      <xdr:nvGraphicFramePr>
        <xdr:cNvPr id="2" name="Chart 1">
          <a:extLst>
            <a:ext uri="{FF2B5EF4-FFF2-40B4-BE49-F238E27FC236}">
              <a16:creationId xmlns:a16="http://schemas.microsoft.com/office/drawing/2014/main" id="{CB0E4D1A-EC63-9E16-0BA1-95FC7146C4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647700</xdr:colOff>
      <xdr:row>10</xdr:row>
      <xdr:rowOff>4762</xdr:rowOff>
    </xdr:from>
    <xdr:to>
      <xdr:col>10</xdr:col>
      <xdr:colOff>352425</xdr:colOff>
      <xdr:row>25</xdr:row>
      <xdr:rowOff>80962</xdr:rowOff>
    </xdr:to>
    <xdr:graphicFrame macro="">
      <xdr:nvGraphicFramePr>
        <xdr:cNvPr id="2" name="Chart 1">
          <a:extLst>
            <a:ext uri="{FF2B5EF4-FFF2-40B4-BE49-F238E27FC236}">
              <a16:creationId xmlns:a16="http://schemas.microsoft.com/office/drawing/2014/main" id="{CCFA5A34-BC9E-7FC0-CD6C-5897668927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952499</xdr:colOff>
      <xdr:row>4</xdr:row>
      <xdr:rowOff>4761</xdr:rowOff>
    </xdr:from>
    <xdr:to>
      <xdr:col>12</xdr:col>
      <xdr:colOff>209550</xdr:colOff>
      <xdr:row>24</xdr:row>
      <xdr:rowOff>142875</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CE0B13FF-3386-A172-4E9C-6B572D7D4B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86024" y="766761"/>
              <a:ext cx="8048626" cy="39481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19"/>
    </i>
    <i>
      <x v="21"/>
    </i>
    <i>
      <x v="5"/>
    </i>
    <i>
      <x v="18"/>
    </i>
    <i>
      <x v="2"/>
    </i>
    <i>
      <x v="11"/>
    </i>
    <i>
      <x v="13"/>
    </i>
    <i>
      <x v="10"/>
    </i>
    <i>
      <x v="9"/>
    </i>
    <i>
      <x v="7"/>
    </i>
    <i>
      <x v="8"/>
    </i>
    <i>
      <x v="16"/>
    </i>
    <i>
      <x v="14"/>
    </i>
    <i>
      <x v="20"/>
    </i>
    <i>
      <x v="12"/>
    </i>
    <i>
      <x v="6"/>
    </i>
    <i>
      <x/>
    </i>
    <i>
      <x v="23"/>
    </i>
    <i>
      <x v="24"/>
    </i>
    <i>
      <x v="17"/>
    </i>
    <i>
      <x v="3"/>
    </i>
    <i>
      <x v="15"/>
    </i>
    <i>
      <x v="1"/>
    </i>
    <i>
      <x v="4"/>
    </i>
    <i>
      <x v="22"/>
    </i>
    <i t="grand">
      <x/>
    </i>
  </colItems>
  <dataFields count="1">
    <dataField name="Sum of Values Month" fld="8" showDataAs="percentOfRow" baseField="0" baseItem="0" numFmtId="9"/>
  </dataFields>
  <formats count="1">
    <format dxfId="67">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8">
      <pivotArea outline="0" fieldPosition="0">
        <references count="1">
          <reference field="4294967294" count="1">
            <x v="0"/>
          </reference>
        </references>
      </pivotArea>
    </format>
    <format dxfId="47">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75"/>
  </dataFields>
  <formats count="2">
    <format dxfId="49">
      <pivotArea outline="0" collapsedLevelsAreSubtotals="1" fieldPosition="0">
        <references count="1">
          <reference field="5" count="1" selected="0">
            <x v="4"/>
          </reference>
        </references>
      </pivotArea>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366FB6-DE49-4C36-8A86-1311CDF772C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1C3806-5CE4-458D-A7C5-1DF8211E740C}" name="PivotTable2"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4529BC-B98E-4CC6-BB26-DDE656B9F5EE}"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6E48EB-6574-4417-A1CD-89A5CBE4C56A}" name="internal_sales_data5" displayName="internal_sales_data5" ref="A1:M12">
  <autoFilter ref="A1:M12" xr:uid="{04364B77-531F-4E7F-8C97-717C91709596}"/>
  <tableColumns count="13">
    <tableColumn id="1" xr3:uid="{146FCEB0-9582-4B3C-87B4-2F833DF48D9E}" name="Brand" totalsRowLabel="Total" dataDxfId="38"/>
    <tableColumn id="2" xr3:uid="{CC4F035D-2035-41A2-A95A-72E7879A1EC7}" name="Product" dataDxfId="37"/>
    <tableColumn id="3" xr3:uid="{6E70A647-54C9-46DF-B5D5-D452344BDEA1}" name="Pack Size (ml)"/>
    <tableColumn id="4" xr3:uid="{FE3EFAE0-070A-48D8-9E3D-7AD23F83294D}" name="ProductID" dataDxfId="31"/>
    <tableColumn id="5" xr3:uid="{66B13735-35A5-4CE4-AF38-FB7963518DDB}" name="Retail Price" dataDxfId="30" dataCellStyle="Currency"/>
    <tableColumn id="6" xr3:uid="{F2E29A6F-BD04-4838-B018-9E5CAA9BF08C}" name="Net Price" dataDxfId="29" dataCellStyle="Currency"/>
    <tableColumn id="7" xr3:uid="{E3C63FF1-542D-4353-8D67-3863F2ED36DC}" name="COGS" dataDxfId="28" dataCellStyle="Currency"/>
    <tableColumn id="8" xr3:uid="{79069234-00F1-4F3C-B329-44FFBCAC9423}" name="Volume 2022" totalsRowFunction="sum" dataDxfId="26" totalsRowDxfId="32" dataCellStyle="Comma"/>
    <tableColumn id="10" xr3:uid="{459A88AA-722D-4E3C-B5F9-162989637068}" name="Net Sales 2022" totalsRowFunction="sum" dataDxfId="27" totalsRowDxfId="33" dataCellStyle="Currency">
      <calculatedColumnFormula>internal_sales_data5[[#This Row],[Volume 2022]]*internal_sales_data5[[#This Row],[Net Price]]</calculatedColumnFormula>
    </tableColumn>
    <tableColumn id="9" xr3:uid="{35993D6D-4822-40C0-89B7-2C344A620A03}" name="Gross Profit per unit" dataDxfId="25" totalsRowDxfId="34" dataCellStyle="Currency">
      <calculatedColumnFormula>internal_sales_data5[[#This Row],[Net Price]]-internal_sales_data5[[#This Row],[COGS]]</calculatedColumnFormula>
    </tableColumn>
    <tableColumn id="11" xr3:uid="{C0F446BE-4765-4951-AC5B-F9044E8623D3}" name="Gross Profit per product" totalsRowFunction="sum" dataDxfId="24" totalsRowDxfId="35" dataCellStyle="Currency">
      <calculatedColumnFormula>internal_sales_data5[[#This Row],[Gross Profit per unit]]*internal_sales_data5[[#This Row],[Volume 2022]]</calculatedColumnFormula>
    </tableColumn>
    <tableColumn id="12" xr3:uid="{289A2BD9-0057-431D-A25B-C89CC7D0B9B4}" name="Gross Margin" totalsRowFunction="custom" totalsRowDxfId="36"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5F780E2D-ACF1-49AC-B6FD-C4F16058BD96}" name="Price per ml" dataDxfId="23">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6"/>
    <tableColumn id="2" xr3:uid="{6AE352D5-6C16-4164-8AC0-45FA1FF286BF}" name="Estimated Unit Market Share" dataCellStyle="Percent"/>
    <tableColumn id="3" xr3:uid="{31AA58DE-DB16-4AD7-9EE2-3FBD593D8486}" name="Estimated units sold 2024" dataDxfId="45" dataCellStyle="Comma">
      <calculatedColumnFormula>new_product_launch[[#This Row],[Estimated Unit Market Share]]*'New Category Opportunity'!$B$18</calculatedColumnFormula>
    </tableColumn>
    <tableColumn id="4" xr3:uid="{983BA861-9FD5-40BD-BAD6-5572FA3B9563}" name="Net Price" dataDxfId="44"/>
    <tableColumn id="5" xr3:uid="{8197C623-3CF8-4E81-AD27-88ADB9A58EE4}" name="Net Sales" dataDxfId="43">
      <calculatedColumnFormula>new_product_launch[[#This Row],[Net Price]]*new_product_launch[[#This Row],[Estimated units sold 2024]]</calculatedColumnFormula>
    </tableColumn>
    <tableColumn id="6" xr3:uid="{0813BA88-04DC-44D1-BBDD-F8260333BD3F}" name="COGS" dataDxfId="42"/>
    <tableColumn id="7" xr3:uid="{0BDC181A-386D-45F3-8640-F0B86C17865D}" name="Gross Profit per unit" dataDxfId="41">
      <calculatedColumnFormula>new_product_launch[[#This Row],[Net Price]]-new_product_launch[[#This Row],[COGS]]</calculatedColumnFormula>
    </tableColumn>
    <tableColumn id="8" xr3:uid="{C9FE25C5-9CBC-4262-8F58-9FAD1AFE1F38}" name="Gross Profit per product" dataDxfId="40" dataCellStyle="Comma">
      <calculatedColumnFormula>new_product_launch[[#This Row],[Gross Profit per unit]]*new_product_launch[[#This Row],[Estimated units sold 2024]]</calculatedColumnFormula>
    </tableColumn>
    <tableColumn id="9" xr3:uid="{7B898487-076D-4DC9-AC86-FE42D0850365}" name="Gross Margin" dataDxfId="39">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707027-19C5-4982-8289-1FD5F49E312E}" name="promotion_analysis" displayName="promotion_analysis" ref="A1:J4" tableType="queryTable" totalsRowShown="0">
  <autoFilter ref="A1:J4" xr:uid="{99707027-19C5-4982-8289-1FD5F49E312E}"/>
  <tableColumns count="10">
    <tableColumn id="1" xr3:uid="{F57CC88E-E6D2-41F4-B7B2-B5D8C368F8ED}" uniqueName="1" name="Promotion " queryTableFieldId="1"/>
    <tableColumn id="2" xr3:uid="{C7620781-42F8-4A4B-8FBC-40F1202FC482}" uniqueName="2" name="Mechanism" queryTableFieldId="2" dataDxfId="22"/>
    <tableColumn id="3" xr3:uid="{A612FE5D-E99A-4153-A9CF-2EF98502F635}" uniqueName="3" name="Brand" queryTableFieldId="3" dataDxfId="21"/>
    <tableColumn id="4" xr3:uid="{8EAD680A-8B8E-4950-885B-375F541DE649}" uniqueName="4" name="Year" queryTableFieldId="4"/>
    <tableColumn id="5" xr3:uid="{2DA38161-E27E-4224-8D45-E57967E4FA9E}" uniqueName="5" name="Month" queryTableFieldId="5"/>
    <tableColumn id="6" xr3:uid="{750BB5BA-032E-4799-9BD7-98ED47F9ACBB}" uniqueName="6" name="Value sales" queryTableFieldId="6" dataDxfId="20"/>
    <tableColumn id="7" xr3:uid="{04306ED2-C5A3-4880-8361-C4C03D632219}" uniqueName="7" name="Baseline sales " queryTableFieldId="7" dataDxfId="19"/>
    <tableColumn id="8" xr3:uid="{8D1F23E6-24E8-43B7-A895-D05780621D87}" uniqueName="8" name="Uplift" queryTableFieldId="8" dataDxfId="18"/>
    <tableColumn id="9" xr3:uid="{2EAD7EA4-F60E-4CAB-9ABF-A5360C156C4E}" uniqueName="9" name="Costs" queryTableFieldId="9"/>
    <tableColumn id="10" xr3:uid="{CD16967B-65F5-4B87-B3D9-E425537FD2CF}" uniqueName="10" name="ROI" queryTableFieldId="10" dataDxf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0EB37F-EC17-4AF9-92D9-53E02571A636}" name="Table6" displayName="Table6" ref="A1:G8" totalsRowShown="0">
  <autoFilter ref="A1:G8" xr:uid="{260EB37F-EC17-4AF9-92D9-53E02571A636}"/>
  <tableColumns count="7">
    <tableColumn id="1" xr3:uid="{1F071B2C-C992-4BFD-8B29-D01C2CE0C51A}" name="Timeline"/>
    <tableColumn id="2" xr3:uid="{E310645E-16F9-43C4-85D9-3563E484FAAD}" name="Market values" dataDxfId="16"/>
    <tableColumn id="3" xr3:uid="{9C1B01AE-6B5D-4D69-A187-5EF77A8C6434}" name="Forecast" dataDxfId="15"/>
    <tableColumn id="4" xr3:uid="{E0434295-BA73-4520-A07B-0680198386BA}" name="Lower Confidence Bound" dataDxfId="14"/>
    <tableColumn id="5" xr3:uid="{F7ABFEB4-369C-423B-994A-6EF41EA38487}" name="Upper Confidence Bound" dataDxfId="13"/>
    <tableColumn id="6" xr3:uid="{7B66D109-4253-4576-A99F-E27D37A644F9}" name="Net Sales" dataDxfId="12">
      <calculatedColumnFormula>internal_sales_data[[#Totals],[Net Sales 2022]]</calculatedColumnFormula>
    </tableColumn>
    <tableColumn id="7" xr3:uid="{4939F1B4-17A0-4817-9AE6-2DBFFA2E0CDC}" name="Ratio" dataDxfId="11">
      <calculatedColumnFormula>Table6[[#This Row],[Net Sales]]/Table6[[#This Row],[Market values]]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6"/>
    <tableColumn id="2" xr3:uid="{E62B3F1F-9A15-44B4-B1DD-CAF27CF3C747}" name="Subcategory" dataDxfId="65"/>
    <tableColumn id="3" xr3:uid="{FA4BBA42-4CD5-4FEC-99C8-F3DEA363596F}" name="Supplier" dataDxfId="64"/>
    <tableColumn id="4" xr3:uid="{363950AD-92F1-4B62-BAD5-6C6ED9D314C8}" name="Brand" dataDxfId="63"/>
    <tableColumn id="5" xr3:uid="{278D3098-9E4F-422C-8E1A-9941BBC3EF43}" name="Region" dataDxfId="62"/>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1"/>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0"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59">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57"/>
    <tableColumn id="2" xr3:uid="{025C4312-31D3-409B-B984-DBF4AEFE2FA6}" name="Product" dataDxfId="56"/>
    <tableColumn id="3" xr3:uid="{D40B8F72-DA12-4584-B326-495AA00C251F}" name="Pack Size (ml)"/>
    <tableColumn id="4" xr3:uid="{E106DA15-1281-4518-AE4A-C358C1924FEA}" name="ProductID" dataDxfId="9"/>
    <tableColumn id="5" xr3:uid="{AE844CDE-AAF3-4312-96B5-E0534EF567F3}" name="Retail Price" dataDxfId="8" totalsRowDxfId="55" dataCellStyle="Currency"/>
    <tableColumn id="6" xr3:uid="{732BB0A7-0D20-404F-B2AF-EC6A28C2A71A}" name="Net Price" dataDxfId="7" totalsRowDxfId="54" dataCellStyle="Currency"/>
    <tableColumn id="7" xr3:uid="{BB7F7A5B-FAB9-4038-AD33-08EE0D4766AD}" name="COGS" dataDxfId="6" totalsRowDxfId="53" dataCellStyle="Currency"/>
    <tableColumn id="8" xr3:uid="{CCF364DE-01EF-4200-AB41-ED9058D076B5}" name="Volume 2022" totalsRowFunction="sum" dataDxfId="5" totalsRowDxfId="52" dataCellStyle="Comma"/>
    <tableColumn id="10" xr3:uid="{08E3A2F7-3C74-49D9-91B9-79AD4050A4A7}" name="Net Sales 2022" totalsRowFunction="sum" dataDxfId="4" totalsRowDxfId="0" dataCellStyle="Currency">
      <calculatedColumnFormula>internal_sales_data[[#This Row],[Volume 2022]]*internal_sales_data[[#This Row],[Net Price]]</calculatedColumnFormula>
    </tableColumn>
    <tableColumn id="9" xr3:uid="{3C283A83-C2B7-4006-B2BA-AFEDB11C31BE}" name="Gross Profit per unit" dataDxfId="2" totalsRowDxfId="51" dataCellStyle="Currency">
      <calculatedColumnFormula>internal_sales_data[[#This Row],[Net Price]]-internal_sales_data[[#This Row],[COGS]]</calculatedColumnFormula>
    </tableColumn>
    <tableColumn id="11" xr3:uid="{7C588C62-85DC-41E9-81C4-648DF71F5B17}" name="Gross Profit per product" totalsRowFunction="sum" dataDxfId="3" totalsRowDxfId="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5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E3338-CB31-44DC-9B1F-30F98BBDCA4C}">
  <dimension ref="A1:M22"/>
  <sheetViews>
    <sheetView tabSelected="1" workbookViewId="0">
      <selection activeCell="E12" sqref="E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13.85546875" bestFit="1" customWidth="1"/>
  </cols>
  <sheetData>
    <row r="1" spans="1:13" x14ac:dyDescent="0.25">
      <c r="A1" t="s">
        <v>2</v>
      </c>
      <c r="B1" t="s">
        <v>68</v>
      </c>
      <c r="C1" t="s">
        <v>69</v>
      </c>
      <c r="D1" t="s">
        <v>70</v>
      </c>
      <c r="E1" s="8" t="s">
        <v>71</v>
      </c>
      <c r="F1" s="8" t="s">
        <v>72</v>
      </c>
      <c r="G1" s="8" t="s">
        <v>73</v>
      </c>
      <c r="H1" s="9" t="s">
        <v>74</v>
      </c>
      <c r="I1" t="s">
        <v>102</v>
      </c>
      <c r="J1" t="s">
        <v>94</v>
      </c>
      <c r="K1" t="s">
        <v>90</v>
      </c>
      <c r="L1" t="s">
        <v>91</v>
      </c>
      <c r="M1" t="s">
        <v>105</v>
      </c>
    </row>
    <row r="2" spans="1:13" x14ac:dyDescent="0.25">
      <c r="A2" t="s">
        <v>57</v>
      </c>
      <c r="B2" t="s">
        <v>75</v>
      </c>
      <c r="C2">
        <v>100</v>
      </c>
      <c r="D2" t="s">
        <v>76</v>
      </c>
      <c r="E2" s="17">
        <v>5</v>
      </c>
      <c r="F2" s="17">
        <v>3.1</v>
      </c>
      <c r="G2" s="17">
        <v>0.9</v>
      </c>
      <c r="H2" s="9">
        <v>1156348</v>
      </c>
      <c r="I2" s="19">
        <f>internal_sales_data5[[#This Row],[Volume 2022]]*internal_sales_data5[[#This Row],[Net Price]]</f>
        <v>3584678.8000000003</v>
      </c>
      <c r="J2" s="17">
        <f>internal_sales_data5[[#This Row],[Net Price]]-internal_sales_data5[[#This Row],[COGS]]</f>
        <v>2.2000000000000002</v>
      </c>
      <c r="K2" s="19">
        <f>internal_sales_data5[[#This Row],[Gross Profit per unit]]*internal_sales_data5[[#This Row],[Volume 2022]]</f>
        <v>2543965.6</v>
      </c>
      <c r="L2" s="13">
        <f>internal_sales_data5[[#This Row],[Gross Profit per unit]]/internal_sales_data5[[#This Row],[Net Price]]</f>
        <v>0.70967741935483875</v>
      </c>
      <c r="M2" s="21">
        <f>internal_sales_data5[[#This Row],[Retail Price]]/internal_sales_data5[[#This Row],[Pack Size (ml)]]</f>
        <v>0.05</v>
      </c>
    </row>
    <row r="3" spans="1:13" x14ac:dyDescent="0.25">
      <c r="A3" t="s">
        <v>57</v>
      </c>
      <c r="B3" t="s">
        <v>77</v>
      </c>
      <c r="C3">
        <v>100</v>
      </c>
      <c r="D3" t="s">
        <v>78</v>
      </c>
      <c r="E3" s="17">
        <v>5</v>
      </c>
      <c r="F3" s="17">
        <v>2.9</v>
      </c>
      <c r="G3" s="17">
        <v>0.95</v>
      </c>
      <c r="H3" s="9">
        <v>693809</v>
      </c>
      <c r="I3" s="19">
        <f>internal_sales_data5[[#This Row],[Volume 2022]]*internal_sales_data5[[#This Row],[Net Price]]</f>
        <v>2012046.0999999999</v>
      </c>
      <c r="J3" s="17">
        <f>internal_sales_data5[[#This Row],[Net Price]]-internal_sales_data5[[#This Row],[COGS]]</f>
        <v>1.95</v>
      </c>
      <c r="K3" s="19">
        <f>internal_sales_data5[[#This Row],[Gross Profit per unit]]*internal_sales_data5[[#This Row],[Volume 2022]]</f>
        <v>1352927.55</v>
      </c>
      <c r="L3" s="13">
        <f>internal_sales_data5[[#This Row],[Gross Profit per unit]]/internal_sales_data5[[#This Row],[Net Price]]</f>
        <v>0.67241379310344829</v>
      </c>
      <c r="M3" s="21">
        <f>internal_sales_data5[[#This Row],[Retail Price]]/internal_sales_data5[[#This Row],[Pack Size (ml)]]</f>
        <v>0.05</v>
      </c>
    </row>
    <row r="4" spans="1:13" x14ac:dyDescent="0.25">
      <c r="A4" t="s">
        <v>57</v>
      </c>
      <c r="B4" t="s">
        <v>79</v>
      </c>
      <c r="C4">
        <v>100</v>
      </c>
      <c r="D4" t="s">
        <v>80</v>
      </c>
      <c r="E4" s="17">
        <v>5</v>
      </c>
      <c r="F4" s="17">
        <v>2.8</v>
      </c>
      <c r="G4" s="17">
        <v>1</v>
      </c>
      <c r="H4" s="9">
        <v>346904</v>
      </c>
      <c r="I4" s="19">
        <f>internal_sales_data5[[#This Row],[Volume 2022]]*internal_sales_data5[[#This Row],[Net Price]]</f>
        <v>971331.2</v>
      </c>
      <c r="J4" s="17">
        <f>internal_sales_data5[[#This Row],[Net Price]]-internal_sales_data5[[#This Row],[COGS]]</f>
        <v>1.7999999999999998</v>
      </c>
      <c r="K4" s="19">
        <f>internal_sales_data5[[#This Row],[Gross Profit per unit]]*internal_sales_data5[[#This Row],[Volume 2022]]</f>
        <v>624427.19999999995</v>
      </c>
      <c r="L4" s="13">
        <f>internal_sales_data5[[#This Row],[Gross Profit per unit]]/internal_sales_data5[[#This Row],[Net Price]]</f>
        <v>0.64285714285714279</v>
      </c>
      <c r="M4" s="21">
        <f>internal_sales_data5[[#This Row],[Retail Price]]/internal_sales_data5[[#This Row],[Pack Size (ml)]]</f>
        <v>0.05</v>
      </c>
    </row>
    <row r="5" spans="1:13" x14ac:dyDescent="0.25">
      <c r="A5" t="s">
        <v>57</v>
      </c>
      <c r="B5" t="s">
        <v>75</v>
      </c>
      <c r="C5">
        <v>150</v>
      </c>
      <c r="D5" t="s">
        <v>81</v>
      </c>
      <c r="E5" s="17">
        <v>7</v>
      </c>
      <c r="F5" s="17">
        <v>3.5</v>
      </c>
      <c r="G5" s="17">
        <v>1.2</v>
      </c>
      <c r="H5" s="9">
        <v>693809</v>
      </c>
      <c r="I5" s="19">
        <f>internal_sales_data5[[#This Row],[Volume 2022]]*internal_sales_data5[[#This Row],[Net Price]]</f>
        <v>2428331.5</v>
      </c>
      <c r="J5" s="17">
        <f>internal_sales_data5[[#This Row],[Net Price]]-internal_sales_data5[[#This Row],[COGS]]</f>
        <v>2.2999999999999998</v>
      </c>
      <c r="K5" s="19">
        <f>internal_sales_data5[[#This Row],[Gross Profit per unit]]*internal_sales_data5[[#This Row],[Volume 2022]]</f>
        <v>1595760.7</v>
      </c>
      <c r="L5" s="13">
        <f>internal_sales_data5[[#This Row],[Gross Profit per unit]]/internal_sales_data5[[#This Row],[Net Price]]</f>
        <v>0.65714285714285714</v>
      </c>
      <c r="M5" s="21">
        <f>internal_sales_data5[[#This Row],[Retail Price]]/internal_sales_data5[[#This Row],[Pack Size (ml)]]</f>
        <v>4.6666666666666669E-2</v>
      </c>
    </row>
    <row r="6" spans="1:13" x14ac:dyDescent="0.25">
      <c r="A6" t="s">
        <v>57</v>
      </c>
      <c r="B6" t="s">
        <v>79</v>
      </c>
      <c r="C6">
        <v>150</v>
      </c>
      <c r="D6" t="s">
        <v>82</v>
      </c>
      <c r="E6" s="17">
        <v>7.25</v>
      </c>
      <c r="F6" s="17">
        <v>3.7</v>
      </c>
      <c r="G6" s="17">
        <v>1.3</v>
      </c>
      <c r="H6" s="9">
        <v>231270</v>
      </c>
      <c r="I6" s="19">
        <f>internal_sales_data5[[#This Row],[Volume 2022]]*internal_sales_data5[[#This Row],[Net Price]]</f>
        <v>855699</v>
      </c>
      <c r="J6" s="17">
        <f>internal_sales_data5[[#This Row],[Net Price]]-internal_sales_data5[[#This Row],[COGS]]</f>
        <v>2.4000000000000004</v>
      </c>
      <c r="K6" s="19">
        <f>internal_sales_data5[[#This Row],[Gross Profit per unit]]*internal_sales_data5[[#This Row],[Volume 2022]]</f>
        <v>555048.00000000012</v>
      </c>
      <c r="L6" s="13">
        <f>internal_sales_data5[[#This Row],[Gross Profit per unit]]/internal_sales_data5[[#This Row],[Net Price]]</f>
        <v>0.64864864864864868</v>
      </c>
      <c r="M6" s="21">
        <f>internal_sales_data5[[#This Row],[Retail Price]]/internal_sales_data5[[#This Row],[Pack Size (ml)]]</f>
        <v>4.8333333333333332E-2</v>
      </c>
    </row>
    <row r="7" spans="1:13" x14ac:dyDescent="0.25">
      <c r="A7" t="s">
        <v>57</v>
      </c>
      <c r="B7" t="s">
        <v>75</v>
      </c>
      <c r="C7">
        <v>200</v>
      </c>
      <c r="D7" t="s">
        <v>83</v>
      </c>
      <c r="E7" s="17">
        <v>9</v>
      </c>
      <c r="F7" s="17">
        <v>5</v>
      </c>
      <c r="G7" s="17">
        <v>1.5</v>
      </c>
      <c r="H7" s="9">
        <v>289087</v>
      </c>
      <c r="I7" s="19">
        <f>internal_sales_data5[[#This Row],[Volume 2022]]*internal_sales_data5[[#This Row],[Net Price]]</f>
        <v>1445435</v>
      </c>
      <c r="J7" s="17">
        <f>internal_sales_data5[[#This Row],[Net Price]]-internal_sales_data5[[#This Row],[COGS]]</f>
        <v>3.5</v>
      </c>
      <c r="K7" s="19">
        <f>internal_sales_data5[[#This Row],[Gross Profit per unit]]*internal_sales_data5[[#This Row],[Volume 2022]]</f>
        <v>1011804.5</v>
      </c>
      <c r="L7" s="13">
        <f>internal_sales_data5[[#This Row],[Gross Profit per unit]]/internal_sales_data5[[#This Row],[Net Price]]</f>
        <v>0.7</v>
      </c>
      <c r="M7" s="21">
        <f>internal_sales_data5[[#This Row],[Retail Price]]/internal_sales_data5[[#This Row],[Pack Size (ml)]]</f>
        <v>4.4999999999999998E-2</v>
      </c>
    </row>
    <row r="8" spans="1:13" x14ac:dyDescent="0.25">
      <c r="A8" t="s">
        <v>22</v>
      </c>
      <c r="B8" t="s">
        <v>84</v>
      </c>
      <c r="C8">
        <v>100</v>
      </c>
      <c r="D8" t="s">
        <v>85</v>
      </c>
      <c r="E8" s="17">
        <v>6</v>
      </c>
      <c r="F8" s="17">
        <v>3.5</v>
      </c>
      <c r="G8" s="17">
        <v>1.1499999999999999</v>
      </c>
      <c r="H8" s="9">
        <v>1089532</v>
      </c>
      <c r="I8" s="19">
        <f>internal_sales_data5[[#This Row],[Volume 2022]]*internal_sales_data5[[#This Row],[Net Price]]</f>
        <v>3813362</v>
      </c>
      <c r="J8" s="17">
        <f>internal_sales_data5[[#This Row],[Net Price]]-internal_sales_data5[[#This Row],[COGS]]</f>
        <v>2.35</v>
      </c>
      <c r="K8" s="19">
        <f>internal_sales_data5[[#This Row],[Gross Profit per unit]]*internal_sales_data5[[#This Row],[Volume 2022]]</f>
        <v>2560400.2000000002</v>
      </c>
      <c r="L8" s="13">
        <f>internal_sales_data5[[#This Row],[Gross Profit per unit]]/internal_sales_data5[[#This Row],[Net Price]]</f>
        <v>0.67142857142857149</v>
      </c>
      <c r="M8" s="21">
        <f>internal_sales_data5[[#This Row],[Retail Price]]/internal_sales_data5[[#This Row],[Pack Size (ml)]]</f>
        <v>0.06</v>
      </c>
    </row>
    <row r="9" spans="1:13" x14ac:dyDescent="0.25">
      <c r="A9" t="s">
        <v>22</v>
      </c>
      <c r="B9" t="s">
        <v>84</v>
      </c>
      <c r="C9">
        <v>125</v>
      </c>
      <c r="D9" t="s">
        <v>86</v>
      </c>
      <c r="E9" s="17">
        <v>7</v>
      </c>
      <c r="F9" s="17">
        <v>4.25</v>
      </c>
      <c r="G9" s="17">
        <v>1.3</v>
      </c>
      <c r="H9" s="9">
        <v>466942</v>
      </c>
      <c r="I9" s="19">
        <f>internal_sales_data5[[#This Row],[Volume 2022]]*internal_sales_data5[[#This Row],[Net Price]]</f>
        <v>1984503.5</v>
      </c>
      <c r="J9" s="17">
        <f>internal_sales_data5[[#This Row],[Net Price]]-internal_sales_data5[[#This Row],[COGS]]</f>
        <v>2.95</v>
      </c>
      <c r="K9" s="19">
        <f>internal_sales_data5[[#This Row],[Gross Profit per unit]]*internal_sales_data5[[#This Row],[Volume 2022]]</f>
        <v>1377478.9000000001</v>
      </c>
      <c r="L9" s="13">
        <f>internal_sales_data5[[#This Row],[Gross Profit per unit]]/internal_sales_data5[[#This Row],[Net Price]]</f>
        <v>0.69411764705882362</v>
      </c>
      <c r="M9" s="21">
        <f>internal_sales_data5[[#This Row],[Retail Price]]/internal_sales_data5[[#This Row],[Pack Size (ml)]]</f>
        <v>5.6000000000000001E-2</v>
      </c>
    </row>
    <row r="10" spans="1:13" x14ac:dyDescent="0.25">
      <c r="A10" t="s">
        <v>22</v>
      </c>
      <c r="B10" t="s">
        <v>84</v>
      </c>
      <c r="C10">
        <v>150</v>
      </c>
      <c r="D10" t="s">
        <v>87</v>
      </c>
      <c r="E10" s="17">
        <v>8</v>
      </c>
      <c r="F10" s="17">
        <v>5.0999999999999996</v>
      </c>
      <c r="G10" s="17">
        <v>1.5</v>
      </c>
      <c r="H10" s="9">
        <v>389118</v>
      </c>
      <c r="I10" s="19">
        <f>internal_sales_data5[[#This Row],[Volume 2022]]*internal_sales_data5[[#This Row],[Net Price]]</f>
        <v>1984501.7999999998</v>
      </c>
      <c r="J10" s="17">
        <f>internal_sales_data5[[#This Row],[Net Price]]-internal_sales_data5[[#This Row],[COGS]]</f>
        <v>3.5999999999999996</v>
      </c>
      <c r="K10" s="19">
        <f>internal_sales_data5[[#This Row],[Gross Profit per unit]]*internal_sales_data5[[#This Row],[Volume 2022]]</f>
        <v>1400824.7999999998</v>
      </c>
      <c r="L10" s="13">
        <f>internal_sales_data5[[#This Row],[Gross Profit per unit]]/internal_sales_data5[[#This Row],[Net Price]]</f>
        <v>0.70588235294117641</v>
      </c>
      <c r="M10" s="21">
        <f>internal_sales_data5[[#This Row],[Retail Price]]/internal_sales_data5[[#This Row],[Pack Size (ml)]]</f>
        <v>5.3333333333333337E-2</v>
      </c>
    </row>
    <row r="11" spans="1:13" x14ac:dyDescent="0.25">
      <c r="A11" t="s">
        <v>22</v>
      </c>
      <c r="B11" t="s">
        <v>84</v>
      </c>
      <c r="C11">
        <v>200</v>
      </c>
      <c r="D11" t="s">
        <v>88</v>
      </c>
      <c r="E11" s="17">
        <v>10</v>
      </c>
      <c r="F11" s="17">
        <v>6</v>
      </c>
      <c r="G11" s="17">
        <v>1.7</v>
      </c>
      <c r="H11" s="9">
        <v>233471</v>
      </c>
      <c r="I11" s="19">
        <f>internal_sales_data5[[#This Row],[Volume 2022]]*internal_sales_data5[[#This Row],[Net Price]]</f>
        <v>1400826</v>
      </c>
      <c r="J11" s="17">
        <f>internal_sales_data5[[#This Row],[Net Price]]-internal_sales_data5[[#This Row],[COGS]]</f>
        <v>4.3</v>
      </c>
      <c r="K11" s="19">
        <f>internal_sales_data5[[#This Row],[Gross Profit per unit]]*internal_sales_data5[[#This Row],[Volume 2022]]</f>
        <v>1003925.2999999999</v>
      </c>
      <c r="L11" s="13">
        <f>internal_sales_data5[[#This Row],[Gross Profit per unit]]/internal_sales_data5[[#This Row],[Net Price]]</f>
        <v>0.71666666666666667</v>
      </c>
      <c r="M11" s="21">
        <f>internal_sales_data5[[#This Row],[Retail Price]]/internal_sales_data5[[#This Row],[Pack Size (ml)]]</f>
        <v>0.05</v>
      </c>
    </row>
    <row r="12" spans="1:13" x14ac:dyDescent="0.25">
      <c r="A12" s="22" t="s">
        <v>57</v>
      </c>
      <c r="B12" s="22" t="s">
        <v>75</v>
      </c>
      <c r="C12">
        <v>50</v>
      </c>
      <c r="D12" s="22" t="s">
        <v>106</v>
      </c>
      <c r="E12" s="17">
        <f>M2*internal_sales_data5[[#This Row],[Pack Size (ml)]]*(1.5)</f>
        <v>3.75</v>
      </c>
      <c r="F12" s="17">
        <v>2.2999999999999998</v>
      </c>
      <c r="G12" s="17">
        <v>0.7</v>
      </c>
      <c r="H12" s="9">
        <f>H2*10%</f>
        <v>115634.8</v>
      </c>
      <c r="I12" s="19">
        <f>internal_sales_data5[[#This Row],[Volume 2022]]*internal_sales_data5[[#This Row],[Net Price]]</f>
        <v>265960.03999999998</v>
      </c>
      <c r="J12" s="17">
        <f>internal_sales_data5[[#This Row],[Net Price]]-internal_sales_data5[[#This Row],[COGS]]</f>
        <v>1.5999999999999999</v>
      </c>
      <c r="K12" s="19">
        <f>internal_sales_data5[[#This Row],[Gross Profit per unit]]*internal_sales_data5[[#This Row],[Volume 2022]]</f>
        <v>185015.67999999999</v>
      </c>
      <c r="L12" s="13">
        <f>internal_sales_data5[[#This Row],[Gross Profit per unit]]/internal_sales_data5[[#This Row],[Net Price]]</f>
        <v>0.69565217391304346</v>
      </c>
      <c r="M12" s="21">
        <f>internal_sales_data5[[#This Row],[Retail Price]]/internal_sales_data5[[#This Row],[Pack Size (ml)]]</f>
        <v>7.4999999999999997E-2</v>
      </c>
    </row>
    <row r="22" spans="9:9" x14ac:dyDescent="0.25">
      <c r="I22"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80" zoomScaleNormal="80" workbookViewId="0">
      <selection activeCell="D10" sqref="D10"/>
    </sheetView>
  </sheetViews>
  <sheetFormatPr defaultRowHeight="15" x14ac:dyDescent="0.25"/>
  <cols>
    <col min="1" max="1" width="20.5703125" bestFit="1" customWidth="1"/>
    <col min="2" max="2" width="16.7109375" bestFit="1" customWidth="1"/>
    <col min="3" max="3" width="7.85546875" bestFit="1" customWidth="1"/>
    <col min="4" max="4" width="10" bestFit="1" customWidth="1"/>
    <col min="5" max="5" width="7" bestFit="1" customWidth="1"/>
    <col min="6" max="6" width="14.85546875" bestFit="1" customWidth="1"/>
    <col min="7" max="7" width="13.42578125" bestFit="1" customWidth="1"/>
    <col min="8" max="8" width="12.28515625" bestFit="1" customWidth="1"/>
    <col min="9" max="9" width="6" bestFit="1" customWidth="1"/>
    <col min="10" max="10" width="8" bestFit="1" customWidth="1"/>
    <col min="11" max="11" width="15.7109375" bestFit="1" customWidth="1"/>
    <col min="12" max="12" width="13.140625" bestFit="1" customWidth="1"/>
    <col min="13" max="13" width="8.85546875" bestFit="1" customWidth="1"/>
    <col min="14" max="14" width="9.140625" bestFit="1" customWidth="1"/>
    <col min="15" max="15" width="10" bestFit="1" customWidth="1"/>
    <col min="16" max="16" width="8.140625" bestFit="1" customWidth="1"/>
    <col min="17" max="17" width="12.85546875" bestFit="1" customWidth="1"/>
    <col min="18" max="18" width="9.42578125" bestFit="1" customWidth="1"/>
    <col min="19" max="19" width="12" bestFit="1" customWidth="1"/>
    <col min="20" max="20" width="15" bestFit="1" customWidth="1"/>
    <col min="21" max="21" width="6.5703125" bestFit="1" customWidth="1"/>
    <col min="22" max="22" width="11.7109375" bestFit="1" customWidth="1"/>
    <col min="23" max="23" width="13.7109375" bestFit="1" customWidth="1"/>
    <col min="24" max="24" width="10.85546875" bestFit="1" customWidth="1"/>
    <col min="25" max="25" width="12.140625" bestFit="1" customWidth="1"/>
    <col min="26" max="26" width="6.42578125" bestFit="1" customWidth="1"/>
    <col min="27" max="27" width="11.5703125" bestFit="1" customWidth="1"/>
  </cols>
  <sheetData>
    <row r="3" spans="1:27" x14ac:dyDescent="0.25">
      <c r="A3" s="2" t="s">
        <v>61</v>
      </c>
      <c r="B3" s="2" t="s">
        <v>60</v>
      </c>
    </row>
    <row r="4" spans="1:27" x14ac:dyDescent="0.25">
      <c r="A4" s="2" t="s">
        <v>58</v>
      </c>
      <c r="B4" t="s">
        <v>57</v>
      </c>
      <c r="C4" t="s">
        <v>34</v>
      </c>
      <c r="D4" t="s">
        <v>17</v>
      </c>
      <c r="E4" t="s">
        <v>22</v>
      </c>
      <c r="F4" t="s">
        <v>20</v>
      </c>
      <c r="G4" t="s">
        <v>26</v>
      </c>
      <c r="H4" t="s">
        <v>41</v>
      </c>
      <c r="I4" t="s">
        <v>15</v>
      </c>
      <c r="J4" t="s">
        <v>43</v>
      </c>
      <c r="K4" t="s">
        <v>51</v>
      </c>
      <c r="L4" t="s">
        <v>24</v>
      </c>
      <c r="M4" t="s">
        <v>10</v>
      </c>
      <c r="N4" t="s">
        <v>27</v>
      </c>
      <c r="O4" t="s">
        <v>29</v>
      </c>
      <c r="P4" t="s">
        <v>40</v>
      </c>
      <c r="Q4" t="s">
        <v>32</v>
      </c>
      <c r="R4" t="s">
        <v>54</v>
      </c>
      <c r="S4" t="s">
        <v>50</v>
      </c>
      <c r="T4" t="s">
        <v>48</v>
      </c>
      <c r="U4" t="s">
        <v>56</v>
      </c>
      <c r="V4" t="s">
        <v>47</v>
      </c>
      <c r="W4" t="s">
        <v>36</v>
      </c>
      <c r="X4" t="s">
        <v>45</v>
      </c>
      <c r="Y4" t="s">
        <v>38</v>
      </c>
      <c r="Z4" t="s">
        <v>52</v>
      </c>
      <c r="AA4" t="s">
        <v>59</v>
      </c>
    </row>
    <row r="5" spans="1:27" x14ac:dyDescent="0.25">
      <c r="A5" s="3">
        <v>2018</v>
      </c>
      <c r="B5" s="7">
        <v>0.23893362627476761</v>
      </c>
      <c r="C5" s="7">
        <v>0.24638658527854879</v>
      </c>
      <c r="D5" s="7">
        <v>0.12754937759440738</v>
      </c>
      <c r="E5" s="7">
        <v>0.11931132206626169</v>
      </c>
      <c r="F5" s="7">
        <v>4.2104526845521462E-2</v>
      </c>
      <c r="G5" s="7">
        <v>4.6637934782502097E-2</v>
      </c>
      <c r="H5" s="7">
        <v>2.9771546216240334E-2</v>
      </c>
      <c r="I5" s="7">
        <v>3.3728200603644162E-2</v>
      </c>
      <c r="J5" s="7">
        <v>2.8625370903148553E-2</v>
      </c>
      <c r="K5" s="7">
        <v>4.1509525554520024E-3</v>
      </c>
      <c r="L5" s="7">
        <v>1.7584658429132614E-2</v>
      </c>
      <c r="M5" s="7">
        <v>2.1405196106830941E-2</v>
      </c>
      <c r="N5" s="7">
        <v>1.0746180151136597E-2</v>
      </c>
      <c r="O5" s="7">
        <v>5.8849257964876446E-4</v>
      </c>
      <c r="P5" s="7">
        <v>7.9070977713285046E-3</v>
      </c>
      <c r="Q5" s="7">
        <v>0</v>
      </c>
      <c r="R5" s="7">
        <v>5.9910031980130018E-3</v>
      </c>
      <c r="S5" s="7">
        <v>1.1962719595748667E-3</v>
      </c>
      <c r="T5" s="7">
        <v>3.1861221992051875E-3</v>
      </c>
      <c r="U5" s="7">
        <v>3.5312823728125419E-3</v>
      </c>
      <c r="V5" s="7">
        <v>1.2656554063352888E-3</v>
      </c>
      <c r="W5" s="7">
        <v>7.323263444289097E-4</v>
      </c>
      <c r="X5" s="7">
        <v>2.4334057841440926E-3</v>
      </c>
      <c r="Y5" s="7">
        <v>4.7140699169392697E-3</v>
      </c>
      <c r="Z5" s="7">
        <v>1.5187946599753456E-3</v>
      </c>
      <c r="AA5" s="7">
        <v>1</v>
      </c>
    </row>
    <row r="6" spans="1:27" x14ac:dyDescent="0.25">
      <c r="A6" s="3">
        <v>2019</v>
      </c>
      <c r="B6" s="7">
        <v>0.21752099860794299</v>
      </c>
      <c r="C6" s="7">
        <v>0.222631989129527</v>
      </c>
      <c r="D6" s="7">
        <v>0.14634042355648372</v>
      </c>
      <c r="E6" s="7">
        <v>0.11339207012090637</v>
      </c>
      <c r="F6" s="7">
        <v>5.3918943821206933E-2</v>
      </c>
      <c r="G6" s="7">
        <v>3.769889850570577E-2</v>
      </c>
      <c r="H6" s="7">
        <v>2.9143902754705464E-2</v>
      </c>
      <c r="I6" s="7">
        <v>3.3132302411619026E-2</v>
      </c>
      <c r="J6" s="7">
        <v>2.3720144691600199E-2</v>
      </c>
      <c r="K6" s="7">
        <v>9.8629039567745911E-3</v>
      </c>
      <c r="L6" s="7">
        <v>1.8911155731874858E-2</v>
      </c>
      <c r="M6" s="7">
        <v>1.9018917307720252E-2</v>
      </c>
      <c r="N6" s="7">
        <v>1.4647827785489438E-2</v>
      </c>
      <c r="O6" s="7">
        <v>2.0440558136883891E-2</v>
      </c>
      <c r="P6" s="7">
        <v>7.4757062898257141E-3</v>
      </c>
      <c r="Q6" s="7">
        <v>5.2674138731522195E-4</v>
      </c>
      <c r="R6" s="7">
        <v>6.5457947964695506E-3</v>
      </c>
      <c r="S6" s="7">
        <v>2.0406281157516969E-3</v>
      </c>
      <c r="T6" s="7">
        <v>5.2155630152184249E-3</v>
      </c>
      <c r="U6" s="7">
        <v>3.4983892590354079E-3</v>
      </c>
      <c r="V6" s="7">
        <v>3.0641086382341893E-3</v>
      </c>
      <c r="W6" s="7">
        <v>3.3487738063714811E-3</v>
      </c>
      <c r="X6" s="7">
        <v>2.1504252759870762E-3</v>
      </c>
      <c r="Y6" s="7">
        <v>3.4329226032930441E-3</v>
      </c>
      <c r="Z6" s="7">
        <v>2.3199102940576937E-3</v>
      </c>
      <c r="AA6" s="7">
        <v>1</v>
      </c>
    </row>
    <row r="7" spans="1:27" x14ac:dyDescent="0.25">
      <c r="A7" s="3">
        <v>2020</v>
      </c>
      <c r="B7" s="7">
        <v>0.22335757650329049</v>
      </c>
      <c r="C7" s="7">
        <v>0.20944458574807753</v>
      </c>
      <c r="D7" s="7">
        <v>0.15954757259247856</v>
      </c>
      <c r="E7" s="7">
        <v>0.1231677111244002</v>
      </c>
      <c r="F7" s="7">
        <v>5.1789283179524338E-2</v>
      </c>
      <c r="G7" s="7">
        <v>4.1879460734220372E-2</v>
      </c>
      <c r="H7" s="7">
        <v>2.9569827572397143E-2</v>
      </c>
      <c r="I7" s="7">
        <v>3.0564257278210889E-2</v>
      </c>
      <c r="J7" s="7">
        <v>2.047505617142692E-2</v>
      </c>
      <c r="K7" s="7">
        <v>1.2714885287793817E-2</v>
      </c>
      <c r="L7" s="7">
        <v>1.7119546205245927E-2</v>
      </c>
      <c r="M7" s="7">
        <v>1.6990969534049279E-2</v>
      </c>
      <c r="N7" s="7">
        <v>1.512611147680684E-2</v>
      </c>
      <c r="O7" s="7">
        <v>8.4146922025785074E-3</v>
      </c>
      <c r="P7" s="7">
        <v>7.2443010606839447E-3</v>
      </c>
      <c r="Q7" s="7">
        <v>4.4224715646912598E-3</v>
      </c>
      <c r="R7" s="7">
        <v>4.3184030743208075E-3</v>
      </c>
      <c r="S7" s="7">
        <v>2.7634856493191497E-3</v>
      </c>
      <c r="T7" s="7">
        <v>6.6702471278077902E-3</v>
      </c>
      <c r="U7" s="7">
        <v>3.4161300614927144E-3</v>
      </c>
      <c r="V7" s="7">
        <v>3.8840788604800379E-3</v>
      </c>
      <c r="W7" s="7">
        <v>3.9159463414146587E-3</v>
      </c>
      <c r="X7" s="7">
        <v>1.947270808689186E-3</v>
      </c>
      <c r="Y7" s="7">
        <v>8.177722739087231E-4</v>
      </c>
      <c r="Z7" s="7">
        <v>4.3835756669089034E-4</v>
      </c>
      <c r="AA7" s="7">
        <v>1</v>
      </c>
    </row>
    <row r="8" spans="1:27" x14ac:dyDescent="0.25">
      <c r="A8" s="3">
        <v>2021</v>
      </c>
      <c r="B8" s="7">
        <v>0.224102323064961</v>
      </c>
      <c r="C8" s="7">
        <v>0.20953736669612458</v>
      </c>
      <c r="D8" s="7">
        <v>0.16390616159783691</v>
      </c>
      <c r="E8" s="7">
        <v>0.12315495378217035</v>
      </c>
      <c r="F8" s="7">
        <v>6.2925047833421788E-2</v>
      </c>
      <c r="G8" s="7">
        <v>2.9721331618779427E-2</v>
      </c>
      <c r="H8" s="7">
        <v>2.810165756041702E-2</v>
      </c>
      <c r="I8" s="7">
        <v>2.702317519843583E-2</v>
      </c>
      <c r="J8" s="7">
        <v>1.8460469170300736E-2</v>
      </c>
      <c r="K8" s="7">
        <v>2.4241525412038178E-2</v>
      </c>
      <c r="L8" s="7">
        <v>1.6624949382712199E-2</v>
      </c>
      <c r="M8" s="7">
        <v>1.5319404414591875E-2</v>
      </c>
      <c r="N8" s="7">
        <v>1.2164295948070565E-2</v>
      </c>
      <c r="O8" s="7">
        <v>1.522951109658948E-3</v>
      </c>
      <c r="P8" s="7">
        <v>7.4553447310371588E-3</v>
      </c>
      <c r="Q8" s="7">
        <v>7.3385964909900223E-3</v>
      </c>
      <c r="R8" s="7">
        <v>6.3203460442711138E-3</v>
      </c>
      <c r="S8" s="7">
        <v>3.6902970984336596E-3</v>
      </c>
      <c r="T8" s="7">
        <v>6.8737722777691334E-3</v>
      </c>
      <c r="U8" s="7">
        <v>3.334408887095395E-3</v>
      </c>
      <c r="V8" s="7">
        <v>3.6711978778754392E-3</v>
      </c>
      <c r="W8" s="7">
        <v>2.3037000180148475E-3</v>
      </c>
      <c r="X8" s="7">
        <v>2.0042704640498873E-3</v>
      </c>
      <c r="Y8" s="7">
        <v>1.558490065442788E-4</v>
      </c>
      <c r="Z8" s="7">
        <v>4.6604314399833089E-5</v>
      </c>
      <c r="AA8" s="7">
        <v>1</v>
      </c>
    </row>
    <row r="9" spans="1:27" x14ac:dyDescent="0.25">
      <c r="A9" s="3">
        <v>2022</v>
      </c>
      <c r="B9" s="7">
        <v>0.21082810539549909</v>
      </c>
      <c r="C9" s="7">
        <v>0.19176428962759645</v>
      </c>
      <c r="D9" s="7">
        <v>0.18720456909096214</v>
      </c>
      <c r="E9" s="7">
        <v>0.12367833967634967</v>
      </c>
      <c r="F9" s="7">
        <v>6.3140114265998332E-2</v>
      </c>
      <c r="G9" s="7">
        <v>2.1197821661185372E-2</v>
      </c>
      <c r="H9" s="7">
        <v>3.8147589435700596E-2</v>
      </c>
      <c r="I9" s="7">
        <v>2.2912115898460927E-2</v>
      </c>
      <c r="J9" s="7">
        <v>1.5523075811104053E-2</v>
      </c>
      <c r="K9" s="7">
        <v>3.2752477593480683E-2</v>
      </c>
      <c r="L9" s="7">
        <v>1.3524828318974816E-2</v>
      </c>
      <c r="M9" s="7">
        <v>1.1268447307090992E-2</v>
      </c>
      <c r="N9" s="7">
        <v>1.1839651764009196E-2</v>
      </c>
      <c r="O9" s="7">
        <v>6.9090823827851582E-3</v>
      </c>
      <c r="P9" s="7">
        <v>6.7982713565007957E-3</v>
      </c>
      <c r="Q9" s="7">
        <v>1.5275612746357454E-2</v>
      </c>
      <c r="R9" s="7">
        <v>5.4080695831967077E-3</v>
      </c>
      <c r="S9" s="7">
        <v>1.028933997288832E-2</v>
      </c>
      <c r="T9" s="7">
        <v>3.1902851922191509E-4</v>
      </c>
      <c r="U9" s="7">
        <v>3.133911571992496E-3</v>
      </c>
      <c r="V9" s="7">
        <v>3.9348340099550775E-3</v>
      </c>
      <c r="W9" s="7">
        <v>2.3363402739377081E-3</v>
      </c>
      <c r="X9" s="7">
        <v>1.7584548142826988E-3</v>
      </c>
      <c r="Y9" s="7">
        <v>4.9373461308153525E-5</v>
      </c>
      <c r="Z9" s="7">
        <v>6.2554611612140212E-6</v>
      </c>
      <c r="AA9" s="7">
        <v>1</v>
      </c>
    </row>
    <row r="10" spans="1:27" x14ac:dyDescent="0.25">
      <c r="A10" s="3">
        <v>2023</v>
      </c>
      <c r="B10" s="7">
        <v>0.20283260164352532</v>
      </c>
      <c r="C10" s="7">
        <v>0.17748957478905797</v>
      </c>
      <c r="D10" s="7">
        <v>0.18212524496331148</v>
      </c>
      <c r="E10" s="7">
        <v>0.14499272903971849</v>
      </c>
      <c r="F10" s="7">
        <v>8.7842705600267107E-2</v>
      </c>
      <c r="G10" s="7">
        <v>2.0220502923543587E-2</v>
      </c>
      <c r="H10" s="7">
        <v>2.428212443298168E-2</v>
      </c>
      <c r="I10" s="7">
        <v>6.4276912851799423E-3</v>
      </c>
      <c r="J10" s="7">
        <v>1.078840511089546E-2</v>
      </c>
      <c r="K10" s="7">
        <v>4.6794426885858997E-2</v>
      </c>
      <c r="L10" s="7">
        <v>1.2542844136252305E-2</v>
      </c>
      <c r="M10" s="7">
        <v>9.8052368941508941E-3</v>
      </c>
      <c r="N10" s="7">
        <v>1.0473184902594608E-2</v>
      </c>
      <c r="O10" s="7">
        <v>8.5604839529709181E-3</v>
      </c>
      <c r="P10" s="7">
        <v>6.4535406086539812E-3</v>
      </c>
      <c r="Q10" s="7">
        <v>1.852994226959593E-2</v>
      </c>
      <c r="R10" s="7">
        <v>5.1217417467840495E-3</v>
      </c>
      <c r="S10" s="7">
        <v>1.3860302955560991E-2</v>
      </c>
      <c r="T10" s="7">
        <v>2.6072804656811495E-5</v>
      </c>
      <c r="U10" s="7">
        <v>3.2471070919593034E-3</v>
      </c>
      <c r="V10" s="7">
        <v>3.7503122218357655E-3</v>
      </c>
      <c r="W10" s="7">
        <v>2.2057592739662523E-3</v>
      </c>
      <c r="X10" s="7">
        <v>1.5763617695508229E-3</v>
      </c>
      <c r="Y10" s="7">
        <v>5.1102697127350529E-5</v>
      </c>
      <c r="Z10" s="7">
        <v>0</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I3" sqref="I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103</v>
      </c>
      <c r="B2" s="13">
        <v>0.1</v>
      </c>
      <c r="C2" s="9">
        <f>new_product_launch[[#This Row],[Estimated Unit Market Share]]*'New Category Opportunity'!$B$18</f>
        <v>102089.88</v>
      </c>
      <c r="D2" s="12">
        <v>3.5</v>
      </c>
      <c r="E2" s="1">
        <f>new_product_launch[[#This Row],[Net Price]]*new_product_launch[[#This Row],[Estimated units sold 2024]]</f>
        <v>357314.58</v>
      </c>
      <c r="F2" s="12">
        <v>1.35</v>
      </c>
      <c r="G2" s="12">
        <f>new_product_launch[[#This Row],[Net Price]]-new_product_launch[[#This Row],[COGS]]</f>
        <v>2.15</v>
      </c>
      <c r="H2" s="9">
        <f>new_product_launch[[#This Row],[Gross Profit per unit]]*new_product_launch[[#This Row],[Estimated units sold 2024]]</f>
        <v>219493.242</v>
      </c>
      <c r="I2" s="13">
        <f>new_product_launch[[#This Row],[Gross Profit per product]]/new_product_launch[[#This Row],[Net Sales]]</f>
        <v>0.61428571428571421</v>
      </c>
    </row>
    <row r="3" spans="1:9" x14ac:dyDescent="0.25">
      <c r="A3" t="s">
        <v>104</v>
      </c>
      <c r="B3" s="13">
        <v>0.12</v>
      </c>
      <c r="C3" s="9">
        <f>new_product_launch[[#This Row],[Estimated Unit Market Share]]*'New Category Opportunity'!$B$18</f>
        <v>122507.85599999999</v>
      </c>
      <c r="D3" s="12">
        <v>2.75</v>
      </c>
      <c r="E3" s="1">
        <f>new_product_launch[[#This Row],[Net Price]]*new_product_launch[[#This Row],[Estimated units sold 2024]]</f>
        <v>336896.60399999993</v>
      </c>
      <c r="F3" s="12">
        <v>0.9</v>
      </c>
      <c r="G3" s="12">
        <f>new_product_launch[[#This Row],[Net Price]]-new_product_launch[[#This Row],[COGS]]</f>
        <v>1.85</v>
      </c>
      <c r="H3" s="9">
        <f>new_product_launch[[#This Row],[Gross Profit per unit]]*new_product_launch[[#This Row],[Estimated units sold 2024]]</f>
        <v>226639.5336</v>
      </c>
      <c r="I3" s="13">
        <f>new_product_launch[[#This Row],[Gross Profit per product]]/new_product_launch[[#This Row],[Net Sales]]</f>
        <v>0.67272727272727284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3">
        <v>850749</v>
      </c>
    </row>
    <row r="18" spans="1:2" x14ac:dyDescent="0.25">
      <c r="A18" t="s">
        <v>96</v>
      </c>
      <c r="B18" s="18">
        <f>GETPIVOTDATA("Units MAT",$A$15,"Subcategory","Organic")*(1+20%)</f>
        <v>1020898.7999999999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3082-5DEC-4B90-914D-21EA4E69A0C3}">
  <dimension ref="A1:J4"/>
  <sheetViews>
    <sheetView workbookViewId="0">
      <selection activeCell="J3" sqref="J3"/>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8.42578125" bestFit="1" customWidth="1"/>
    <col min="9" max="9" width="8" bestFit="1" customWidth="1"/>
    <col min="10" max="10" width="6.42578125" bestFit="1" customWidth="1"/>
  </cols>
  <sheetData>
    <row r="1" spans="1:10" x14ac:dyDescent="0.25">
      <c r="A1" t="s">
        <v>107</v>
      </c>
      <c r="B1" t="s">
        <v>108</v>
      </c>
      <c r="C1" t="s">
        <v>2</v>
      </c>
      <c r="D1" t="s">
        <v>4</v>
      </c>
      <c r="E1" t="s">
        <v>5</v>
      </c>
      <c r="F1" t="s">
        <v>109</v>
      </c>
      <c r="G1" t="s">
        <v>110</v>
      </c>
      <c r="H1" t="s">
        <v>111</v>
      </c>
      <c r="I1" t="s">
        <v>112</v>
      </c>
      <c r="J1" t="s">
        <v>113</v>
      </c>
    </row>
    <row r="2" spans="1:10" x14ac:dyDescent="0.25">
      <c r="A2">
        <v>1</v>
      </c>
      <c r="B2" s="22" t="s">
        <v>114</v>
      </c>
      <c r="C2" s="22" t="s">
        <v>22</v>
      </c>
      <c r="D2">
        <v>2022</v>
      </c>
      <c r="E2">
        <v>4</v>
      </c>
      <c r="F2" s="23">
        <f>VLOOKUP(promotion_analysis[[#This Row],[Month]],'Promotion Graph'!$A$5:$B$16,2,FALSE)</f>
        <v>1445626</v>
      </c>
      <c r="G2" s="23">
        <f>AVERAGE('Promotion Graph'!$B$5:$B$7,'Promotion Graph'!$B$9:$B$11,'Promotion Graph'!$B$13:$B$14,GETPIVOTDATA("Values Month",'Promotion Graph'!$A$4,"Month",12))</f>
        <v>840835.5555555555</v>
      </c>
      <c r="H2" s="23">
        <f>promotion_analysis[[#This Row],[Value sales]]-promotion_analysis[[#This Row],[Baseline sales ]]</f>
        <v>604790.4444444445</v>
      </c>
      <c r="I2">
        <v>620000</v>
      </c>
      <c r="J2" s="13">
        <f>(promotion_analysis[[#This Row],[Uplift]]-promotion_analysis[[#This Row],[Costs]])/promotion_analysis[[#This Row],[Costs]]</f>
        <v>-2.453154121863791E-2</v>
      </c>
    </row>
    <row r="3" spans="1:10" x14ac:dyDescent="0.25">
      <c r="A3">
        <v>2</v>
      </c>
      <c r="B3" s="22" t="s">
        <v>115</v>
      </c>
      <c r="C3" s="22" t="s">
        <v>22</v>
      </c>
      <c r="D3">
        <v>2022</v>
      </c>
      <c r="E3">
        <v>8</v>
      </c>
      <c r="F3" s="23">
        <f>VLOOKUP(promotion_analysis[[#This Row],[Month]],'Promotion Graph'!$A$5:$B$16,2,FALSE)</f>
        <v>1198708</v>
      </c>
      <c r="G3" s="23">
        <f>AVERAGE('Promotion Graph'!$B$5:$B$7,'Promotion Graph'!$B$9:$B$11,'Promotion Graph'!$B$13:$B$14,GETPIVOTDATA("Values Month",'Promotion Graph'!$A$4,"Month",12))</f>
        <v>840835.5555555555</v>
      </c>
      <c r="H3" s="23">
        <f>promotion_analysis[[#This Row],[Value sales]]-promotion_analysis[[#This Row],[Baseline sales ]]</f>
        <v>357872.4444444445</v>
      </c>
      <c r="I3">
        <v>320000</v>
      </c>
      <c r="J3" s="13">
        <f>(promotion_analysis[[#This Row],[Uplift]]-promotion_analysis[[#This Row],[Costs]])/promotion_analysis[[#This Row],[Costs]]</f>
        <v>0.11835138888888905</v>
      </c>
    </row>
    <row r="4" spans="1:10" x14ac:dyDescent="0.25">
      <c r="A4">
        <v>3</v>
      </c>
      <c r="B4" s="22" t="s">
        <v>116</v>
      </c>
      <c r="C4" s="22" t="s">
        <v>22</v>
      </c>
      <c r="D4">
        <v>2022</v>
      </c>
      <c r="E4">
        <v>11</v>
      </c>
      <c r="F4" s="23">
        <f>VLOOKUP(promotion_analysis[[#This Row],[Month]],'Promotion Graph'!$A$5:$B$16,2,FALSE)</f>
        <v>1413646</v>
      </c>
      <c r="G4" s="23">
        <f>AVERAGE('Promotion Graph'!$B$5:$B$7,'Promotion Graph'!$B$9:$B$11,'Promotion Graph'!$B$13:$B$14,GETPIVOTDATA("Values Month",'Promotion Graph'!$A$4,"Month",12))</f>
        <v>840835.5555555555</v>
      </c>
      <c r="H4" s="23">
        <f>promotion_analysis[[#This Row],[Value sales]]-promotion_analysis[[#This Row],[Baseline sales ]]</f>
        <v>572810.4444444445</v>
      </c>
      <c r="I4">
        <v>540000</v>
      </c>
      <c r="J4" s="13">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E60A-066A-41EB-BF7B-EA138AA8EE47}">
  <dimension ref="A1:B17"/>
  <sheetViews>
    <sheetView workbookViewId="0">
      <selection activeCell="G19" sqref="G19"/>
    </sheetView>
  </sheetViews>
  <sheetFormatPr defaultRowHeight="15" x14ac:dyDescent="0.25"/>
  <cols>
    <col min="1" max="1" width="13.140625" bestFit="1" customWidth="1"/>
    <col min="2" max="2" width="20.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16251-CB7C-40AB-9982-84EFE9D536FB}">
  <dimension ref="A1:G8"/>
  <sheetViews>
    <sheetView workbookViewId="0">
      <selection activeCell="G7" sqref="G7"/>
    </sheetView>
  </sheetViews>
  <sheetFormatPr defaultRowHeight="15" x14ac:dyDescent="0.25"/>
  <cols>
    <col min="1" max="1" width="11" customWidth="1"/>
    <col min="2" max="2" width="16" bestFit="1" customWidth="1"/>
    <col min="3" max="3" width="13.85546875" bestFit="1" customWidth="1"/>
    <col min="4" max="4" width="25.28515625" customWidth="1"/>
    <col min="5" max="5" width="25.42578125" customWidth="1"/>
    <col min="6" max="6" width="12.28515625" bestFit="1" customWidth="1"/>
  </cols>
  <sheetData>
    <row r="1" spans="1:7" x14ac:dyDescent="0.25">
      <c r="A1" t="s">
        <v>117</v>
      </c>
      <c r="B1" t="s">
        <v>121</v>
      </c>
      <c r="C1" t="s">
        <v>118</v>
      </c>
      <c r="D1" t="s">
        <v>119</v>
      </c>
      <c r="E1" t="s">
        <v>120</v>
      </c>
      <c r="F1" t="s">
        <v>101</v>
      </c>
      <c r="G1" t="s">
        <v>122</v>
      </c>
    </row>
    <row r="2" spans="1:7" x14ac:dyDescent="0.25">
      <c r="A2">
        <v>2018</v>
      </c>
      <c r="B2" s="23">
        <v>30685269</v>
      </c>
      <c r="F2" s="1"/>
      <c r="G2" s="1"/>
    </row>
    <row r="3" spans="1:7" x14ac:dyDescent="0.25">
      <c r="A3">
        <v>2019</v>
      </c>
      <c r="B3" s="23">
        <v>29261549</v>
      </c>
      <c r="F3" s="1"/>
      <c r="G3" s="1"/>
    </row>
    <row r="4" spans="1:7" x14ac:dyDescent="0.25">
      <c r="A4">
        <v>2020</v>
      </c>
      <c r="B4" s="23">
        <v>30370933</v>
      </c>
      <c r="F4" s="1"/>
      <c r="G4" s="1"/>
    </row>
    <row r="5" spans="1:7" x14ac:dyDescent="0.25">
      <c r="A5">
        <v>2021</v>
      </c>
      <c r="B5" s="23">
        <v>30710796</v>
      </c>
      <c r="F5" s="1"/>
      <c r="G5" s="1"/>
    </row>
    <row r="6" spans="1:7" x14ac:dyDescent="0.25">
      <c r="A6">
        <v>2022</v>
      </c>
      <c r="B6" s="23">
        <v>31442892</v>
      </c>
      <c r="C6" s="23">
        <v>31442892</v>
      </c>
      <c r="D6" s="23">
        <v>31442892</v>
      </c>
      <c r="E6" s="23">
        <v>31442892</v>
      </c>
      <c r="F6" s="1">
        <f>internal_sales_data[[#Totals],[Net Sales 2022]]</f>
        <v>20480714.900000002</v>
      </c>
      <c r="G6" s="13">
        <f>Table6[[#This Row],[Net Sales]]/Table6[[#This Row],[Market values]]</f>
        <v>0.65136231425531732</v>
      </c>
    </row>
    <row r="7" spans="1:7" x14ac:dyDescent="0.25">
      <c r="A7">
        <v>2023</v>
      </c>
      <c r="C7" s="23">
        <f>_xlfn.FORECAST.ETS(A7,$B$2:$B$6,$A$2:$A$6,1,1)</f>
        <v>31635324.071610071</v>
      </c>
      <c r="D7" s="23">
        <f>C7-_xlfn.FORECAST.ETS.CONFINT(A7,$B$2:$B$6,$A$2:$A$6,0.95,1,1)</f>
        <v>30014004.36554271</v>
      </c>
      <c r="E7" s="23">
        <f>C7+_xlfn.FORECAST.ETS.CONFINT(A7,$B$2:$B$6,$A$2:$A$6,0.95,1,1)</f>
        <v>33256643.777677432</v>
      </c>
      <c r="F7" s="1">
        <f>Table6[[#This Row],[Forecast]]*$G$6</f>
        <v>20606057.899500884</v>
      </c>
      <c r="G7" s="1"/>
    </row>
    <row r="8" spans="1:7" x14ac:dyDescent="0.25">
      <c r="A8">
        <v>2024</v>
      </c>
      <c r="C8" s="23">
        <f>_xlfn.FORECAST.ETS(A8,$B$2:$B$6,$A$2:$A$6,1,1)</f>
        <v>31946447.752088487</v>
      </c>
      <c r="D8" s="23">
        <f>C8-_xlfn.FORECAST.ETS.CONFINT(A8,$B$2:$B$6,$A$2:$A$6,0.95,1,1)</f>
        <v>30274835.684028216</v>
      </c>
      <c r="E8" s="23">
        <f>C8+_xlfn.FORECAST.ETS.CONFINT(A8,$B$2:$B$6,$A$2:$A$6,0.95,1,1)</f>
        <v>33618059.820148759</v>
      </c>
      <c r="F8" s="1">
        <f>Table6[[#This Row],[Forecast]]*$G$6</f>
        <v>20808712.140036937</v>
      </c>
      <c r="G8" s="1"/>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98C6-51E1-420B-B110-E602FF0AF647}">
  <dimension ref="A1:E2"/>
  <sheetViews>
    <sheetView workbookViewId="0">
      <selection activeCell="M11" sqref="M11"/>
    </sheetView>
  </sheetViews>
  <sheetFormatPr defaultRowHeight="15" x14ac:dyDescent="0.25"/>
  <cols>
    <col min="1" max="1" width="23" bestFit="1" customWidth="1"/>
    <col min="2" max="2" width="14.42578125" bestFit="1" customWidth="1"/>
    <col min="3" max="3" width="16.42578125" bestFit="1" customWidth="1"/>
    <col min="4" max="4" width="14" bestFit="1" customWidth="1"/>
    <col min="5" max="5" width="23" bestFit="1" customWidth="1"/>
  </cols>
  <sheetData>
    <row r="1" spans="1:5" x14ac:dyDescent="0.25">
      <c r="A1" t="s">
        <v>123</v>
      </c>
      <c r="B1" t="s">
        <v>124</v>
      </c>
      <c r="C1" t="s">
        <v>125</v>
      </c>
      <c r="D1" t="s">
        <v>126</v>
      </c>
      <c r="E1" t="s">
        <v>127</v>
      </c>
    </row>
    <row r="2" spans="1:5" x14ac:dyDescent="0.25">
      <c r="A2" s="20">
        <f>'Forecast 2024'!F7</f>
        <v>20606057.899500884</v>
      </c>
      <c r="B2" s="20">
        <f>'Forecast 2024'!F8-'Forecast 2024'!F7</f>
        <v>202654.24053605273</v>
      </c>
      <c r="C2" s="20">
        <f>'Organic Shampoo Launch'!E3</f>
        <v>336896.60399999993</v>
      </c>
      <c r="D2" s="20">
        <f>'50ml Shampoo 2024'!I12</f>
        <v>265960.03999999998</v>
      </c>
      <c r="E2" s="20">
        <f>SUM(A2:D2)</f>
        <v>21411568.784036934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7ECB9-8104-41ED-BAB1-B6D28B730C36}">
  <dimension ref="A1:B8"/>
  <sheetViews>
    <sheetView workbookViewId="0">
      <selection activeCell="A4" sqref="A4:B8"/>
      <pivotSelection pane="bottomRight" showHeader="1" extendable="1" axis="axisRow" max="5" activeRow="3" previousRow="7" click="1" r:id="rId1">
        <pivotArea dataOnly="0" axis="axisRow" fieldPosition="0">
          <references count="2">
            <reference field="2" count="1" selected="0">
              <x v="8"/>
            </reference>
            <reference field="5" count="5">
              <x v="0"/>
              <x v="1"/>
              <x v="2"/>
              <x v="3"/>
              <x v="4"/>
            </reference>
          </references>
        </pivotArea>
      </pivotSelection>
    </sheetView>
  </sheetViews>
  <sheetFormatPr defaultRowHeight="15" x14ac:dyDescent="0.25"/>
  <cols>
    <col min="1" max="1" width="13.140625" bestFit="1" customWidth="1"/>
    <col min="2" max="3"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I8" sqref="I8"/>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5" t="s">
        <v>58</v>
      </c>
      <c r="B17" s="16">
        <v>0.64285714285714279</v>
      </c>
      <c r="C17" s="16">
        <v>0.64864864864864868</v>
      </c>
      <c r="D17" s="16">
        <v>0.65714285714285714</v>
      </c>
      <c r="E17" s="16">
        <v>0.67142857142857149</v>
      </c>
      <c r="F17" s="16">
        <v>0.67241379310344829</v>
      </c>
      <c r="G17" s="16">
        <v>0.69411764705882362</v>
      </c>
      <c r="H17" s="16">
        <v>0.7</v>
      </c>
      <c r="I17" s="16">
        <v>0.70588235294117641</v>
      </c>
      <c r="J17" s="16">
        <v>0.70967741935483875</v>
      </c>
      <c r="K17" s="16">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G8" sqref="G8"/>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102</v>
      </c>
      <c r="J1" t="s">
        <v>94</v>
      </c>
      <c r="K1" t="s">
        <v>90</v>
      </c>
      <c r="L1" t="s">
        <v>91</v>
      </c>
      <c r="M1" t="s">
        <v>92</v>
      </c>
    </row>
    <row r="2" spans="1:13" x14ac:dyDescent="0.25">
      <c r="A2" t="s">
        <v>57</v>
      </c>
      <c r="B2" t="s">
        <v>75</v>
      </c>
      <c r="C2">
        <v>100</v>
      </c>
      <c r="D2" t="s">
        <v>76</v>
      </c>
      <c r="E2" s="17">
        <v>5</v>
      </c>
      <c r="F2" s="17">
        <v>3.1</v>
      </c>
      <c r="G2" s="17">
        <v>0.9</v>
      </c>
      <c r="H2" s="9">
        <v>1156348</v>
      </c>
      <c r="I2" s="19">
        <f>internal_sales_data[[#This Row],[Volume 2022]]*internal_sales_data[[#This Row],[Net Price]]</f>
        <v>3584678.8000000003</v>
      </c>
      <c r="J2" s="17">
        <f>internal_sales_data[[#This Row],[Net Price]]-internal_sales_data[[#This Row],[COGS]]</f>
        <v>2.2000000000000002</v>
      </c>
      <c r="K2" s="19">
        <f>internal_sales_data[[#This Row],[Gross Profit per unit]]*internal_sales_data[[#This Row],[Volume 2022]]</f>
        <v>2543965.6</v>
      </c>
      <c r="L2" s="13">
        <f>internal_sales_data[[#This Row],[Gross Profit per unit]]/internal_sales_data[[#This Row],[Net Price]]</f>
        <v>0.70967741935483875</v>
      </c>
      <c r="M2" s="13">
        <f>internal_sales_data[[#This Row],[Net Sales 2022]]/internal_sales_data[[#Totals],[Net Sales 2022]]</f>
        <v>0.17502703482289086</v>
      </c>
    </row>
    <row r="3" spans="1:13" x14ac:dyDescent="0.25">
      <c r="A3" t="s">
        <v>57</v>
      </c>
      <c r="B3" t="s">
        <v>77</v>
      </c>
      <c r="C3">
        <v>100</v>
      </c>
      <c r="D3" t="s">
        <v>78</v>
      </c>
      <c r="E3" s="17">
        <v>5</v>
      </c>
      <c r="F3" s="17">
        <v>2.9</v>
      </c>
      <c r="G3" s="17">
        <v>0.95</v>
      </c>
      <c r="H3" s="9">
        <v>693809</v>
      </c>
      <c r="I3" s="19">
        <f>internal_sales_data[[#This Row],[Volume 2022]]*internal_sales_data[[#This Row],[Net Price]]</f>
        <v>2012046.0999999999</v>
      </c>
      <c r="J3" s="17">
        <f>internal_sales_data[[#This Row],[Net Price]]-internal_sales_data[[#This Row],[COGS]]</f>
        <v>1.95</v>
      </c>
      <c r="K3" s="19">
        <f>internal_sales_data[[#This Row],[Gross Profit per unit]]*internal_sales_data[[#This Row],[Volume 2022]]</f>
        <v>1352927.55</v>
      </c>
      <c r="L3" s="13">
        <f>internal_sales_data[[#This Row],[Gross Profit per unit]]/internal_sales_data[[#This Row],[Net Price]]</f>
        <v>0.67241379310344829</v>
      </c>
      <c r="M3" s="13">
        <f>internal_sales_data[[#This Row],[Net Sales 2022]]/internal_sales_data[[#Totals],[Net Sales 2022]]</f>
        <v>9.8241009155398171E-2</v>
      </c>
    </row>
    <row r="4" spans="1:13" x14ac:dyDescent="0.25">
      <c r="A4" t="s">
        <v>57</v>
      </c>
      <c r="B4" t="s">
        <v>79</v>
      </c>
      <c r="C4">
        <v>100</v>
      </c>
      <c r="D4" t="s">
        <v>80</v>
      </c>
      <c r="E4" s="17">
        <v>5</v>
      </c>
      <c r="F4" s="17">
        <v>2.8</v>
      </c>
      <c r="G4" s="17">
        <v>1</v>
      </c>
      <c r="H4" s="9">
        <v>346904</v>
      </c>
      <c r="I4" s="19">
        <f>internal_sales_data[[#This Row],[Volume 2022]]*internal_sales_data[[#This Row],[Net Price]]</f>
        <v>971331.2</v>
      </c>
      <c r="J4" s="17">
        <f>internal_sales_data[[#This Row],[Net Price]]-internal_sales_data[[#This Row],[COGS]]</f>
        <v>1.7999999999999998</v>
      </c>
      <c r="K4" s="19">
        <f>internal_sales_data[[#This Row],[Gross Profit per unit]]*internal_sales_data[[#This Row],[Volume 2022]]</f>
        <v>624427.19999999995</v>
      </c>
      <c r="L4" s="13">
        <f>internal_sales_data[[#This Row],[Gross Profit per unit]]/internal_sales_data[[#This Row],[Net Price]]</f>
        <v>0.64285714285714279</v>
      </c>
      <c r="M4" s="13">
        <f>internal_sales_data[[#This Row],[Net Sales 2022]]/internal_sales_data[[#Totals],[Net Sales 2022]]</f>
        <v>4.7426625718030961E-2</v>
      </c>
    </row>
    <row r="5" spans="1:13" x14ac:dyDescent="0.25">
      <c r="A5" t="s">
        <v>57</v>
      </c>
      <c r="B5" t="s">
        <v>75</v>
      </c>
      <c r="C5">
        <v>150</v>
      </c>
      <c r="D5" t="s">
        <v>81</v>
      </c>
      <c r="E5" s="17">
        <v>7</v>
      </c>
      <c r="F5" s="17">
        <v>3.5</v>
      </c>
      <c r="G5" s="17">
        <v>1.2</v>
      </c>
      <c r="H5" s="9">
        <v>693809</v>
      </c>
      <c r="I5" s="19">
        <f>internal_sales_data[[#This Row],[Volume 2022]]*internal_sales_data[[#This Row],[Net Price]]</f>
        <v>2428331.5</v>
      </c>
      <c r="J5" s="17">
        <f>internal_sales_data[[#This Row],[Net Price]]-internal_sales_data[[#This Row],[COGS]]</f>
        <v>2.2999999999999998</v>
      </c>
      <c r="K5" s="19">
        <f>internal_sales_data[[#This Row],[Gross Profit per unit]]*internal_sales_data[[#This Row],[Volume 2022]]</f>
        <v>1595760.7</v>
      </c>
      <c r="L5" s="13">
        <f>internal_sales_data[[#This Row],[Gross Profit per unit]]/internal_sales_data[[#This Row],[Net Price]]</f>
        <v>0.65714285714285714</v>
      </c>
      <c r="M5" s="13">
        <f>internal_sales_data[[#This Row],[Net Sales 2022]]/internal_sales_data[[#Totals],[Net Sales 2022]]</f>
        <v>0.11856673518754952</v>
      </c>
    </row>
    <row r="6" spans="1:13" x14ac:dyDescent="0.25">
      <c r="A6" t="s">
        <v>57</v>
      </c>
      <c r="B6" t="s">
        <v>79</v>
      </c>
      <c r="C6">
        <v>150</v>
      </c>
      <c r="D6" t="s">
        <v>82</v>
      </c>
      <c r="E6" s="17">
        <v>7.25</v>
      </c>
      <c r="F6" s="17">
        <v>3.7</v>
      </c>
      <c r="G6" s="17">
        <v>1.3</v>
      </c>
      <c r="H6" s="9">
        <v>231270</v>
      </c>
      <c r="I6" s="19">
        <f>internal_sales_data[[#This Row],[Volume 2022]]*internal_sales_data[[#This Row],[Net Price]]</f>
        <v>855699</v>
      </c>
      <c r="J6" s="17">
        <f>internal_sales_data[[#This Row],[Net Price]]-internal_sales_data[[#This Row],[COGS]]</f>
        <v>2.4000000000000004</v>
      </c>
      <c r="K6" s="19">
        <f>internal_sales_data[[#This Row],[Gross Profit per unit]]*internal_sales_data[[#This Row],[Volume 2022]]</f>
        <v>555048.00000000012</v>
      </c>
      <c r="L6" s="13">
        <f>internal_sales_data[[#This Row],[Gross Profit per unit]]/internal_sales_data[[#This Row],[Net Price]]</f>
        <v>0.64864864864864868</v>
      </c>
      <c r="M6" s="13">
        <f>internal_sales_data[[#This Row],[Net Sales 2022]]/internal_sales_data[[#Totals],[Net Sales 2022]]</f>
        <v>4.178071928534096E-2</v>
      </c>
    </row>
    <row r="7" spans="1:13" x14ac:dyDescent="0.25">
      <c r="A7" t="s">
        <v>57</v>
      </c>
      <c r="B7" t="s">
        <v>75</v>
      </c>
      <c r="C7">
        <v>200</v>
      </c>
      <c r="D7" t="s">
        <v>83</v>
      </c>
      <c r="E7" s="17">
        <v>9</v>
      </c>
      <c r="F7" s="17">
        <v>5</v>
      </c>
      <c r="G7" s="17">
        <v>1.5</v>
      </c>
      <c r="H7" s="9">
        <v>289087</v>
      </c>
      <c r="I7" s="19">
        <f>internal_sales_data[[#This Row],[Volume 2022]]*internal_sales_data[[#This Row],[Net Price]]</f>
        <v>1445435</v>
      </c>
      <c r="J7" s="17">
        <f>internal_sales_data[[#This Row],[Net Price]]-internal_sales_data[[#This Row],[COGS]]</f>
        <v>3.5</v>
      </c>
      <c r="K7" s="19">
        <f>internal_sales_data[[#This Row],[Gross Profit per unit]]*internal_sales_data[[#This Row],[Volume 2022]]</f>
        <v>1011804.5</v>
      </c>
      <c r="L7" s="13">
        <f>internal_sales_data[[#This Row],[Gross Profit per unit]]/internal_sales_data[[#This Row],[Net Price]]</f>
        <v>0.7</v>
      </c>
      <c r="M7" s="13">
        <f>internal_sales_data[[#This Row],[Net Sales 2022]]/internal_sales_data[[#Totals],[Net Sales 2022]]</f>
        <v>7.0575417267294702E-2</v>
      </c>
    </row>
    <row r="8" spans="1:13" x14ac:dyDescent="0.25">
      <c r="A8" t="s">
        <v>22</v>
      </c>
      <c r="B8" t="s">
        <v>84</v>
      </c>
      <c r="C8">
        <v>100</v>
      </c>
      <c r="D8" t="s">
        <v>85</v>
      </c>
      <c r="E8" s="17">
        <v>6</v>
      </c>
      <c r="F8" s="17">
        <v>3.5</v>
      </c>
      <c r="G8" s="17">
        <v>1.1499999999999999</v>
      </c>
      <c r="H8" s="9">
        <v>1089532</v>
      </c>
      <c r="I8" s="19">
        <f>internal_sales_data[[#This Row],[Volume 2022]]*internal_sales_data[[#This Row],[Net Price]]</f>
        <v>3813362</v>
      </c>
      <c r="J8" s="17">
        <f>internal_sales_data[[#This Row],[Net Price]]-internal_sales_data[[#This Row],[COGS]]</f>
        <v>2.35</v>
      </c>
      <c r="K8" s="19">
        <f>internal_sales_data[[#This Row],[Gross Profit per unit]]*internal_sales_data[[#This Row],[Volume 2022]]</f>
        <v>2560400.2000000002</v>
      </c>
      <c r="L8" s="13">
        <f>internal_sales_data[[#This Row],[Gross Profit per unit]]/internal_sales_data[[#This Row],[Net Price]]</f>
        <v>0.67142857142857149</v>
      </c>
      <c r="M8" s="13">
        <f>internal_sales_data[[#This Row],[Net Sales 2022]]/internal_sales_data[[#Totals],[Net Sales 2022]]</f>
        <v>0.18619281693140505</v>
      </c>
    </row>
    <row r="9" spans="1:13" x14ac:dyDescent="0.25">
      <c r="A9" t="s">
        <v>22</v>
      </c>
      <c r="B9" t="s">
        <v>84</v>
      </c>
      <c r="C9">
        <v>125</v>
      </c>
      <c r="D9" t="s">
        <v>86</v>
      </c>
      <c r="E9" s="17">
        <v>7</v>
      </c>
      <c r="F9" s="17">
        <v>4.25</v>
      </c>
      <c r="G9" s="17">
        <v>1.3</v>
      </c>
      <c r="H9" s="9">
        <v>466942</v>
      </c>
      <c r="I9" s="19">
        <f>internal_sales_data[[#This Row],[Volume 2022]]*internal_sales_data[[#This Row],[Net Price]]</f>
        <v>1984503.5</v>
      </c>
      <c r="J9" s="17">
        <f>internal_sales_data[[#This Row],[Net Price]]-internal_sales_data[[#This Row],[COGS]]</f>
        <v>2.95</v>
      </c>
      <c r="K9" s="19">
        <f>internal_sales_data[[#This Row],[Gross Profit per unit]]*internal_sales_data[[#This Row],[Volume 2022]]</f>
        <v>1377478.9000000001</v>
      </c>
      <c r="L9" s="13">
        <f>internal_sales_data[[#This Row],[Gross Profit per unit]]/internal_sales_data[[#This Row],[Net Price]]</f>
        <v>0.69411764705882362</v>
      </c>
      <c r="M9" s="13">
        <f>internal_sales_data[[#This Row],[Net Sales 2022]]/internal_sales_data[[#Totals],[Net Sales 2022]]</f>
        <v>9.6896202583240873E-2</v>
      </c>
    </row>
    <row r="10" spans="1:13" x14ac:dyDescent="0.25">
      <c r="A10" t="s">
        <v>22</v>
      </c>
      <c r="B10" t="s">
        <v>84</v>
      </c>
      <c r="C10">
        <v>150</v>
      </c>
      <c r="D10" t="s">
        <v>87</v>
      </c>
      <c r="E10" s="17">
        <v>8</v>
      </c>
      <c r="F10" s="17">
        <v>5.0999999999999996</v>
      </c>
      <c r="G10" s="17">
        <v>1.5</v>
      </c>
      <c r="H10" s="9">
        <v>389118</v>
      </c>
      <c r="I10" s="19">
        <f>internal_sales_data[[#This Row],[Volume 2022]]*internal_sales_data[[#This Row],[Net Price]]</f>
        <v>1984501.7999999998</v>
      </c>
      <c r="J10" s="17">
        <f>internal_sales_data[[#This Row],[Net Price]]-internal_sales_data[[#This Row],[COGS]]</f>
        <v>3.5999999999999996</v>
      </c>
      <c r="K10" s="19">
        <f>internal_sales_data[[#This Row],[Gross Profit per unit]]*internal_sales_data[[#This Row],[Volume 2022]]</f>
        <v>1400824.7999999998</v>
      </c>
      <c r="L10" s="13">
        <f>internal_sales_data[[#This Row],[Gross Profit per unit]]/internal_sales_data[[#This Row],[Net Price]]</f>
        <v>0.70588235294117641</v>
      </c>
      <c r="M10" s="13">
        <f>internal_sales_data[[#This Row],[Net Sales 2022]]/internal_sales_data[[#Totals],[Net Sales 2022]]</f>
        <v>9.6896119578325834E-2</v>
      </c>
    </row>
    <row r="11" spans="1:13" x14ac:dyDescent="0.25">
      <c r="A11" t="s">
        <v>22</v>
      </c>
      <c r="B11" t="s">
        <v>84</v>
      </c>
      <c r="C11">
        <v>200</v>
      </c>
      <c r="D11" t="s">
        <v>88</v>
      </c>
      <c r="E11" s="17">
        <v>10</v>
      </c>
      <c r="F11" s="17">
        <v>6</v>
      </c>
      <c r="G11" s="17">
        <v>1.7</v>
      </c>
      <c r="H11" s="9">
        <v>233471</v>
      </c>
      <c r="I11" s="19">
        <f>internal_sales_data[[#This Row],[Volume 2022]]*internal_sales_data[[#This Row],[Net Price]]</f>
        <v>1400826</v>
      </c>
      <c r="J11" s="17">
        <f>internal_sales_data[[#This Row],[Net Price]]-internal_sales_data[[#This Row],[COGS]]</f>
        <v>4.3</v>
      </c>
      <c r="K11" s="19">
        <f>internal_sales_data[[#This Row],[Gross Profit per unit]]*internal_sales_data[[#This Row],[Volume 2022]]</f>
        <v>1003925.2999999999</v>
      </c>
      <c r="L11" s="13">
        <f>internal_sales_data[[#This Row],[Gross Profit per unit]]/internal_sales_data[[#This Row],[Net Price]]</f>
        <v>0.71666666666666667</v>
      </c>
      <c r="M11" s="13">
        <f>internal_sales_data[[#This Row],[Net Sales 2022]]/internal_sales_data[[#Totals],[Net Sales 2022]]</f>
        <v>6.8397319470522966E-2</v>
      </c>
    </row>
    <row r="12" spans="1:13" x14ac:dyDescent="0.25">
      <c r="A12" t="s">
        <v>89</v>
      </c>
      <c r="E12"/>
      <c r="F12"/>
      <c r="G12"/>
      <c r="H12" s="10">
        <f>SUBTOTAL(109,internal_sales_data[Volume 2022])</f>
        <v>5590290</v>
      </c>
      <c r="I12" s="23">
        <f>SUBTOTAL(109,internal_sales_data[Net Sales 2022])</f>
        <v>20480714.900000002</v>
      </c>
      <c r="J12" s="12"/>
      <c r="K12" s="23">
        <f>SUBTOTAL(109,internal_sales_data[Gross Profit per product])</f>
        <v>14026562.75</v>
      </c>
      <c r="L12" s="14">
        <f>internal_sales_data[[#Totals],[Gross Profit per product]]/internal_sales_data[[#Totals],[Net Sales 2022]]</f>
        <v>0.68486685247495915</v>
      </c>
    </row>
    <row r="13" spans="1:13" x14ac:dyDescent="0.25">
      <c r="I13" s="11"/>
    </row>
    <row r="23" spans="9:9" x14ac:dyDescent="0.25">
      <c r="I23" s="1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50ml Shampoo 2024</vt:lpstr>
      <vt:lpstr>Brands per Supplier</vt:lpstr>
      <vt:lpstr>HealthMax Growth</vt:lpstr>
      <vt:lpstr>MAT Value Total Category</vt:lpstr>
      <vt:lpstr>Market Share</vt:lpstr>
      <vt:lpstr>Organic Shampoo Launch</vt:lpstr>
      <vt:lpstr>New Category Opportunity</vt:lpstr>
      <vt:lpstr>Promotion Analysis</vt:lpstr>
      <vt:lpstr>Promotion Graph</vt:lpstr>
      <vt:lpstr>Forecast 2024</vt:lpstr>
      <vt:lpstr>Waterfall</vt:lpstr>
      <vt:lpstr>Sales until 2022</vt:lpstr>
      <vt:lpstr>External Data</vt:lpstr>
      <vt:lpstr>Profitability Matrix</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Rama Hammad</cp:lastModifiedBy>
  <dcterms:created xsi:type="dcterms:W3CDTF">2022-06-08T14:08:07Z</dcterms:created>
  <dcterms:modified xsi:type="dcterms:W3CDTF">2025-03-01T12:07:26Z</dcterms:modified>
</cp:coreProperties>
</file>